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840" tabRatio="609"/>
  </bookViews>
  <sheets>
    <sheet name="付款通知" sheetId="26" r:id="rId1"/>
    <sheet name="社保" sheetId="27" state="hidden" r:id="rId2"/>
    <sheet name="社保1" sheetId="28" r:id="rId3"/>
    <sheet name="（居民）工资表-6月" sheetId="19" state="hidden" r:id="rId4"/>
    <sheet name="（居民）工资表-7月" sheetId="20" state="hidden" r:id="rId5"/>
    <sheet name="（居民）工资表-8月" sheetId="21" r:id="rId6"/>
    <sheet name="增" sheetId="29" state="hidden" r:id="rId7"/>
    <sheet name="（居民）工资表-9月" sheetId="22" state="hidden" r:id="rId8"/>
    <sheet name="（居民）工资表-10月" sheetId="23" state="hidden" r:id="rId9"/>
    <sheet name="（居民）工资表-11月" sheetId="24" state="hidden" r:id="rId10"/>
    <sheet name="（居民）工资表-1月" sheetId="1" state="hidden" r:id="rId11"/>
    <sheet name="（居民）工资表-12月" sheetId="25" state="hidden" r:id="rId12"/>
    <sheet name="（居民）工资表-2月" sheetId="15" state="hidden" r:id="rId13"/>
    <sheet name="（居民）工资表-3月" sheetId="16" state="hidden" r:id="rId14"/>
    <sheet name="（居民）工资表-4月" sheetId="17" state="hidden" r:id="rId15"/>
    <sheet name="（居民）工资表-5月" sheetId="18" state="hidden" r:id="rId16"/>
    <sheet name="Sheet1" sheetId="14" state="hidden" r:id="rId17"/>
  </sheets>
  <definedNames>
    <definedName name="_xlnm._FilterDatabase" localSheetId="8" hidden="1">'（居民）工资表-10月'!$A$3:$AT$8</definedName>
    <definedName name="_xlnm._FilterDatabase" localSheetId="9" hidden="1">'（居民）工资表-11月'!$A$3:$AT$9</definedName>
    <definedName name="_xlnm._FilterDatabase" localSheetId="11" hidden="1">'（居民）工资表-12月'!$A$3:$AT$9</definedName>
    <definedName name="_xlnm._FilterDatabase" localSheetId="10" hidden="1">'（居民）工资表-1月'!$A$3:$AT$9</definedName>
    <definedName name="_xlnm._FilterDatabase" localSheetId="12" hidden="1">'（居民）工资表-2月'!$A$3:$AT$13</definedName>
    <definedName name="_xlnm._FilterDatabase" localSheetId="13" hidden="1">'（居民）工资表-3月'!$A$3:$AT$14</definedName>
    <definedName name="_xlnm._FilterDatabase" localSheetId="14" hidden="1">'（居民）工资表-4月'!$A$3:$AT$18</definedName>
    <definedName name="_xlnm._FilterDatabase" localSheetId="15" hidden="1">'（居民）工资表-5月'!$A$3:$AT$22</definedName>
    <definedName name="_xlnm._FilterDatabase" localSheetId="3" hidden="1">'（居民）工资表-6月'!$A$3:$AT$19</definedName>
    <definedName name="_xlnm._FilterDatabase" localSheetId="4" hidden="1">'（居民）工资表-7月'!$A$3:$AT$19</definedName>
    <definedName name="_xlnm._FilterDatabase" localSheetId="5" hidden="1">'（居民）工资表-8月'!$A$3:$AT$9</definedName>
    <definedName name="_xlnm._FilterDatabase" localSheetId="7" hidden="1">'（居民）工资表-9月'!$A$3:$AT$8</definedName>
    <definedName name="_xlnm._FilterDatabase" localSheetId="2" hidden="1">社保1!$A$2:$BH$11</definedName>
    <definedName name="_xlnm.Print_Area" localSheetId="8">'（居民）工资表-10月'!$A$1:$AT$14</definedName>
    <definedName name="_xlnm.Print_Area" localSheetId="9">'（居民）工资表-11月'!$A$1:$AT$15</definedName>
    <definedName name="_xlnm.Print_Area" localSheetId="11">'（居民）工资表-12月'!$A$1:$AT$15</definedName>
    <definedName name="_xlnm.Print_Area" localSheetId="10">'（居民）工资表-1月'!$A$1:$AT$15</definedName>
    <definedName name="_xlnm.Print_Area" localSheetId="12">'（居民）工资表-2月'!$A$1:$AT$19</definedName>
    <definedName name="_xlnm.Print_Area" localSheetId="13">'（居民）工资表-3月'!$A$1:$AT$20</definedName>
    <definedName name="_xlnm.Print_Area" localSheetId="14">'（居民）工资表-4月'!$A$1:$AT$24</definedName>
    <definedName name="_xlnm.Print_Area" localSheetId="15">'（居民）工资表-5月'!$A$1:$AT$28</definedName>
    <definedName name="_xlnm.Print_Area" localSheetId="3">'（居民）工资表-6月'!$A$1:$AT$25</definedName>
    <definedName name="_xlnm.Print_Area" localSheetId="4">'（居民）工资表-7月'!$A$1:$AT$25</definedName>
    <definedName name="_xlnm.Print_Area" localSheetId="5">'（居民）工资表-8月'!$A$1:$AT$15</definedName>
    <definedName name="_xlnm.Print_Area" localSheetId="7">'（居民）工资表-9月'!$A$1:$AT$14</definedName>
  </definedNames>
  <calcPr calcId="144525"/>
</workbook>
</file>

<file path=xl/calcChain.xml><?xml version="1.0" encoding="utf-8"?>
<calcChain xmlns="http://schemas.openxmlformats.org/spreadsheetml/2006/main">
  <c r="D27" i="18" l="1"/>
  <c r="AK22" i="18"/>
  <c r="AI22" i="18"/>
  <c r="AB22" i="18"/>
  <c r="AA22" i="18"/>
  <c r="Z22" i="18"/>
  <c r="Y22" i="18"/>
  <c r="X22" i="18"/>
  <c r="W22" i="18"/>
  <c r="V22" i="18"/>
  <c r="R22" i="18"/>
  <c r="Q22" i="18"/>
  <c r="P22" i="18"/>
  <c r="O22" i="18"/>
  <c r="N22" i="18"/>
  <c r="M22" i="18"/>
  <c r="L22" i="18"/>
  <c r="AT19" i="18"/>
  <c r="AS19" i="18"/>
  <c r="AR19" i="18"/>
  <c r="AB19" i="18"/>
  <c r="Q19" i="18"/>
  <c r="AT18" i="18"/>
  <c r="AS18" i="18"/>
  <c r="AR18" i="18"/>
  <c r="AB18" i="18"/>
  <c r="Q18" i="18"/>
  <c r="AT17" i="18"/>
  <c r="AS17" i="18"/>
  <c r="AR17" i="18"/>
  <c r="AB17" i="18"/>
  <c r="Q17" i="18"/>
  <c r="AT16" i="18"/>
  <c r="AS16" i="18"/>
  <c r="AR16" i="18"/>
  <c r="AB16" i="18"/>
  <c r="Q16" i="18"/>
  <c r="AT15" i="18"/>
  <c r="AS15" i="18"/>
  <c r="AR15" i="18"/>
  <c r="AB15" i="18"/>
  <c r="Q15" i="18"/>
  <c r="AT14" i="18"/>
  <c r="AS14" i="18"/>
  <c r="AR14" i="18"/>
  <c r="AB14" i="18"/>
  <c r="Q14" i="18"/>
  <c r="AT13" i="18"/>
  <c r="AS13" i="18"/>
  <c r="AR13" i="18"/>
  <c r="AB13" i="18"/>
  <c r="Q13" i="18"/>
  <c r="AT12" i="18"/>
  <c r="AS12" i="18"/>
  <c r="AR12" i="18"/>
  <c r="AB12" i="18"/>
  <c r="Q12" i="18"/>
  <c r="AT11" i="18"/>
  <c r="AS11" i="18"/>
  <c r="AR11" i="18"/>
  <c r="AB11" i="18"/>
  <c r="Q11" i="18"/>
  <c r="AT10" i="18"/>
  <c r="AS10" i="18"/>
  <c r="AR10" i="18"/>
  <c r="AB10" i="18"/>
  <c r="Q10" i="18"/>
  <c r="AT9" i="18"/>
  <c r="AS9" i="18"/>
  <c r="AR9" i="18"/>
  <c r="AB9" i="18"/>
  <c r="Q9" i="18"/>
  <c r="AT8" i="18"/>
  <c r="AS8" i="18"/>
  <c r="AR8" i="18"/>
  <c r="AB8" i="18"/>
  <c r="Q8" i="18"/>
  <c r="AT7" i="18"/>
  <c r="AS7" i="18"/>
  <c r="AR7" i="18"/>
  <c r="AB7" i="18"/>
  <c r="Q7" i="18"/>
  <c r="AT6" i="18"/>
  <c r="AS6" i="18"/>
  <c r="AR6" i="18"/>
  <c r="AB6" i="18"/>
  <c r="Q6" i="18"/>
  <c r="F6" i="18"/>
  <c r="AT5" i="18"/>
  <c r="AS5" i="18"/>
  <c r="AR5" i="18"/>
  <c r="AB5" i="18"/>
  <c r="Q5" i="18"/>
  <c r="AT4" i="18"/>
  <c r="AS4" i="18"/>
  <c r="AR4" i="18"/>
  <c r="AB4" i="18"/>
  <c r="Q4" i="18"/>
  <c r="D23" i="17"/>
  <c r="AK18" i="17"/>
  <c r="AI18" i="17"/>
  <c r="AB18" i="17"/>
  <c r="AA18" i="17"/>
  <c r="Z18" i="17"/>
  <c r="Y18" i="17"/>
  <c r="X18" i="17"/>
  <c r="W18" i="17"/>
  <c r="V18" i="17"/>
  <c r="R18" i="17"/>
  <c r="Q18" i="17"/>
  <c r="P18" i="17"/>
  <c r="O18" i="17"/>
  <c r="N18" i="17"/>
  <c r="M18" i="17"/>
  <c r="L18" i="17"/>
  <c r="AB16" i="17"/>
  <c r="Q16" i="17"/>
  <c r="AF15" i="17"/>
  <c r="AC15" i="17"/>
  <c r="AC15" i="18" s="1"/>
  <c r="AC13" i="19" s="1"/>
  <c r="AC13" i="20" s="1"/>
  <c r="AB15" i="17"/>
  <c r="U15" i="17"/>
  <c r="U15" i="18" s="1"/>
  <c r="U13" i="19" s="1"/>
  <c r="U13" i="20" s="1"/>
  <c r="T15" i="17"/>
  <c r="T15" i="18" s="1"/>
  <c r="T13" i="19" s="1"/>
  <c r="T13" i="20" s="1"/>
  <c r="S15" i="17"/>
  <c r="S15" i="18" s="1"/>
  <c r="S13" i="19" s="1"/>
  <c r="S13" i="20" s="1"/>
  <c r="Q15" i="17"/>
  <c r="AB14" i="17"/>
  <c r="Q14" i="17"/>
  <c r="AB13" i="17"/>
  <c r="Q13" i="17"/>
  <c r="AT12" i="17"/>
  <c r="AS12" i="17"/>
  <c r="AR12" i="17"/>
  <c r="AB12" i="17"/>
  <c r="Q12" i="17"/>
  <c r="AT11" i="17"/>
  <c r="AS11" i="17"/>
  <c r="AR11" i="17"/>
  <c r="AF11" i="17"/>
  <c r="AC11" i="17"/>
  <c r="AC11" i="18" s="1"/>
  <c r="AC9" i="19" s="1"/>
  <c r="AC9" i="20" s="1"/>
  <c r="AB11" i="17"/>
  <c r="U11" i="17"/>
  <c r="U11" i="18" s="1"/>
  <c r="U9" i="19" s="1"/>
  <c r="U9" i="20" s="1"/>
  <c r="T11" i="17"/>
  <c r="T11" i="18" s="1"/>
  <c r="S11" i="17"/>
  <c r="S11" i="18" s="1"/>
  <c r="S9" i="19" s="1"/>
  <c r="S9" i="20" s="1"/>
  <c r="Q11" i="17"/>
  <c r="AT10" i="17"/>
  <c r="AS10" i="17"/>
  <c r="AR10" i="17"/>
  <c r="AF10" i="17"/>
  <c r="AC10" i="17"/>
  <c r="AC10" i="18" s="1"/>
  <c r="AC8" i="19" s="1"/>
  <c r="AC8" i="20" s="1"/>
  <c r="AB10" i="17"/>
  <c r="U10" i="17"/>
  <c r="U10" i="18" s="1"/>
  <c r="U8" i="19" s="1"/>
  <c r="U8" i="20" s="1"/>
  <c r="T10" i="17"/>
  <c r="T10" i="18" s="1"/>
  <c r="S10" i="17"/>
  <c r="S10" i="18" s="1"/>
  <c r="S8" i="19" s="1"/>
  <c r="S8" i="20" s="1"/>
  <c r="Q10" i="17"/>
  <c r="AT9" i="17"/>
  <c r="AS9" i="17"/>
  <c r="AR9" i="17"/>
  <c r="AF9" i="17"/>
  <c r="AC9" i="17"/>
  <c r="AC9" i="18" s="1"/>
  <c r="AC7" i="19" s="1"/>
  <c r="AC7" i="20" s="1"/>
  <c r="AB9" i="17"/>
  <c r="U9" i="17"/>
  <c r="U9" i="18" s="1"/>
  <c r="U7" i="19" s="1"/>
  <c r="U7" i="20" s="1"/>
  <c r="T9" i="17"/>
  <c r="S9" i="17"/>
  <c r="S9" i="18" s="1"/>
  <c r="Q9" i="17"/>
  <c r="AT8" i="17"/>
  <c r="AS8" i="17"/>
  <c r="AR8" i="17"/>
  <c r="AF8" i="17"/>
  <c r="AC8" i="17"/>
  <c r="AC8" i="18" s="1"/>
  <c r="AB8" i="17"/>
  <c r="U8" i="17"/>
  <c r="U8" i="18" s="1"/>
  <c r="T8" i="17"/>
  <c r="T8" i="18" s="1"/>
  <c r="S8" i="17"/>
  <c r="S8" i="18" s="1"/>
  <c r="Q8" i="17"/>
  <c r="AT7" i="17"/>
  <c r="AS7" i="17"/>
  <c r="AR7" i="17"/>
  <c r="AF7" i="17"/>
  <c r="AC7" i="17"/>
  <c r="AC7" i="18" s="1"/>
  <c r="AB7" i="17"/>
  <c r="U7" i="17"/>
  <c r="U7" i="18" s="1"/>
  <c r="T7" i="17"/>
  <c r="T7" i="18" s="1"/>
  <c r="S7" i="17"/>
  <c r="S7" i="18" s="1"/>
  <c r="Q7" i="17"/>
  <c r="AT6" i="17"/>
  <c r="AS6" i="17"/>
  <c r="AR6" i="17"/>
  <c r="AF6" i="17"/>
  <c r="AC6" i="17"/>
  <c r="AC6" i="18" s="1"/>
  <c r="AC6" i="19" s="1"/>
  <c r="AC6" i="20" s="1"/>
  <c r="AC6" i="21" s="1"/>
  <c r="AC7" i="22" s="1"/>
  <c r="AC7" i="23" s="1"/>
  <c r="AC6" i="24" s="1"/>
  <c r="AC6" i="25" s="1"/>
  <c r="AB6" i="17"/>
  <c r="U6" i="17"/>
  <c r="U6" i="18" s="1"/>
  <c r="U6" i="19" s="1"/>
  <c r="U6" i="20" s="1"/>
  <c r="U6" i="21" s="1"/>
  <c r="U7" i="22" s="1"/>
  <c r="U7" i="23" s="1"/>
  <c r="U6" i="24" s="1"/>
  <c r="U6" i="25" s="1"/>
  <c r="T6" i="17"/>
  <c r="T6" i="18" s="1"/>
  <c r="S6" i="17"/>
  <c r="S6" i="18" s="1"/>
  <c r="S6" i="19" s="1"/>
  <c r="S6" i="20" s="1"/>
  <c r="S6" i="21" s="1"/>
  <c r="S7" i="22" s="1"/>
  <c r="Q6" i="17"/>
  <c r="F6" i="17"/>
  <c r="AT5" i="17"/>
  <c r="AS5" i="17"/>
  <c r="AR5" i="17"/>
  <c r="AF5" i="17"/>
  <c r="AC5" i="17"/>
  <c r="AC5" i="18" s="1"/>
  <c r="AB5" i="17"/>
  <c r="U5" i="17"/>
  <c r="U5" i="18" s="1"/>
  <c r="T5" i="17"/>
  <c r="T5" i="18" s="1"/>
  <c r="T5" i="19" s="1"/>
  <c r="T5" i="20" s="1"/>
  <c r="T5" i="21" s="1"/>
  <c r="T5" i="22" s="1"/>
  <c r="T5" i="23" s="1"/>
  <c r="T5" i="24" s="1"/>
  <c r="T5" i="25" s="1"/>
  <c r="S5" i="17"/>
  <c r="Q5" i="17"/>
  <c r="AT4" i="17"/>
  <c r="AS4" i="17"/>
  <c r="AR4" i="17"/>
  <c r="AF4" i="17"/>
  <c r="AC4" i="17"/>
  <c r="AB4" i="17"/>
  <c r="U4" i="17"/>
  <c r="T4" i="17"/>
  <c r="T4" i="18" s="1"/>
  <c r="S4" i="17"/>
  <c r="Q4" i="17"/>
  <c r="E19" i="16"/>
  <c r="D19" i="16"/>
  <c r="C19" i="16"/>
  <c r="B19" i="16"/>
  <c r="AL14" i="16"/>
  <c r="AK14" i="16"/>
  <c r="AJ14" i="16"/>
  <c r="AI14" i="16"/>
  <c r="AH14" i="16"/>
  <c r="AG14" i="16"/>
  <c r="AF14" i="16"/>
  <c r="AE14" i="16"/>
  <c r="AD14" i="16"/>
  <c r="AC14" i="16"/>
  <c r="AB14" i="16"/>
  <c r="AA14" i="16"/>
  <c r="Z14" i="16"/>
  <c r="Y14" i="16"/>
  <c r="X14" i="16"/>
  <c r="W14" i="16"/>
  <c r="V14" i="16"/>
  <c r="U14" i="16"/>
  <c r="T14" i="16"/>
  <c r="S14" i="16"/>
  <c r="R14" i="16"/>
  <c r="Q14" i="16"/>
  <c r="P14" i="16"/>
  <c r="O14" i="16"/>
  <c r="N14" i="16"/>
  <c r="M14" i="16"/>
  <c r="L14" i="16"/>
  <c r="AT12" i="16"/>
  <c r="AS12" i="16"/>
  <c r="AR12" i="16"/>
  <c r="AL12" i="16"/>
  <c r="AJ12" i="16"/>
  <c r="AH12" i="16"/>
  <c r="AG12" i="16"/>
  <c r="AF12" i="16"/>
  <c r="AE12" i="16"/>
  <c r="AD12" i="16"/>
  <c r="AC12" i="16"/>
  <c r="AB12" i="16"/>
  <c r="U12" i="16"/>
  <c r="T12" i="16"/>
  <c r="S12" i="16"/>
  <c r="Q12" i="16"/>
  <c r="AT11" i="16"/>
  <c r="AS11" i="16"/>
  <c r="AR11" i="16"/>
  <c r="AL11" i="16"/>
  <c r="AJ11" i="16"/>
  <c r="AH11" i="16"/>
  <c r="AG11" i="16"/>
  <c r="AF11" i="16"/>
  <c r="AE11" i="16"/>
  <c r="AD11" i="16"/>
  <c r="AC11" i="16"/>
  <c r="AB11" i="16"/>
  <c r="U11" i="16"/>
  <c r="T11" i="16"/>
  <c r="S11" i="16"/>
  <c r="Q11" i="16"/>
  <c r="AT10" i="16"/>
  <c r="AS10" i="16"/>
  <c r="AR10" i="16"/>
  <c r="AL10" i="16"/>
  <c r="AJ10" i="16"/>
  <c r="AH10" i="16"/>
  <c r="AG10" i="16"/>
  <c r="AF10" i="16"/>
  <c r="AE10" i="16"/>
  <c r="AD10" i="16"/>
  <c r="AC10" i="16"/>
  <c r="AB10" i="16"/>
  <c r="U10" i="16"/>
  <c r="T10" i="16"/>
  <c r="S10" i="16"/>
  <c r="Q10" i="16"/>
  <c r="AT9" i="16"/>
  <c r="AS9" i="16"/>
  <c r="AR9" i="16"/>
  <c r="AL9" i="16"/>
  <c r="AJ9" i="16"/>
  <c r="AH9" i="16"/>
  <c r="AG9" i="16"/>
  <c r="AF9" i="16"/>
  <c r="AE9" i="16"/>
  <c r="AD9" i="16"/>
  <c r="AC9" i="16"/>
  <c r="AB9" i="16"/>
  <c r="U9" i="16"/>
  <c r="T9" i="16"/>
  <c r="S9" i="16"/>
  <c r="Q9" i="16"/>
  <c r="AT8" i="16"/>
  <c r="AS8" i="16"/>
  <c r="AR8" i="16"/>
  <c r="AL8" i="16"/>
  <c r="AJ8" i="16"/>
  <c r="AH8" i="16"/>
  <c r="AG8" i="16"/>
  <c r="AF8" i="16"/>
  <c r="AE8" i="16"/>
  <c r="AD8" i="16"/>
  <c r="AC8" i="16"/>
  <c r="AB8" i="16"/>
  <c r="U8" i="16"/>
  <c r="T8" i="16"/>
  <c r="S8" i="16"/>
  <c r="Q8" i="16"/>
  <c r="L8" i="16"/>
  <c r="AT7" i="16"/>
  <c r="AS7" i="16"/>
  <c r="AR7" i="16"/>
  <c r="AL7" i="16"/>
  <c r="AJ7" i="16"/>
  <c r="AH7" i="16"/>
  <c r="AG7" i="16"/>
  <c r="AF7" i="16"/>
  <c r="AE7" i="16"/>
  <c r="AD7" i="16"/>
  <c r="AC7" i="16"/>
  <c r="AB7" i="16"/>
  <c r="U7" i="16"/>
  <c r="T7" i="16"/>
  <c r="S7" i="16"/>
  <c r="Q7" i="16"/>
  <c r="AT6" i="16"/>
  <c r="AS6" i="16"/>
  <c r="AR6" i="16"/>
  <c r="AL6" i="16"/>
  <c r="AJ6" i="16"/>
  <c r="AH6" i="16"/>
  <c r="AG6" i="16"/>
  <c r="AF6" i="16"/>
  <c r="AE6" i="16"/>
  <c r="AD6" i="16"/>
  <c r="AC6" i="16"/>
  <c r="AB6" i="16"/>
  <c r="U6" i="16"/>
  <c r="T6" i="16"/>
  <c r="S6" i="16"/>
  <c r="Q6" i="16"/>
  <c r="F6" i="16"/>
  <c r="AT5" i="16"/>
  <c r="AS5" i="16"/>
  <c r="AR5" i="16"/>
  <c r="AL5" i="16"/>
  <c r="AJ5" i="16"/>
  <c r="AH5" i="16"/>
  <c r="AG5" i="16"/>
  <c r="AF5" i="16"/>
  <c r="AE5" i="16"/>
  <c r="AD5" i="16"/>
  <c r="AC5" i="16"/>
  <c r="AB5" i="16"/>
  <c r="U5" i="16"/>
  <c r="T5" i="16"/>
  <c r="S5" i="16"/>
  <c r="Q5" i="16"/>
  <c r="AT4" i="16"/>
  <c r="AS4" i="16"/>
  <c r="AR4" i="16"/>
  <c r="AL4" i="16"/>
  <c r="AJ4" i="16"/>
  <c r="AH4" i="16"/>
  <c r="AG4" i="16"/>
  <c r="AF4" i="16"/>
  <c r="AE4" i="16"/>
  <c r="AD4" i="16"/>
  <c r="AC4" i="16"/>
  <c r="AB4" i="16"/>
  <c r="U4" i="16"/>
  <c r="T4" i="16"/>
  <c r="S4" i="16"/>
  <c r="Q4" i="16"/>
  <c r="E18" i="15"/>
  <c r="D18" i="15"/>
  <c r="C18" i="15"/>
  <c r="B18" i="15"/>
  <c r="AL13" i="15"/>
  <c r="AK13" i="15"/>
  <c r="AJ13" i="15"/>
  <c r="AI13" i="15"/>
  <c r="AH13" i="15"/>
  <c r="AG13" i="15"/>
  <c r="AF13" i="15"/>
  <c r="AE13" i="15"/>
  <c r="AD13" i="15"/>
  <c r="AC13" i="15"/>
  <c r="AB13" i="15"/>
  <c r="AA13" i="15"/>
  <c r="Z13" i="15"/>
  <c r="Y13" i="15"/>
  <c r="X13" i="15"/>
  <c r="W13" i="15"/>
  <c r="V13" i="15"/>
  <c r="U13" i="15"/>
  <c r="T13" i="15"/>
  <c r="S13" i="15"/>
  <c r="R13" i="15"/>
  <c r="Q13" i="15"/>
  <c r="P13" i="15"/>
  <c r="O13" i="15"/>
  <c r="N13" i="15"/>
  <c r="M13" i="15"/>
  <c r="L13" i="15"/>
  <c r="AT12" i="15"/>
  <c r="AS12" i="15"/>
  <c r="AR12" i="15"/>
  <c r="AL12" i="15"/>
  <c r="AJ12" i="15"/>
  <c r="AH12" i="15"/>
  <c r="AG12" i="15"/>
  <c r="AF12" i="15"/>
  <c r="AE12" i="15"/>
  <c r="AD12" i="15"/>
  <c r="AC12" i="15"/>
  <c r="AB12" i="15"/>
  <c r="U12" i="15"/>
  <c r="T12" i="15"/>
  <c r="S12" i="15"/>
  <c r="Q12" i="15"/>
  <c r="AT11" i="15"/>
  <c r="AS11" i="15"/>
  <c r="AR11" i="15"/>
  <c r="AL11" i="15"/>
  <c r="AJ11" i="15"/>
  <c r="AH11" i="15"/>
  <c r="AG11" i="15"/>
  <c r="AF11" i="15"/>
  <c r="AE11" i="15"/>
  <c r="AD11" i="15"/>
  <c r="AC11" i="15"/>
  <c r="AB11" i="15"/>
  <c r="U11" i="15"/>
  <c r="T11" i="15"/>
  <c r="S11" i="15"/>
  <c r="Q11" i="15"/>
  <c r="AT10" i="15"/>
  <c r="AS10" i="15"/>
  <c r="AR10" i="15"/>
  <c r="AL10" i="15"/>
  <c r="AJ10" i="15"/>
  <c r="AH10" i="15"/>
  <c r="AG10" i="15"/>
  <c r="AF10" i="15"/>
  <c r="AE10" i="15"/>
  <c r="AD10" i="15"/>
  <c r="AC10" i="15"/>
  <c r="AB10" i="15"/>
  <c r="U10" i="15"/>
  <c r="T10" i="15"/>
  <c r="S10" i="15"/>
  <c r="Q10" i="15"/>
  <c r="AT9" i="15"/>
  <c r="AS9" i="15"/>
  <c r="AR9" i="15"/>
  <c r="AL9" i="15"/>
  <c r="AJ9" i="15"/>
  <c r="AH9" i="15"/>
  <c r="AG9" i="15"/>
  <c r="AF9" i="15"/>
  <c r="AE9" i="15"/>
  <c r="AD9" i="15"/>
  <c r="AC9" i="15"/>
  <c r="AB9" i="15"/>
  <c r="U9" i="15"/>
  <c r="T9" i="15"/>
  <c r="S9" i="15"/>
  <c r="Q9" i="15"/>
  <c r="AT8" i="15"/>
  <c r="AS8" i="15"/>
  <c r="AR8" i="15"/>
  <c r="AL8" i="15"/>
  <c r="AJ8" i="15"/>
  <c r="AH8" i="15"/>
  <c r="AG8" i="15"/>
  <c r="AF8" i="15"/>
  <c r="AE8" i="15"/>
  <c r="AD8" i="15"/>
  <c r="AC8" i="15"/>
  <c r="AB8" i="15"/>
  <c r="U8" i="15"/>
  <c r="T8" i="15"/>
  <c r="S8" i="15"/>
  <c r="Q8" i="15"/>
  <c r="AT7" i="15"/>
  <c r="AS7" i="15"/>
  <c r="AR7" i="15"/>
  <c r="AL7" i="15"/>
  <c r="AJ7" i="15"/>
  <c r="AH7" i="15"/>
  <c r="AG7" i="15"/>
  <c r="AF7" i="15"/>
  <c r="AE7" i="15"/>
  <c r="AD7" i="15"/>
  <c r="AC7" i="15"/>
  <c r="AB7" i="15"/>
  <c r="U7" i="15"/>
  <c r="T7" i="15"/>
  <c r="S7" i="15"/>
  <c r="Q7" i="15"/>
  <c r="AT6" i="15"/>
  <c r="AS6" i="15"/>
  <c r="AR6" i="15"/>
  <c r="AL6" i="15"/>
  <c r="AJ6" i="15"/>
  <c r="AH6" i="15"/>
  <c r="AG6" i="15"/>
  <c r="AF6" i="15"/>
  <c r="AE6" i="15"/>
  <c r="AD6" i="15"/>
  <c r="AC6" i="15"/>
  <c r="AB6" i="15"/>
  <c r="U6" i="15"/>
  <c r="T6" i="15"/>
  <c r="S6" i="15"/>
  <c r="Q6" i="15"/>
  <c r="F6" i="15"/>
  <c r="AT5" i="15"/>
  <c r="AS5" i="15"/>
  <c r="AR5" i="15"/>
  <c r="AL5" i="15"/>
  <c r="AJ5" i="15"/>
  <c r="AH5" i="15"/>
  <c r="AG5" i="15"/>
  <c r="AF5" i="15"/>
  <c r="AE5" i="15"/>
  <c r="AD5" i="15"/>
  <c r="AC5" i="15"/>
  <c r="AB5" i="15"/>
  <c r="U5" i="15"/>
  <c r="T5" i="15"/>
  <c r="S5" i="15"/>
  <c r="Q5" i="15"/>
  <c r="AT4" i="15"/>
  <c r="AS4" i="15"/>
  <c r="AR4" i="15"/>
  <c r="AL4" i="15"/>
  <c r="AJ4" i="15"/>
  <c r="AH4" i="15"/>
  <c r="AG4" i="15"/>
  <c r="AF4" i="15"/>
  <c r="AE4" i="15"/>
  <c r="AD4" i="15"/>
  <c r="AC4" i="15"/>
  <c r="AB4" i="15"/>
  <c r="U4" i="15"/>
  <c r="T4" i="15"/>
  <c r="S4" i="15"/>
  <c r="Q4" i="15"/>
  <c r="U1" i="15"/>
  <c r="D14" i="25"/>
  <c r="AK9" i="25"/>
  <c r="AI9" i="25"/>
  <c r="AB9" i="25"/>
  <c r="AA9" i="25"/>
  <c r="Z9" i="25"/>
  <c r="Y9" i="25"/>
  <c r="X9" i="25"/>
  <c r="W9" i="25"/>
  <c r="V9" i="25"/>
  <c r="R9" i="25"/>
  <c r="Q9" i="25"/>
  <c r="P9" i="25"/>
  <c r="O9" i="25"/>
  <c r="N9" i="25"/>
  <c r="M9" i="25"/>
  <c r="L9" i="25"/>
  <c r="AT8" i="25"/>
  <c r="AS8" i="25"/>
  <c r="AR8" i="25"/>
  <c r="AB8" i="25"/>
  <c r="Q8" i="25"/>
  <c r="AT7" i="25"/>
  <c r="AS7" i="25"/>
  <c r="AR7" i="25"/>
  <c r="AB7" i="25"/>
  <c r="Q7" i="25"/>
  <c r="O7" i="25"/>
  <c r="N7" i="25"/>
  <c r="M7" i="25"/>
  <c r="AT6" i="25"/>
  <c r="AS6" i="25"/>
  <c r="AR6" i="25"/>
  <c r="AB6" i="25"/>
  <c r="Q6" i="25"/>
  <c r="F6" i="25"/>
  <c r="AT5" i="25"/>
  <c r="AS5" i="25"/>
  <c r="AR5" i="25"/>
  <c r="AB5" i="25"/>
  <c r="Q5" i="25"/>
  <c r="AT4" i="25"/>
  <c r="AS4" i="25"/>
  <c r="AR4" i="25"/>
  <c r="AB4" i="25"/>
  <c r="Q4" i="25"/>
  <c r="E14" i="1"/>
  <c r="D14" i="1"/>
  <c r="C14" i="1"/>
  <c r="B14" i="1"/>
  <c r="AL9" i="1"/>
  <c r="AK9" i="1"/>
  <c r="AJ9" i="1"/>
  <c r="AI9" i="1"/>
  <c r="AH9" i="1"/>
  <c r="AG9" i="1"/>
  <c r="AF9" i="1"/>
  <c r="AE9" i="1"/>
  <c r="AD9" i="1"/>
  <c r="AC9" i="1"/>
  <c r="AB9" i="1"/>
  <c r="AA9" i="1"/>
  <c r="Z9" i="1"/>
  <c r="Y9" i="1"/>
  <c r="X9" i="1"/>
  <c r="W9" i="1"/>
  <c r="V9" i="1"/>
  <c r="U9" i="1"/>
  <c r="T9" i="1"/>
  <c r="S9" i="1"/>
  <c r="R9" i="1"/>
  <c r="Q9" i="1"/>
  <c r="P9" i="1"/>
  <c r="O9" i="1"/>
  <c r="N9" i="1"/>
  <c r="M9" i="1"/>
  <c r="L9" i="1"/>
  <c r="AT8" i="1"/>
  <c r="AS8" i="1"/>
  <c r="AR8" i="1"/>
  <c r="AL8" i="1"/>
  <c r="AJ8" i="1"/>
  <c r="AH8" i="1"/>
  <c r="AG8" i="1"/>
  <c r="AE8" i="1"/>
  <c r="AD8" i="1"/>
  <c r="AC8" i="1"/>
  <c r="AB8" i="1"/>
  <c r="U8" i="1"/>
  <c r="S8" i="1"/>
  <c r="Q8" i="1"/>
  <c r="AT7" i="1"/>
  <c r="AS7" i="1"/>
  <c r="AR7" i="1"/>
  <c r="AL7" i="1"/>
  <c r="AJ7" i="1"/>
  <c r="AH7" i="1"/>
  <c r="AG7" i="1"/>
  <c r="AE7" i="1"/>
  <c r="AD7" i="1"/>
  <c r="AC7" i="1"/>
  <c r="AB7" i="1"/>
  <c r="U7" i="1"/>
  <c r="S7" i="1"/>
  <c r="Q7" i="1"/>
  <c r="O7" i="1"/>
  <c r="N7" i="1"/>
  <c r="M7" i="1"/>
  <c r="AT6" i="1"/>
  <c r="AS6" i="1"/>
  <c r="AR6" i="1"/>
  <c r="AL6" i="1"/>
  <c r="AJ6" i="1"/>
  <c r="AH6" i="1"/>
  <c r="AG6" i="1"/>
  <c r="AE6" i="1"/>
  <c r="AD6" i="1"/>
  <c r="AC6" i="1"/>
  <c r="AB6" i="1"/>
  <c r="U6" i="1"/>
  <c r="S6" i="1"/>
  <c r="Q6" i="1"/>
  <c r="F6" i="1"/>
  <c r="AT5" i="1"/>
  <c r="AS5" i="1"/>
  <c r="AR5" i="1"/>
  <c r="AL5" i="1"/>
  <c r="AJ5" i="1"/>
  <c r="AH5" i="1"/>
  <c r="AG5" i="1"/>
  <c r="AE5" i="1"/>
  <c r="AD5" i="1"/>
  <c r="AC5" i="1"/>
  <c r="AB5" i="1"/>
  <c r="U5" i="1"/>
  <c r="S5" i="1"/>
  <c r="Q5" i="1"/>
  <c r="AT4" i="1"/>
  <c r="AS4" i="1"/>
  <c r="AR4" i="1"/>
  <c r="AL4" i="1"/>
  <c r="AJ4" i="1"/>
  <c r="AH4" i="1"/>
  <c r="AG4" i="1"/>
  <c r="AE4" i="1"/>
  <c r="AD4" i="1"/>
  <c r="AC4" i="1"/>
  <c r="AB4" i="1"/>
  <c r="U4" i="1"/>
  <c r="S4" i="1"/>
  <c r="Q4" i="1"/>
  <c r="D14" i="24"/>
  <c r="AK9" i="24"/>
  <c r="AI9" i="24"/>
  <c r="AB9" i="24"/>
  <c r="AA9" i="24"/>
  <c r="Z9" i="24"/>
  <c r="Y9" i="24"/>
  <c r="X9" i="24"/>
  <c r="W9" i="24"/>
  <c r="V9" i="24"/>
  <c r="R9" i="24"/>
  <c r="Q9" i="24"/>
  <c r="P9" i="24"/>
  <c r="O9" i="24"/>
  <c r="N9" i="24"/>
  <c r="M9" i="24"/>
  <c r="L9" i="24"/>
  <c r="AT8" i="24"/>
  <c r="AS8" i="24"/>
  <c r="AR8" i="24"/>
  <c r="AB8" i="24"/>
  <c r="Q8" i="24"/>
  <c r="P8" i="24"/>
  <c r="O8" i="24"/>
  <c r="N8" i="24"/>
  <c r="M8" i="24"/>
  <c r="AT7" i="24"/>
  <c r="AS7" i="24"/>
  <c r="AR7" i="24"/>
  <c r="AB7" i="24"/>
  <c r="Q7" i="24"/>
  <c r="O7" i="24"/>
  <c r="N7" i="24"/>
  <c r="M7" i="24"/>
  <c r="AT6" i="24"/>
  <c r="AS6" i="24"/>
  <c r="AR6" i="24"/>
  <c r="AB6" i="24"/>
  <c r="Q6" i="24"/>
  <c r="F6" i="24"/>
  <c r="AT5" i="24"/>
  <c r="AS5" i="24"/>
  <c r="AR5" i="24"/>
  <c r="AB5" i="24"/>
  <c r="Q5" i="24"/>
  <c r="O5" i="24"/>
  <c r="M5" i="24"/>
  <c r="AT4" i="24"/>
  <c r="AS4" i="24"/>
  <c r="AR4" i="24"/>
  <c r="AB4" i="24"/>
  <c r="Q4" i="24"/>
  <c r="D13" i="23"/>
  <c r="AK8" i="23"/>
  <c r="AI8" i="23"/>
  <c r="AB8" i="23"/>
  <c r="AA8" i="23"/>
  <c r="Z8" i="23"/>
  <c r="Y8" i="23"/>
  <c r="X8" i="23"/>
  <c r="W8" i="23"/>
  <c r="V8" i="23"/>
  <c r="R8" i="23"/>
  <c r="Q8" i="23"/>
  <c r="P8" i="23"/>
  <c r="O8" i="23"/>
  <c r="N8" i="23"/>
  <c r="M8" i="23"/>
  <c r="L8" i="23"/>
  <c r="AT7" i="23"/>
  <c r="AS7" i="23"/>
  <c r="AR7" i="23"/>
  <c r="AB7" i="23"/>
  <c r="Q7" i="23"/>
  <c r="F7" i="23"/>
  <c r="AT6" i="23"/>
  <c r="AS6" i="23"/>
  <c r="AR6" i="23"/>
  <c r="AB6" i="23"/>
  <c r="Q6" i="23"/>
  <c r="O6" i="23"/>
  <c r="N6" i="23"/>
  <c r="M6" i="23"/>
  <c r="AT5" i="23"/>
  <c r="AS5" i="23"/>
  <c r="AR5" i="23"/>
  <c r="AB5" i="23"/>
  <c r="Q5" i="23"/>
  <c r="AT4" i="23"/>
  <c r="AS4" i="23"/>
  <c r="AR4" i="23"/>
  <c r="AB4" i="23"/>
  <c r="Q4" i="23"/>
  <c r="D13" i="22"/>
  <c r="AK8" i="22"/>
  <c r="AI8" i="22"/>
  <c r="AB8" i="22"/>
  <c r="AA8" i="22"/>
  <c r="Z8" i="22"/>
  <c r="Y8" i="22"/>
  <c r="X8" i="22"/>
  <c r="W8" i="22"/>
  <c r="V8" i="22"/>
  <c r="R8" i="22"/>
  <c r="Q8" i="22"/>
  <c r="P8" i="22"/>
  <c r="O8" i="22"/>
  <c r="N8" i="22"/>
  <c r="M8" i="22"/>
  <c r="L8" i="22"/>
  <c r="AT7" i="22"/>
  <c r="AS7" i="22"/>
  <c r="AR7" i="22"/>
  <c r="AB7" i="22"/>
  <c r="Q7" i="22"/>
  <c r="F7" i="22"/>
  <c r="AT6" i="22"/>
  <c r="AS6" i="22"/>
  <c r="AR6" i="22"/>
  <c r="AB6" i="22"/>
  <c r="Q6" i="22"/>
  <c r="O6" i="22"/>
  <c r="N6" i="22"/>
  <c r="M6" i="22"/>
  <c r="AT5" i="22"/>
  <c r="AS5" i="22"/>
  <c r="AR5" i="22"/>
  <c r="AB5" i="22"/>
  <c r="Q5" i="22"/>
  <c r="AT4" i="22"/>
  <c r="AS4" i="22"/>
  <c r="AR4" i="22"/>
  <c r="AB4" i="22"/>
  <c r="Q4" i="22"/>
  <c r="D14" i="21"/>
  <c r="AK9" i="21"/>
  <c r="AI9" i="21"/>
  <c r="AA9" i="21"/>
  <c r="Z9" i="21"/>
  <c r="Y9" i="21"/>
  <c r="X9" i="21"/>
  <c r="W9" i="21"/>
  <c r="V9" i="21"/>
  <c r="R9" i="21"/>
  <c r="P9" i="21"/>
  <c r="O9" i="21"/>
  <c r="N9" i="21"/>
  <c r="M9" i="21"/>
  <c r="L9" i="21"/>
  <c r="AT8" i="21"/>
  <c r="AS8" i="21"/>
  <c r="AR8" i="21"/>
  <c r="AB8" i="21"/>
  <c r="Q8" i="21"/>
  <c r="AT7" i="21"/>
  <c r="AS7" i="21"/>
  <c r="AR7" i="21"/>
  <c r="AB7" i="21"/>
  <c r="Q7" i="21"/>
  <c r="AT6" i="21"/>
  <c r="AS6" i="21"/>
  <c r="AR6" i="21"/>
  <c r="AB6" i="21"/>
  <c r="Q6" i="21"/>
  <c r="AT5" i="21"/>
  <c r="AS5" i="21"/>
  <c r="AR5" i="21"/>
  <c r="AB5" i="21"/>
  <c r="Q5" i="21"/>
  <c r="AT4" i="21"/>
  <c r="AS4" i="21"/>
  <c r="AR4" i="21"/>
  <c r="AB4" i="21"/>
  <c r="AB9" i="21" s="1"/>
  <c r="Q4" i="21"/>
  <c r="Q9" i="21" s="1"/>
  <c r="D24" i="20"/>
  <c r="AK19" i="20"/>
  <c r="AI19" i="20"/>
  <c r="AB19" i="20"/>
  <c r="AA19" i="20"/>
  <c r="Z19" i="20"/>
  <c r="Y19" i="20"/>
  <c r="X19" i="20"/>
  <c r="W19" i="20"/>
  <c r="V19" i="20"/>
  <c r="R19" i="20"/>
  <c r="Q19" i="20"/>
  <c r="P19" i="20"/>
  <c r="O19" i="20"/>
  <c r="N19" i="20"/>
  <c r="M19" i="20"/>
  <c r="L19" i="20"/>
  <c r="AT18" i="20"/>
  <c r="AS18" i="20"/>
  <c r="AR18" i="20"/>
  <c r="AB18" i="20"/>
  <c r="Q18" i="20"/>
  <c r="P18" i="20"/>
  <c r="N18" i="20"/>
  <c r="M18" i="20"/>
  <c r="AT17" i="20"/>
  <c r="AS17" i="20"/>
  <c r="AR17" i="20"/>
  <c r="AB17" i="20"/>
  <c r="Q17" i="20"/>
  <c r="AT16" i="20"/>
  <c r="AS16" i="20"/>
  <c r="AR16" i="20"/>
  <c r="AB16" i="20"/>
  <c r="Q16" i="20"/>
  <c r="AT15" i="20"/>
  <c r="AS15" i="20"/>
  <c r="AR15" i="20"/>
  <c r="AB15" i="20"/>
  <c r="Q15" i="20"/>
  <c r="AT14" i="20"/>
  <c r="AS14" i="20"/>
  <c r="AR14" i="20"/>
  <c r="AB14" i="20"/>
  <c r="Q14" i="20"/>
  <c r="AT13" i="20"/>
  <c r="AS13" i="20"/>
  <c r="AR13" i="20"/>
  <c r="AB13" i="20"/>
  <c r="Q13" i="20"/>
  <c r="AT12" i="20"/>
  <c r="AS12" i="20"/>
  <c r="AR12" i="20"/>
  <c r="AB12" i="20"/>
  <c r="Q12" i="20"/>
  <c r="AT11" i="20"/>
  <c r="AS11" i="20"/>
  <c r="AR11" i="20"/>
  <c r="AB11" i="20"/>
  <c r="Q11" i="20"/>
  <c r="AT10" i="20"/>
  <c r="AS10" i="20"/>
  <c r="AR10" i="20"/>
  <c r="AB10" i="20"/>
  <c r="Q10" i="20"/>
  <c r="AT9" i="20"/>
  <c r="AS9" i="20"/>
  <c r="AR9" i="20"/>
  <c r="AB9" i="20"/>
  <c r="Q9" i="20"/>
  <c r="AT8" i="20"/>
  <c r="AS8" i="20"/>
  <c r="AR8" i="20"/>
  <c r="AB8" i="20"/>
  <c r="Q8" i="20"/>
  <c r="AT7" i="20"/>
  <c r="AS7" i="20"/>
  <c r="AR7" i="20"/>
  <c r="AB7" i="20"/>
  <c r="Q7" i="20"/>
  <c r="AT6" i="20"/>
  <c r="AS6" i="20"/>
  <c r="AR6" i="20"/>
  <c r="AB6" i="20"/>
  <c r="Q6" i="20"/>
  <c r="AT5" i="20"/>
  <c r="AS5" i="20"/>
  <c r="AR5" i="20"/>
  <c r="AB5" i="20"/>
  <c r="Q5" i="20"/>
  <c r="AT4" i="20"/>
  <c r="AS4" i="20"/>
  <c r="AR4" i="20"/>
  <c r="AB4" i="20"/>
  <c r="Q4" i="20"/>
  <c r="D24" i="19"/>
  <c r="AK19" i="19"/>
  <c r="AI19" i="19"/>
  <c r="AB19" i="19"/>
  <c r="AA19" i="19"/>
  <c r="Z19" i="19"/>
  <c r="Y19" i="19"/>
  <c r="X19" i="19"/>
  <c r="W19" i="19"/>
  <c r="V19" i="19"/>
  <c r="R19" i="19"/>
  <c r="Q19" i="19"/>
  <c r="P19" i="19"/>
  <c r="O19" i="19"/>
  <c r="N19" i="19"/>
  <c r="M19" i="19"/>
  <c r="L19" i="19"/>
  <c r="AT17" i="19"/>
  <c r="AS17" i="19"/>
  <c r="AR17" i="19"/>
  <c r="AB17" i="19"/>
  <c r="Q17" i="19"/>
  <c r="AT16" i="19"/>
  <c r="AS16" i="19"/>
  <c r="AR16" i="19"/>
  <c r="AB16" i="19"/>
  <c r="Q16" i="19"/>
  <c r="AT15" i="19"/>
  <c r="AS15" i="19"/>
  <c r="AR15" i="19"/>
  <c r="AB15" i="19"/>
  <c r="Q15" i="19"/>
  <c r="AT14" i="19"/>
  <c r="AS14" i="19"/>
  <c r="AR14" i="19"/>
  <c r="AB14" i="19"/>
  <c r="Q14" i="19"/>
  <c r="AT13" i="19"/>
  <c r="AS13" i="19"/>
  <c r="AR13" i="19"/>
  <c r="AB13" i="19"/>
  <c r="Q13" i="19"/>
  <c r="AT12" i="19"/>
  <c r="AS12" i="19"/>
  <c r="AR12" i="19"/>
  <c r="AB12" i="19"/>
  <c r="Q12" i="19"/>
  <c r="AT11" i="19"/>
  <c r="AS11" i="19"/>
  <c r="AR11" i="19"/>
  <c r="AB11" i="19"/>
  <c r="Q11" i="19"/>
  <c r="AT10" i="19"/>
  <c r="AS10" i="19"/>
  <c r="AR10" i="19"/>
  <c r="AB10" i="19"/>
  <c r="Q10" i="19"/>
  <c r="AT9" i="19"/>
  <c r="AS9" i="19"/>
  <c r="AR9" i="19"/>
  <c r="AB9" i="19"/>
  <c r="T9" i="19"/>
  <c r="T9" i="20" s="1"/>
  <c r="Q9" i="19"/>
  <c r="AT8" i="19"/>
  <c r="AS8" i="19"/>
  <c r="AR8" i="19"/>
  <c r="AB8" i="19"/>
  <c r="T8" i="19"/>
  <c r="T8" i="20" s="1"/>
  <c r="Q8" i="19"/>
  <c r="AT7" i="19"/>
  <c r="AS7" i="19"/>
  <c r="AR7" i="19"/>
  <c r="AB7" i="19"/>
  <c r="Q7" i="19"/>
  <c r="AT6" i="19"/>
  <c r="AS6" i="19"/>
  <c r="AR6" i="19"/>
  <c r="AB6" i="19"/>
  <c r="T6" i="19"/>
  <c r="T6" i="20" s="1"/>
  <c r="Q6" i="19"/>
  <c r="AT5" i="19"/>
  <c r="AS5" i="19"/>
  <c r="AR5" i="19"/>
  <c r="AC5" i="19"/>
  <c r="AC5" i="20" s="1"/>
  <c r="AC5" i="21" s="1"/>
  <c r="AC5" i="22" s="1"/>
  <c r="AC5" i="23" s="1"/>
  <c r="AC5" i="24" s="1"/>
  <c r="AC5" i="25" s="1"/>
  <c r="AB5" i="19"/>
  <c r="U5" i="19"/>
  <c r="U5" i="20" s="1"/>
  <c r="Q5" i="19"/>
  <c r="AT4" i="19"/>
  <c r="AS4" i="19"/>
  <c r="AR4" i="19"/>
  <c r="AB4" i="19"/>
  <c r="T4" i="19"/>
  <c r="Q4" i="19"/>
  <c r="BB13" i="28"/>
  <c r="BB14" i="28" s="1"/>
  <c r="G22" i="26" s="1"/>
  <c r="BA13" i="28"/>
  <c r="AY13" i="28"/>
  <c r="AR13" i="28"/>
  <c r="AR14" i="28" s="1"/>
  <c r="AP13" i="28"/>
  <c r="AP14" i="28" s="1"/>
  <c r="AO13" i="28"/>
  <c r="AO14" i="28" s="1"/>
  <c r="AN13" i="28"/>
  <c r="AN14" i="28" s="1"/>
  <c r="AM13" i="28"/>
  <c r="AM14" i="28" s="1"/>
  <c r="AL13" i="28"/>
  <c r="AL14" i="28" s="1"/>
  <c r="AJ13" i="28"/>
  <c r="AJ14" i="28" s="1"/>
  <c r="AH13" i="28"/>
  <c r="AH14" i="28" s="1"/>
  <c r="AG13" i="28"/>
  <c r="AG14" i="28" s="1"/>
  <c r="AE13" i="28"/>
  <c r="AE14" i="28" s="1"/>
  <c r="AB13" i="28"/>
  <c r="AB14" i="28" s="1"/>
  <c r="AA13" i="28"/>
  <c r="AA14" i="28" s="1"/>
  <c r="Y13" i="28"/>
  <c r="Y14" i="28" s="1"/>
  <c r="W13" i="28"/>
  <c r="W14" i="28" s="1"/>
  <c r="T13" i="28"/>
  <c r="T14" i="28" s="1"/>
  <c r="O13" i="28"/>
  <c r="O14" i="28" s="1"/>
  <c r="M13" i="28"/>
  <c r="M14" i="28" s="1"/>
  <c r="AK11" i="28"/>
  <c r="AV11" i="28" s="1"/>
  <c r="AI11" i="28"/>
  <c r="AU11" i="28" s="1"/>
  <c r="AF11" i="28"/>
  <c r="Z11" i="28"/>
  <c r="X11" i="28"/>
  <c r="U11" i="28"/>
  <c r="AT11" i="28" s="1"/>
  <c r="S11" i="28"/>
  <c r="P11" i="28"/>
  <c r="N11" i="28"/>
  <c r="AV10" i="28"/>
  <c r="AK10" i="28"/>
  <c r="AI10" i="28"/>
  <c r="AU10" i="28" s="1"/>
  <c r="AF10" i="28"/>
  <c r="Z10" i="28"/>
  <c r="X10" i="28"/>
  <c r="U10" i="28"/>
  <c r="S10" i="28"/>
  <c r="P10" i="28"/>
  <c r="N10" i="28"/>
  <c r="AK9" i="28"/>
  <c r="AV9" i="28" s="1"/>
  <c r="AI9" i="28"/>
  <c r="AU9" i="28" s="1"/>
  <c r="AF9" i="28"/>
  <c r="Z9" i="28"/>
  <c r="X9" i="28"/>
  <c r="U9" i="28"/>
  <c r="S9" i="28"/>
  <c r="P9" i="28"/>
  <c r="N9" i="28"/>
  <c r="AV8" i="28"/>
  <c r="AU8" i="28"/>
  <c r="AQ8" i="28"/>
  <c r="U8" i="28"/>
  <c r="AT8" i="28" s="1"/>
  <c r="Q8" i="28"/>
  <c r="S8" i="28" s="1"/>
  <c r="AS8" i="28" s="1"/>
  <c r="AV7" i="28"/>
  <c r="AQ7" i="28"/>
  <c r="AQ13" i="28" s="1"/>
  <c r="AQ14" i="28" s="1"/>
  <c r="AK7" i="28"/>
  <c r="AI7" i="28"/>
  <c r="AU7" i="28" s="1"/>
  <c r="AF7" i="28"/>
  <c r="Z7" i="28"/>
  <c r="X7" i="28"/>
  <c r="U7" i="28"/>
  <c r="S7" i="28"/>
  <c r="P7" i="28"/>
  <c r="N7" i="28"/>
  <c r="AV6" i="28"/>
  <c r="AU6" i="28"/>
  <c r="AZ6" i="28" s="1"/>
  <c r="AT6" i="28"/>
  <c r="R6" i="28"/>
  <c r="R13" i="28" s="1"/>
  <c r="R14" i="28" s="1"/>
  <c r="AK5" i="28"/>
  <c r="AV5" i="28" s="1"/>
  <c r="AI5" i="28"/>
  <c r="AU5" i="28" s="1"/>
  <c r="AF5" i="28"/>
  <c r="AC5" i="28"/>
  <c r="AC13" i="28" s="1"/>
  <c r="AC14" i="28" s="1"/>
  <c r="Z5" i="28"/>
  <c r="X5" i="28"/>
  <c r="U5" i="28"/>
  <c r="S5" i="28"/>
  <c r="P5" i="28"/>
  <c r="AT5" i="28" s="1"/>
  <c r="N5" i="28"/>
  <c r="AV4" i="28"/>
  <c r="AU4" i="28"/>
  <c r="AD4" i="28"/>
  <c r="AD13" i="28" s="1"/>
  <c r="AD14" i="28" s="1"/>
  <c r="V4" i="28"/>
  <c r="Z4" i="28" s="1"/>
  <c r="AT4" i="28" s="1"/>
  <c r="P4" i="28"/>
  <c r="L4" i="28"/>
  <c r="L13" i="28" s="1"/>
  <c r="L14" i="28" s="1"/>
  <c r="AK3" i="28"/>
  <c r="AI3" i="28"/>
  <c r="AF3" i="28"/>
  <c r="Z3" i="28"/>
  <c r="X3" i="28"/>
  <c r="U3" i="28"/>
  <c r="S3" i="28"/>
  <c r="P3" i="28"/>
  <c r="N3" i="28"/>
  <c r="BC18" i="27"/>
  <c r="BB18" i="27"/>
  <c r="AZ18" i="27"/>
  <c r="AX18" i="27"/>
  <c r="AW18" i="27"/>
  <c r="AV18" i="27"/>
  <c r="AU18" i="27"/>
  <c r="AT18" i="27"/>
  <c r="AS18" i="27"/>
  <c r="AR18" i="27"/>
  <c r="AQ18" i="27"/>
  <c r="AP18" i="27"/>
  <c r="AO18" i="27"/>
  <c r="AN18" i="27"/>
  <c r="AM18" i="27"/>
  <c r="AL18" i="27"/>
  <c r="AK18" i="27"/>
  <c r="AJ18" i="27"/>
  <c r="AI18" i="27"/>
  <c r="AH18" i="27"/>
  <c r="AG18" i="27"/>
  <c r="AF18" i="27"/>
  <c r="AE18" i="27"/>
  <c r="AD18" i="27"/>
  <c r="AC18" i="27"/>
  <c r="AB18" i="27"/>
  <c r="AA18" i="27"/>
  <c r="Z18" i="27"/>
  <c r="Y18" i="27"/>
  <c r="X18" i="27"/>
  <c r="W18" i="27"/>
  <c r="V18" i="27"/>
  <c r="U18" i="27"/>
  <c r="T18" i="27"/>
  <c r="S18" i="27"/>
  <c r="R18" i="27"/>
  <c r="Q18" i="27"/>
  <c r="P18" i="27"/>
  <c r="O18" i="27"/>
  <c r="N18" i="27"/>
  <c r="M18" i="27"/>
  <c r="L18" i="27"/>
  <c r="BC17" i="27"/>
  <c r="BB17" i="27"/>
  <c r="BA17" i="27"/>
  <c r="AZ17" i="27"/>
  <c r="AY17" i="27"/>
  <c r="AX17" i="27"/>
  <c r="AW17" i="27"/>
  <c r="AV17" i="27"/>
  <c r="AU17" i="27"/>
  <c r="AT17" i="27"/>
  <c r="AS17" i="27"/>
  <c r="AR17" i="27"/>
  <c r="AQ17" i="27"/>
  <c r="AP17" i="27"/>
  <c r="AO17" i="27"/>
  <c r="AN17" i="27"/>
  <c r="AM17" i="27"/>
  <c r="AL17" i="27"/>
  <c r="AK17" i="27"/>
  <c r="AJ17" i="27"/>
  <c r="AI17" i="27"/>
  <c r="AH17" i="27"/>
  <c r="AG17" i="27"/>
  <c r="AF17" i="27"/>
  <c r="AE17" i="27"/>
  <c r="AD17" i="27"/>
  <c r="AC17" i="27"/>
  <c r="AB17" i="27"/>
  <c r="AA17" i="27"/>
  <c r="Z17" i="27"/>
  <c r="Y17" i="27"/>
  <c r="X17" i="27"/>
  <c r="W17" i="27"/>
  <c r="V17" i="27"/>
  <c r="U17" i="27"/>
  <c r="T17" i="27"/>
  <c r="S17" i="27"/>
  <c r="R17" i="27"/>
  <c r="Q17" i="27"/>
  <c r="P17" i="27"/>
  <c r="O17" i="27"/>
  <c r="N17" i="27"/>
  <c r="M17" i="27"/>
  <c r="L17" i="27"/>
  <c r="BC15" i="27"/>
  <c r="AZ15" i="27"/>
  <c r="AX15" i="27"/>
  <c r="AW15" i="27"/>
  <c r="AV15" i="27"/>
  <c r="AU15" i="27"/>
  <c r="AT15" i="27"/>
  <c r="AS15" i="27"/>
  <c r="AK15" i="27"/>
  <c r="AI15" i="27"/>
  <c r="AF15" i="27"/>
  <c r="AC15" i="27"/>
  <c r="Z15" i="27"/>
  <c r="X15" i="27"/>
  <c r="U15" i="27"/>
  <c r="S15" i="27"/>
  <c r="P15" i="27"/>
  <c r="N15" i="27"/>
  <c r="BC14" i="27"/>
  <c r="AZ14" i="27"/>
  <c r="AX14" i="27"/>
  <c r="AW14" i="27"/>
  <c r="AV14" i="27"/>
  <c r="AU14" i="27"/>
  <c r="AT14" i="27"/>
  <c r="AS14" i="27"/>
  <c r="AK14" i="27"/>
  <c r="AI14" i="27"/>
  <c r="AF14" i="27"/>
  <c r="AC14" i="27"/>
  <c r="Z14" i="27"/>
  <c r="X14" i="27"/>
  <c r="U14" i="27"/>
  <c r="S14" i="27"/>
  <c r="P14" i="27"/>
  <c r="N14" i="27"/>
  <c r="BC13" i="27"/>
  <c r="AZ13" i="27"/>
  <c r="AX13" i="27"/>
  <c r="AW13" i="27"/>
  <c r="AV13" i="27"/>
  <c r="AU13" i="27"/>
  <c r="AT13" i="27"/>
  <c r="AS13" i="27"/>
  <c r="AK13" i="27"/>
  <c r="AI13" i="27"/>
  <c r="AF13" i="27"/>
  <c r="AC13" i="27"/>
  <c r="Z13" i="27"/>
  <c r="X13" i="27"/>
  <c r="U13" i="27"/>
  <c r="S13" i="27"/>
  <c r="P13" i="27"/>
  <c r="N13" i="27"/>
  <c r="BC12" i="27"/>
  <c r="AZ12" i="27"/>
  <c r="AX12" i="27"/>
  <c r="AW12" i="27"/>
  <c r="AV12" i="27"/>
  <c r="AU12" i="27"/>
  <c r="AT12" i="27"/>
  <c r="AS12" i="27"/>
  <c r="AK12" i="27"/>
  <c r="AI12" i="27"/>
  <c r="AF12" i="27"/>
  <c r="AC12" i="27"/>
  <c r="Z12" i="27"/>
  <c r="X12" i="27"/>
  <c r="U12" i="27"/>
  <c r="S12" i="27"/>
  <c r="P12" i="27"/>
  <c r="N12" i="27"/>
  <c r="BC11" i="27"/>
  <c r="AX11" i="27"/>
  <c r="AW11" i="27"/>
  <c r="AV11" i="27"/>
  <c r="AU11" i="27"/>
  <c r="AT11" i="27"/>
  <c r="AS11" i="27"/>
  <c r="AF11" i="27"/>
  <c r="AD11" i="27"/>
  <c r="BC10" i="27"/>
  <c r="AX10" i="27"/>
  <c r="AW10" i="27"/>
  <c r="AV10" i="27"/>
  <c r="AU10" i="27"/>
  <c r="AT10" i="27"/>
  <c r="AS10" i="27"/>
  <c r="AF10" i="27"/>
  <c r="AD10" i="27"/>
  <c r="BC9" i="27"/>
  <c r="AX9" i="27"/>
  <c r="AW9" i="27"/>
  <c r="AV9" i="27"/>
  <c r="AU9" i="27"/>
  <c r="AT9" i="27"/>
  <c r="AS9" i="27"/>
  <c r="AF9" i="27"/>
  <c r="AD9" i="27"/>
  <c r="BC8" i="27"/>
  <c r="AZ8" i="27"/>
  <c r="AX8" i="27"/>
  <c r="AW8" i="27"/>
  <c r="AV8" i="27"/>
  <c r="AU8" i="27"/>
  <c r="AT8" i="27"/>
  <c r="AS8" i="27"/>
  <c r="AF8" i="27"/>
  <c r="AC8" i="27"/>
  <c r="Z8" i="27"/>
  <c r="X8" i="27"/>
  <c r="U8" i="27"/>
  <c r="S8" i="27"/>
  <c r="P8" i="27"/>
  <c r="N8" i="27"/>
  <c r="BC7" i="27"/>
  <c r="AZ7" i="27"/>
  <c r="AX7" i="27"/>
  <c r="AW7" i="27"/>
  <c r="AV7" i="27"/>
  <c r="AU7" i="27"/>
  <c r="AT7" i="27"/>
  <c r="AS7" i="27"/>
  <c r="AF7" i="27"/>
  <c r="AC7" i="27"/>
  <c r="Z7" i="27"/>
  <c r="X7" i="27"/>
  <c r="U7" i="27"/>
  <c r="S7" i="27"/>
  <c r="P7" i="27"/>
  <c r="N7" i="27"/>
  <c r="BC6" i="27"/>
  <c r="AZ6" i="27"/>
  <c r="AX6" i="27"/>
  <c r="AW6" i="27"/>
  <c r="AV6" i="27"/>
  <c r="AU6" i="27"/>
  <c r="AT6" i="27"/>
  <c r="AS6" i="27"/>
  <c r="AF6" i="27"/>
  <c r="AC6" i="27"/>
  <c r="Z6" i="27"/>
  <c r="X6" i="27"/>
  <c r="U6" i="27"/>
  <c r="S6" i="27"/>
  <c r="P6" i="27"/>
  <c r="N6" i="27"/>
  <c r="BC5" i="27"/>
  <c r="AZ5" i="27"/>
  <c r="AX5" i="27"/>
  <c r="AW5" i="27"/>
  <c r="AV5" i="27"/>
  <c r="AU5" i="27"/>
  <c r="AT5" i="27"/>
  <c r="AS5" i="27"/>
  <c r="AK5" i="27"/>
  <c r="AI5" i="27"/>
  <c r="AF5" i="27"/>
  <c r="Z5" i="27"/>
  <c r="X5" i="27"/>
  <c r="U5" i="27"/>
  <c r="S5" i="27"/>
  <c r="P5" i="27"/>
  <c r="N5" i="27"/>
  <c r="BC4" i="27"/>
  <c r="AZ4" i="27"/>
  <c r="AX4" i="27"/>
  <c r="AW4" i="27"/>
  <c r="AV4" i="27"/>
  <c r="AU4" i="27"/>
  <c r="AT4" i="27"/>
  <c r="AS4" i="27"/>
  <c r="AK4" i="27"/>
  <c r="AI4" i="27"/>
  <c r="AF4" i="27"/>
  <c r="Z4" i="27"/>
  <c r="X4" i="27"/>
  <c r="U4" i="27"/>
  <c r="S4" i="27"/>
  <c r="P4" i="27"/>
  <c r="N4" i="27"/>
  <c r="BC3" i="27"/>
  <c r="AZ3" i="27"/>
  <c r="AX3" i="27"/>
  <c r="AW3" i="27"/>
  <c r="AV3" i="27"/>
  <c r="AU3" i="27"/>
  <c r="AT3" i="27"/>
  <c r="AS3" i="27"/>
  <c r="AK3" i="27"/>
  <c r="AI3" i="27"/>
  <c r="AF3" i="27"/>
  <c r="Z3" i="27"/>
  <c r="X3" i="27"/>
  <c r="U3" i="27"/>
  <c r="S3" i="27"/>
  <c r="P3" i="27"/>
  <c r="N3" i="27"/>
  <c r="U5" i="21" l="1"/>
  <c r="U5" i="22" s="1"/>
  <c r="U5" i="23" s="1"/>
  <c r="U5" i="24" s="1"/>
  <c r="U5" i="25" s="1"/>
  <c r="AT3" i="28"/>
  <c r="AT7" i="28"/>
  <c r="AT9" i="28"/>
  <c r="AS10" i="28"/>
  <c r="AX8" i="28"/>
  <c r="AW8" i="28"/>
  <c r="AF4" i="28"/>
  <c r="AS7" i="28"/>
  <c r="AX7" i="28" s="1"/>
  <c r="AZ10" i="28"/>
  <c r="X13" i="28"/>
  <c r="X14" i="28" s="1"/>
  <c r="V13" i="28"/>
  <c r="V14" i="28" s="1"/>
  <c r="X4" i="28"/>
  <c r="AS5" i="28"/>
  <c r="AX5" i="28" s="1"/>
  <c r="AZ7" i="28"/>
  <c r="Q13" i="28"/>
  <c r="Q14" i="28" s="1"/>
  <c r="U13" i="28"/>
  <c r="U14" i="28" s="1"/>
  <c r="AI13" i="28"/>
  <c r="AI14" i="28" s="1"/>
  <c r="N4" i="28"/>
  <c r="AS4" i="28" s="1"/>
  <c r="S6" i="28"/>
  <c r="AS6" i="28" s="1"/>
  <c r="AX6" i="28" s="1"/>
  <c r="BC6" i="28" s="1"/>
  <c r="AS9" i="28"/>
  <c r="AT10" i="28"/>
  <c r="N13" i="28"/>
  <c r="N14" i="28" s="1"/>
  <c r="AS3" i="28"/>
  <c r="AK13" i="28"/>
  <c r="AK14" i="28" s="1"/>
  <c r="AD8" i="20"/>
  <c r="AE8" i="20" s="1"/>
  <c r="Z13" i="28"/>
  <c r="Z14" i="28" s="1"/>
  <c r="AZ11" i="28"/>
  <c r="AF13" i="28"/>
  <c r="AF14" i="28" s="1"/>
  <c r="AV3" i="28"/>
  <c r="AZ4" i="28"/>
  <c r="AZ5" i="28"/>
  <c r="AZ8" i="28"/>
  <c r="AX10" i="28"/>
  <c r="BC10" i="28" s="1"/>
  <c r="AS11" i="28"/>
  <c r="AX11" i="28" s="1"/>
  <c r="T6" i="21"/>
  <c r="AD6" i="20"/>
  <c r="AE6" i="20" s="1"/>
  <c r="AD6" i="19"/>
  <c r="AE6" i="19" s="1"/>
  <c r="U4" i="18"/>
  <c r="P13" i="28"/>
  <c r="P14" i="28" s="1"/>
  <c r="AZ9" i="28"/>
  <c r="AD8" i="19"/>
  <c r="AE8" i="19" s="1"/>
  <c r="AU3" i="28"/>
  <c r="T4" i="20"/>
  <c r="S7" i="23"/>
  <c r="S7" i="19"/>
  <c r="AD13" i="20"/>
  <c r="AE13" i="20" s="1"/>
  <c r="AD9" i="19"/>
  <c r="AE9" i="19" s="1"/>
  <c r="AD13" i="19"/>
  <c r="AE13" i="19" s="1"/>
  <c r="AD9" i="20"/>
  <c r="AE9" i="20" s="1"/>
  <c r="T9" i="18"/>
  <c r="T7" i="19" s="1"/>
  <c r="T7" i="20" s="1"/>
  <c r="AD9" i="17"/>
  <c r="AE9" i="17" s="1"/>
  <c r="AG9" i="17" s="1"/>
  <c r="AH9" i="17" s="1"/>
  <c r="AJ9" i="17" s="1"/>
  <c r="AL9" i="17" s="1"/>
  <c r="AD6" i="18"/>
  <c r="AE6" i="18" s="1"/>
  <c r="AD8" i="17"/>
  <c r="AE8" i="17" s="1"/>
  <c r="AG8" i="17" s="1"/>
  <c r="AH8" i="17" s="1"/>
  <c r="AJ8" i="17" s="1"/>
  <c r="AL8" i="17" s="1"/>
  <c r="AD15" i="17"/>
  <c r="AE15" i="17" s="1"/>
  <c r="AG15" i="17" s="1"/>
  <c r="AH15" i="17" s="1"/>
  <c r="AJ15" i="17" s="1"/>
  <c r="AL15" i="17" s="1"/>
  <c r="AD10" i="18"/>
  <c r="AE10" i="18" s="1"/>
  <c r="S4" i="18"/>
  <c r="AD4" i="17"/>
  <c r="AC4" i="18"/>
  <c r="AD6" i="17"/>
  <c r="AE6" i="17" s="1"/>
  <c r="AG6" i="17" s="1"/>
  <c r="AH6" i="17" s="1"/>
  <c r="AJ6" i="17" s="1"/>
  <c r="AL6" i="17" s="1"/>
  <c r="AD10" i="17"/>
  <c r="AE10" i="17" s="1"/>
  <c r="AG10" i="17" s="1"/>
  <c r="AH10" i="17" s="1"/>
  <c r="AJ10" i="17" s="1"/>
  <c r="AL10" i="17" s="1"/>
  <c r="AD8" i="18"/>
  <c r="AE8" i="18" s="1"/>
  <c r="S5" i="18"/>
  <c r="AD5" i="17"/>
  <c r="AE5" i="17" s="1"/>
  <c r="AG5" i="17" s="1"/>
  <c r="AD7" i="17"/>
  <c r="AE7" i="17" s="1"/>
  <c r="AG7" i="17" s="1"/>
  <c r="AH7" i="17" s="1"/>
  <c r="AJ7" i="17" s="1"/>
  <c r="AL7" i="17" s="1"/>
  <c r="AD11" i="17"/>
  <c r="AE11" i="17" s="1"/>
  <c r="AG11" i="17" s="1"/>
  <c r="AH11" i="17" s="1"/>
  <c r="AJ11" i="17" s="1"/>
  <c r="AL11" i="17" s="1"/>
  <c r="AD7" i="18"/>
  <c r="AE7" i="18" s="1"/>
  <c r="AD11" i="18"/>
  <c r="AE11" i="18" s="1"/>
  <c r="AD15" i="18"/>
  <c r="AE15" i="18" s="1"/>
  <c r="BC7" i="28" l="1"/>
  <c r="AW10" i="28"/>
  <c r="AW6" i="28"/>
  <c r="S13" i="28"/>
  <c r="S14" i="28" s="1"/>
  <c r="AF6" i="18"/>
  <c r="AF9" i="18"/>
  <c r="BC8" i="28"/>
  <c r="AX4" i="28"/>
  <c r="AW4" i="28"/>
  <c r="AX9" i="28"/>
  <c r="BC9" i="28" s="1"/>
  <c r="AW9" i="28"/>
  <c r="AW11" i="28"/>
  <c r="AW7" i="28"/>
  <c r="AW5" i="28"/>
  <c r="AF7" i="18"/>
  <c r="AF8" i="18"/>
  <c r="BC5" i="28"/>
  <c r="AC4" i="19"/>
  <c r="AT13" i="28"/>
  <c r="AT14" i="28" s="1"/>
  <c r="AF10" i="18"/>
  <c r="AD5" i="18"/>
  <c r="AE5" i="18" s="1"/>
  <c r="S5" i="19"/>
  <c r="S6" i="24"/>
  <c r="AG8" i="18"/>
  <c r="AH8" i="18" s="1"/>
  <c r="AJ8" i="18" s="1"/>
  <c r="AL8" i="18" s="1"/>
  <c r="S4" i="19"/>
  <c r="AD4" i="18"/>
  <c r="AD7" i="19"/>
  <c r="AE7" i="19" s="1"/>
  <c r="S7" i="20"/>
  <c r="T7" i="22"/>
  <c r="AD6" i="21"/>
  <c r="AE6" i="21" s="1"/>
  <c r="BC4" i="28"/>
  <c r="AH5" i="17"/>
  <c r="AJ5" i="17" s="1"/>
  <c r="AL5" i="17" s="1"/>
  <c r="AF5" i="18"/>
  <c r="AE4" i="17"/>
  <c r="AG7" i="18"/>
  <c r="AH7" i="18" s="1"/>
  <c r="AJ7" i="18" s="1"/>
  <c r="AL7" i="18" s="1"/>
  <c r="AF15" i="18"/>
  <c r="AG15" i="18" s="1"/>
  <c r="AH15" i="18" s="1"/>
  <c r="AJ15" i="18" s="1"/>
  <c r="AL15" i="18" s="1"/>
  <c r="AG6" i="18"/>
  <c r="AH6" i="18" s="1"/>
  <c r="AJ6" i="18" s="1"/>
  <c r="AL6" i="18" s="1"/>
  <c r="AF11" i="18"/>
  <c r="AD9" i="18"/>
  <c r="AE9" i="18" s="1"/>
  <c r="T4" i="21"/>
  <c r="AU13" i="28"/>
  <c r="AU14" i="28" s="1"/>
  <c r="AZ3" i="28"/>
  <c r="AZ13" i="28" s="1"/>
  <c r="AZ14" i="28" s="1"/>
  <c r="G20" i="26" s="1"/>
  <c r="U4" i="19"/>
  <c r="BC11" i="28"/>
  <c r="AV13" i="28"/>
  <c r="AV14" i="28" s="1"/>
  <c r="AW3" i="28"/>
  <c r="AS13" i="28"/>
  <c r="AS14" i="28" s="1"/>
  <c r="AX3" i="28"/>
  <c r="AG9" i="18" l="1"/>
  <c r="AH9" i="18" s="1"/>
  <c r="AJ9" i="18" s="1"/>
  <c r="AL9" i="18" s="1"/>
  <c r="AF6" i="19"/>
  <c r="AG6" i="19" s="1"/>
  <c r="AH6" i="19" s="1"/>
  <c r="AJ6" i="19" s="1"/>
  <c r="AL6" i="19" s="1"/>
  <c r="S4" i="20"/>
  <c r="AD4" i="19"/>
  <c r="S6" i="25"/>
  <c r="AX13" i="28"/>
  <c r="AX14" i="28" s="1"/>
  <c r="G19" i="26" s="1"/>
  <c r="BC3" i="28"/>
  <c r="BC13" i="28" s="1"/>
  <c r="BC14" i="28" s="1"/>
  <c r="T4" i="22"/>
  <c r="AF7" i="19"/>
  <c r="AG7" i="19" s="1"/>
  <c r="AH7" i="19" s="1"/>
  <c r="AJ7" i="19" s="1"/>
  <c r="AL7" i="19" s="1"/>
  <c r="T7" i="23"/>
  <c r="AD7" i="22"/>
  <c r="AE7" i="22" s="1"/>
  <c r="AG10" i="18"/>
  <c r="AH10" i="18" s="1"/>
  <c r="AJ10" i="18" s="1"/>
  <c r="AL10" i="18" s="1"/>
  <c r="S5" i="20"/>
  <c r="AD5" i="19"/>
  <c r="AE5" i="19" s="1"/>
  <c r="AG4" i="17"/>
  <c r="AW13" i="28"/>
  <c r="AW14" i="28" s="1"/>
  <c r="U4" i="20"/>
  <c r="AF13" i="19"/>
  <c r="AD7" i="20"/>
  <c r="AE7" i="20" s="1"/>
  <c r="AE4" i="18"/>
  <c r="AG11" i="18"/>
  <c r="AH11" i="18" s="1"/>
  <c r="AJ11" i="18" s="1"/>
  <c r="AL11" i="18" s="1"/>
  <c r="AG5" i="18"/>
  <c r="AH5" i="18" s="1"/>
  <c r="AJ5" i="18" s="1"/>
  <c r="AL5" i="18" s="1"/>
  <c r="AC4" i="20"/>
  <c r="AF6" i="20" l="1"/>
  <c r="T4" i="23"/>
  <c r="T6" i="24"/>
  <c r="AD7" i="23"/>
  <c r="AE7" i="23" s="1"/>
  <c r="E24" i="17"/>
  <c r="E25" i="20"/>
  <c r="E20" i="16"/>
  <c r="AC4" i="21"/>
  <c r="U4" i="21"/>
  <c r="AH4" i="17"/>
  <c r="AF4" i="18"/>
  <c r="S5" i="21"/>
  <c r="AD5" i="20"/>
  <c r="AE5" i="20" s="1"/>
  <c r="AF7" i="20"/>
  <c r="AE4" i="19"/>
  <c r="AF5" i="19"/>
  <c r="AG5" i="19" s="1"/>
  <c r="AH5" i="19" s="1"/>
  <c r="AJ5" i="19" s="1"/>
  <c r="AL5" i="19" s="1"/>
  <c r="AG6" i="20"/>
  <c r="AH6" i="20" s="1"/>
  <c r="AJ6" i="20" s="1"/>
  <c r="AL6" i="20" s="1"/>
  <c r="AG13" i="19"/>
  <c r="AH13" i="19" s="1"/>
  <c r="AJ13" i="19" s="1"/>
  <c r="AL13" i="19" s="1"/>
  <c r="AG7" i="20"/>
  <c r="AH7" i="20" s="1"/>
  <c r="AJ7" i="20" s="1"/>
  <c r="AL7" i="20" s="1"/>
  <c r="AF8" i="19"/>
  <c r="S4" i="21"/>
  <c r="AD4" i="20"/>
  <c r="AF9" i="19"/>
  <c r="AG9" i="19" l="1"/>
  <c r="AH9" i="19" s="1"/>
  <c r="AJ9" i="19" s="1"/>
  <c r="AL9" i="19" s="1"/>
  <c r="AG8" i="19"/>
  <c r="AH8" i="19" s="1"/>
  <c r="AJ8" i="19" s="1"/>
  <c r="AL8" i="19" s="1"/>
  <c r="AF16" i="17"/>
  <c r="T14" i="17"/>
  <c r="T14" i="18" s="1"/>
  <c r="T12" i="19" s="1"/>
  <c r="T12" i="20" s="1"/>
  <c r="U13" i="17"/>
  <c r="U13" i="18" s="1"/>
  <c r="U11" i="19" s="1"/>
  <c r="U11" i="20" s="1"/>
  <c r="U12" i="17"/>
  <c r="T16" i="17"/>
  <c r="T16" i="18" s="1"/>
  <c r="T14" i="19" s="1"/>
  <c r="T14" i="20" s="1"/>
  <c r="AF14" i="17"/>
  <c r="AC13" i="17"/>
  <c r="AC13" i="18" s="1"/>
  <c r="AC11" i="19" s="1"/>
  <c r="AC11" i="20" s="1"/>
  <c r="S13" i="17"/>
  <c r="AC12" i="17"/>
  <c r="S12" i="17"/>
  <c r="U16" i="17"/>
  <c r="U16" i="18" s="1"/>
  <c r="U14" i="19" s="1"/>
  <c r="U14" i="20" s="1"/>
  <c r="AC14" i="17"/>
  <c r="AC14" i="18" s="1"/>
  <c r="AC12" i="19" s="1"/>
  <c r="AC12" i="20" s="1"/>
  <c r="T12" i="17"/>
  <c r="S16" i="17"/>
  <c r="AF12" i="17"/>
  <c r="T13" i="17"/>
  <c r="T13" i="18" s="1"/>
  <c r="T11" i="19" s="1"/>
  <c r="T11" i="20" s="1"/>
  <c r="U14" i="17"/>
  <c r="U14" i="18" s="1"/>
  <c r="U12" i="19" s="1"/>
  <c r="U12" i="20" s="1"/>
  <c r="AF13" i="17"/>
  <c r="AC16" i="17"/>
  <c r="AC16" i="18" s="1"/>
  <c r="AC14" i="19" s="1"/>
  <c r="AC14" i="20" s="1"/>
  <c r="S14" i="17"/>
  <c r="T6" i="25"/>
  <c r="AD6" i="25" s="1"/>
  <c r="AE6" i="25" s="1"/>
  <c r="AD6" i="24"/>
  <c r="AE6" i="24" s="1"/>
  <c r="T4" i="24"/>
  <c r="AE4" i="20"/>
  <c r="AF6" i="21"/>
  <c r="AJ4" i="17"/>
  <c r="AF5" i="20"/>
  <c r="AG5" i="20" s="1"/>
  <c r="AH5" i="20" s="1"/>
  <c r="AJ5" i="20" s="1"/>
  <c r="AL5" i="20" s="1"/>
  <c r="AC4" i="22"/>
  <c r="AD4" i="21"/>
  <c r="S4" i="22"/>
  <c r="AF13" i="20"/>
  <c r="AD5" i="21"/>
  <c r="AE5" i="21" s="1"/>
  <c r="S5" i="22"/>
  <c r="U4" i="22"/>
  <c r="AG4" i="18"/>
  <c r="AH4" i="18" l="1"/>
  <c r="S5" i="23"/>
  <c r="AD5" i="22"/>
  <c r="AE5" i="22" s="1"/>
  <c r="AG13" i="20"/>
  <c r="AH13" i="20" s="1"/>
  <c r="AJ13" i="20" s="1"/>
  <c r="AL13" i="20" s="1"/>
  <c r="AC4" i="23"/>
  <c r="AL4" i="17"/>
  <c r="AD16" i="17"/>
  <c r="AE16" i="17" s="1"/>
  <c r="AG16" i="17" s="1"/>
  <c r="AH16" i="17" s="1"/>
  <c r="AJ16" i="17" s="1"/>
  <c r="AL16" i="17" s="1"/>
  <c r="S16" i="18"/>
  <c r="S12" i="18"/>
  <c r="AD12" i="17"/>
  <c r="S18" i="17"/>
  <c r="AG5" i="21"/>
  <c r="AH5" i="21" s="1"/>
  <c r="AJ5" i="21" s="1"/>
  <c r="AL5" i="21" s="1"/>
  <c r="S4" i="23"/>
  <c r="AD4" i="22"/>
  <c r="T12" i="18"/>
  <c r="T18" i="17"/>
  <c r="AC12" i="18"/>
  <c r="AC18" i="17"/>
  <c r="AF16" i="18"/>
  <c r="AF8" i="20"/>
  <c r="U4" i="23"/>
  <c r="AE4" i="21"/>
  <c r="AD14" i="17"/>
  <c r="AE14" i="17" s="1"/>
  <c r="AG14" i="17" s="1"/>
  <c r="AH14" i="17" s="1"/>
  <c r="AJ14" i="17" s="1"/>
  <c r="AL14" i="17" s="1"/>
  <c r="S14" i="18"/>
  <c r="AD13" i="17"/>
  <c r="AE13" i="17" s="1"/>
  <c r="AG13" i="17" s="1"/>
  <c r="AH13" i="17" s="1"/>
  <c r="AJ13" i="17" s="1"/>
  <c r="AL13" i="17" s="1"/>
  <c r="S13" i="18"/>
  <c r="U12" i="18"/>
  <c r="U18" i="17"/>
  <c r="AF4" i="19"/>
  <c r="AF5" i="21"/>
  <c r="AG6" i="21"/>
  <c r="AH6" i="21" s="1"/>
  <c r="AJ6" i="21" s="1"/>
  <c r="AL6" i="21" s="1"/>
  <c r="T4" i="25"/>
  <c r="AF18" i="17"/>
  <c r="AF9" i="20"/>
  <c r="AF7" i="22" l="1"/>
  <c r="AG7" i="22" s="1"/>
  <c r="AH7" i="22" s="1"/>
  <c r="AJ7" i="22" s="1"/>
  <c r="AL7" i="22" s="1"/>
  <c r="AF5" i="22"/>
  <c r="AG5" i="22" s="1"/>
  <c r="AG9" i="20"/>
  <c r="AH9" i="20" s="1"/>
  <c r="AJ9" i="20" s="1"/>
  <c r="AL9" i="20" s="1"/>
  <c r="U10" i="19"/>
  <c r="AC10" i="19"/>
  <c r="AF14" i="18"/>
  <c r="AD16" i="18"/>
  <c r="AE16" i="18" s="1"/>
  <c r="AG16" i="18" s="1"/>
  <c r="AH16" i="18" s="1"/>
  <c r="AJ16" i="18" s="1"/>
  <c r="AL16" i="18" s="1"/>
  <c r="S14" i="19"/>
  <c r="AD13" i="18"/>
  <c r="AE13" i="18" s="1"/>
  <c r="S11" i="19"/>
  <c r="AG8" i="20"/>
  <c r="AH8" i="20" s="1"/>
  <c r="AJ8" i="20" s="1"/>
  <c r="AL8" i="20" s="1"/>
  <c r="AE4" i="22"/>
  <c r="AC4" i="24"/>
  <c r="AD5" i="23"/>
  <c r="AE5" i="23" s="1"/>
  <c r="S5" i="24"/>
  <c r="AG4" i="19"/>
  <c r="T10" i="19"/>
  <c r="S4" i="24"/>
  <c r="AD4" i="23"/>
  <c r="AE12" i="17"/>
  <c r="AD18" i="17"/>
  <c r="AF13" i="18"/>
  <c r="AJ4" i="18"/>
  <c r="AD14" i="18"/>
  <c r="AE14" i="18" s="1"/>
  <c r="S12" i="19"/>
  <c r="U4" i="24"/>
  <c r="AD12" i="18"/>
  <c r="S10" i="19"/>
  <c r="AF14" i="19" l="1"/>
  <c r="AF14" i="20" s="1"/>
  <c r="AG14" i="18"/>
  <c r="AH14" i="18" s="1"/>
  <c r="AJ14" i="18" s="1"/>
  <c r="AL14" i="18" s="1"/>
  <c r="AH5" i="22"/>
  <c r="AJ5" i="22" s="1"/>
  <c r="AL5" i="22" s="1"/>
  <c r="AF5" i="23"/>
  <c r="AG5" i="23" s="1"/>
  <c r="S10" i="20"/>
  <c r="AD10" i="19"/>
  <c r="S12" i="20"/>
  <c r="AD12" i="19"/>
  <c r="AE12" i="19" s="1"/>
  <c r="AE12" i="18"/>
  <c r="AH4" i="19"/>
  <c r="U4" i="25"/>
  <c r="AL4" i="18"/>
  <c r="AG12" i="17"/>
  <c r="AE18" i="17"/>
  <c r="AC4" i="25"/>
  <c r="AD11" i="19"/>
  <c r="AE11" i="19" s="1"/>
  <c r="S11" i="20"/>
  <c r="S14" i="20"/>
  <c r="AD14" i="19"/>
  <c r="AE14" i="19" s="1"/>
  <c r="AG14" i="19" s="1"/>
  <c r="AH14" i="19" s="1"/>
  <c r="AJ14" i="19" s="1"/>
  <c r="AL14" i="19" s="1"/>
  <c r="AC10" i="20"/>
  <c r="AF7" i="23"/>
  <c r="AE4" i="23"/>
  <c r="T10" i="20"/>
  <c r="AF4" i="20"/>
  <c r="AG13" i="18"/>
  <c r="AH13" i="18" s="1"/>
  <c r="AJ13" i="18" s="1"/>
  <c r="AL13" i="18" s="1"/>
  <c r="AF11" i="19"/>
  <c r="S4" i="25"/>
  <c r="AD4" i="24"/>
  <c r="S5" i="25"/>
  <c r="AD5" i="25" s="1"/>
  <c r="AE5" i="25" s="1"/>
  <c r="AD5" i="24"/>
  <c r="AE5" i="24" s="1"/>
  <c r="AF12" i="19"/>
  <c r="U10" i="20"/>
  <c r="AH5" i="23" l="1"/>
  <c r="AJ5" i="23" s="1"/>
  <c r="AL5" i="23" s="1"/>
  <c r="AF5" i="24"/>
  <c r="AG5" i="24" s="1"/>
  <c r="AG11" i="19"/>
  <c r="AH11" i="19" s="1"/>
  <c r="AJ11" i="19" s="1"/>
  <c r="AL11" i="19" s="1"/>
  <c r="AG7" i="23"/>
  <c r="AH7" i="23" s="1"/>
  <c r="AJ7" i="23" s="1"/>
  <c r="AL7" i="23" s="1"/>
  <c r="AD14" i="20"/>
  <c r="AE14" i="20" s="1"/>
  <c r="AG14" i="20" s="1"/>
  <c r="AH14" i="20" s="1"/>
  <c r="AJ14" i="20" s="1"/>
  <c r="AL14" i="20" s="1"/>
  <c r="AJ4" i="19"/>
  <c r="AD12" i="20"/>
  <c r="AE12" i="20" s="1"/>
  <c r="AD11" i="20"/>
  <c r="AE11" i="20" s="1"/>
  <c r="AE4" i="24"/>
  <c r="AH12" i="17"/>
  <c r="AG18" i="17"/>
  <c r="C23" i="17" s="1"/>
  <c r="AF12" i="18"/>
  <c r="AG12" i="18" s="1"/>
  <c r="AE10" i="19"/>
  <c r="AD4" i="25"/>
  <c r="AG4" i="20"/>
  <c r="AF4" i="21" s="1"/>
  <c r="AG12" i="19"/>
  <c r="AH12" i="19" s="1"/>
  <c r="AJ12" i="19" s="1"/>
  <c r="AL12" i="19" s="1"/>
  <c r="AD10" i="20"/>
  <c r="AF6" i="24" l="1"/>
  <c r="AG6" i="24" s="1"/>
  <c r="AH6" i="24" s="1"/>
  <c r="AJ6" i="24" s="1"/>
  <c r="AL6" i="24" s="1"/>
  <c r="AH5" i="24"/>
  <c r="AJ5" i="24" s="1"/>
  <c r="AL5" i="24" s="1"/>
  <c r="AF5" i="25"/>
  <c r="AG5" i="25" s="1"/>
  <c r="AH5" i="25" s="1"/>
  <c r="AJ5" i="25" s="1"/>
  <c r="AL5" i="25" s="1"/>
  <c r="AF11" i="20"/>
  <c r="AJ12" i="17"/>
  <c r="AH18" i="17"/>
  <c r="AG4" i="21"/>
  <c r="AH12" i="18"/>
  <c r="AF10" i="19"/>
  <c r="AG10" i="19" s="1"/>
  <c r="AG11" i="20"/>
  <c r="AH11" i="20" s="1"/>
  <c r="AJ11" i="20" s="1"/>
  <c r="AL11" i="20" s="1"/>
  <c r="AL4" i="19"/>
  <c r="AE10" i="20"/>
  <c r="AH4" i="20"/>
  <c r="AE4" i="25"/>
  <c r="AF12" i="20"/>
  <c r="AJ12" i="18" l="1"/>
  <c r="AJ4" i="20"/>
  <c r="AH4" i="21"/>
  <c r="AF6" i="25"/>
  <c r="AG6" i="25" s="1"/>
  <c r="AH6" i="25" s="1"/>
  <c r="AJ6" i="25" s="1"/>
  <c r="AL6" i="25" s="1"/>
  <c r="AH10" i="19"/>
  <c r="AG12" i="20"/>
  <c r="AH12" i="20" s="1"/>
  <c r="AJ12" i="20" s="1"/>
  <c r="AL12" i="20" s="1"/>
  <c r="AF10" i="20"/>
  <c r="AF4" i="22"/>
  <c r="AL12" i="17"/>
  <c r="AL18" i="17" s="1"/>
  <c r="AJ18" i="17"/>
  <c r="B23" i="17" s="1"/>
  <c r="E23" i="17" s="1"/>
  <c r="AL4" i="20" l="1"/>
  <c r="AJ10" i="19"/>
  <c r="AJ4" i="21"/>
  <c r="AL12" i="18"/>
  <c r="T19" i="18"/>
  <c r="T17" i="19" s="1"/>
  <c r="T17" i="20" s="1"/>
  <c r="T18" i="18"/>
  <c r="T16" i="19" s="1"/>
  <c r="T16" i="20" s="1"/>
  <c r="T17" i="18"/>
  <c r="AF19" i="18"/>
  <c r="AF18" i="18"/>
  <c r="AF17" i="18"/>
  <c r="S19" i="18"/>
  <c r="AC18" i="18"/>
  <c r="AC16" i="19" s="1"/>
  <c r="AC16" i="20" s="1"/>
  <c r="AC19" i="18"/>
  <c r="AC17" i="19" s="1"/>
  <c r="AC17" i="20" s="1"/>
  <c r="U17" i="18"/>
  <c r="U19" i="18"/>
  <c r="U17" i="19" s="1"/>
  <c r="U17" i="20" s="1"/>
  <c r="U18" i="18"/>
  <c r="U16" i="19" s="1"/>
  <c r="U16" i="20" s="1"/>
  <c r="S17" i="18"/>
  <c r="AC17" i="18"/>
  <c r="S18" i="18"/>
  <c r="AG10" i="20"/>
  <c r="AG4" i="22"/>
  <c r="AF4" i="23" s="1"/>
  <c r="U15" i="19" l="1"/>
  <c r="U22" i="18"/>
  <c r="AF22" i="18"/>
  <c r="AH4" i="22"/>
  <c r="AD17" i="18"/>
  <c r="S15" i="19"/>
  <c r="S22" i="18"/>
  <c r="AL4" i="21"/>
  <c r="AC15" i="19"/>
  <c r="AC22" i="18"/>
  <c r="AG4" i="23"/>
  <c r="AF4" i="24" s="1"/>
  <c r="AH10" i="20"/>
  <c r="AD18" i="18"/>
  <c r="AE18" i="18" s="1"/>
  <c r="AG18" i="18" s="1"/>
  <c r="AH18" i="18" s="1"/>
  <c r="AJ18" i="18" s="1"/>
  <c r="AL18" i="18" s="1"/>
  <c r="S16" i="19"/>
  <c r="AD19" i="18"/>
  <c r="AE19" i="18" s="1"/>
  <c r="AG19" i="18" s="1"/>
  <c r="AH19" i="18" s="1"/>
  <c r="AJ19" i="18" s="1"/>
  <c r="AL19" i="18" s="1"/>
  <c r="S17" i="19"/>
  <c r="T15" i="19"/>
  <c r="T22" i="18"/>
  <c r="AL10" i="19"/>
  <c r="AF17" i="19" l="1"/>
  <c r="AF16" i="19"/>
  <c r="S16" i="20"/>
  <c r="AD16" i="19"/>
  <c r="AE16" i="19" s="1"/>
  <c r="AJ10" i="20"/>
  <c r="T15" i="20"/>
  <c r="T19" i="19"/>
  <c r="AH4" i="23"/>
  <c r="AC15" i="20"/>
  <c r="AC19" i="19"/>
  <c r="AJ4" i="22"/>
  <c r="U15" i="20"/>
  <c r="U19" i="19"/>
  <c r="AD17" i="19"/>
  <c r="AE17" i="19" s="1"/>
  <c r="S17" i="20"/>
  <c r="S15" i="20"/>
  <c r="AD15" i="19"/>
  <c r="S19" i="19"/>
  <c r="AG4" i="24"/>
  <c r="AE17" i="18"/>
  <c r="AD22" i="18"/>
  <c r="AG16" i="19" l="1"/>
  <c r="AG17" i="19"/>
  <c r="AL10" i="20"/>
  <c r="AH4" i="24"/>
  <c r="AF4" i="25"/>
  <c r="AE15" i="19"/>
  <c r="AD19" i="19"/>
  <c r="AD17" i="20"/>
  <c r="AE17" i="20" s="1"/>
  <c r="AL4" i="22"/>
  <c r="AJ4" i="23"/>
  <c r="AD16" i="20"/>
  <c r="AE16" i="20" s="1"/>
  <c r="AG17" i="18"/>
  <c r="AE22" i="18"/>
  <c r="AD15" i="20"/>
  <c r="AH17" i="19" l="1"/>
  <c r="AJ17" i="19" s="1"/>
  <c r="AL17" i="19" s="1"/>
  <c r="AF17" i="20"/>
  <c r="AG16" i="20"/>
  <c r="AH16" i="20" s="1"/>
  <c r="AJ16" i="20" s="1"/>
  <c r="AL16" i="20" s="1"/>
  <c r="AG17" i="20"/>
  <c r="AH17" i="20" s="1"/>
  <c r="AJ17" i="20" s="1"/>
  <c r="AL17" i="20" s="1"/>
  <c r="AH16" i="19"/>
  <c r="AJ16" i="19" s="1"/>
  <c r="AL16" i="19" s="1"/>
  <c r="AF16" i="20"/>
  <c r="AH17" i="18"/>
  <c r="AG22" i="18"/>
  <c r="C27" i="18" s="1"/>
  <c r="AF15" i="19"/>
  <c r="AL4" i="23"/>
  <c r="AE19" i="19"/>
  <c r="AG4" i="25"/>
  <c r="AE15" i="20"/>
  <c r="AJ4" i="24"/>
  <c r="AL4" i="24" l="1"/>
  <c r="AF19" i="19"/>
  <c r="AH4" i="25"/>
  <c r="AG15" i="19"/>
  <c r="AJ17" i="18"/>
  <c r="AH22" i="18"/>
  <c r="AH15" i="19" l="1"/>
  <c r="AG19" i="19"/>
  <c r="C24" i="19" s="1"/>
  <c r="AJ4" i="25"/>
  <c r="AF15" i="20"/>
  <c r="AL17" i="18"/>
  <c r="AL22" i="18" s="1"/>
  <c r="AJ22" i="18"/>
  <c r="B27" i="18" s="1"/>
  <c r="E27" i="18" s="1"/>
  <c r="AL4" i="25" l="1"/>
  <c r="AG15" i="20"/>
  <c r="AJ15" i="19"/>
  <c r="AH19" i="19"/>
  <c r="AL15" i="19" l="1"/>
  <c r="AL19" i="19" s="1"/>
  <c r="AJ19" i="19"/>
  <c r="B24" i="19" s="1"/>
  <c r="E24" i="19" s="1"/>
  <c r="AH15" i="20"/>
  <c r="AC18" i="20" l="1"/>
  <c r="S18" i="20"/>
  <c r="AF18" i="20"/>
  <c r="U18" i="20"/>
  <c r="T18" i="20"/>
  <c r="AJ15" i="20"/>
  <c r="AL15" i="20" l="1"/>
  <c r="U7" i="21"/>
  <c r="U19" i="20"/>
  <c r="AF19" i="20"/>
  <c r="S7" i="21"/>
  <c r="AD18" i="20"/>
  <c r="S19" i="20"/>
  <c r="T7" i="21"/>
  <c r="T19" i="20"/>
  <c r="AC7" i="21"/>
  <c r="AC19" i="20"/>
  <c r="AE18" i="20" l="1"/>
  <c r="AD19" i="20"/>
  <c r="AD7" i="21"/>
  <c r="AE7" i="21" l="1"/>
  <c r="AG18" i="20"/>
  <c r="AE19" i="20"/>
  <c r="AH18" i="20" l="1"/>
  <c r="AG19" i="20"/>
  <c r="C24" i="20" s="1"/>
  <c r="AF7" i="21"/>
  <c r="AG7" i="21" s="1"/>
  <c r="AH7" i="21" l="1"/>
  <c r="AJ18" i="20"/>
  <c r="AH19" i="20"/>
  <c r="AL18" i="20" l="1"/>
  <c r="AL19" i="20" s="1"/>
  <c r="AJ19" i="20"/>
  <c r="B24" i="20" s="1"/>
  <c r="E24" i="20" s="1"/>
  <c r="AJ7" i="21"/>
  <c r="AL7" i="21" l="1"/>
  <c r="AC8" i="21"/>
  <c r="AC9" i="21" s="1"/>
  <c r="S8" i="21"/>
  <c r="U8" i="21"/>
  <c r="U9" i="21" s="1"/>
  <c r="T8" i="21"/>
  <c r="T9" i="21" s="1"/>
  <c r="AF8" i="21"/>
  <c r="AF9" i="21" s="1"/>
  <c r="BC15" i="28"/>
  <c r="AD8" i="21" l="1"/>
  <c r="S9" i="21"/>
  <c r="AE8" i="21" l="1"/>
  <c r="AD9" i="21"/>
  <c r="AG8" i="21" l="1"/>
  <c r="AE9" i="21"/>
  <c r="AH8" i="21" l="1"/>
  <c r="AG9" i="21"/>
  <c r="C14" i="21" s="1"/>
  <c r="AJ8" i="21" l="1"/>
  <c r="AH9" i="21"/>
  <c r="AL8" i="21" l="1"/>
  <c r="AL9" i="21" s="1"/>
  <c r="AJ9" i="21"/>
  <c r="B14" i="21" s="1"/>
  <c r="E14" i="21" s="1"/>
  <c r="U6" i="22" l="1"/>
  <c r="AC6" i="22"/>
  <c r="S6" i="22"/>
  <c r="T6" i="22"/>
  <c r="AF6" i="22"/>
  <c r="G18" i="26"/>
  <c r="G21" i="26" s="1"/>
  <c r="G24" i="26" s="1"/>
  <c r="AC6" i="23" l="1"/>
  <c r="AC8" i="22"/>
  <c r="T6" i="23"/>
  <c r="T8" i="22"/>
  <c r="S6" i="23"/>
  <c r="AD6" i="22"/>
  <c r="S8" i="22"/>
  <c r="G25" i="26"/>
  <c r="E9" i="26"/>
  <c r="D10" i="26"/>
  <c r="E8" i="26" s="1"/>
  <c r="AF8" i="22"/>
  <c r="U6" i="23"/>
  <c r="U8" i="22"/>
  <c r="T7" i="24" l="1"/>
  <c r="T8" i="23"/>
  <c r="AE6" i="22"/>
  <c r="AD8" i="22"/>
  <c r="U7" i="24"/>
  <c r="U8" i="23"/>
  <c r="S7" i="24"/>
  <c r="AD6" i="23"/>
  <c r="S8" i="23"/>
  <c r="AC7" i="24"/>
  <c r="AC8" i="23"/>
  <c r="AE6" i="23" l="1"/>
  <c r="AD8" i="23"/>
  <c r="S7" i="25"/>
  <c r="AD7" i="24"/>
  <c r="AG6" i="22"/>
  <c r="AE8" i="22"/>
  <c r="AC7" i="25"/>
  <c r="U7" i="25"/>
  <c r="T7" i="25"/>
  <c r="AE7" i="24" l="1"/>
  <c r="AD7" i="25"/>
  <c r="AH6" i="22"/>
  <c r="AG8" i="22"/>
  <c r="C13" i="22" s="1"/>
  <c r="AF6" i="23"/>
  <c r="AG6" i="23" s="1"/>
  <c r="AE8" i="23"/>
  <c r="AH6" i="23" l="1"/>
  <c r="AG8" i="23"/>
  <c r="C13" i="23" s="1"/>
  <c r="AJ6" i="22"/>
  <c r="AH8" i="22"/>
  <c r="AF7" i="24"/>
  <c r="AF8" i="23"/>
  <c r="AE7" i="25"/>
  <c r="AL6" i="22" l="1"/>
  <c r="AL8" i="22" s="1"/>
  <c r="AJ8" i="22"/>
  <c r="B13" i="22" s="1"/>
  <c r="E13" i="22" s="1"/>
  <c r="AG7" i="24"/>
  <c r="AF7" i="25" s="1"/>
  <c r="AG7" i="25" s="1"/>
  <c r="AJ6" i="23"/>
  <c r="AH8" i="23"/>
  <c r="AL6" i="23" l="1"/>
  <c r="AL8" i="23" s="1"/>
  <c r="AJ8" i="23"/>
  <c r="B13" i="23" s="1"/>
  <c r="E13" i="23" s="1"/>
  <c r="AH7" i="24"/>
  <c r="AH7" i="25"/>
  <c r="AJ7" i="24" l="1"/>
  <c r="AC8" i="24"/>
  <c r="S8" i="24"/>
  <c r="AF8" i="24"/>
  <c r="U8" i="24"/>
  <c r="T8" i="24"/>
  <c r="AJ7" i="25"/>
  <c r="AL7" i="25" l="1"/>
  <c r="S8" i="25"/>
  <c r="AD8" i="24"/>
  <c r="S9" i="24"/>
  <c r="T8" i="25"/>
  <c r="T9" i="25" s="1"/>
  <c r="T9" i="24"/>
  <c r="AC8" i="25"/>
  <c r="AC9" i="25" s="1"/>
  <c r="AC9" i="24"/>
  <c r="U8" i="25"/>
  <c r="U9" i="25" s="1"/>
  <c r="U9" i="24"/>
  <c r="AF9" i="24"/>
  <c r="AL7" i="24"/>
  <c r="AE8" i="24" l="1"/>
  <c r="AD9" i="24"/>
  <c r="AD8" i="25"/>
  <c r="S9" i="25"/>
  <c r="AE8" i="25" l="1"/>
  <c r="AD9" i="25"/>
  <c r="AG8" i="24"/>
  <c r="AE9" i="24"/>
  <c r="AH8" i="24" l="1"/>
  <c r="AG9" i="24"/>
  <c r="C14" i="24" s="1"/>
  <c r="AF8" i="25"/>
  <c r="AF9" i="25" s="1"/>
  <c r="AE9" i="25"/>
  <c r="AG8" i="25" l="1"/>
  <c r="AG9" i="25" s="1"/>
  <c r="C14" i="25" s="1"/>
  <c r="AH8" i="25"/>
  <c r="AJ8" i="24"/>
  <c r="AH9" i="24"/>
  <c r="AL8" i="24" l="1"/>
  <c r="AL9" i="24" s="1"/>
  <c r="AJ9" i="24"/>
  <c r="B14" i="24" s="1"/>
  <c r="E14" i="24" s="1"/>
  <c r="AJ8" i="25"/>
  <c r="AH9" i="25"/>
  <c r="AL8" i="25" l="1"/>
  <c r="AL9" i="25" s="1"/>
  <c r="AJ9" i="25"/>
  <c r="B14" i="25" s="1"/>
  <c r="E14" i="25" s="1"/>
</calcChain>
</file>

<file path=xl/comments1.xml><?xml version="1.0" encoding="utf-8"?>
<comments xmlns="http://schemas.openxmlformats.org/spreadsheetml/2006/main">
  <authors>
    <author>作者</author>
  </authors>
  <commentList>
    <comment ref="F17" authorId="0">
      <text>
        <r>
          <rPr>
            <sz val="9"/>
            <rFont val="宋体"/>
            <family val="3"/>
            <charset val="134"/>
          </rPr>
          <t>作者:
含补缴人数</t>
        </r>
      </text>
    </comment>
  </commentList>
</comments>
</file>

<file path=xl/comments10.xml><?xml version="1.0" encoding="utf-8"?>
<comments xmlns="http://schemas.openxmlformats.org/spreadsheetml/2006/main">
  <authors>
    <author>xbany</author>
    <author>AutoBVT</author>
    <author>lenovo</author>
    <author>Administrator</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 ref="M5" authorId="3">
      <text>
        <r>
          <rPr>
            <b/>
            <sz val="9"/>
            <rFont val="宋体"/>
            <family val="3"/>
            <charset val="134"/>
          </rPr>
          <t>Administrator:</t>
        </r>
        <r>
          <rPr>
            <sz val="9"/>
            <rFont val="宋体"/>
            <family val="3"/>
            <charset val="134"/>
          </rPr>
          <t xml:space="preserve">
个人费用调整，且补扣个人费用</t>
        </r>
      </text>
    </comment>
    <comment ref="O5" authorId="3">
      <text>
        <r>
          <rPr>
            <b/>
            <sz val="9"/>
            <rFont val="宋体"/>
            <family val="3"/>
            <charset val="134"/>
          </rPr>
          <t>Administrator:</t>
        </r>
        <r>
          <rPr>
            <sz val="9"/>
            <rFont val="宋体"/>
            <family val="3"/>
            <charset val="134"/>
          </rPr>
          <t xml:space="preserve">
个人费用调整，且补扣个人费用
</t>
        </r>
      </text>
    </comment>
  </commentList>
</comments>
</file>

<file path=xl/comments11.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2.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3.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4.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5.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6.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2.xml><?xml version="1.0" encoding="utf-8"?>
<comments xmlns="http://schemas.openxmlformats.org/spreadsheetml/2006/main">
  <authors>
    <author>kk</author>
  </authors>
  <commentList>
    <comment ref="B1" authorId="0">
      <text>
        <r>
          <rPr>
            <sz val="9"/>
            <rFont val="宋体"/>
            <family val="3"/>
            <charset val="134"/>
          </rPr>
          <t>kk:
请填写客户全称</t>
        </r>
      </text>
    </comment>
    <comment ref="D1" authorId="0">
      <text>
        <r>
          <rPr>
            <sz val="9"/>
            <rFont val="宋体"/>
            <family val="3"/>
            <charset val="134"/>
          </rPr>
          <t>kk:
参照系统分类，以签署合同为准</t>
        </r>
      </text>
    </comment>
    <comment ref="F1" authorId="0">
      <text>
        <r>
          <rPr>
            <sz val="9"/>
            <rFont val="宋体"/>
            <family val="3"/>
            <charset val="134"/>
          </rPr>
          <t>kk:
以身份证为准，不要空格</t>
        </r>
      </text>
    </comment>
    <comment ref="G1" authorId="0">
      <text>
        <r>
          <rPr>
            <sz val="9"/>
            <rFont val="宋体"/>
            <family val="3"/>
            <charset val="134"/>
          </rPr>
          <t>kk:
18位身份证号码，不要空格</t>
        </r>
      </text>
    </comment>
    <comment ref="AS2" authorId="0">
      <text>
        <r>
          <rPr>
            <sz val="9"/>
            <rFont val="宋体"/>
            <family val="3"/>
            <charset val="134"/>
          </rPr>
          <t>kk:
养老保险公司汇缴+医疗保险公司汇缴+失业保险公司汇缴+生育保险公司汇缴+工伤保险公司汇缴+补充养老公司汇缴</t>
        </r>
      </text>
    </comment>
    <comment ref="AT2" authorId="0">
      <text>
        <r>
          <rPr>
            <sz val="9"/>
            <rFont val="宋体"/>
            <family val="3"/>
            <charset val="134"/>
          </rPr>
          <t xml:space="preserve">kk:
养老保险个人汇缴+医疗保险个人汇缴+失业保险个人汇缴+补充养老个人汇缴
</t>
        </r>
      </text>
    </comment>
    <comment ref="AW2" authorId="0">
      <text>
        <r>
          <rPr>
            <sz val="9"/>
            <rFont val="宋体"/>
            <family val="3"/>
            <charset val="134"/>
          </rPr>
          <t xml:space="preserve">kk:
社保公司+社保个人+公积金公司+公积金个人
</t>
        </r>
      </text>
    </comment>
  </commentList>
</comments>
</file>

<file path=xl/comments3.xml><?xml version="1.0" encoding="utf-8"?>
<comments xmlns="http://schemas.openxmlformats.org/spreadsheetml/2006/main">
  <authors>
    <author>kk</author>
  </authors>
  <commentList>
    <comment ref="B1" authorId="0">
      <text>
        <r>
          <rPr>
            <sz val="9"/>
            <rFont val="宋体"/>
            <family val="3"/>
            <charset val="134"/>
          </rPr>
          <t>kk:
请填写客户全称</t>
        </r>
      </text>
    </comment>
    <comment ref="D1" authorId="0">
      <text>
        <r>
          <rPr>
            <sz val="9"/>
            <rFont val="宋体"/>
            <family val="3"/>
            <charset val="134"/>
          </rPr>
          <t>kk:
参照系统分类，以签署合同为准</t>
        </r>
      </text>
    </comment>
    <comment ref="F1" authorId="0">
      <text>
        <r>
          <rPr>
            <sz val="9"/>
            <rFont val="宋体"/>
            <family val="3"/>
            <charset val="134"/>
          </rPr>
          <t>kk:
以身份证为准，不要空格</t>
        </r>
      </text>
    </comment>
    <comment ref="G1" authorId="0">
      <text>
        <r>
          <rPr>
            <sz val="9"/>
            <rFont val="宋体"/>
            <family val="3"/>
            <charset val="134"/>
          </rPr>
          <t>kk:
18位身份证号码，不要空格</t>
        </r>
      </text>
    </comment>
    <comment ref="AS2" authorId="0">
      <text>
        <r>
          <rPr>
            <sz val="9"/>
            <rFont val="宋体"/>
            <family val="3"/>
            <charset val="134"/>
          </rPr>
          <t>kk:
养老保险公司汇缴+医疗保险公司汇缴+失业保险公司汇缴+生育保险公司汇缴+工伤保险公司汇缴+补充养老公司汇缴</t>
        </r>
      </text>
    </comment>
    <comment ref="AT2" authorId="0">
      <text>
        <r>
          <rPr>
            <sz val="9"/>
            <rFont val="宋体"/>
            <family val="3"/>
            <charset val="134"/>
          </rPr>
          <t xml:space="preserve">kk:
养老保险个人汇缴+医疗保险个人汇缴+失业保险个人汇缴+补充养老个人汇缴
</t>
        </r>
      </text>
    </comment>
    <comment ref="AW2" authorId="0">
      <text>
        <r>
          <rPr>
            <sz val="9"/>
            <rFont val="宋体"/>
            <family val="3"/>
            <charset val="134"/>
          </rPr>
          <t xml:space="preserve">kk:
社保公司+社保个人+公积金公司+公积金个人
</t>
        </r>
      </text>
    </comment>
  </commentList>
</comments>
</file>

<file path=xl/comments4.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5.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6.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7.xml><?xml version="1.0" encoding="utf-8"?>
<comments xmlns="http://schemas.openxmlformats.org/spreadsheetml/2006/main">
  <authors>
    <author>kk</author>
    <author>Administrator</author>
    <author>SDWM</author>
  </authors>
  <commentList>
    <comment ref="E1" authorId="0">
      <text>
        <r>
          <rPr>
            <sz val="9"/>
            <rFont val="宋体"/>
            <family val="3"/>
            <charset val="134"/>
          </rPr>
          <t>客户无需填写，报送填写供应商全称。</t>
        </r>
      </text>
    </comment>
    <comment ref="F1" authorId="0">
      <text>
        <r>
          <rPr>
            <sz val="9"/>
            <rFont val="宋体"/>
            <family val="3"/>
            <charset val="134"/>
          </rPr>
          <t>请填写客户全称</t>
        </r>
      </text>
    </comment>
    <comment ref="G1" authorId="1">
      <text>
        <r>
          <rPr>
            <b/>
            <sz val="9"/>
            <rFont val="宋体"/>
            <family val="3"/>
            <charset val="134"/>
          </rPr>
          <t>以系统项目编号为准</t>
        </r>
      </text>
    </comment>
    <comment ref="H1" authorId="0">
      <text>
        <r>
          <rPr>
            <sz val="9"/>
            <rFont val="宋体"/>
            <family val="3"/>
            <charset val="134"/>
          </rPr>
          <t>按公司标准产品填写，以签署的合同为准</t>
        </r>
      </text>
    </comment>
    <comment ref="O1" authorId="0">
      <text>
        <r>
          <rPr>
            <sz val="9"/>
            <rFont val="宋体"/>
            <family val="3"/>
            <charset val="134"/>
          </rPr>
          <t>员工社保、住房的缴纳城市</t>
        </r>
      </text>
    </comment>
    <comment ref="P1" authorId="0">
      <text>
        <r>
          <rPr>
            <sz val="9"/>
            <rFont val="宋体"/>
            <family val="3"/>
            <charset val="134"/>
          </rPr>
          <t>“本地”以社保缴纳地为准，本地城镇、本地农村、外地城镇、外地农村，请选择即可</t>
        </r>
      </text>
    </comment>
    <comment ref="S1" authorId="0">
      <text>
        <r>
          <rPr>
            <sz val="9"/>
            <rFont val="宋体"/>
            <family val="3"/>
            <charset val="134"/>
          </rPr>
          <t>填写“新参保”或“调入”，新参保是指从未在当地缴纳过保险的情况；调入是指在当地有过参保记录的情况，请选择即可；</t>
        </r>
      </text>
    </comment>
    <comment ref="Z1" authorId="0">
      <text>
        <r>
          <rPr>
            <sz val="9"/>
            <rFont val="宋体"/>
            <family val="3"/>
            <charset val="134"/>
          </rPr>
          <t>填写“新参”或“调入”，新参是指从未在当地缴纳过公积金的情况；调入是指在当地有缴纳公积金记录的情况，请选择即可；</t>
        </r>
      </text>
    </comment>
    <comment ref="AL1" authorId="2">
      <text>
        <r>
          <rPr>
            <b/>
            <sz val="11"/>
            <rFont val="宋体"/>
            <family val="3"/>
            <charset val="134"/>
          </rPr>
          <t>只大连地区填写：大连户口详细到区，异地户口详细到市</t>
        </r>
      </text>
    </comment>
    <comment ref="AM1" authorId="2">
      <text>
        <r>
          <rPr>
            <b/>
            <sz val="11"/>
            <rFont val="宋体"/>
            <family val="3"/>
            <charset val="134"/>
          </rPr>
          <t>只大连地区填写：首次参加工作时间(精确到月)</t>
        </r>
      </text>
    </comment>
    <comment ref="AN1" authorId="2">
      <text>
        <r>
          <rPr>
            <b/>
            <sz val="11"/>
            <rFont val="宋体"/>
            <family val="3"/>
            <charset val="134"/>
          </rPr>
          <t>只大连地区填写：填是/否。填写注意：大连中山、西岗、沙河口、甘井子、高新、金州、旅顺的非农户市需要交纳采暖统筹的</t>
        </r>
      </text>
    </comment>
    <comment ref="AO1" authorId="1">
      <text>
        <r>
          <rPr>
            <b/>
            <sz val="9"/>
            <rFont val="宋体"/>
            <family val="3"/>
            <charset val="134"/>
          </rPr>
          <t>只大连地区填写</t>
        </r>
      </text>
    </comment>
    <comment ref="T2" authorId="0">
      <text>
        <r>
          <rPr>
            <sz val="9"/>
            <rFont val="宋体"/>
            <family val="3"/>
            <charset val="134"/>
          </rPr>
          <t>填写格式：201405【YYYYMM】，该月份产生费用；</t>
        </r>
      </text>
    </comment>
    <comment ref="AA2" authorId="0">
      <text>
        <r>
          <rPr>
            <sz val="9"/>
            <rFont val="宋体"/>
            <family val="3"/>
            <charset val="134"/>
          </rPr>
          <t>填写格式：201405【YYYYMM】，该月份产生费用；</t>
        </r>
      </text>
    </comment>
  </commentList>
</comments>
</file>

<file path=xl/comments8.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9.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sharedStrings.xml><?xml version="1.0" encoding="utf-8"?>
<sst xmlns="http://schemas.openxmlformats.org/spreadsheetml/2006/main" count="1825" uniqueCount="289">
  <si>
    <t>付款通知书</t>
  </si>
  <si>
    <t>尊敬的客户：北京创联致信科技有限公司</t>
  </si>
  <si>
    <t>根据贵公司与我公司所签订的服务协议，请贵公司在2022年8月13日之前按照下列表格内容支付相关款项.</t>
  </si>
  <si>
    <t>本 期 应 付 款 汇 总 结 算 明 细</t>
  </si>
  <si>
    <t>汇款信息：</t>
  </si>
  <si>
    <t>本期应付款合计（小写）：</t>
  </si>
  <si>
    <t>账户全称：北京易才博普奥管理顾问有限公司</t>
  </si>
  <si>
    <t>本期应付款合计（大写）：</t>
  </si>
  <si>
    <t>开户银行：中国工商银行股份有限公司北京商务中心区支行</t>
  </si>
  <si>
    <t>本期款项合计：</t>
  </si>
  <si>
    <t>尾数调整：</t>
  </si>
  <si>
    <t>银行账号：0200080609200135470</t>
  </si>
  <si>
    <t>预收款(+)：</t>
  </si>
  <si>
    <r>
      <rPr>
        <sz val="10"/>
        <color indexed="8"/>
        <rFont val="宋体"/>
        <family val="3"/>
        <charset val="134"/>
      </rPr>
      <t>工资保证金</t>
    </r>
    <r>
      <rPr>
        <sz val="10"/>
        <color indexed="8"/>
        <rFont val="宋体"/>
        <family val="3"/>
        <charset val="134"/>
      </rPr>
      <t>(+)</t>
    </r>
    <r>
      <rPr>
        <sz val="10"/>
        <color indexed="8"/>
        <rFont val="宋体"/>
        <family val="3"/>
        <charset val="134"/>
      </rPr>
      <t>：</t>
    </r>
  </si>
  <si>
    <t>本期减免服务费(+)：</t>
  </si>
  <si>
    <r>
      <rPr>
        <sz val="10"/>
        <color indexed="8"/>
        <rFont val="宋体"/>
        <family val="3"/>
        <charset val="134"/>
      </rPr>
      <t>上期预收款</t>
    </r>
    <r>
      <rPr>
        <sz val="10"/>
        <color indexed="8"/>
        <rFont val="宋体"/>
        <family val="3"/>
        <charset val="134"/>
      </rPr>
      <t>(-)</t>
    </r>
    <r>
      <rPr>
        <sz val="10"/>
        <color indexed="8"/>
        <rFont val="宋体"/>
        <family val="3"/>
        <charset val="134"/>
      </rPr>
      <t>：</t>
    </r>
  </si>
  <si>
    <r>
      <rPr>
        <sz val="10"/>
        <color indexed="8"/>
        <rFont val="宋体"/>
        <family val="3"/>
        <charset val="134"/>
      </rPr>
      <t>自划金额</t>
    </r>
    <r>
      <rPr>
        <sz val="10"/>
        <color indexed="8"/>
        <rFont val="宋体"/>
        <family val="3"/>
        <charset val="134"/>
      </rPr>
      <t>(-)</t>
    </r>
    <r>
      <rPr>
        <sz val="10"/>
        <color indexed="8"/>
        <rFont val="宋体"/>
        <family val="3"/>
        <charset val="134"/>
      </rPr>
      <t>：</t>
    </r>
  </si>
  <si>
    <t>gggggggggggggggggggggggggggggghhhhhhhhhhhhhhhhhhhhhhhhhhhhhhhhhhhhhhhhhhhhhhhhhhhhhh</t>
  </si>
  <si>
    <t>序号</t>
  </si>
  <si>
    <t>费用列项</t>
  </si>
  <si>
    <t>费用明细</t>
  </si>
  <si>
    <t>人次</t>
  </si>
  <si>
    <t>金额</t>
  </si>
  <si>
    <t>备注</t>
  </si>
  <si>
    <t>1.请您在三个工作日内核对数据明细及总金额并回复确认。如在三个工作日内未收到您的回复，我司将视为您已确认以上应付款合计金额，并同意按此金额付款。
2.上列账款敬请按照合同约定时间及时支付，若通过银行汇款，请在“用途”中写上本账单右上角帐单号。</t>
  </si>
  <si>
    <t>人工成本</t>
  </si>
  <si>
    <t>工资(应税工资:实发+个税)</t>
  </si>
  <si>
    <t>社   保(企业+个人)</t>
  </si>
  <si>
    <t>正常月</t>
  </si>
  <si>
    <t>公积金(企业+个人)</t>
  </si>
  <si>
    <t>小计</t>
  </si>
  <si>
    <t>人事管理费用</t>
  </si>
  <si>
    <t>服务费（含税）</t>
  </si>
  <si>
    <t>税金</t>
  </si>
  <si>
    <t>合计:</t>
  </si>
  <si>
    <t>开票金额:</t>
  </si>
  <si>
    <t>客户名称</t>
  </si>
  <si>
    <t>缴费城市</t>
  </si>
  <si>
    <t>产品类型</t>
  </si>
  <si>
    <t>成本中心</t>
  </si>
  <si>
    <t>员工姓名</t>
  </si>
  <si>
    <t>身份证号码</t>
  </si>
  <si>
    <t>社保缴纳起始月</t>
  </si>
  <si>
    <t>公积金缴纳起始月</t>
  </si>
  <si>
    <t>社保缴纳所属月</t>
  </si>
  <si>
    <t>公积金缴纳所属月</t>
  </si>
  <si>
    <t>养老保险</t>
  </si>
  <si>
    <t>医疗保险</t>
  </si>
  <si>
    <t>失业保险</t>
  </si>
  <si>
    <t>生育保险</t>
  </si>
  <si>
    <t>工伤保险</t>
  </si>
  <si>
    <t>住房公积金</t>
  </si>
  <si>
    <t>补充医疗保险</t>
  </si>
  <si>
    <t>大病</t>
  </si>
  <si>
    <t>缴纳小计</t>
  </si>
  <si>
    <t>社保合计</t>
  </si>
  <si>
    <t>公积金合计</t>
  </si>
  <si>
    <t>服务费</t>
  </si>
  <si>
    <t>总计</t>
  </si>
  <si>
    <t>缴纳基数</t>
  </si>
  <si>
    <t>公司比例</t>
  </si>
  <si>
    <t>公司金额</t>
  </si>
  <si>
    <t>个人比例</t>
  </si>
  <si>
    <t>个人金额</t>
  </si>
  <si>
    <t>比例</t>
  </si>
  <si>
    <t>公司</t>
  </si>
  <si>
    <t>个人</t>
  </si>
  <si>
    <t>社保公司</t>
  </si>
  <si>
    <t>社保个人</t>
  </si>
  <si>
    <t>公积金公司</t>
  </si>
  <si>
    <t>公积金个人</t>
  </si>
  <si>
    <t>北京创联致信科技有限公司</t>
  </si>
  <si>
    <t>太原</t>
  </si>
  <si>
    <t>代理</t>
  </si>
  <si>
    <t>山西鼎诺</t>
  </si>
  <si>
    <t>赵强</t>
  </si>
  <si>
    <t>142732199004126819</t>
  </si>
  <si>
    <t>202010</t>
  </si>
  <si>
    <t>202004</t>
  </si>
  <si>
    <t xml:space="preserve"> </t>
  </si>
  <si>
    <t>202005</t>
  </si>
  <si>
    <t>202006</t>
  </si>
  <si>
    <t>广州</t>
  </si>
  <si>
    <t>易才</t>
  </si>
  <si>
    <t>冯月燕</t>
  </si>
  <si>
    <t>440602197506030928</t>
  </si>
  <si>
    <t>无</t>
  </si>
  <si>
    <t>补收</t>
  </si>
  <si>
    <t>202001</t>
  </si>
  <si>
    <t>补收1-3工伤基数差</t>
  </si>
  <si>
    <t>202002</t>
  </si>
  <si>
    <t>202003</t>
  </si>
  <si>
    <t>四平</t>
  </si>
  <si>
    <t>赵亮</t>
  </si>
  <si>
    <t>220303198203102617</t>
  </si>
  <si>
    <t>202104</t>
  </si>
  <si>
    <t>1580</t>
  </si>
  <si>
    <t>202007</t>
  </si>
  <si>
    <t>分项合计</t>
  </si>
  <si>
    <t>202208</t>
  </si>
  <si>
    <t>接供应商—山西源慧—关于太原社保基数上下限调整的通知
主要内容：  
现接太原市社会保险通知，太原养老、失业、工伤自202201月起执行政策如下：
一、执行时间：2022年1月-2022年12月；
二、基数下限：3548元，上限：17742元；
三、政策文件：省文件，详见附件 ；
四、社保局咨询电话：0351-12333；</t>
  </si>
  <si>
    <t>202201-202207</t>
  </si>
  <si>
    <t>补收202201-202207养老失业工伤基数差</t>
  </si>
  <si>
    <t>接供应商吉林华启，关于四平市阶段性减征城镇职工基本医疗保险费的通知：
主要内容：
为贯彻落实四平市医疗保障局《关于阶段性减征职工基本医疗保险费的通知》（四医保发〔2022〕3号）精神，切实减轻参保单位负担，支持企业复工复产，结合我市实际情况，现就我市阶段性减征城镇职工基本医疗保险费有关政策措施通知如下：
一、减征范围
从2022年6月起，对四平市本级参保城镇职工基本医疗保险（不含生育保险）单位缴费部分阶段性减半征收3个月。参保单位补缴减征政策实施前的欠费，预缴减征政策终止后的职工医保费，均不属于此次减征政策范围。优抚对象户、自主择业干部及军队转业干部医疗保险户、灵活就业人员参加职工医疗保险（单建统筹和统账结合）户、失业医疗保险户等均不在此次减征范围。
二、减征时间
依文件规定，减征时间为2022年6月至2022年8月。2022年6月新建参保单位，从6月起享受减征待遇。7月新参保单位，享受7、8月减征待遇。8月新参保单位享受8月份当月减征待遇。
三、注意事项
1.从2022年5月28日起，暂停参保单位2022年6月医疗保险费线上及线下核定；
2.预计6月6日后开通线上及线下2022年6月医疗保险费核定，敬请关注；
3.减征前已经核定及缴纳6月份医保费的参保单位顺延减征月数。
 文件链接：https://mp.weixin.qq.com/s/S-skVYMMS96x1qDcRni5VQ</t>
  </si>
  <si>
    <t>退费</t>
  </si>
  <si>
    <t>202206-202207</t>
  </si>
  <si>
    <t>医疗企业减免 202206-202208，退差额部分</t>
  </si>
  <si>
    <t>梁敏霞</t>
  </si>
  <si>
    <t>440883199611084547</t>
  </si>
  <si>
    <t>202110</t>
  </si>
  <si>
    <t xml:space="preserve">【供应商-广东鹏程】广州地区-关于2022年7月医疗保险基数调整的通知
       主要内容：
 2022年7月起，广州花都区医疗基数下限做如下调整 ：
1、基本医疗（含生育）：缴费基数下限由6757调整为7214。
2、大病：缴费基数固定基数由11262调整为12024。
咨询电话：020-12333
</t>
  </si>
  <si>
    <t>202207</t>
  </si>
  <si>
    <t>补收医疗及大病差额</t>
  </si>
  <si>
    <t>楚华锋</t>
  </si>
  <si>
    <t>410183199311189538</t>
  </si>
  <si>
    <t>202209</t>
  </si>
  <si>
    <t>张铭</t>
  </si>
  <si>
    <t>411402199905127632</t>
  </si>
  <si>
    <t>王明贤</t>
  </si>
  <si>
    <t>411322199302132416</t>
  </si>
  <si>
    <t>何仪华</t>
  </si>
  <si>
    <t>412726198606097916</t>
  </si>
  <si>
    <t>芮瑞</t>
  </si>
  <si>
    <t>411221198610113536</t>
  </si>
  <si>
    <t>姚远</t>
  </si>
  <si>
    <t>410102198812110135</t>
  </si>
  <si>
    <t>桑柳成</t>
  </si>
  <si>
    <t>410521199111257519</t>
  </si>
  <si>
    <t>张明亮</t>
  </si>
  <si>
    <t>41042219910810183X</t>
  </si>
  <si>
    <t>马欢</t>
  </si>
  <si>
    <t>640223199201051513</t>
  </si>
  <si>
    <t>卢平</t>
  </si>
  <si>
    <t>640321199312071114</t>
  </si>
  <si>
    <t>周砺兴</t>
  </si>
  <si>
    <t>642222198309050097</t>
  </si>
  <si>
    <t>北京创联致信科技有限公司海淀分公司</t>
  </si>
  <si>
    <t>合肥</t>
  </si>
  <si>
    <t>夏旭</t>
  </si>
  <si>
    <t>340122198708021850</t>
  </si>
  <si>
    <t>蚌埠</t>
  </si>
  <si>
    <t>徐明龙</t>
  </si>
  <si>
    <t>340311199902251816</t>
  </si>
  <si>
    <t>补缴</t>
  </si>
  <si>
    <t xml:space="preserve"> 注：只填写表头字体颜色为红色的项目，其他数据有公式自动带出，不要修改</t>
  </si>
  <si>
    <t>此区域不能空白，没有金额请填0，负数金额不能填写</t>
  </si>
  <si>
    <t>客户简称</t>
  </si>
  <si>
    <t>*姓名</t>
  </si>
  <si>
    <t>*证件类型</t>
  </si>
  <si>
    <t>*身份证号码</t>
  </si>
  <si>
    <t>*性别</t>
  </si>
  <si>
    <t>*联系电话</t>
  </si>
  <si>
    <t>*是否残疾烈属孤老</t>
  </si>
  <si>
    <t>*是否股东、投资者</t>
  </si>
  <si>
    <t>入职日期</t>
  </si>
  <si>
    <t>离职日期</t>
  </si>
  <si>
    <t>*应发工资</t>
  </si>
  <si>
    <t>*本月专项扣除</t>
  </si>
  <si>
    <t>本月个人社保
代扣合计</t>
  </si>
  <si>
    <t>其他扣除</t>
  </si>
  <si>
    <t>累计收入额</t>
  </si>
  <si>
    <t>累计减除费用</t>
  </si>
  <si>
    <t>累计专项扣除</t>
  </si>
  <si>
    <t>*累计专项附加扣除</t>
  </si>
  <si>
    <t>累计专项附加扣除总额</t>
  </si>
  <si>
    <t>累计其他扣除</t>
  </si>
  <si>
    <t>累计预扣预缴
应纳税所得额</t>
  </si>
  <si>
    <t>累计应预扣预缴税额</t>
  </si>
  <si>
    <t>累计已扣缴税额</t>
  </si>
  <si>
    <t>本次应扣税额</t>
  </si>
  <si>
    <t>净工资</t>
  </si>
  <si>
    <t>其他税后调整</t>
  </si>
  <si>
    <t>实发工资</t>
  </si>
  <si>
    <t>企业应
支付费用
合计</t>
  </si>
  <si>
    <t>工资账号省份</t>
  </si>
  <si>
    <t>工资账号地市</t>
  </si>
  <si>
    <t>银行帐号</t>
  </si>
  <si>
    <t>开户银行全称</t>
  </si>
  <si>
    <t>开户行</t>
  </si>
  <si>
    <t>身份证号码验证</t>
  </si>
  <si>
    <t>身份证查重验证</t>
  </si>
  <si>
    <t>银行卡查重验证</t>
  </si>
  <si>
    <t>养老个人</t>
  </si>
  <si>
    <t>医疗个人</t>
  </si>
  <si>
    <t>失业个人</t>
  </si>
  <si>
    <t>子女教育</t>
  </si>
  <si>
    <t>赡养老人</t>
  </si>
  <si>
    <t>住房贷款利息</t>
  </si>
  <si>
    <t>住房租金</t>
  </si>
  <si>
    <t>继续教育</t>
  </si>
  <si>
    <t>大病医疗</t>
  </si>
  <si>
    <t>创联致信（上月工资上月社保账单费用）</t>
  </si>
  <si>
    <t>身份证</t>
  </si>
  <si>
    <t>男</t>
  </si>
  <si>
    <t>女</t>
  </si>
  <si>
    <t>15537954009</t>
  </si>
  <si>
    <t>15713680881</t>
  </si>
  <si>
    <t>15938792012</t>
  </si>
  <si>
    <t>合计</t>
  </si>
  <si>
    <t>个税</t>
  </si>
  <si>
    <t>注：</t>
  </si>
  <si>
    <t>填表说明：</t>
  </si>
  <si>
    <t>1，表头字体为红色项目为客户单位必填项。</t>
  </si>
  <si>
    <t>2，表格内未标注底色的项目为客户单位填项,建议根据当月社保预收账单数据填写。</t>
  </si>
  <si>
    <t>3，请客户单位注意各项目上是否有批注，批注内的内容需重视。</t>
  </si>
  <si>
    <t>4，表格标蓝底单元格内大部分都有函数公式，请客户负责人不要随意更改，避免引起数据错误。</t>
  </si>
  <si>
    <t>5，若社保个人缴纳部分已在社保账单内收取，则工资账单内的社保个人部分不计入企业支付费用中。</t>
  </si>
  <si>
    <t>计算说明：</t>
  </si>
  <si>
    <t>1，累计预扣预缴应纳税所得额=累计收入-累计免税收入-累计减除费用-累计专项扣除-累计专项附加扣除-累计依法确定的其他扣除</t>
  </si>
  <si>
    <t>2，本期应预扣预缴税额=（累计预扣预缴应纳税所得额*预扣率-速算扣除数）-累计减免税额-累计已预扣预缴税额</t>
  </si>
  <si>
    <t>18297976577</t>
  </si>
  <si>
    <t>15255242118</t>
  </si>
  <si>
    <t>报送时间</t>
  </si>
  <si>
    <t>所属公司</t>
  </si>
  <si>
    <t>使用供应商</t>
  </si>
  <si>
    <t>项目编号</t>
  </si>
  <si>
    <t>员工工号</t>
  </si>
  <si>
    <t>身份证号</t>
  </si>
  <si>
    <t>手机号码</t>
  </si>
  <si>
    <t>是否需要外呼</t>
  </si>
  <si>
    <t>工作地点</t>
  </si>
  <si>
    <t>社保缴纳地</t>
  </si>
  <si>
    <t>户籍性质</t>
  </si>
  <si>
    <t>入职时间</t>
  </si>
  <si>
    <t>原参保城市</t>
  </si>
  <si>
    <t>社保缴纳类型</t>
  </si>
  <si>
    <t>社保</t>
  </si>
  <si>
    <t>公积金缴纳类型</t>
  </si>
  <si>
    <t>公积金</t>
  </si>
  <si>
    <t>是否签署劳动合同</t>
  </si>
  <si>
    <t>劳动合同版本</t>
  </si>
  <si>
    <t>劳动合同起始时间</t>
  </si>
  <si>
    <t>劳动合同终止时间</t>
  </si>
  <si>
    <t>试用期时间（0-12月）</t>
  </si>
  <si>
    <t>合同工资</t>
  </si>
  <si>
    <t>身份证校验</t>
  </si>
  <si>
    <t>户籍详细地址（仅大连地区填写）</t>
  </si>
  <si>
    <r>
      <rPr>
        <b/>
        <sz val="10"/>
        <color indexed="10"/>
        <rFont val="微软雅黑"/>
        <family val="2"/>
        <charset val="134"/>
      </rPr>
      <t>首次参加工作时间（仅大连地区填写）</t>
    </r>
  </si>
  <si>
    <t>采暖统筹
是否缴纳（仅大连地区填写）</t>
  </si>
  <si>
    <r>
      <rPr>
        <b/>
        <sz val="10"/>
        <color rgb="FFFF0000"/>
        <rFont val="微软雅黑"/>
        <family val="2"/>
        <charset val="134"/>
      </rPr>
      <t>福利开始时间
（</t>
    </r>
    <r>
      <rPr>
        <b/>
        <sz val="10"/>
        <color indexed="10"/>
        <rFont val="微软雅黑"/>
        <family val="2"/>
        <charset val="134"/>
      </rPr>
      <t>与起缴月一致）（仅大连地区填写）</t>
    </r>
  </si>
  <si>
    <t>社保起缴年月</t>
  </si>
  <si>
    <t>养老基数</t>
  </si>
  <si>
    <t>医疗基数</t>
  </si>
  <si>
    <t>失业基数</t>
  </si>
  <si>
    <t>工伤基数</t>
  </si>
  <si>
    <t>生育基数</t>
  </si>
  <si>
    <t>公积金起缴年月</t>
  </si>
  <si>
    <t>公积金缴纳比例（单位+个人）</t>
  </si>
  <si>
    <t>公积金基数</t>
  </si>
  <si>
    <t>创联致信</t>
  </si>
  <si>
    <t>阜阳</t>
  </si>
  <si>
    <t>本地城镇</t>
  </si>
  <si>
    <t>调入</t>
  </si>
  <si>
    <t>莫文太</t>
  </si>
  <si>
    <t>430822198211098211</t>
  </si>
  <si>
    <t>谢锋明</t>
  </si>
  <si>
    <t>43022319780815051X</t>
  </si>
  <si>
    <t>622848 0018992539579</t>
  </si>
  <si>
    <t>中国农业银行北京永丰路支行</t>
  </si>
  <si>
    <t>农行</t>
  </si>
  <si>
    <t>个人所得税预扣率表一（居民个人工资、薪金预扣预缴适用）</t>
  </si>
  <si>
    <t>级数</t>
  </si>
  <si>
    <t>累计预扣预缴应纳税所得额</t>
  </si>
  <si>
    <t>税率</t>
  </si>
  <si>
    <t>速算扣除数</t>
  </si>
  <si>
    <t>不超过36000元的</t>
  </si>
  <si>
    <t>超过36000元至144000元的部分</t>
  </si>
  <si>
    <t>超过144000元至300000元的部分</t>
  </si>
  <si>
    <t>超过300000元至420000元的部分</t>
  </si>
  <si>
    <t>超过420000元至660000元的部分</t>
  </si>
  <si>
    <t>超过660000元至960000元的部分</t>
  </si>
  <si>
    <t>超过960000元的部分</t>
  </si>
  <si>
    <t>个人所得税预扣率表二（居民个人劳务报酬预扣预缴适用）</t>
  </si>
  <si>
    <t>预扣预缴应纳税所得额</t>
  </si>
  <si>
    <t>不超过20000元的</t>
  </si>
  <si>
    <t>超过20000元至50000元的部分</t>
  </si>
  <si>
    <t>超过50000的部分</t>
  </si>
  <si>
    <t>个人所得税税率表三（非居民个人工资、薪金、劳务报酬、稿酬所得、特许权使用费所得适用）</t>
  </si>
  <si>
    <t>应纳税所得额</t>
  </si>
  <si>
    <t>不超过3000元的</t>
  </si>
  <si>
    <t>超过3000元至12000元的部分</t>
  </si>
  <si>
    <t>超过12000元至25000元的部分</t>
  </si>
  <si>
    <t>超过25000元至35000元的部分</t>
  </si>
  <si>
    <t>超过35000元至55000元的部分</t>
  </si>
  <si>
    <t>超过55000元至80000元的部分</t>
  </si>
  <si>
    <t>超过80000元的部分</t>
  </si>
  <si>
    <t>按月换算后的综合所得税率表
（年终奖适用 2019.1.1-2021-12.31）</t>
  </si>
  <si>
    <t>全月应纳税所得额</t>
  </si>
  <si>
    <t>税率（%）</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</si>
</sst>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78" formatCode="&quot;$&quot;#,##0_ ;[Red]\-&quot;$&quot;#,##0_ "/>
    <numFmt numFmtId="179" formatCode="0.00_ "/>
    <numFmt numFmtId="180" formatCode="[DBNum2][$-804]General"/>
    <numFmt numFmtId="181" formatCode="0.00_);[Red]\(0.00\)"/>
    <numFmt numFmtId="182" formatCode="#,##0.00_);[Red]\(#,##0.00\)"/>
    <numFmt numFmtId="183" formatCode="#,##0_);[Red]\(#,##0\)"/>
    <numFmt numFmtId="184" formatCode="0.00_);\(0.00\)"/>
    <numFmt numFmtId="185" formatCode="0_);[Red]\(0\)"/>
    <numFmt numFmtId="186" formatCode="0.00;[Red]0.00"/>
    <numFmt numFmtId="187" formatCode="&quot;$&quot;0_ "/>
    <numFmt numFmtId="188" formatCode="General\ &quot;年&quot;"/>
  </numFmts>
  <fonts count="109">
    <font>
      <sz val="11"/>
      <color theme="1"/>
      <name val="宋体"/>
      <charset val="134"/>
      <scheme val="minor"/>
    </font>
    <font>
      <sz val="18"/>
      <color theme="1"/>
      <name val="黑体"/>
      <family val="3"/>
      <charset val="134"/>
    </font>
    <font>
      <sz val="16"/>
      <color theme="1"/>
      <name val="仿宋_GB2312"/>
      <charset val="134"/>
    </font>
    <font>
      <b/>
      <sz val="12"/>
      <color theme="1"/>
      <name val="宋体"/>
      <family val="3"/>
      <charset val="134"/>
      <scheme val="major"/>
    </font>
    <font>
      <sz val="11"/>
      <color theme="1"/>
      <name val="宋体"/>
      <family val="3"/>
      <charset val="134"/>
      <scheme val="major"/>
    </font>
    <font>
      <b/>
      <sz val="12"/>
      <color rgb="FF2C2C2C"/>
      <name val="宋体"/>
      <family val="3"/>
      <charset val="134"/>
      <scheme val="minor"/>
    </font>
    <font>
      <sz val="11"/>
      <color indexed="8"/>
      <name val="宋体"/>
      <family val="3"/>
      <charset val="134"/>
    </font>
    <font>
      <b/>
      <sz val="10"/>
      <color indexed="8"/>
      <name val="宋体"/>
      <family val="3"/>
      <charset val="134"/>
    </font>
    <font>
      <b/>
      <sz val="10"/>
      <color rgb="FFFF0000"/>
      <name val="Arial Unicode MS"/>
      <family val="2"/>
      <charset val="134"/>
    </font>
    <font>
      <b/>
      <sz val="12"/>
      <color rgb="FFFF0000"/>
      <name val="Arial Unicode MS"/>
      <family val="2"/>
      <charset val="134"/>
    </font>
    <font>
      <sz val="12"/>
      <name val="Arial Unicode MS"/>
      <family val="2"/>
      <charset val="134"/>
    </font>
    <font>
      <b/>
      <sz val="10"/>
      <name val="Arial Unicode MS"/>
      <family val="2"/>
      <charset val="134"/>
    </font>
    <font>
      <b/>
      <sz val="10"/>
      <color rgb="FFFF0000"/>
      <name val="宋体"/>
      <family val="3"/>
      <charset val="134"/>
    </font>
    <font>
      <b/>
      <sz val="10"/>
      <name val="宋体"/>
      <family val="3"/>
      <charset val="134"/>
    </font>
    <font>
      <sz val="10"/>
      <color indexed="8"/>
      <name val="宋体"/>
      <family val="3"/>
      <charset val="134"/>
    </font>
    <font>
      <sz val="10"/>
      <color theme="1"/>
      <name val="宋体"/>
      <family val="3"/>
      <charset val="134"/>
    </font>
    <font>
      <sz val="10"/>
      <name val="宋体"/>
      <family val="3"/>
      <charset val="134"/>
      <scheme val="minor"/>
    </font>
    <font>
      <b/>
      <sz val="10"/>
      <color indexed="8"/>
      <name val="Arial Unicode MS"/>
      <family val="2"/>
      <charset val="134"/>
    </font>
    <font>
      <b/>
      <sz val="9"/>
      <color rgb="FFFF0000"/>
      <name val="宋体"/>
      <family val="3"/>
      <charset val="134"/>
    </font>
    <font>
      <b/>
      <sz val="9"/>
      <color indexed="8"/>
      <name val="宋体"/>
      <family val="3"/>
      <charset val="134"/>
    </font>
    <font>
      <sz val="9"/>
      <color indexed="8"/>
      <name val="宋体"/>
      <family val="3"/>
      <charset val="134"/>
    </font>
    <font>
      <sz val="9"/>
      <color indexed="10"/>
      <name val="宋体"/>
      <family val="3"/>
      <charset val="134"/>
    </font>
    <font>
      <b/>
      <sz val="9"/>
      <name val="宋体"/>
      <family val="3"/>
      <charset val="134"/>
    </font>
    <font>
      <b/>
      <sz val="9"/>
      <color indexed="10"/>
      <name val="宋体"/>
      <family val="3"/>
      <charset val="134"/>
    </font>
    <font>
      <b/>
      <sz val="10"/>
      <color rgb="FFFF0000"/>
      <name val="宋体"/>
      <family val="3"/>
      <charset val="134"/>
      <scheme val="minor"/>
    </font>
    <font>
      <sz val="10"/>
      <name val="宋体"/>
      <family val="3"/>
      <charset val="134"/>
    </font>
    <font>
      <sz val="9"/>
      <name val="宋体"/>
      <family val="3"/>
      <charset val="134"/>
    </font>
    <font>
      <sz val="10"/>
      <color indexed="8"/>
      <name val="微软雅黑"/>
      <family val="2"/>
      <charset val="134"/>
    </font>
    <font>
      <b/>
      <sz val="10"/>
      <name val="微软雅黑"/>
      <family val="2"/>
      <charset val="134"/>
    </font>
    <font>
      <sz val="12"/>
      <name val="宋体"/>
      <family val="3"/>
      <charset val="134"/>
    </font>
    <font>
      <sz val="10"/>
      <color indexed="10"/>
      <name val="宋体"/>
      <family val="3"/>
      <charset val="134"/>
    </font>
    <font>
      <b/>
      <sz val="10"/>
      <color indexed="10"/>
      <name val="微软雅黑"/>
      <family val="2"/>
      <charset val="134"/>
    </font>
    <font>
      <b/>
      <sz val="10"/>
      <color indexed="8"/>
      <name val="微软雅黑"/>
      <family val="2"/>
      <charset val="134"/>
    </font>
    <font>
      <sz val="11"/>
      <color rgb="FF000000"/>
      <name val="宋体"/>
      <family val="3"/>
      <charset val="134"/>
    </font>
    <font>
      <b/>
      <sz val="10"/>
      <color rgb="FFFF0000"/>
      <name val="微软雅黑"/>
      <family val="2"/>
      <charset val="134"/>
    </font>
    <font>
      <sz val="6"/>
      <name val="Arial"/>
      <family val="2"/>
    </font>
    <font>
      <sz val="6"/>
      <color indexed="8"/>
      <name val="Arial"/>
      <family val="2"/>
    </font>
    <font>
      <b/>
      <sz val="11"/>
      <color indexed="10"/>
      <name val="宋体"/>
      <family val="3"/>
      <charset val="134"/>
    </font>
    <font>
      <sz val="11"/>
      <color indexed="10"/>
      <name val="宋体"/>
      <family val="3"/>
      <charset val="134"/>
    </font>
    <font>
      <sz val="11"/>
      <color indexed="8"/>
      <name val="微软雅黑"/>
      <family val="2"/>
      <charset val="134"/>
    </font>
    <font>
      <sz val="10"/>
      <name val="SimSun"/>
      <charset val="134"/>
    </font>
    <font>
      <sz val="10.5"/>
      <name val="宋体"/>
      <family val="3"/>
      <charset val="134"/>
    </font>
    <font>
      <sz val="9"/>
      <name val="Segoe UI"/>
      <family val="2"/>
    </font>
    <font>
      <sz val="10"/>
      <color indexed="8"/>
      <name val="SimSun"/>
      <charset val="134"/>
    </font>
    <font>
      <sz val="10"/>
      <color theme="1"/>
      <name val="SimSun"/>
      <charset val="134"/>
    </font>
    <font>
      <sz val="10.5"/>
      <color rgb="FF191F25"/>
      <name val="Segoe UI"/>
      <family val="2"/>
    </font>
    <font>
      <sz val="9"/>
      <color rgb="FF191F25"/>
      <name val="Segoe UI"/>
      <family val="2"/>
    </font>
    <font>
      <sz val="10"/>
      <name val="宋体"/>
      <family val="3"/>
      <charset val="134"/>
      <scheme val="major"/>
    </font>
    <font>
      <sz val="10"/>
      <color theme="1"/>
      <name val="宋体"/>
      <family val="3"/>
      <charset val="134"/>
      <scheme val="major"/>
    </font>
    <font>
      <b/>
      <sz val="9"/>
      <color indexed="8"/>
      <name val="微软雅黑"/>
      <family val="2"/>
      <charset val="134"/>
    </font>
    <font>
      <sz val="10"/>
      <name val="微软雅黑"/>
      <family val="2"/>
      <charset val="134"/>
    </font>
    <font>
      <sz val="10"/>
      <color theme="1"/>
      <name val="微软雅黑"/>
      <family val="2"/>
      <charset val="134"/>
    </font>
    <font>
      <sz val="11"/>
      <name val="宋体"/>
      <family val="3"/>
      <charset val="134"/>
    </font>
    <font>
      <sz val="6"/>
      <color rgb="FFFF0000"/>
      <name val="Arial"/>
      <family val="2"/>
    </font>
    <font>
      <sz val="10"/>
      <color rgb="FFFF0000"/>
      <name val="SimSun"/>
      <charset val="134"/>
    </font>
    <font>
      <sz val="10"/>
      <color rgb="FFFF0000"/>
      <name val="宋体"/>
      <family val="3"/>
      <charset val="134"/>
      <scheme val="minor"/>
    </font>
    <font>
      <sz val="10.5"/>
      <color rgb="FFFF0000"/>
      <name val="宋体"/>
      <family val="3"/>
      <charset val="134"/>
    </font>
    <font>
      <sz val="9"/>
      <color rgb="FFFF0000"/>
      <name val="Segoe UI"/>
      <family val="2"/>
    </font>
    <font>
      <sz val="10"/>
      <color rgb="FFFF0000"/>
      <name val="宋体"/>
      <family val="3"/>
      <charset val="134"/>
      <scheme val="major"/>
    </font>
    <font>
      <sz val="9"/>
      <color rgb="FFFF0000"/>
      <name val="宋体"/>
      <family val="3"/>
      <charset val="134"/>
    </font>
    <font>
      <sz val="10"/>
      <color rgb="FFFF0000"/>
      <name val="微软雅黑"/>
      <family val="2"/>
      <charset val="134"/>
    </font>
    <font>
      <sz val="11"/>
      <color rgb="FFFF0000"/>
      <name val="宋体"/>
      <family val="3"/>
      <charset val="134"/>
    </font>
    <font>
      <b/>
      <sz val="20"/>
      <name val="黑体"/>
      <family val="3"/>
      <charset val="134"/>
    </font>
    <font>
      <b/>
      <sz val="12"/>
      <color indexed="8"/>
      <name val="宋体"/>
      <family val="3"/>
      <charset val="134"/>
    </font>
    <font>
      <sz val="10"/>
      <color indexed="8"/>
      <name val="Wingdings 2"/>
      <family val="1"/>
      <charset val="2"/>
    </font>
    <font>
      <sz val="11"/>
      <color indexed="0"/>
      <name val="宋体-PUA"/>
      <charset val="134"/>
    </font>
    <font>
      <sz val="9"/>
      <name val="Arial"/>
      <family val="2"/>
    </font>
    <font>
      <sz val="9"/>
      <color indexed="8"/>
      <name val="宋体-PUA"/>
      <charset val="134"/>
    </font>
    <font>
      <sz val="9"/>
      <name val="宋体-PUA"/>
      <charset val="134"/>
    </font>
    <font>
      <b/>
      <sz val="11"/>
      <name val="宋体"/>
      <family val="3"/>
      <charset val="134"/>
    </font>
    <font>
      <sz val="9"/>
      <color indexed="0"/>
      <name val="宋体-PUA"/>
      <charset val="134"/>
    </font>
    <font>
      <b/>
      <sz val="12"/>
      <name val="宋体"/>
      <family val="3"/>
      <charset val="134"/>
    </font>
    <font>
      <b/>
      <sz val="10"/>
      <name val="Arial"/>
      <family val="2"/>
    </font>
    <font>
      <sz val="10"/>
      <name val="Arial"/>
      <family val="2"/>
    </font>
    <font>
      <sz val="10"/>
      <name val="宋体-PUA"/>
      <charset val="134"/>
    </font>
    <font>
      <b/>
      <sz val="12"/>
      <name val="微软雅黑"/>
      <family val="2"/>
      <charset val="134"/>
    </font>
    <font>
      <i/>
      <sz val="11"/>
      <color indexed="0"/>
      <name val="宋体-PUA"/>
      <charset val="134"/>
    </font>
    <font>
      <b/>
      <sz val="12"/>
      <color indexed="0"/>
      <name val="宋体-PUA"/>
      <charset val="134"/>
    </font>
    <font>
      <b/>
      <i/>
      <sz val="11"/>
      <name val="宋体"/>
      <family val="3"/>
      <charset val="134"/>
    </font>
    <font>
      <i/>
      <sz val="11"/>
      <color indexed="0"/>
      <name val="宋体"/>
      <family val="3"/>
      <charset val="134"/>
    </font>
    <font>
      <b/>
      <sz val="12"/>
      <color indexed="0"/>
      <name val="宋体"/>
      <family val="3"/>
      <charset val="134"/>
    </font>
    <font>
      <sz val="12"/>
      <color indexed="0"/>
      <name val="宋体"/>
      <family val="3"/>
      <charset val="134"/>
    </font>
    <font>
      <b/>
      <sz val="11"/>
      <color indexed="8"/>
      <name val="宋体"/>
      <family val="3"/>
      <charset val="134"/>
    </font>
    <font>
      <sz val="10"/>
      <color indexed="8"/>
      <name val="宋体-PUA"/>
      <charset val="134"/>
    </font>
    <font>
      <b/>
      <sz val="11"/>
      <name val="宋体-PUA"/>
      <charset val="134"/>
    </font>
    <font>
      <sz val="12"/>
      <name val="宋体-PUA"/>
      <charset val="134"/>
    </font>
    <font>
      <sz val="11"/>
      <color indexed="52"/>
      <name val="宋体"/>
      <family val="3"/>
      <charset val="134"/>
    </font>
    <font>
      <sz val="11"/>
      <color indexed="9"/>
      <name val="宋体"/>
      <family val="3"/>
      <charset val="134"/>
    </font>
    <font>
      <b/>
      <sz val="11"/>
      <color indexed="63"/>
      <name val="宋体"/>
      <family val="3"/>
      <charset val="134"/>
    </font>
    <font>
      <b/>
      <sz val="11"/>
      <color indexed="52"/>
      <name val="宋体"/>
      <family val="3"/>
      <charset val="134"/>
    </font>
    <font>
      <i/>
      <sz val="11"/>
      <color indexed="23"/>
      <name val="宋体"/>
      <family val="3"/>
      <charset val="134"/>
    </font>
    <font>
      <sz val="10"/>
      <name val="Geneva"/>
      <family val="1"/>
    </font>
    <font>
      <b/>
      <sz val="11"/>
      <color indexed="9"/>
      <name val="宋体"/>
      <family val="3"/>
      <charset val="134"/>
    </font>
    <font>
      <sz val="11"/>
      <color indexed="60"/>
      <name val="宋体"/>
      <family val="3"/>
      <charset val="134"/>
    </font>
    <font>
      <b/>
      <sz val="11"/>
      <color indexed="56"/>
      <name val="宋体"/>
      <family val="3"/>
      <charset val="134"/>
    </font>
    <font>
      <sz val="11"/>
      <color indexed="17"/>
      <name val="宋体"/>
      <family val="3"/>
      <charset val="134"/>
    </font>
    <font>
      <sz val="11"/>
      <color indexed="20"/>
      <name val="宋体"/>
      <family val="3"/>
      <charset val="134"/>
    </font>
    <font>
      <sz val="11"/>
      <color indexed="62"/>
      <name val="宋体"/>
      <family val="3"/>
      <charset val="134"/>
    </font>
    <font>
      <sz val="10"/>
      <color indexed="8"/>
      <name val="Arial"/>
      <family val="2"/>
    </font>
    <font>
      <b/>
      <sz val="15"/>
      <color indexed="56"/>
      <name val="宋体"/>
      <family val="3"/>
      <charset val="134"/>
    </font>
    <font>
      <b/>
      <sz val="13"/>
      <color indexed="56"/>
      <name val="宋体"/>
      <family val="3"/>
      <charset val="134"/>
    </font>
    <font>
      <sz val="10"/>
      <name val="Helv"/>
      <family val="2"/>
    </font>
    <font>
      <b/>
      <sz val="18"/>
      <color indexed="56"/>
      <name val="宋体"/>
      <family val="3"/>
      <charset val="134"/>
    </font>
    <font>
      <sz val="12"/>
      <color indexed="8"/>
      <name val="Verdana"/>
      <family val="2"/>
    </font>
    <font>
      <sz val="12"/>
      <name val="Times New Roman"/>
      <family val="1"/>
    </font>
    <font>
      <u/>
      <sz val="10"/>
      <color indexed="12"/>
      <name val="新細明體"/>
      <charset val="134"/>
    </font>
    <font>
      <sz val="9"/>
      <name val="Tahoma"/>
      <family val="2"/>
    </font>
    <font>
      <sz val="11"/>
      <color theme="1"/>
      <name val="宋体"/>
      <family val="3"/>
      <charset val="134"/>
      <scheme val="minor"/>
    </font>
    <font>
      <sz val="9"/>
      <name val="宋体"/>
      <family val="3"/>
      <charset val="134"/>
      <scheme val="minor"/>
    </font>
  </fonts>
  <fills count="3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79992065187536243"/>
        <bgColor indexed="64"/>
      </patternFill>
    </fill>
    <fill>
      <patternFill patternType="solid">
        <fgColor theme="0"/>
        <bgColor indexed="64"/>
      </patternFill>
    </fill>
    <fill>
      <patternFill patternType="solid">
        <fgColor indexed="55"/>
        <bgColor indexed="64"/>
      </patternFill>
    </fill>
    <fill>
      <patternFill patternType="solid">
        <fgColor theme="5" tint="0.39994506668294322"/>
        <bgColor indexed="64"/>
      </patternFill>
    </fill>
    <fill>
      <patternFill patternType="solid">
        <fgColor rgb="FFFFFFFF"/>
        <bgColor indexed="64"/>
      </patternFill>
    </fill>
    <fill>
      <patternFill patternType="solid">
        <fgColor theme="6" tint="0.39994506668294322"/>
        <bgColor indexed="64"/>
      </patternFill>
    </fill>
    <fill>
      <patternFill patternType="solid">
        <fgColor rgb="FFFFC000"/>
        <bgColor indexed="64"/>
      </patternFill>
    </fill>
    <fill>
      <patternFill patternType="lightGrid">
        <fgColor indexed="22"/>
        <bgColor indexed="22"/>
      </patternFill>
    </fill>
    <fill>
      <patternFill patternType="solid">
        <fgColor indexed="9"/>
        <bgColor indexed="64"/>
      </patternFill>
    </fill>
    <fill>
      <patternFill patternType="solid">
        <fgColor indexed="27"/>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52"/>
        <bgColor indexed="64"/>
      </patternFill>
    </fill>
    <fill>
      <patternFill patternType="solid">
        <fgColor indexed="29"/>
        <bgColor indexed="64"/>
      </patternFill>
    </fill>
    <fill>
      <patternFill patternType="solid">
        <fgColor indexed="46"/>
        <bgColor indexed="64"/>
      </patternFill>
    </fill>
    <fill>
      <patternFill patternType="solid">
        <fgColor indexed="26"/>
        <bgColor indexed="64"/>
      </patternFill>
    </fill>
    <fill>
      <patternFill patternType="solid">
        <fgColor indexed="62"/>
        <bgColor indexed="64"/>
      </patternFill>
    </fill>
    <fill>
      <patternFill patternType="solid">
        <fgColor indexed="36"/>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49"/>
        <bgColor indexed="64"/>
      </patternFill>
    </fill>
    <fill>
      <patternFill patternType="solid">
        <fgColor indexed="30"/>
        <bgColor indexed="64"/>
      </patternFill>
    </fill>
    <fill>
      <patternFill patternType="solid">
        <fgColor indexed="47"/>
        <bgColor indexed="64"/>
      </patternFill>
    </fill>
    <fill>
      <patternFill patternType="solid">
        <fgColor indexed="11"/>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s>
  <borders count="57">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auto="1"/>
      </left>
      <right/>
      <top/>
      <bottom style="thin">
        <color auto="1"/>
      </bottom>
      <diagonal/>
    </border>
    <border>
      <left style="medium">
        <color indexed="8"/>
      </left>
      <right/>
      <top/>
      <bottom style="thin">
        <color indexed="8"/>
      </bottom>
      <diagonal/>
    </border>
    <border>
      <left style="medium">
        <color auto="1"/>
      </left>
      <right/>
      <top/>
      <bottom style="thin">
        <color indexed="8"/>
      </bottom>
      <diagonal/>
    </border>
    <border>
      <left style="medium">
        <color indexed="8"/>
      </left>
      <right/>
      <top style="thin">
        <color indexed="8"/>
      </top>
      <bottom style="medium">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bottom style="medium">
        <color auto="1"/>
      </bottom>
      <diagonal/>
    </border>
    <border>
      <left style="thin">
        <color indexed="8"/>
      </left>
      <right/>
      <top/>
      <bottom style="medium">
        <color auto="1"/>
      </bottom>
      <diagonal/>
    </border>
    <border>
      <left style="thin">
        <color auto="1"/>
      </left>
      <right style="thin">
        <color auto="1"/>
      </right>
      <top style="thin">
        <color auto="1"/>
      </top>
      <bottom style="medium">
        <color auto="1"/>
      </bottom>
      <diagonal/>
    </border>
    <border>
      <left/>
      <right style="thin">
        <color indexed="31"/>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ck">
        <color auto="1"/>
      </left>
      <right style="thin">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ck">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44">
    <xf numFmtId="0" fontId="0" fillId="0" borderId="0">
      <alignment vertical="center"/>
    </xf>
    <xf numFmtId="0" fontId="86" fillId="0" borderId="48" applyNumberFormat="0" applyFill="0" applyAlignment="0" applyProtection="0">
      <alignment vertical="center"/>
    </xf>
    <xf numFmtId="0" fontId="6" fillId="15" borderId="0" applyNumberFormat="0" applyBorder="0" applyAlignment="0" applyProtection="0">
      <alignment vertical="center"/>
    </xf>
    <xf numFmtId="0" fontId="87" fillId="16" borderId="0" applyNumberFormat="0" applyBorder="0" applyAlignment="0" applyProtection="0">
      <alignment vertical="center"/>
    </xf>
    <xf numFmtId="0" fontId="82" fillId="0" borderId="49" applyNumberFormat="0" applyFill="0" applyAlignment="0" applyProtection="0">
      <alignment vertical="center"/>
    </xf>
    <xf numFmtId="0" fontId="73" fillId="0" borderId="0">
      <alignment vertical="center"/>
    </xf>
    <xf numFmtId="0" fontId="88" fillId="17" borderId="50" applyNumberFormat="0" applyAlignment="0" applyProtection="0">
      <alignment vertical="center"/>
    </xf>
    <xf numFmtId="0" fontId="86" fillId="0" borderId="48" applyNumberFormat="0" applyFill="0" applyAlignment="0" applyProtection="0">
      <alignment vertical="center"/>
    </xf>
    <xf numFmtId="0" fontId="87" fillId="16" borderId="0" applyNumberFormat="0" applyBorder="0" applyAlignment="0" applyProtection="0">
      <alignment vertical="center"/>
    </xf>
    <xf numFmtId="0" fontId="6" fillId="0" borderId="0">
      <alignment vertical="center"/>
    </xf>
    <xf numFmtId="0" fontId="89" fillId="17" borderId="51" applyNumberFormat="0" applyAlignment="0" applyProtection="0">
      <alignment vertical="center"/>
    </xf>
    <xf numFmtId="0" fontId="29" fillId="0" borderId="0"/>
    <xf numFmtId="0" fontId="87" fillId="18" borderId="0" applyNumberFormat="0" applyBorder="0" applyAlignment="0" applyProtection="0">
      <alignment vertical="center"/>
    </xf>
    <xf numFmtId="9" fontId="107" fillId="0" borderId="0" applyFont="0" applyFill="0" applyBorder="0" applyAlignment="0" applyProtection="0">
      <alignment vertical="center"/>
    </xf>
    <xf numFmtId="0" fontId="6" fillId="0" borderId="0">
      <alignment vertical="center"/>
    </xf>
    <xf numFmtId="0" fontId="87" fillId="19" borderId="0" applyNumberFormat="0" applyBorder="0" applyAlignment="0" applyProtection="0">
      <alignment vertical="center"/>
    </xf>
    <xf numFmtId="0" fontId="6" fillId="20" borderId="0" applyNumberFormat="0" applyBorder="0" applyAlignment="0" applyProtection="0">
      <alignment vertical="center"/>
    </xf>
    <xf numFmtId="0" fontId="90" fillId="0" borderId="0" applyNumberFormat="0" applyFill="0" applyBorder="0" applyAlignment="0" applyProtection="0">
      <alignment vertical="center"/>
    </xf>
    <xf numFmtId="0" fontId="6" fillId="21" borderId="52" applyNumberFormat="0" applyFont="0" applyAlignment="0" applyProtection="0">
      <alignment vertical="center"/>
    </xf>
    <xf numFmtId="0" fontId="87" fillId="22" borderId="0" applyNumberFormat="0" applyBorder="0" applyAlignment="0" applyProtection="0">
      <alignment vertical="center"/>
    </xf>
    <xf numFmtId="0" fontId="107" fillId="0" borderId="0">
      <alignment vertical="center"/>
    </xf>
    <xf numFmtId="0" fontId="87" fillId="19" borderId="0" applyNumberFormat="0" applyBorder="0" applyAlignment="0" applyProtection="0">
      <alignment vertical="center"/>
    </xf>
    <xf numFmtId="9" fontId="6" fillId="0" borderId="0" applyFont="0" applyFill="0" applyBorder="0" applyAlignment="0" applyProtection="0">
      <alignment vertical="center"/>
    </xf>
    <xf numFmtId="0" fontId="91" fillId="0" borderId="0"/>
    <xf numFmtId="0" fontId="6" fillId="21" borderId="52" applyNumberFormat="0" applyFont="0" applyAlignment="0" applyProtection="0">
      <alignment vertical="center"/>
    </xf>
    <xf numFmtId="0" fontId="88" fillId="17" borderId="50" applyNumberFormat="0" applyAlignment="0" applyProtection="0">
      <alignment vertical="center"/>
    </xf>
    <xf numFmtId="0" fontId="89" fillId="17" borderId="51" applyNumberFormat="0" applyAlignment="0" applyProtection="0">
      <alignment vertical="center"/>
    </xf>
    <xf numFmtId="0" fontId="6" fillId="20" borderId="0" applyNumberFormat="0" applyBorder="0" applyAlignment="0" applyProtection="0">
      <alignment vertical="center"/>
    </xf>
    <xf numFmtId="0" fontId="29" fillId="0" borderId="0">
      <alignment vertical="center"/>
    </xf>
    <xf numFmtId="0" fontId="6" fillId="21" borderId="52" applyNumberFormat="0" applyFont="0" applyAlignment="0" applyProtection="0">
      <alignment vertical="center"/>
    </xf>
    <xf numFmtId="0" fontId="87" fillId="23" borderId="0" applyNumberFormat="0" applyBorder="0" applyAlignment="0" applyProtection="0">
      <alignment vertical="center"/>
    </xf>
    <xf numFmtId="0" fontId="6" fillId="24" borderId="0" applyNumberFormat="0" applyBorder="0" applyAlignment="0" applyProtection="0">
      <alignment vertical="center"/>
    </xf>
    <xf numFmtId="0" fontId="88" fillId="17" borderId="50" applyNumberFormat="0" applyAlignment="0" applyProtection="0">
      <alignment vertical="center"/>
    </xf>
    <xf numFmtId="0" fontId="6" fillId="25" borderId="0" applyNumberFormat="0" applyBorder="0" applyAlignment="0" applyProtection="0">
      <alignment vertical="center"/>
    </xf>
    <xf numFmtId="0" fontId="88" fillId="17" borderId="50" applyNumberFormat="0" applyAlignment="0" applyProtection="0">
      <alignment vertical="center"/>
    </xf>
    <xf numFmtId="0" fontId="29" fillId="0" borderId="0">
      <alignment vertical="center"/>
    </xf>
    <xf numFmtId="0" fontId="92" fillId="7" borderId="53" applyNumberFormat="0" applyAlignment="0" applyProtection="0">
      <alignment vertical="center"/>
    </xf>
    <xf numFmtId="0" fontId="29" fillId="0" borderId="0"/>
    <xf numFmtId="0" fontId="6" fillId="21" borderId="52" applyNumberFormat="0" applyFont="0" applyAlignment="0" applyProtection="0">
      <alignment vertical="center"/>
    </xf>
    <xf numFmtId="0" fontId="86" fillId="0" borderId="48" applyNumberFormat="0" applyFill="0" applyAlignment="0" applyProtection="0">
      <alignment vertical="center"/>
    </xf>
    <xf numFmtId="0" fontId="82" fillId="0" borderId="49" applyNumberFormat="0" applyFill="0" applyAlignment="0" applyProtection="0">
      <alignment vertical="center"/>
    </xf>
    <xf numFmtId="0" fontId="6" fillId="20" borderId="0" applyNumberFormat="0" applyBorder="0" applyAlignment="0" applyProtection="0">
      <alignment vertical="center"/>
    </xf>
    <xf numFmtId="0" fontId="73" fillId="0" borderId="0"/>
    <xf numFmtId="0" fontId="88" fillId="17" borderId="50" applyNumberFormat="0" applyAlignment="0" applyProtection="0">
      <alignment vertical="center"/>
    </xf>
    <xf numFmtId="0" fontId="86" fillId="0" borderId="48" applyNumberFormat="0" applyFill="0" applyAlignment="0" applyProtection="0">
      <alignment vertical="center"/>
    </xf>
    <xf numFmtId="0" fontId="88" fillId="17" borderId="50" applyNumberFormat="0" applyAlignment="0" applyProtection="0">
      <alignment vertical="center"/>
    </xf>
    <xf numFmtId="0" fontId="82" fillId="0" borderId="49" applyNumberFormat="0" applyFill="0" applyAlignment="0" applyProtection="0">
      <alignment vertical="center"/>
    </xf>
    <xf numFmtId="0" fontId="89" fillId="17" borderId="51" applyNumberFormat="0" applyAlignment="0" applyProtection="0">
      <alignment vertical="center"/>
    </xf>
    <xf numFmtId="0" fontId="89" fillId="17" borderId="51" applyNumberFormat="0" applyAlignment="0" applyProtection="0">
      <alignment vertical="center"/>
    </xf>
    <xf numFmtId="0" fontId="6" fillId="21" borderId="52" applyNumberFormat="0" applyFont="0" applyAlignment="0" applyProtection="0">
      <alignment vertical="center"/>
    </xf>
    <xf numFmtId="0" fontId="88" fillId="17" borderId="50" applyNumberFormat="0" applyAlignment="0" applyProtection="0">
      <alignment vertical="center"/>
    </xf>
    <xf numFmtId="0" fontId="93" fillId="26" borderId="0" applyNumberFormat="0" applyBorder="0" applyAlignment="0" applyProtection="0">
      <alignment vertical="center"/>
    </xf>
    <xf numFmtId="0" fontId="89" fillId="17" borderId="51" applyNumberFormat="0" applyAlignment="0" applyProtection="0">
      <alignment vertical="center"/>
    </xf>
    <xf numFmtId="0" fontId="6" fillId="25" borderId="0" applyNumberFormat="0" applyBorder="0" applyAlignment="0" applyProtection="0">
      <alignment vertical="center"/>
    </xf>
    <xf numFmtId="0" fontId="94" fillId="0" borderId="0" applyNumberFormat="0" applyFill="0" applyBorder="0" applyAlignment="0" applyProtection="0">
      <alignment vertical="center"/>
    </xf>
    <xf numFmtId="0" fontId="73" fillId="0" borderId="0"/>
    <xf numFmtId="0" fontId="95" fillId="25"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73" fillId="0" borderId="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96" fillId="27" borderId="0" applyNumberFormat="0" applyBorder="0" applyAlignment="0" applyProtection="0">
      <alignment vertical="center"/>
    </xf>
    <xf numFmtId="0" fontId="29" fillId="0" borderId="0">
      <alignment vertical="center"/>
    </xf>
    <xf numFmtId="0" fontId="73" fillId="0" borderId="0"/>
    <xf numFmtId="0" fontId="6" fillId="15" borderId="0" applyNumberFormat="0" applyBorder="0" applyAlignment="0" applyProtection="0">
      <alignment vertical="center"/>
    </xf>
    <xf numFmtId="0" fontId="87" fillId="28" borderId="0" applyNumberFormat="0" applyBorder="0" applyAlignment="0" applyProtection="0">
      <alignment vertical="center"/>
    </xf>
    <xf numFmtId="0" fontId="29" fillId="0" borderId="0"/>
    <xf numFmtId="0" fontId="6" fillId="0" borderId="0"/>
    <xf numFmtId="0" fontId="6" fillId="15" borderId="0" applyNumberFormat="0" applyBorder="0" applyAlignment="0" applyProtection="0">
      <alignment vertical="center"/>
    </xf>
    <xf numFmtId="0" fontId="88" fillId="17" borderId="50" applyNumberFormat="0" applyAlignment="0" applyProtection="0">
      <alignment vertical="center"/>
    </xf>
    <xf numFmtId="0" fontId="6" fillId="27" borderId="0" applyNumberFormat="0" applyBorder="0" applyAlignment="0" applyProtection="0">
      <alignment vertical="center"/>
    </xf>
    <xf numFmtId="0" fontId="88" fillId="17" borderId="50" applyNumberFormat="0" applyAlignment="0" applyProtection="0">
      <alignment vertical="center"/>
    </xf>
    <xf numFmtId="0" fontId="6" fillId="27" borderId="0" applyNumberFormat="0" applyBorder="0" applyAlignment="0" applyProtection="0">
      <alignment vertical="center"/>
    </xf>
    <xf numFmtId="0" fontId="88" fillId="17" borderId="50" applyNumberFormat="0" applyAlignment="0" applyProtection="0">
      <alignment vertical="center"/>
    </xf>
    <xf numFmtId="0" fontId="6" fillId="27" borderId="0" applyNumberFormat="0" applyBorder="0" applyAlignment="0" applyProtection="0">
      <alignment vertical="center"/>
    </xf>
    <xf numFmtId="0" fontId="88" fillId="17" borderId="50" applyNumberFormat="0" applyAlignment="0" applyProtection="0">
      <alignment vertical="center"/>
    </xf>
    <xf numFmtId="0" fontId="6" fillId="27" borderId="0" applyNumberFormat="0" applyBorder="0" applyAlignment="0" applyProtection="0">
      <alignment vertical="center"/>
    </xf>
    <xf numFmtId="0" fontId="88" fillId="17" borderId="50" applyNumberFormat="0" applyAlignment="0" applyProtection="0">
      <alignment vertical="center"/>
    </xf>
    <xf numFmtId="0" fontId="6" fillId="27" borderId="0" applyNumberFormat="0" applyBorder="0" applyAlignment="0" applyProtection="0">
      <alignment vertical="center"/>
    </xf>
    <xf numFmtId="0" fontId="88" fillId="17" borderId="50" applyNumberFormat="0" applyAlignment="0" applyProtection="0">
      <alignment vertical="center"/>
    </xf>
    <xf numFmtId="0" fontId="6" fillId="27" borderId="0" applyNumberFormat="0" applyBorder="0" applyAlignment="0" applyProtection="0">
      <alignment vertical="center"/>
    </xf>
    <xf numFmtId="0" fontId="88" fillId="17" borderId="50" applyNumberFormat="0" applyAlignment="0" applyProtection="0">
      <alignment vertical="center"/>
    </xf>
    <xf numFmtId="0" fontId="6" fillId="27" borderId="0" applyNumberFormat="0" applyBorder="0" applyAlignment="0" applyProtection="0">
      <alignment vertical="center"/>
    </xf>
    <xf numFmtId="0" fontId="88" fillId="17" borderId="50" applyNumberFormat="0" applyAlignment="0" applyProtection="0">
      <alignment vertical="center"/>
    </xf>
    <xf numFmtId="0" fontId="6" fillId="25" borderId="0" applyNumberFormat="0" applyBorder="0" applyAlignment="0" applyProtection="0">
      <alignment vertical="center"/>
    </xf>
    <xf numFmtId="0" fontId="88" fillId="17" borderId="50" applyNumberFormat="0" applyAlignment="0" applyProtection="0">
      <alignment vertical="center"/>
    </xf>
    <xf numFmtId="0" fontId="6" fillId="25" borderId="0" applyNumberFormat="0" applyBorder="0" applyAlignment="0" applyProtection="0">
      <alignment vertical="center"/>
    </xf>
    <xf numFmtId="0" fontId="88" fillId="17" borderId="50" applyNumberFormat="0" applyAlignment="0" applyProtection="0">
      <alignment vertical="center"/>
    </xf>
    <xf numFmtId="0" fontId="6" fillId="25" borderId="0" applyNumberFormat="0" applyBorder="0" applyAlignment="0" applyProtection="0">
      <alignment vertical="center"/>
    </xf>
    <xf numFmtId="0" fontId="88" fillId="17" borderId="50" applyNumberFormat="0" applyAlignment="0" applyProtection="0">
      <alignment vertical="center"/>
    </xf>
    <xf numFmtId="0" fontId="87" fillId="29" borderId="0" applyNumberFormat="0" applyBorder="0" applyAlignment="0" applyProtection="0">
      <alignment vertical="center"/>
    </xf>
    <xf numFmtId="0" fontId="6" fillId="25" borderId="0" applyNumberFormat="0" applyBorder="0" applyAlignment="0" applyProtection="0">
      <alignment vertical="center"/>
    </xf>
    <xf numFmtId="0" fontId="87" fillId="29" borderId="0" applyNumberFormat="0" applyBorder="0" applyAlignment="0" applyProtection="0">
      <alignment vertical="center"/>
    </xf>
    <xf numFmtId="0" fontId="6" fillId="25" borderId="0" applyNumberFormat="0" applyBorder="0" applyAlignment="0" applyProtection="0">
      <alignment vertical="center"/>
    </xf>
    <xf numFmtId="0" fontId="88" fillId="17" borderId="50" applyNumberFormat="0" applyAlignment="0" applyProtection="0">
      <alignment vertical="center"/>
    </xf>
    <xf numFmtId="0" fontId="6" fillId="0" borderId="0">
      <alignment vertical="center"/>
    </xf>
    <xf numFmtId="0" fontId="6" fillId="20" borderId="0" applyNumberFormat="0" applyBorder="0" applyAlignment="0" applyProtection="0">
      <alignment vertical="center"/>
    </xf>
    <xf numFmtId="0" fontId="88" fillId="17" borderId="50" applyNumberFormat="0" applyAlignment="0" applyProtection="0">
      <alignment vertical="center"/>
    </xf>
    <xf numFmtId="0" fontId="6" fillId="0" borderId="0">
      <alignment vertical="center"/>
    </xf>
    <xf numFmtId="0" fontId="6" fillId="20" borderId="0" applyNumberFormat="0" applyBorder="0" applyAlignment="0" applyProtection="0">
      <alignment vertical="center"/>
    </xf>
    <xf numFmtId="0" fontId="97" fillId="30" borderId="51" applyNumberFormat="0" applyAlignment="0" applyProtection="0">
      <alignment vertical="center"/>
    </xf>
    <xf numFmtId="0" fontId="6" fillId="0" borderId="0">
      <alignment vertical="center"/>
    </xf>
    <xf numFmtId="0" fontId="6" fillId="20" borderId="0" applyNumberFormat="0" applyBorder="0" applyAlignment="0" applyProtection="0">
      <alignment vertical="center"/>
    </xf>
    <xf numFmtId="0" fontId="88" fillId="17" borderId="50" applyNumberFormat="0" applyAlignment="0" applyProtection="0">
      <alignment vertical="center"/>
    </xf>
    <xf numFmtId="0" fontId="6" fillId="0" borderId="0">
      <alignment vertical="center"/>
    </xf>
    <xf numFmtId="0" fontId="6" fillId="20" borderId="0" applyNumberFormat="0" applyBorder="0" applyAlignment="0" applyProtection="0">
      <alignment vertical="center"/>
    </xf>
    <xf numFmtId="0" fontId="6" fillId="0" borderId="0">
      <alignment vertical="center"/>
    </xf>
    <xf numFmtId="0" fontId="6" fillId="20" borderId="0" applyNumberFormat="0" applyBorder="0" applyAlignment="0" applyProtection="0">
      <alignment vertical="center"/>
    </xf>
    <xf numFmtId="0" fontId="107" fillId="0" borderId="0"/>
    <xf numFmtId="0" fontId="87" fillId="19" borderId="0" applyNumberFormat="0" applyBorder="0" applyAlignment="0" applyProtection="0">
      <alignment vertical="center"/>
    </xf>
    <xf numFmtId="0" fontId="6" fillId="20" borderId="0" applyNumberFormat="0" applyBorder="0" applyAlignment="0" applyProtection="0">
      <alignment vertical="center"/>
    </xf>
    <xf numFmtId="0" fontId="88" fillId="17" borderId="50" applyNumberFormat="0" applyAlignment="0" applyProtection="0">
      <alignment vertical="center"/>
    </xf>
    <xf numFmtId="0" fontId="6" fillId="14" borderId="0" applyNumberFormat="0" applyBorder="0" applyAlignment="0" applyProtection="0">
      <alignment vertical="center"/>
    </xf>
    <xf numFmtId="0" fontId="88" fillId="17" borderId="50" applyNumberFormat="0" applyAlignment="0" applyProtection="0">
      <alignment vertical="center"/>
    </xf>
    <xf numFmtId="0" fontId="29" fillId="0" borderId="0"/>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88" fillId="17" borderId="50" applyNumberFormat="0" applyAlignment="0" applyProtection="0">
      <alignment vertical="center"/>
    </xf>
    <xf numFmtId="0" fontId="6" fillId="14" borderId="0" applyNumberFormat="0" applyBorder="0" applyAlignment="0" applyProtection="0">
      <alignment vertical="center"/>
    </xf>
    <xf numFmtId="0" fontId="96" fillId="27" borderId="0" applyNumberFormat="0" applyBorder="0" applyAlignment="0" applyProtection="0">
      <alignment vertical="center"/>
    </xf>
    <xf numFmtId="9" fontId="29" fillId="0" borderId="0" applyFont="0" applyFill="0" applyBorder="0" applyAlignment="0" applyProtection="0">
      <alignment vertical="center"/>
    </xf>
    <xf numFmtId="0" fontId="6" fillId="14" borderId="0" applyNumberFormat="0" applyBorder="0" applyAlignment="0" applyProtection="0">
      <alignment vertical="center"/>
    </xf>
    <xf numFmtId="0" fontId="87" fillId="31" borderId="0" applyNumberFormat="0" applyBorder="0" applyAlignment="0" applyProtection="0">
      <alignment vertical="center"/>
    </xf>
    <xf numFmtId="0" fontId="6" fillId="14" borderId="0" applyNumberFormat="0" applyBorder="0" applyAlignment="0" applyProtection="0">
      <alignment vertical="center"/>
    </xf>
    <xf numFmtId="0" fontId="87" fillId="31" borderId="0" applyNumberFormat="0" applyBorder="0" applyAlignment="0" applyProtection="0">
      <alignment vertical="center"/>
    </xf>
    <xf numFmtId="0" fontId="6" fillId="14" borderId="0" applyNumberFormat="0" applyBorder="0" applyAlignment="0" applyProtection="0">
      <alignment vertical="center"/>
    </xf>
    <xf numFmtId="0" fontId="6" fillId="30" borderId="0" applyNumberFormat="0" applyBorder="0" applyAlignment="0" applyProtection="0">
      <alignment vertical="center"/>
    </xf>
    <xf numFmtId="0" fontId="6" fillId="20" borderId="0" applyNumberFormat="0" applyBorder="0" applyAlignment="0" applyProtection="0">
      <alignment vertical="center"/>
    </xf>
    <xf numFmtId="0" fontId="6" fillId="30" borderId="0" applyNumberFormat="0" applyBorder="0" applyAlignment="0" applyProtection="0">
      <alignment vertical="center"/>
    </xf>
    <xf numFmtId="0" fontId="6" fillId="2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2" borderId="0" applyNumberFormat="0" applyBorder="0" applyAlignment="0" applyProtection="0">
      <alignment vertical="center"/>
    </xf>
    <xf numFmtId="0" fontId="6" fillId="30" borderId="0" applyNumberFormat="0" applyBorder="0" applyAlignment="0" applyProtection="0">
      <alignment vertical="center"/>
    </xf>
    <xf numFmtId="0" fontId="6" fillId="21" borderId="52" applyNumberFormat="0" applyFont="0" applyAlignment="0" applyProtection="0">
      <alignment vertical="center"/>
    </xf>
    <xf numFmtId="0" fontId="87" fillId="23" borderId="0" applyNumberFormat="0" applyBorder="0" applyAlignment="0" applyProtection="0">
      <alignment vertical="center"/>
    </xf>
    <xf numFmtId="0" fontId="6" fillId="30" borderId="0" applyNumberFormat="0" applyBorder="0" applyAlignment="0" applyProtection="0">
      <alignment vertical="center"/>
    </xf>
    <xf numFmtId="0" fontId="87" fillId="23" borderId="0" applyNumberFormat="0" applyBorder="0" applyAlignment="0" applyProtection="0">
      <alignment vertical="center"/>
    </xf>
    <xf numFmtId="0" fontId="6" fillId="32" borderId="0" applyNumberFormat="0" applyBorder="0" applyAlignment="0" applyProtection="0">
      <alignment vertical="center"/>
    </xf>
    <xf numFmtId="0" fontId="6" fillId="30"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89" fillId="17" borderId="51" applyNumberFormat="0" applyAlignment="0" applyProtection="0">
      <alignment vertical="center"/>
    </xf>
    <xf numFmtId="0" fontId="6" fillId="31" borderId="0" applyNumberFormat="0" applyBorder="0" applyAlignment="0" applyProtection="0">
      <alignment vertical="center"/>
    </xf>
    <xf numFmtId="0" fontId="89" fillId="17" borderId="51" applyNumberFormat="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89" fillId="17" borderId="51" applyNumberFormat="0" applyAlignment="0" applyProtection="0">
      <alignment vertical="center"/>
    </xf>
    <xf numFmtId="0" fontId="6" fillId="31" borderId="0" applyNumberFormat="0" applyBorder="0" applyAlignment="0" applyProtection="0">
      <alignment vertical="center"/>
    </xf>
    <xf numFmtId="0" fontId="89" fillId="17" borderId="51" applyNumberFormat="0" applyAlignment="0" applyProtection="0">
      <alignment vertical="center"/>
    </xf>
    <xf numFmtId="0" fontId="6" fillId="31" borderId="0" applyNumberFormat="0" applyBorder="0" applyAlignment="0" applyProtection="0">
      <alignment vertical="center"/>
    </xf>
    <xf numFmtId="180" fontId="29" fillId="0" borderId="0"/>
    <xf numFmtId="0" fontId="89" fillId="17" borderId="51" applyNumberFormat="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92" fillId="7" borderId="53" applyNumberFormat="0" applyAlignment="0" applyProtection="0">
      <alignment vertical="center"/>
    </xf>
    <xf numFmtId="0" fontId="89" fillId="17" borderId="51" applyNumberFormat="0" applyAlignment="0" applyProtection="0">
      <alignment vertical="center"/>
    </xf>
    <xf numFmtId="0" fontId="82" fillId="0" borderId="49" applyNumberFormat="0" applyFill="0" applyAlignment="0" applyProtection="0">
      <alignment vertical="center"/>
    </xf>
    <xf numFmtId="0" fontId="94" fillId="0" borderId="0" applyNumberFormat="0" applyFill="0" applyBorder="0" applyAlignment="0" applyProtection="0">
      <alignment vertical="center"/>
    </xf>
    <xf numFmtId="0" fontId="6" fillId="20" borderId="0" applyNumberFormat="0" applyBorder="0" applyAlignment="0" applyProtection="0">
      <alignment vertical="center"/>
    </xf>
    <xf numFmtId="0" fontId="92" fillId="7" borderId="53" applyNumberFormat="0" applyAlignment="0" applyProtection="0">
      <alignment vertical="center"/>
    </xf>
    <xf numFmtId="0" fontId="82" fillId="0" borderId="49" applyNumberFormat="0" applyFill="0" applyAlignment="0" applyProtection="0">
      <alignment vertical="center"/>
    </xf>
    <xf numFmtId="0" fontId="94" fillId="0" borderId="0" applyNumberFormat="0" applyFill="0" applyBorder="0" applyAlignment="0" applyProtection="0">
      <alignment vertical="center"/>
    </xf>
    <xf numFmtId="0" fontId="6" fillId="20" borderId="0" applyNumberFormat="0" applyBorder="0" applyAlignment="0" applyProtection="0">
      <alignment vertical="center"/>
    </xf>
    <xf numFmtId="0" fontId="97" fillId="30" borderId="51" applyNumberFormat="0" applyAlignment="0" applyProtection="0">
      <alignment vertical="center"/>
    </xf>
    <xf numFmtId="0" fontId="89" fillId="17" borderId="51" applyNumberFormat="0" applyAlignment="0" applyProtection="0">
      <alignment vertical="center"/>
    </xf>
    <xf numFmtId="0" fontId="6" fillId="20" borderId="0" applyNumberFormat="0" applyBorder="0" applyAlignment="0" applyProtection="0">
      <alignment vertical="center"/>
    </xf>
    <xf numFmtId="0" fontId="89" fillId="17" borderId="51" applyNumberFormat="0" applyAlignment="0" applyProtection="0">
      <alignment vertical="center"/>
    </xf>
    <xf numFmtId="0" fontId="95" fillId="25" borderId="0" applyNumberFormat="0" applyBorder="0" applyAlignment="0" applyProtection="0">
      <alignment vertical="center"/>
    </xf>
    <xf numFmtId="0" fontId="6" fillId="32" borderId="0" applyNumberFormat="0" applyBorder="0" applyAlignment="0" applyProtection="0">
      <alignment vertical="center"/>
    </xf>
    <xf numFmtId="0" fontId="87" fillId="23" borderId="0" applyNumberFormat="0" applyBorder="0" applyAlignment="0" applyProtection="0">
      <alignment vertical="center"/>
    </xf>
    <xf numFmtId="0" fontId="6" fillId="32" borderId="0" applyNumberFormat="0" applyBorder="0" applyAlignment="0" applyProtection="0">
      <alignment vertical="center"/>
    </xf>
    <xf numFmtId="0" fontId="97" fillId="30" borderId="51" applyNumberFormat="0" applyAlignment="0" applyProtection="0">
      <alignment vertical="center"/>
    </xf>
    <xf numFmtId="0" fontId="6" fillId="32" borderId="0" applyNumberFormat="0" applyBorder="0" applyAlignment="0" applyProtection="0">
      <alignment vertical="center"/>
    </xf>
    <xf numFmtId="0" fontId="87" fillId="28"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93" fillId="26" borderId="0" applyNumberFormat="0" applyBorder="0" applyAlignment="0" applyProtection="0">
      <alignment vertical="center"/>
    </xf>
    <xf numFmtId="0" fontId="89" fillId="17" borderId="51" applyNumberFormat="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93" fillId="26" borderId="0" applyNumberFormat="0" applyBorder="0" applyAlignment="0" applyProtection="0">
      <alignment vertical="center"/>
    </xf>
    <xf numFmtId="0" fontId="87" fillId="33" borderId="0" applyNumberFormat="0" applyBorder="0" applyAlignment="0" applyProtection="0">
      <alignment vertical="center"/>
    </xf>
    <xf numFmtId="0" fontId="6" fillId="24" borderId="0" applyNumberFormat="0" applyBorder="0" applyAlignment="0" applyProtection="0">
      <alignment vertical="center"/>
    </xf>
    <xf numFmtId="0" fontId="90" fillId="0" borderId="0" applyNumberFormat="0" applyFill="0" applyBorder="0" applyAlignment="0" applyProtection="0">
      <alignment vertical="center"/>
    </xf>
    <xf numFmtId="0" fontId="6" fillId="24" borderId="0" applyNumberFormat="0" applyBorder="0" applyAlignment="0" applyProtection="0">
      <alignment vertical="center"/>
    </xf>
    <xf numFmtId="0" fontId="87" fillId="33" borderId="0" applyNumberFormat="0" applyBorder="0" applyAlignment="0" applyProtection="0">
      <alignment vertical="center"/>
    </xf>
    <xf numFmtId="0" fontId="87" fillId="23" borderId="0" applyNumberFormat="0" applyBorder="0" applyAlignment="0" applyProtection="0">
      <alignment vertical="center"/>
    </xf>
    <xf numFmtId="0" fontId="6" fillId="24" borderId="0" applyNumberFormat="0" applyBorder="0" applyAlignment="0" applyProtection="0">
      <alignment vertical="center"/>
    </xf>
    <xf numFmtId="0" fontId="87" fillId="29" borderId="0" applyNumberFormat="0" applyBorder="0" applyAlignment="0" applyProtection="0">
      <alignment vertical="center"/>
    </xf>
    <xf numFmtId="0" fontId="87" fillId="29" borderId="0" applyNumberFormat="0" applyBorder="0" applyAlignment="0" applyProtection="0">
      <alignment vertical="center"/>
    </xf>
    <xf numFmtId="0" fontId="87" fillId="29" borderId="0" applyNumberFormat="0" applyBorder="0" applyAlignment="0" applyProtection="0">
      <alignment vertical="center"/>
    </xf>
    <xf numFmtId="0" fontId="87" fillId="29" borderId="0" applyNumberFormat="0" applyBorder="0" applyAlignment="0" applyProtection="0">
      <alignment vertical="center"/>
    </xf>
    <xf numFmtId="0" fontId="6" fillId="21" borderId="52" applyNumberFormat="0" applyFont="0" applyAlignment="0" applyProtection="0">
      <alignment vertical="center"/>
    </xf>
    <xf numFmtId="0" fontId="38" fillId="0" borderId="0" applyNumberFormat="0" applyFill="0" applyBorder="0" applyAlignment="0" applyProtection="0">
      <alignment vertical="center"/>
    </xf>
    <xf numFmtId="0" fontId="87" fillId="29" borderId="0" applyNumberFormat="0" applyBorder="0" applyAlignment="0" applyProtection="0">
      <alignment vertical="center"/>
    </xf>
    <xf numFmtId="0" fontId="87" fillId="19" borderId="0" applyNumberFormat="0" applyBorder="0" applyAlignment="0" applyProtection="0">
      <alignment vertical="center"/>
    </xf>
    <xf numFmtId="0" fontId="6" fillId="21" borderId="52" applyNumberFormat="0" applyFont="0" applyAlignment="0" applyProtection="0">
      <alignment vertical="center"/>
    </xf>
    <xf numFmtId="0" fontId="6" fillId="0" borderId="0">
      <alignment vertical="center"/>
    </xf>
    <xf numFmtId="0" fontId="87" fillId="19" borderId="0" applyNumberFormat="0" applyBorder="0" applyAlignment="0" applyProtection="0">
      <alignment vertical="center"/>
    </xf>
    <xf numFmtId="0" fontId="107" fillId="0" borderId="0">
      <alignment vertical="center"/>
    </xf>
    <xf numFmtId="0" fontId="87" fillId="19" borderId="0" applyNumberFormat="0" applyBorder="0" applyAlignment="0" applyProtection="0">
      <alignment vertical="center"/>
    </xf>
    <xf numFmtId="0" fontId="38" fillId="0" borderId="0" applyNumberFormat="0" applyFill="0" applyBorder="0" applyAlignment="0" applyProtection="0">
      <alignment vertical="center"/>
    </xf>
    <xf numFmtId="0" fontId="29" fillId="0" borderId="0">
      <alignment vertical="center"/>
    </xf>
    <xf numFmtId="0" fontId="87" fillId="19" borderId="0" applyNumberFormat="0" applyBorder="0" applyAlignment="0" applyProtection="0">
      <alignment vertical="center"/>
    </xf>
    <xf numFmtId="0" fontId="87" fillId="16" borderId="0" applyNumberFormat="0" applyBorder="0" applyAlignment="0" applyProtection="0">
      <alignment vertical="center"/>
    </xf>
    <xf numFmtId="0" fontId="87" fillId="31" borderId="0" applyNumberFormat="0" applyBorder="0" applyAlignment="0" applyProtection="0">
      <alignment vertical="center"/>
    </xf>
    <xf numFmtId="0" fontId="87" fillId="31" borderId="0" applyNumberFormat="0" applyBorder="0" applyAlignment="0" applyProtection="0">
      <alignment vertical="center"/>
    </xf>
    <xf numFmtId="0" fontId="87" fillId="31" borderId="0" applyNumberFormat="0" applyBorder="0" applyAlignment="0" applyProtection="0">
      <alignment vertical="center"/>
    </xf>
    <xf numFmtId="0" fontId="87" fillId="31" borderId="0" applyNumberFormat="0" applyBorder="0" applyAlignment="0" applyProtection="0">
      <alignment vertical="center"/>
    </xf>
    <xf numFmtId="0" fontId="87" fillId="31" borderId="0" applyNumberFormat="0" applyBorder="0" applyAlignment="0" applyProtection="0">
      <alignment vertical="center"/>
    </xf>
    <xf numFmtId="0" fontId="87" fillId="23" borderId="0" applyNumberFormat="0" applyBorder="0" applyAlignment="0" applyProtection="0">
      <alignment vertical="center"/>
    </xf>
    <xf numFmtId="0" fontId="29" fillId="0" borderId="0">
      <alignment vertical="center"/>
    </xf>
    <xf numFmtId="0" fontId="87" fillId="23" borderId="0" applyNumberFormat="0" applyBorder="0" applyAlignment="0" applyProtection="0">
      <alignment vertical="center"/>
    </xf>
    <xf numFmtId="0" fontId="87" fillId="28" borderId="0" applyNumberFormat="0" applyBorder="0" applyAlignment="0" applyProtection="0">
      <alignment vertical="center"/>
    </xf>
    <xf numFmtId="0" fontId="87" fillId="23" borderId="0" applyNumberFormat="0" applyBorder="0" applyAlignment="0" applyProtection="0">
      <alignment vertical="center"/>
    </xf>
    <xf numFmtId="0" fontId="87" fillId="28" borderId="0" applyNumberFormat="0" applyBorder="0" applyAlignment="0" applyProtection="0">
      <alignment vertical="center"/>
    </xf>
    <xf numFmtId="0" fontId="87" fillId="28" borderId="0" applyNumberFormat="0" applyBorder="0" applyAlignment="0" applyProtection="0">
      <alignment vertical="center"/>
    </xf>
    <xf numFmtId="0" fontId="87" fillId="28" borderId="0" applyNumberFormat="0" applyBorder="0" applyAlignment="0" applyProtection="0">
      <alignment vertical="center"/>
    </xf>
    <xf numFmtId="0" fontId="87" fillId="28" borderId="0" applyNumberFormat="0" applyBorder="0" applyAlignment="0" applyProtection="0">
      <alignment vertical="center"/>
    </xf>
    <xf numFmtId="0" fontId="87" fillId="28" borderId="0" applyNumberFormat="0" applyBorder="0" applyAlignment="0" applyProtection="0">
      <alignment vertical="center"/>
    </xf>
    <xf numFmtId="0" fontId="87" fillId="18" borderId="0" applyNumberFormat="0" applyBorder="0" applyAlignment="0" applyProtection="0">
      <alignment vertical="center"/>
    </xf>
    <xf numFmtId="0" fontId="87" fillId="28" borderId="0" applyNumberFormat="0" applyBorder="0" applyAlignment="0" applyProtection="0">
      <alignment vertical="center"/>
    </xf>
    <xf numFmtId="0" fontId="6" fillId="0" borderId="0">
      <alignment vertical="center"/>
    </xf>
    <xf numFmtId="0" fontId="87" fillId="18" borderId="0" applyNumberFormat="0" applyBorder="0" applyAlignment="0" applyProtection="0">
      <alignment vertical="center"/>
    </xf>
    <xf numFmtId="0" fontId="98" fillId="0" borderId="0" applyNumberFormat="0" applyFill="0" applyBorder="0" applyAlignment="0" applyProtection="0">
      <alignment vertical="center"/>
    </xf>
    <xf numFmtId="0" fontId="87" fillId="18" borderId="0" applyNumberFormat="0" applyBorder="0" applyAlignment="0" applyProtection="0">
      <alignment vertical="center"/>
    </xf>
    <xf numFmtId="0" fontId="87" fillId="18" borderId="0" applyNumberFormat="0" applyBorder="0" applyAlignment="0" applyProtection="0">
      <alignment vertical="center"/>
    </xf>
    <xf numFmtId="0" fontId="87" fillId="18" borderId="0" applyNumberFormat="0" applyBorder="0" applyAlignment="0" applyProtection="0">
      <alignment vertical="center"/>
    </xf>
    <xf numFmtId="0" fontId="87" fillId="18" borderId="0" applyNumberFormat="0" applyBorder="0" applyAlignment="0" applyProtection="0">
      <alignment vertical="center"/>
    </xf>
    <xf numFmtId="0" fontId="38" fillId="0" borderId="0" applyNumberFormat="0" applyFill="0" applyBorder="0" applyAlignment="0" applyProtection="0">
      <alignment vertical="center"/>
    </xf>
    <xf numFmtId="179" fontId="6" fillId="0" borderId="0">
      <alignment vertical="center"/>
    </xf>
    <xf numFmtId="0" fontId="96" fillId="27" borderId="0" applyNumberFormat="0" applyBorder="0" applyAlignment="0" applyProtection="0">
      <alignment vertical="center"/>
    </xf>
    <xf numFmtId="9" fontId="6" fillId="0" borderId="0">
      <alignment vertical="center"/>
    </xf>
    <xf numFmtId="9" fontId="29" fillId="0" borderId="0" applyFont="0" applyFill="0" applyBorder="0" applyAlignment="0" applyProtection="0">
      <alignment vertical="center"/>
    </xf>
    <xf numFmtId="0" fontId="99" fillId="0" borderId="54" applyNumberFormat="0" applyFill="0" applyAlignment="0" applyProtection="0">
      <alignment vertical="center"/>
    </xf>
    <xf numFmtId="0" fontId="99" fillId="0" borderId="54" applyNumberFormat="0" applyFill="0" applyAlignment="0" applyProtection="0">
      <alignment vertical="center"/>
    </xf>
    <xf numFmtId="0" fontId="99" fillId="0" borderId="54" applyNumberFormat="0" applyFill="0" applyAlignment="0" applyProtection="0">
      <alignment vertical="center"/>
    </xf>
    <xf numFmtId="0" fontId="99" fillId="0" borderId="54" applyNumberFormat="0" applyFill="0" applyAlignment="0" applyProtection="0">
      <alignment vertical="center"/>
    </xf>
    <xf numFmtId="0" fontId="82" fillId="0" borderId="49" applyNumberFormat="0" applyFill="0" applyAlignment="0" applyProtection="0">
      <alignment vertical="center"/>
    </xf>
    <xf numFmtId="0" fontId="99" fillId="0" borderId="54" applyNumberFormat="0" applyFill="0" applyAlignment="0" applyProtection="0">
      <alignment vertical="center"/>
    </xf>
    <xf numFmtId="0" fontId="99" fillId="0" borderId="54" applyNumberFormat="0" applyFill="0" applyAlignment="0" applyProtection="0">
      <alignment vertical="center"/>
    </xf>
    <xf numFmtId="0" fontId="99" fillId="0" borderId="54" applyNumberFormat="0" applyFill="0" applyAlignment="0" applyProtection="0">
      <alignment vertical="center"/>
    </xf>
    <xf numFmtId="0" fontId="100" fillId="0" borderId="55" applyNumberFormat="0" applyFill="0" applyAlignment="0" applyProtection="0">
      <alignment vertical="center"/>
    </xf>
    <xf numFmtId="0" fontId="100" fillId="0" borderId="55" applyNumberFormat="0" applyFill="0" applyAlignment="0" applyProtection="0">
      <alignment vertical="center"/>
    </xf>
    <xf numFmtId="0" fontId="95" fillId="25" borderId="0" applyNumberFormat="0" applyBorder="0" applyAlignment="0" applyProtection="0">
      <alignment vertical="center"/>
    </xf>
    <xf numFmtId="0" fontId="100" fillId="0" borderId="55" applyNumberFormat="0" applyFill="0" applyAlignment="0" applyProtection="0">
      <alignment vertical="center"/>
    </xf>
    <xf numFmtId="0" fontId="100" fillId="0" borderId="55" applyNumberFormat="0" applyFill="0" applyAlignment="0" applyProtection="0">
      <alignment vertical="center"/>
    </xf>
    <xf numFmtId="0" fontId="6" fillId="0" borderId="0">
      <alignment vertical="center"/>
    </xf>
    <xf numFmtId="0" fontId="100" fillId="0" borderId="55" applyNumberFormat="0" applyFill="0" applyAlignment="0" applyProtection="0">
      <alignment vertical="center"/>
    </xf>
    <xf numFmtId="0" fontId="100" fillId="0" borderId="55" applyNumberFormat="0" applyFill="0" applyAlignment="0" applyProtection="0">
      <alignment vertical="center"/>
    </xf>
    <xf numFmtId="0" fontId="100" fillId="0" borderId="55" applyNumberFormat="0" applyFill="0" applyAlignment="0" applyProtection="0">
      <alignment vertical="center"/>
    </xf>
    <xf numFmtId="0" fontId="94" fillId="0" borderId="56" applyNumberFormat="0" applyFill="0" applyAlignment="0" applyProtection="0">
      <alignment vertical="center"/>
    </xf>
    <xf numFmtId="0" fontId="95" fillId="25" borderId="0" applyNumberFormat="0" applyBorder="0" applyAlignment="0" applyProtection="0">
      <alignment vertical="center"/>
    </xf>
    <xf numFmtId="0" fontId="94" fillId="0" borderId="56" applyNumberFormat="0" applyFill="0" applyAlignment="0" applyProtection="0">
      <alignment vertical="center"/>
    </xf>
    <xf numFmtId="0" fontId="94" fillId="0" borderId="56" applyNumberFormat="0" applyFill="0" applyAlignment="0" applyProtection="0">
      <alignment vertical="center"/>
    </xf>
    <xf numFmtId="0" fontId="94" fillId="0" borderId="56" applyNumberFormat="0" applyFill="0" applyAlignment="0" applyProtection="0">
      <alignment vertical="center"/>
    </xf>
    <xf numFmtId="0" fontId="101" fillId="0" borderId="0"/>
    <xf numFmtId="0" fontId="94" fillId="0" borderId="56" applyNumberFormat="0" applyFill="0" applyAlignment="0" applyProtection="0">
      <alignment vertical="center"/>
    </xf>
    <xf numFmtId="0" fontId="94" fillId="0" borderId="56" applyNumberFormat="0" applyFill="0" applyAlignment="0" applyProtection="0">
      <alignment vertical="center"/>
    </xf>
    <xf numFmtId="0" fontId="94" fillId="0" borderId="56" applyNumberFormat="0" applyFill="0" applyAlignment="0" applyProtection="0">
      <alignment vertical="center"/>
    </xf>
    <xf numFmtId="43" fontId="29" fillId="0" borderId="0" applyFon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82" fillId="0" borderId="49" applyNumberFormat="0" applyFill="0" applyAlignment="0" applyProtection="0">
      <alignment vertical="center"/>
    </xf>
    <xf numFmtId="0" fontId="94" fillId="0" borderId="0" applyNumberFormat="0" applyFill="0" applyBorder="0" applyAlignment="0" applyProtection="0">
      <alignment vertical="center"/>
    </xf>
    <xf numFmtId="0" fontId="82" fillId="0" borderId="49" applyNumberFormat="0" applyFill="0" applyAlignment="0" applyProtection="0">
      <alignment vertical="center"/>
    </xf>
    <xf numFmtId="0" fontId="94"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87" fillId="22" borderId="0" applyNumberFormat="0" applyBorder="0" applyAlignment="0" applyProtection="0">
      <alignment vertical="center"/>
    </xf>
    <xf numFmtId="0" fontId="102" fillId="0" borderId="0" applyNumberFormat="0" applyFill="0" applyBorder="0" applyAlignment="0" applyProtection="0">
      <alignment vertical="center"/>
    </xf>
    <xf numFmtId="0" fontId="87" fillId="22" borderId="0" applyNumberFormat="0" applyBorder="0" applyAlignment="0" applyProtection="0">
      <alignment vertical="center"/>
    </xf>
    <xf numFmtId="0" fontId="82" fillId="0" borderId="49" applyNumberFormat="0" applyFill="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87" fillId="16" borderId="0" applyNumberFormat="0" applyBorder="0" applyAlignment="0" applyProtection="0">
      <alignment vertical="center"/>
    </xf>
    <xf numFmtId="0" fontId="102" fillId="0" borderId="0" applyNumberFormat="0" applyFill="0" applyBorder="0" applyAlignment="0" applyProtection="0">
      <alignment vertical="center"/>
    </xf>
    <xf numFmtId="0" fontId="6" fillId="21" borderId="52" applyNumberFormat="0" applyFont="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96" fillId="27" borderId="0" applyNumberFormat="0" applyBorder="0" applyAlignment="0" applyProtection="0">
      <alignment vertical="center"/>
    </xf>
    <xf numFmtId="0" fontId="6" fillId="0" borderId="0">
      <alignment vertical="center"/>
    </xf>
    <xf numFmtId="0" fontId="29" fillId="0" borderId="0">
      <alignment vertical="center"/>
    </xf>
    <xf numFmtId="0" fontId="6" fillId="0" borderId="0">
      <alignment vertical="center"/>
    </xf>
    <xf numFmtId="0" fontId="29" fillId="0" borderId="0"/>
    <xf numFmtId="0" fontId="29" fillId="0" borderId="0">
      <alignment vertical="center"/>
    </xf>
    <xf numFmtId="0" fontId="29" fillId="0" borderId="0">
      <alignment vertical="center"/>
    </xf>
    <xf numFmtId="0" fontId="87" fillId="33"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4" fillId="0" borderId="0">
      <alignment vertical="center"/>
    </xf>
    <xf numFmtId="0" fontId="103" fillId="0" borderId="0" applyNumberFormat="0" applyFill="0" applyBorder="0" applyProtection="0">
      <alignment vertical="top" wrapText="1"/>
    </xf>
    <xf numFmtId="0" fontId="14" fillId="0" borderId="0">
      <alignment vertical="center"/>
    </xf>
    <xf numFmtId="0" fontId="6" fillId="0" borderId="0"/>
    <xf numFmtId="0" fontId="6" fillId="0" borderId="0"/>
    <xf numFmtId="0" fontId="97" fillId="30" borderId="51" applyNumberFormat="0" applyAlignment="0" applyProtection="0">
      <alignment vertical="center"/>
    </xf>
    <xf numFmtId="0" fontId="14" fillId="0" borderId="0">
      <alignment vertical="center"/>
    </xf>
    <xf numFmtId="0" fontId="101" fillId="0" borderId="0"/>
    <xf numFmtId="0" fontId="97" fillId="30" borderId="51" applyNumberFormat="0" applyAlignment="0" applyProtection="0">
      <alignment vertical="center"/>
    </xf>
    <xf numFmtId="0" fontId="29" fillId="0" borderId="0">
      <alignment vertical="center"/>
    </xf>
    <xf numFmtId="0" fontId="15" fillId="0" borderId="0">
      <alignment vertical="center"/>
    </xf>
    <xf numFmtId="0" fontId="6" fillId="0" borderId="0"/>
    <xf numFmtId="0" fontId="97" fillId="30" borderId="51" applyNumberFormat="0" applyAlignment="0" applyProtection="0">
      <alignment vertical="center"/>
    </xf>
    <xf numFmtId="0" fontId="14" fillId="0" borderId="0">
      <alignment vertical="center"/>
    </xf>
    <xf numFmtId="0" fontId="6" fillId="0" borderId="0"/>
    <xf numFmtId="0" fontId="87" fillId="23" borderId="0" applyNumberFormat="0" applyBorder="0" applyAlignment="0" applyProtection="0">
      <alignment vertical="center"/>
    </xf>
    <xf numFmtId="0" fontId="15" fillId="0" borderId="0">
      <alignment vertical="center"/>
    </xf>
    <xf numFmtId="0" fontId="87" fillId="23" borderId="0" applyNumberFormat="0" applyBorder="0" applyAlignment="0" applyProtection="0">
      <alignment vertical="center"/>
    </xf>
    <xf numFmtId="0" fontId="6" fillId="0" borderId="0"/>
    <xf numFmtId="0" fontId="87" fillId="23" borderId="0" applyNumberFormat="0" applyBorder="0" applyAlignment="0" applyProtection="0">
      <alignment vertical="center"/>
    </xf>
    <xf numFmtId="0" fontId="29" fillId="0" borderId="0"/>
    <xf numFmtId="0" fontId="87" fillId="23" borderId="0" applyNumberFormat="0" applyBorder="0" applyAlignment="0" applyProtection="0">
      <alignment vertical="center"/>
    </xf>
    <xf numFmtId="0" fontId="29" fillId="0" borderId="0"/>
    <xf numFmtId="0" fontId="29" fillId="0" borderId="0"/>
    <xf numFmtId="0" fontId="6" fillId="0" borderId="0">
      <alignment vertical="center"/>
    </xf>
    <xf numFmtId="0" fontId="93" fillId="26"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7" fillId="0" borderId="0">
      <alignment vertical="center"/>
    </xf>
    <xf numFmtId="0" fontId="87" fillId="28" borderId="0" applyNumberFormat="0" applyBorder="0" applyAlignment="0" applyProtection="0">
      <alignment vertical="center"/>
    </xf>
    <xf numFmtId="0" fontId="107" fillId="0" borderId="0">
      <alignment vertical="center"/>
    </xf>
    <xf numFmtId="0" fontId="87" fillId="28" borderId="0" applyNumberFormat="0" applyBorder="0" applyAlignment="0" applyProtection="0">
      <alignment vertical="center"/>
    </xf>
    <xf numFmtId="0" fontId="107" fillId="0" borderId="0">
      <alignment vertical="center"/>
    </xf>
    <xf numFmtId="0" fontId="29" fillId="0" borderId="0"/>
    <xf numFmtId="0" fontId="29" fillId="0" borderId="0"/>
    <xf numFmtId="0" fontId="97" fillId="30" borderId="51" applyNumberFormat="0" applyAlignment="0" applyProtection="0">
      <alignment vertical="center"/>
    </xf>
    <xf numFmtId="0" fontId="6" fillId="0" borderId="0">
      <alignment vertical="center"/>
    </xf>
    <xf numFmtId="0" fontId="29" fillId="0" borderId="0"/>
    <xf numFmtId="0" fontId="87" fillId="34" borderId="0" applyNumberFormat="0" applyBorder="0" applyAlignment="0" applyProtection="0">
      <alignment vertical="center"/>
    </xf>
    <xf numFmtId="0" fontId="73" fillId="0" borderId="0">
      <alignment vertical="center"/>
    </xf>
    <xf numFmtId="0" fontId="107" fillId="0" borderId="0">
      <alignment vertical="center"/>
    </xf>
    <xf numFmtId="0" fontId="6" fillId="21" borderId="52" applyNumberFormat="0" applyFont="0" applyAlignment="0" applyProtection="0">
      <alignment vertical="center"/>
    </xf>
    <xf numFmtId="0" fontId="38" fillId="0" borderId="0" applyNumberFormat="0" applyFill="0" applyBorder="0" applyAlignment="0" applyProtection="0">
      <alignment vertical="center"/>
    </xf>
    <xf numFmtId="0" fontId="101" fillId="0" borderId="0"/>
    <xf numFmtId="0" fontId="95" fillId="25" borderId="0" applyNumberFormat="0" applyBorder="0" applyAlignment="0" applyProtection="0">
      <alignment vertical="center"/>
    </xf>
    <xf numFmtId="0" fontId="95" fillId="25" borderId="0" applyNumberFormat="0" applyBorder="0" applyAlignment="0" applyProtection="0">
      <alignment vertical="center"/>
    </xf>
    <xf numFmtId="0" fontId="95" fillId="25" borderId="0" applyNumberFormat="0" applyBorder="0" applyAlignment="0" applyProtection="0">
      <alignment vertical="center"/>
    </xf>
    <xf numFmtId="0" fontId="82" fillId="0" borderId="49" applyNumberFormat="0" applyFill="0" applyAlignment="0" applyProtection="0">
      <alignment vertical="center"/>
    </xf>
    <xf numFmtId="0" fontId="92" fillId="7" borderId="53" applyNumberFormat="0" applyAlignment="0" applyProtection="0">
      <alignment vertical="center"/>
    </xf>
    <xf numFmtId="0" fontId="82" fillId="0" borderId="49" applyNumberFormat="0" applyFill="0" applyAlignment="0" applyProtection="0">
      <alignment vertical="center"/>
    </xf>
    <xf numFmtId="0" fontId="82" fillId="0" borderId="49" applyNumberFormat="0" applyFill="0" applyAlignment="0" applyProtection="0">
      <alignment vertical="center"/>
    </xf>
    <xf numFmtId="0" fontId="82" fillId="0" borderId="49" applyNumberFormat="0" applyFill="0" applyAlignment="0" applyProtection="0">
      <alignment vertical="center"/>
    </xf>
    <xf numFmtId="0" fontId="73" fillId="0" borderId="0"/>
    <xf numFmtId="0" fontId="87" fillId="33" borderId="0" applyNumberFormat="0" applyBorder="0" applyAlignment="0" applyProtection="0">
      <alignment vertical="center"/>
    </xf>
    <xf numFmtId="0" fontId="82" fillId="0" borderId="49" applyNumberFormat="0" applyFill="0" applyAlignment="0" applyProtection="0">
      <alignment vertical="center"/>
    </xf>
    <xf numFmtId="0" fontId="92" fillId="7" borderId="53" applyNumberFormat="0" applyAlignment="0" applyProtection="0">
      <alignment vertical="center"/>
    </xf>
    <xf numFmtId="0" fontId="92" fillId="7" borderId="53" applyNumberFormat="0" applyAlignment="0" applyProtection="0">
      <alignment vertical="center"/>
    </xf>
    <xf numFmtId="0" fontId="92" fillId="7" borderId="53" applyNumberFormat="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6" fillId="21" borderId="52" applyNumberFormat="0" applyFon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 fillId="21" borderId="52" applyNumberFormat="0" applyFont="0" applyAlignment="0" applyProtection="0">
      <alignment vertical="center"/>
    </xf>
    <xf numFmtId="0" fontId="86" fillId="0" borderId="48" applyNumberFormat="0" applyFill="0" applyAlignment="0" applyProtection="0">
      <alignment vertical="center"/>
    </xf>
    <xf numFmtId="0" fontId="6" fillId="21" borderId="52" applyNumberFormat="0" applyFont="0" applyAlignment="0" applyProtection="0">
      <alignment vertical="center"/>
    </xf>
    <xf numFmtId="0" fontId="86" fillId="0" borderId="48" applyNumberFormat="0" applyFill="0" applyAlignment="0" applyProtection="0">
      <alignment vertical="center"/>
    </xf>
    <xf numFmtId="0" fontId="86" fillId="0" borderId="48" applyNumberFormat="0" applyFill="0" applyAlignment="0" applyProtection="0">
      <alignment vertical="center"/>
    </xf>
    <xf numFmtId="43" fontId="29" fillId="0" borderId="0" applyFont="0" applyFill="0" applyBorder="0" applyAlignment="0" applyProtection="0"/>
    <xf numFmtId="43" fontId="29" fillId="0" borderId="0" applyFont="0" applyFill="0" applyBorder="0" applyAlignment="0" applyProtection="0"/>
    <xf numFmtId="0" fontId="87" fillId="22" borderId="0" applyNumberFormat="0" applyBorder="0" applyAlignment="0" applyProtection="0">
      <alignment vertical="center"/>
    </xf>
    <xf numFmtId="0" fontId="87" fillId="22" borderId="0" applyNumberFormat="0" applyBorder="0" applyAlignment="0" applyProtection="0">
      <alignment vertical="center"/>
    </xf>
    <xf numFmtId="0" fontId="87" fillId="22" borderId="0" applyNumberFormat="0" applyBorder="0" applyAlignment="0" applyProtection="0">
      <alignment vertical="center"/>
    </xf>
    <xf numFmtId="0" fontId="87" fillId="22" borderId="0" applyNumberFormat="0" applyBorder="0" applyAlignment="0" applyProtection="0">
      <alignment vertical="center"/>
    </xf>
    <xf numFmtId="0" fontId="87" fillId="16" borderId="0" applyNumberFormat="0" applyBorder="0" applyAlignment="0" applyProtection="0">
      <alignment vertical="center"/>
    </xf>
    <xf numFmtId="0" fontId="87" fillId="16" borderId="0" applyNumberFormat="0" applyBorder="0" applyAlignment="0" applyProtection="0">
      <alignment vertical="center"/>
    </xf>
    <xf numFmtId="0" fontId="87" fillId="16" borderId="0" applyNumberFormat="0" applyBorder="0" applyAlignment="0" applyProtection="0">
      <alignment vertical="center"/>
    </xf>
    <xf numFmtId="0" fontId="97" fillId="30" borderId="51" applyNumberFormat="0" applyAlignment="0" applyProtection="0">
      <alignment vertical="center"/>
    </xf>
    <xf numFmtId="0" fontId="87" fillId="33" borderId="0" applyNumberFormat="0" applyBorder="0" applyAlignment="0" applyProtection="0">
      <alignment vertical="center"/>
    </xf>
    <xf numFmtId="0" fontId="87" fillId="33" borderId="0" applyNumberFormat="0" applyBorder="0" applyAlignment="0" applyProtection="0">
      <alignment vertical="center"/>
    </xf>
    <xf numFmtId="0" fontId="87" fillId="33" borderId="0" applyNumberFormat="0" applyBorder="0" applyAlignment="0" applyProtection="0">
      <alignment vertical="center"/>
    </xf>
    <xf numFmtId="0" fontId="87" fillId="23" borderId="0" applyNumberFormat="0" applyBorder="0" applyAlignment="0" applyProtection="0">
      <alignment vertical="center"/>
    </xf>
    <xf numFmtId="0" fontId="97" fillId="30" borderId="51" applyNumberFormat="0" applyAlignment="0" applyProtection="0">
      <alignment vertical="center"/>
    </xf>
    <xf numFmtId="0" fontId="87" fillId="23" borderId="0" applyNumberFormat="0" applyBorder="0" applyAlignment="0" applyProtection="0">
      <alignment vertical="center"/>
    </xf>
    <xf numFmtId="0" fontId="87" fillId="28" borderId="0" applyNumberFormat="0" applyBorder="0" applyAlignment="0" applyProtection="0">
      <alignment vertical="center"/>
    </xf>
    <xf numFmtId="0" fontId="87" fillId="28" borderId="0" applyNumberFormat="0" applyBorder="0" applyAlignment="0" applyProtection="0">
      <alignment vertical="center"/>
    </xf>
    <xf numFmtId="0" fontId="87" fillId="28" borderId="0" applyNumberFormat="0" applyBorder="0" applyAlignment="0" applyProtection="0">
      <alignment vertical="center"/>
    </xf>
    <xf numFmtId="0" fontId="87" fillId="34" borderId="0" applyNumberFormat="0" applyBorder="0" applyAlignment="0" applyProtection="0">
      <alignment vertical="center"/>
    </xf>
    <xf numFmtId="0" fontId="87" fillId="34" borderId="0" applyNumberFormat="0" applyBorder="0" applyAlignment="0" applyProtection="0">
      <alignment vertical="center"/>
    </xf>
    <xf numFmtId="0" fontId="87" fillId="34" borderId="0" applyNumberFormat="0" applyBorder="0" applyAlignment="0" applyProtection="0">
      <alignment vertical="center"/>
    </xf>
    <xf numFmtId="0" fontId="87" fillId="34" borderId="0" applyNumberFormat="0" applyBorder="0" applyAlignment="0" applyProtection="0">
      <alignment vertical="center"/>
    </xf>
    <xf numFmtId="0" fontId="87" fillId="34" borderId="0" applyNumberFormat="0" applyBorder="0" applyAlignment="0" applyProtection="0">
      <alignment vertical="center"/>
    </xf>
    <xf numFmtId="0" fontId="87" fillId="34" borderId="0" applyNumberFormat="0" applyBorder="0" applyAlignment="0" applyProtection="0">
      <alignment vertical="center"/>
    </xf>
    <xf numFmtId="0" fontId="93" fillId="26" borderId="0" applyNumberFormat="0" applyBorder="0" applyAlignment="0" applyProtection="0">
      <alignment vertical="center"/>
    </xf>
    <xf numFmtId="0" fontId="93" fillId="26" borderId="0" applyNumberFormat="0" applyBorder="0" applyAlignment="0" applyProtection="0">
      <alignment vertical="center"/>
    </xf>
    <xf numFmtId="0" fontId="93" fillId="26" borderId="0" applyNumberFormat="0" applyBorder="0" applyAlignment="0" applyProtection="0">
      <alignment vertical="center"/>
    </xf>
    <xf numFmtId="0" fontId="88" fillId="17" borderId="50" applyNumberFormat="0" applyAlignment="0" applyProtection="0">
      <alignment vertical="center"/>
    </xf>
    <xf numFmtId="0" fontId="88" fillId="17" borderId="50" applyNumberFormat="0" applyAlignment="0" applyProtection="0">
      <alignment vertical="center"/>
    </xf>
    <xf numFmtId="0" fontId="88" fillId="17" borderId="50" applyNumberFormat="0" applyAlignment="0" applyProtection="0">
      <alignment vertical="center"/>
    </xf>
    <xf numFmtId="0" fontId="88" fillId="17" borderId="50" applyNumberFormat="0" applyAlignment="0" applyProtection="0">
      <alignment vertical="center"/>
    </xf>
    <xf numFmtId="0" fontId="91" fillId="0" borderId="0"/>
    <xf numFmtId="0" fontId="97" fillId="30" borderId="51" applyNumberFormat="0" applyAlignment="0" applyProtection="0">
      <alignment vertical="center"/>
    </xf>
    <xf numFmtId="0" fontId="91" fillId="0" borderId="0"/>
    <xf numFmtId="0" fontId="97" fillId="30" borderId="51" applyNumberFormat="0" applyAlignment="0" applyProtection="0">
      <alignment vertical="center"/>
    </xf>
    <xf numFmtId="0" fontId="97" fillId="30" borderId="51" applyNumberFormat="0" applyAlignment="0" applyProtection="0">
      <alignment vertical="center"/>
    </xf>
    <xf numFmtId="0" fontId="97" fillId="30" borderId="51" applyNumberFormat="0" applyAlignment="0" applyProtection="0">
      <alignment vertical="center"/>
    </xf>
    <xf numFmtId="0" fontId="97" fillId="30" borderId="51" applyNumberFormat="0" applyAlignment="0" applyProtection="0">
      <alignment vertical="center"/>
    </xf>
    <xf numFmtId="0" fontId="104" fillId="0" borderId="0"/>
    <xf numFmtId="0" fontId="73" fillId="0" borderId="0"/>
    <xf numFmtId="0" fontId="91" fillId="0" borderId="0"/>
    <xf numFmtId="0" fontId="91" fillId="0" borderId="0"/>
    <xf numFmtId="0" fontId="6" fillId="21" borderId="52" applyNumberFormat="0" applyFont="0" applyAlignment="0" applyProtection="0">
      <alignment vertical="center"/>
    </xf>
    <xf numFmtId="0" fontId="6" fillId="21" borderId="52" applyNumberFormat="0" applyFont="0" applyAlignment="0" applyProtection="0">
      <alignment vertical="center"/>
    </xf>
    <xf numFmtId="0" fontId="6" fillId="21" borderId="52" applyNumberFormat="0" applyFont="0" applyAlignment="0" applyProtection="0">
      <alignment vertical="center"/>
    </xf>
    <xf numFmtId="0" fontId="6" fillId="21" borderId="52" applyNumberFormat="0" applyFont="0" applyAlignment="0" applyProtection="0">
      <alignment vertical="center"/>
    </xf>
    <xf numFmtId="0" fontId="6" fillId="21" borderId="52" applyNumberFormat="0" applyFont="0" applyAlignment="0" applyProtection="0">
      <alignment vertical="center"/>
    </xf>
    <xf numFmtId="0" fontId="6" fillId="21" borderId="52" applyNumberFormat="0" applyFont="0" applyAlignment="0" applyProtection="0">
      <alignment vertical="center"/>
    </xf>
    <xf numFmtId="0" fontId="6" fillId="21" borderId="52" applyNumberFormat="0" applyFont="0" applyAlignment="0" applyProtection="0">
      <alignment vertical="center"/>
    </xf>
    <xf numFmtId="0" fontId="6" fillId="21" borderId="52" applyNumberFormat="0" applyFont="0" applyAlignment="0" applyProtection="0">
      <alignment vertical="center"/>
    </xf>
    <xf numFmtId="0" fontId="6" fillId="21" borderId="52" applyNumberFormat="0" applyFont="0" applyAlignment="0" applyProtection="0">
      <alignment vertical="center"/>
    </xf>
    <xf numFmtId="0" fontId="6" fillId="21" borderId="52" applyNumberFormat="0" applyFont="0" applyAlignment="0" applyProtection="0">
      <alignment vertical="center"/>
    </xf>
    <xf numFmtId="0" fontId="6" fillId="21" borderId="52" applyNumberFormat="0" applyFont="0" applyAlignment="0" applyProtection="0">
      <alignment vertical="center"/>
    </xf>
    <xf numFmtId="0" fontId="6" fillId="21" borderId="52" applyNumberFormat="0" applyFont="0" applyAlignment="0" applyProtection="0">
      <alignment vertical="center"/>
    </xf>
    <xf numFmtId="0" fontId="6" fillId="21" borderId="52" applyNumberFormat="0" applyFont="0" applyAlignment="0" applyProtection="0">
      <alignment vertical="center"/>
    </xf>
    <xf numFmtId="0" fontId="6" fillId="21" borderId="52" applyNumberFormat="0" applyFont="0" applyAlignment="0" applyProtection="0">
      <alignment vertical="center"/>
    </xf>
    <xf numFmtId="0" fontId="6" fillId="21" borderId="52" applyNumberFormat="0" applyFont="0" applyAlignment="0" applyProtection="0">
      <alignment vertical="center"/>
    </xf>
    <xf numFmtId="0" fontId="29" fillId="0" borderId="0"/>
    <xf numFmtId="0" fontId="105" fillId="0" borderId="0" applyNumberFormat="0" applyFill="0" applyBorder="0" applyAlignment="0" applyProtection="0">
      <alignment vertical="center"/>
    </xf>
    <xf numFmtId="38" fontId="29" fillId="0" borderId="0" applyFont="0" applyFill="0" applyBorder="0" applyAlignment="0" applyProtection="0">
      <alignment vertical="center"/>
    </xf>
    <xf numFmtId="0" fontId="26" fillId="0" borderId="0">
      <alignment vertical="center"/>
    </xf>
  </cellStyleXfs>
  <cellXfs count="397">
    <xf numFmtId="0" fontId="0" fillId="0" borderId="0" xfId="0">
      <alignment vertical="center"/>
    </xf>
    <xf numFmtId="0" fontId="2" fillId="0" borderId="0" xfId="0" applyFont="1" applyAlignment="1">
      <alignment horizontal="justify"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justify" vertical="center" wrapText="1"/>
    </xf>
    <xf numFmtId="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6" fillId="0" borderId="0" xfId="262" applyBorder="1">
      <alignment vertical="center"/>
    </xf>
    <xf numFmtId="0" fontId="7" fillId="0" borderId="0" xfId="262" applyNumberFormat="1" applyFont="1" applyFill="1" applyBorder="1" applyAlignment="1" applyProtection="1">
      <alignment horizontal="center" vertical="center"/>
    </xf>
    <xf numFmtId="0" fontId="6" fillId="0" borderId="0" xfId="262" applyFill="1">
      <alignment vertical="center"/>
    </xf>
    <xf numFmtId="0" fontId="6" fillId="0" borderId="0" xfId="262"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vertical="center"/>
    </xf>
    <xf numFmtId="0" fontId="6" fillId="0" borderId="0" xfId="262">
      <alignment vertical="center"/>
    </xf>
    <xf numFmtId="0" fontId="6" fillId="0" borderId="0" xfId="262" applyNumberFormat="1">
      <alignment vertical="center"/>
    </xf>
    <xf numFmtId="0" fontId="6" fillId="0" borderId="0" xfId="262" applyNumberFormat="1" applyAlignment="1">
      <alignment horizontal="center" vertical="center"/>
    </xf>
    <xf numFmtId="14" fontId="6" fillId="0" borderId="0" xfId="262" applyNumberFormat="1">
      <alignment vertical="center"/>
    </xf>
    <xf numFmtId="181" fontId="6" fillId="0" borderId="0" xfId="262" applyNumberFormat="1">
      <alignment vertical="center"/>
    </xf>
    <xf numFmtId="183" fontId="8" fillId="0" borderId="0" xfId="64" applyNumberFormat="1" applyFont="1" applyFill="1" applyBorder="1" applyAlignment="1" applyProtection="1">
      <alignment vertical="center"/>
    </xf>
    <xf numFmtId="183" fontId="9" fillId="0" borderId="0" xfId="64" applyNumberFormat="1" applyFont="1" applyFill="1" applyBorder="1" applyAlignment="1" applyProtection="1">
      <alignment vertical="center"/>
    </xf>
    <xf numFmtId="183" fontId="10" fillId="0" borderId="0" xfId="64" applyNumberFormat="1" applyFont="1" applyFill="1" applyBorder="1" applyAlignment="1" applyProtection="1">
      <alignment vertical="center"/>
    </xf>
    <xf numFmtId="183" fontId="10" fillId="0" borderId="0" xfId="64" applyNumberFormat="1" applyFont="1" applyFill="1" applyBorder="1" applyAlignment="1" applyProtection="1">
      <alignment horizontal="center" vertical="top"/>
    </xf>
    <xf numFmtId="0" fontId="6" fillId="0" borderId="0" xfId="262" applyNumberFormat="1" applyFont="1" applyFill="1" applyBorder="1" applyAlignment="1" applyProtection="1">
      <alignment horizontal="center" vertical="center"/>
    </xf>
    <xf numFmtId="0" fontId="6" fillId="0" borderId="0" xfId="262" applyNumberFormat="1" applyBorder="1" applyAlignment="1">
      <alignment horizontal="center" vertical="center"/>
    </xf>
    <xf numFmtId="183" fontId="14" fillId="0" borderId="6" xfId="262" applyNumberFormat="1" applyFont="1" applyFill="1" applyBorder="1" applyAlignment="1" applyProtection="1">
      <alignment horizontal="center" vertical="center"/>
    </xf>
    <xf numFmtId="0" fontId="15" fillId="0" borderId="7" xfId="262" applyFont="1" applyFill="1" applyBorder="1" applyAlignment="1">
      <alignment horizontal="center" vertical="center" wrapText="1"/>
    </xf>
    <xf numFmtId="49" fontId="16" fillId="4" borderId="8" xfId="262" applyNumberFormat="1" applyFont="1" applyFill="1" applyBorder="1" applyAlignment="1">
      <alignment horizontal="center" vertical="center" wrapText="1"/>
    </xf>
    <xf numFmtId="0" fontId="6" fillId="0" borderId="7" xfId="262" applyNumberFormat="1" applyFont="1" applyFill="1" applyBorder="1" applyAlignment="1">
      <alignment horizontal="center" vertical="center"/>
    </xf>
    <xf numFmtId="0" fontId="6" fillId="0" borderId="8" xfId="262" applyFill="1" applyBorder="1">
      <alignment vertical="center"/>
    </xf>
    <xf numFmtId="0" fontId="15" fillId="3" borderId="7" xfId="262" applyFont="1" applyFill="1" applyBorder="1" applyAlignment="1">
      <alignment horizontal="center" vertical="center" wrapText="1"/>
    </xf>
    <xf numFmtId="49" fontId="16" fillId="3" borderId="8" xfId="262" applyNumberFormat="1" applyFont="1" applyFill="1" applyBorder="1" applyAlignment="1">
      <alignment horizontal="center" vertical="center" wrapText="1"/>
    </xf>
    <xf numFmtId="0" fontId="6" fillId="3" borderId="7" xfId="262" applyNumberFormat="1" applyFont="1" applyFill="1" applyBorder="1" applyAlignment="1">
      <alignment horizontal="center" vertical="center"/>
    </xf>
    <xf numFmtId="0" fontId="6" fillId="3" borderId="8" xfId="262" applyFill="1" applyBorder="1">
      <alignment vertical="center"/>
    </xf>
    <xf numFmtId="0" fontId="6" fillId="0" borderId="7" xfId="262" applyNumberFormat="1" applyFill="1" applyBorder="1" applyAlignment="1">
      <alignment horizontal="center" vertical="center"/>
    </xf>
    <xf numFmtId="183" fontId="14" fillId="4" borderId="6" xfId="262" applyNumberFormat="1" applyFont="1" applyFill="1" applyBorder="1" applyAlignment="1" applyProtection="1">
      <alignment horizontal="center" vertical="center" shrinkToFit="1"/>
    </xf>
    <xf numFmtId="183" fontId="17" fillId="4" borderId="7" xfId="262" applyNumberFormat="1" applyFont="1" applyFill="1" applyBorder="1" applyAlignment="1" applyProtection="1">
      <alignment horizontal="center" vertical="center" shrinkToFit="1"/>
    </xf>
    <xf numFmtId="183" fontId="17" fillId="4" borderId="7" xfId="262" applyNumberFormat="1" applyFont="1" applyFill="1" applyBorder="1" applyAlignment="1" applyProtection="1">
      <alignment horizontal="center" vertical="top" shrinkToFit="1"/>
    </xf>
    <xf numFmtId="0" fontId="16" fillId="4" borderId="7" xfId="262" applyNumberFormat="1" applyFont="1" applyFill="1" applyBorder="1" applyAlignment="1">
      <alignment horizontal="center" vertical="center" shrinkToFit="1"/>
    </xf>
    <xf numFmtId="0" fontId="6" fillId="4" borderId="7" xfId="262" applyNumberFormat="1" applyFont="1" applyFill="1" applyBorder="1" applyAlignment="1" applyProtection="1">
      <alignment horizontal="center" vertical="center" shrinkToFit="1"/>
    </xf>
    <xf numFmtId="0" fontId="6" fillId="4" borderId="7" xfId="262" applyNumberFormat="1" applyFill="1" applyBorder="1" applyAlignment="1">
      <alignment horizontal="center" vertical="center" shrinkToFit="1"/>
    </xf>
    <xf numFmtId="0" fontId="6" fillId="3" borderId="7" xfId="262" applyFont="1" applyFill="1" applyBorder="1" applyAlignment="1">
      <alignment horizontal="center" vertical="center"/>
    </xf>
    <xf numFmtId="181" fontId="6" fillId="4" borderId="7" xfId="262" applyNumberFormat="1" applyFont="1" applyFill="1" applyBorder="1" applyAlignment="1">
      <alignment horizontal="center" vertical="center"/>
    </xf>
    <xf numFmtId="182" fontId="6" fillId="0" borderId="0" xfId="262" applyNumberFormat="1" applyFont="1" applyBorder="1" applyAlignment="1">
      <alignment horizontal="center" vertical="center"/>
    </xf>
    <xf numFmtId="0" fontId="18"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left" vertical="center"/>
    </xf>
    <xf numFmtId="182"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left" vertical="center" wrapText="1"/>
    </xf>
    <xf numFmtId="0" fontId="21" fillId="0" borderId="0" xfId="0" applyNumberFormat="1" applyFont="1" applyFill="1" applyBorder="1" applyAlignment="1" applyProtection="1">
      <alignment vertical="center" wrapText="1"/>
    </xf>
    <xf numFmtId="0" fontId="22" fillId="0" borderId="0" xfId="262" applyNumberFormat="1" applyFont="1" applyFill="1" applyBorder="1" applyAlignment="1" applyProtection="1">
      <alignment horizontal="left" vertical="center"/>
    </xf>
    <xf numFmtId="0" fontId="23" fillId="0" borderId="0" xfId="0" applyNumberFormat="1" applyFont="1" applyFill="1" applyBorder="1" applyAlignment="1" applyProtection="1">
      <alignment vertical="center"/>
    </xf>
    <xf numFmtId="14" fontId="6" fillId="0" borderId="0" xfId="262" applyNumberFormat="1" applyBorder="1">
      <alignment vertical="center"/>
    </xf>
    <xf numFmtId="183" fontId="10" fillId="0" borderId="0" xfId="64" applyNumberFormat="1" applyFont="1" applyFill="1" applyBorder="1" applyAlignment="1" applyProtection="1">
      <alignment horizontal="center" vertical="center"/>
    </xf>
    <xf numFmtId="0" fontId="12" fillId="3" borderId="7" xfId="355" applyNumberFormat="1" applyFont="1" applyFill="1" applyBorder="1" applyAlignment="1" applyProtection="1">
      <alignment horizontal="center" vertical="center" wrapText="1"/>
    </xf>
    <xf numFmtId="14" fontId="6" fillId="0" borderId="8" xfId="262" applyNumberFormat="1" applyFill="1" applyBorder="1">
      <alignment vertical="center"/>
    </xf>
    <xf numFmtId="179" fontId="14" fillId="0" borderId="7" xfId="262" applyNumberFormat="1" applyFont="1" applyFill="1" applyBorder="1" applyAlignment="1">
      <alignment vertical="center"/>
    </xf>
    <xf numFmtId="179" fontId="14" fillId="0" borderId="7" xfId="262" applyNumberFormat="1" applyFont="1" applyFill="1" applyBorder="1" applyAlignment="1">
      <alignment horizontal="center" vertical="center"/>
    </xf>
    <xf numFmtId="14" fontId="6" fillId="3" borderId="8" xfId="262" applyNumberFormat="1" applyFill="1" applyBorder="1">
      <alignment vertical="center"/>
    </xf>
    <xf numFmtId="179" fontId="14" fillId="0" borderId="7" xfId="262" applyNumberFormat="1" applyFont="1" applyFill="1" applyBorder="1">
      <alignment vertical="center"/>
    </xf>
    <xf numFmtId="0" fontId="6" fillId="4" borderId="8" xfId="262" applyNumberFormat="1" applyFont="1" applyFill="1" applyBorder="1" applyAlignment="1" applyProtection="1">
      <alignment horizontal="center" vertical="center" shrinkToFit="1"/>
    </xf>
    <xf numFmtId="14" fontId="6" fillId="4" borderId="8" xfId="262" applyNumberFormat="1" applyFont="1" applyFill="1" applyBorder="1" applyAlignment="1" applyProtection="1">
      <alignment horizontal="center" vertical="center" shrinkToFit="1"/>
    </xf>
    <xf numFmtId="182" fontId="17" fillId="4" borderId="7" xfId="262" applyNumberFormat="1" applyFont="1" applyFill="1" applyBorder="1" applyAlignment="1" applyProtection="1">
      <alignment horizontal="center" vertical="center" shrinkToFit="1"/>
    </xf>
    <xf numFmtId="14" fontId="6" fillId="0" borderId="0" xfId="0" applyNumberFormat="1" applyFont="1" applyFill="1" applyBorder="1" applyAlignment="1" applyProtection="1">
      <alignment vertical="center"/>
    </xf>
    <xf numFmtId="185" fontId="6" fillId="0" borderId="0" xfId="0" applyNumberFormat="1" applyFont="1" applyFill="1" applyBorder="1" applyAlignment="1" applyProtection="1">
      <alignment vertical="center"/>
    </xf>
    <xf numFmtId="14" fontId="6" fillId="0" borderId="0" xfId="0" applyNumberFormat="1" applyFont="1" applyFill="1" applyBorder="1" applyAlignment="1" applyProtection="1">
      <alignment horizontal="left" vertical="center" wrapText="1"/>
    </xf>
    <xf numFmtId="185" fontId="6" fillId="0" borderId="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vertical="center" wrapText="1"/>
    </xf>
    <xf numFmtId="14" fontId="6" fillId="0" borderId="0" xfId="0" applyNumberFormat="1" applyFont="1" applyFill="1" applyBorder="1" applyAlignment="1" applyProtection="1">
      <alignment vertical="center" wrapText="1"/>
    </xf>
    <xf numFmtId="185" fontId="6" fillId="0" borderId="0" xfId="0" applyNumberFormat="1" applyFont="1" applyFill="1" applyBorder="1" applyAlignment="1" applyProtection="1">
      <alignment vertical="center" wrapText="1"/>
    </xf>
    <xf numFmtId="14" fontId="21" fillId="0" borderId="0" xfId="0" applyNumberFormat="1" applyFont="1" applyFill="1" applyBorder="1" applyAlignment="1" applyProtection="1">
      <alignment vertical="center" wrapText="1"/>
    </xf>
    <xf numFmtId="179" fontId="0" fillId="0" borderId="0" xfId="262" applyNumberFormat="1" applyFont="1" applyFill="1" applyBorder="1" applyAlignment="1">
      <alignment horizontal="left" vertical="center"/>
    </xf>
    <xf numFmtId="0" fontId="13" fillId="3" borderId="7" xfId="355" applyNumberFormat="1" applyFont="1" applyFill="1" applyBorder="1" applyAlignment="1" applyProtection="1">
      <alignment horizontal="center" vertical="center" wrapText="1"/>
    </xf>
    <xf numFmtId="179" fontId="14" fillId="4" borderId="7" xfId="262" applyNumberFormat="1" applyFont="1" applyFill="1" applyBorder="1">
      <alignment vertical="center"/>
    </xf>
    <xf numFmtId="179" fontId="14" fillId="4" borderId="10" xfId="262" applyNumberFormat="1" applyFont="1" applyFill="1" applyBorder="1" applyAlignment="1">
      <alignment horizontal="center" vertical="center"/>
    </xf>
    <xf numFmtId="179" fontId="14" fillId="4" borderId="10" xfId="262" applyNumberFormat="1" applyFont="1" applyFill="1" applyBorder="1">
      <alignment vertical="center"/>
    </xf>
    <xf numFmtId="182" fontId="14" fillId="4" borderId="10" xfId="262" applyNumberFormat="1" applyFont="1" applyFill="1" applyBorder="1" applyAlignment="1" applyProtection="1">
      <alignment horizontal="center" vertical="center"/>
    </xf>
    <xf numFmtId="181" fontId="20" fillId="4" borderId="7" xfId="245" applyNumberFormat="1" applyFont="1" applyFill="1" applyBorder="1" applyAlignment="1" applyProtection="1">
      <alignment horizontal="center" vertical="center"/>
    </xf>
    <xf numFmtId="181" fontId="25" fillId="4" borderId="7" xfId="355" applyNumberFormat="1" applyFont="1" applyFill="1" applyBorder="1" applyAlignment="1" applyProtection="1">
      <alignment horizontal="center" vertical="center"/>
    </xf>
    <xf numFmtId="182" fontId="14" fillId="0" borderId="0" xfId="262" applyNumberFormat="1" applyFont="1" applyFill="1" applyBorder="1" applyAlignment="1" applyProtection="1">
      <alignment horizontal="center" vertical="center"/>
    </xf>
    <xf numFmtId="181" fontId="10" fillId="0" borderId="0" xfId="64" applyNumberFormat="1" applyFont="1" applyFill="1" applyBorder="1" applyAlignment="1" applyProtection="1">
      <alignment horizontal="center" vertical="center" wrapText="1"/>
    </xf>
    <xf numFmtId="182" fontId="14" fillId="4" borderId="7" xfId="262" applyNumberFormat="1" applyFont="1" applyFill="1" applyBorder="1" applyAlignment="1" applyProtection="1">
      <alignment horizontal="center" vertical="center"/>
    </xf>
    <xf numFmtId="181" fontId="16" fillId="0" borderId="7" xfId="262" applyNumberFormat="1" applyFont="1" applyFill="1" applyBorder="1" applyAlignment="1">
      <alignment horizontal="center" vertical="center" wrapText="1"/>
    </xf>
    <xf numFmtId="182" fontId="14" fillId="0" borderId="7" xfId="262" applyNumberFormat="1" applyFont="1" applyFill="1" applyBorder="1" applyAlignment="1" applyProtection="1">
      <alignment horizontal="center" vertical="center"/>
    </xf>
    <xf numFmtId="182" fontId="14" fillId="4" borderId="7" xfId="262" applyNumberFormat="1" applyFont="1" applyFill="1" applyBorder="1" applyAlignment="1" applyProtection="1">
      <alignment horizontal="center" vertical="center" shrinkToFit="1"/>
    </xf>
    <xf numFmtId="181" fontId="6" fillId="0" borderId="0" xfId="0" applyNumberFormat="1" applyFont="1" applyFill="1" applyBorder="1" applyAlignment="1" applyProtection="1">
      <alignment vertical="center"/>
    </xf>
    <xf numFmtId="49" fontId="6" fillId="0" borderId="0" xfId="262" applyNumberFormat="1" applyFont="1" applyFill="1" applyBorder="1" applyAlignment="1" applyProtection="1">
      <alignment horizontal="center" vertical="center"/>
    </xf>
    <xf numFmtId="0" fontId="25" fillId="4" borderId="7" xfId="262" applyFont="1" applyFill="1" applyBorder="1" applyAlignment="1">
      <alignment horizontal="center" vertical="center"/>
    </xf>
    <xf numFmtId="0" fontId="25" fillId="4" borderId="7" xfId="262" applyFont="1" applyFill="1" applyBorder="1" applyAlignment="1">
      <alignment horizontal="center" vertical="center" shrinkToFit="1"/>
    </xf>
    <xf numFmtId="0" fontId="6" fillId="3" borderId="0" xfId="262" applyFill="1">
      <alignment vertical="center"/>
    </xf>
    <xf numFmtId="183" fontId="14" fillId="3" borderId="6" xfId="262" applyNumberFormat="1" applyFont="1" applyFill="1" applyBorder="1" applyAlignment="1" applyProtection="1">
      <alignment horizontal="center" vertical="center"/>
    </xf>
    <xf numFmtId="179" fontId="14" fillId="3" borderId="7" xfId="262" applyNumberFormat="1" applyFont="1" applyFill="1" applyBorder="1" applyAlignment="1">
      <alignment vertical="center"/>
    </xf>
    <xf numFmtId="179" fontId="14" fillId="3" borderId="7" xfId="262" applyNumberFormat="1" applyFont="1" applyFill="1" applyBorder="1" applyAlignment="1">
      <alignment horizontal="center" vertical="center"/>
    </xf>
    <xf numFmtId="179" fontId="14" fillId="3" borderId="7" xfId="262" applyNumberFormat="1" applyFont="1" applyFill="1" applyBorder="1">
      <alignment vertical="center"/>
    </xf>
    <xf numFmtId="179" fontId="14" fillId="3" borderId="10" xfId="262" applyNumberFormat="1" applyFont="1" applyFill="1" applyBorder="1" applyAlignment="1">
      <alignment horizontal="center" vertical="center"/>
    </xf>
    <xf numFmtId="179" fontId="14" fillId="3" borderId="10" xfId="262" applyNumberFormat="1" applyFont="1" applyFill="1" applyBorder="1">
      <alignment vertical="center"/>
    </xf>
    <xf numFmtId="182" fontId="14" fillId="3" borderId="10" xfId="262" applyNumberFormat="1" applyFont="1" applyFill="1" applyBorder="1" applyAlignment="1" applyProtection="1">
      <alignment horizontal="center" vertical="center"/>
    </xf>
    <xf numFmtId="181" fontId="20" fillId="3" borderId="7" xfId="245" applyNumberFormat="1" applyFont="1" applyFill="1" applyBorder="1" applyAlignment="1" applyProtection="1">
      <alignment horizontal="center" vertical="center"/>
    </xf>
    <xf numFmtId="181" fontId="25" fillId="3" borderId="7" xfId="355" applyNumberFormat="1" applyFont="1" applyFill="1" applyBorder="1" applyAlignment="1" applyProtection="1">
      <alignment horizontal="center" vertical="center"/>
    </xf>
    <xf numFmtId="182" fontId="14" fillId="3" borderId="7" xfId="262" applyNumberFormat="1" applyFont="1" applyFill="1" applyBorder="1" applyAlignment="1" applyProtection="1">
      <alignment horizontal="center" vertical="center"/>
    </xf>
    <xf numFmtId="181" fontId="16" fillId="3" borderId="7" xfId="262" applyNumberFormat="1" applyFont="1" applyFill="1" applyBorder="1" applyAlignment="1">
      <alignment horizontal="center" vertical="center" wrapText="1"/>
    </xf>
    <xf numFmtId="182" fontId="6" fillId="0" borderId="0" xfId="262" applyNumberFormat="1">
      <alignment vertical="center"/>
    </xf>
    <xf numFmtId="0" fontId="25" fillId="3" borderId="7" xfId="262" applyFont="1" applyFill="1" applyBorder="1" applyAlignment="1">
      <alignment horizontal="center" vertical="center"/>
    </xf>
    <xf numFmtId="0" fontId="26" fillId="6" borderId="7" xfId="226" applyFont="1" applyFill="1" applyBorder="1" applyAlignment="1">
      <alignment horizontal="left" vertical="center"/>
    </xf>
    <xf numFmtId="49" fontId="26" fillId="0" borderId="7" xfId="226" applyNumberFormat="1" applyFont="1" applyBorder="1" applyAlignment="1" applyProtection="1">
      <protection locked="0"/>
    </xf>
    <xf numFmtId="0" fontId="6" fillId="0" borderId="8" xfId="262" applyFont="1" applyFill="1" applyBorder="1" applyAlignment="1">
      <alignment vertical="center"/>
    </xf>
    <xf numFmtId="14" fontId="6" fillId="0" borderId="8" xfId="262" applyNumberFormat="1" applyFont="1" applyFill="1" applyBorder="1" applyAlignment="1">
      <alignment vertical="center"/>
    </xf>
    <xf numFmtId="0" fontId="14" fillId="0" borderId="7" xfId="262" applyNumberFormat="1" applyFont="1" applyFill="1" applyBorder="1">
      <alignment vertical="center"/>
    </xf>
    <xf numFmtId="181" fontId="17" fillId="4" borderId="7" xfId="262" applyNumberFormat="1" applyFont="1" applyFill="1" applyBorder="1" applyAlignment="1" applyProtection="1">
      <alignment horizontal="center" vertical="center" shrinkToFit="1"/>
    </xf>
    <xf numFmtId="0" fontId="27" fillId="0" borderId="0" xfId="0" applyNumberFormat="1" applyFont="1" applyFill="1" applyBorder="1" applyAlignment="1" applyProtection="1">
      <alignment horizontal="center" vertical="center"/>
      <protection locked="0"/>
    </xf>
    <xf numFmtId="0" fontId="27" fillId="0" borderId="0" xfId="0" applyNumberFormat="1" applyFont="1" applyFill="1" applyBorder="1" applyAlignment="1" applyProtection="1">
      <alignment horizontal="left" vertical="center"/>
      <protection locked="0"/>
    </xf>
    <xf numFmtId="0" fontId="14" fillId="0" borderId="0" xfId="0" applyNumberFormat="1" applyFont="1" applyFill="1" applyBorder="1" applyAlignment="1" applyProtection="1">
      <alignment horizontal="left" vertical="center"/>
      <protection locked="0"/>
    </xf>
    <xf numFmtId="49" fontId="29" fillId="0" borderId="7" xfId="0" applyNumberFormat="1" applyFont="1" applyFill="1" applyBorder="1" applyAlignment="1">
      <alignment vertical="center"/>
    </xf>
    <xf numFmtId="49" fontId="25" fillId="0" borderId="13" xfId="0" applyNumberFormat="1" applyFont="1" applyFill="1" applyBorder="1" applyAlignment="1">
      <alignment vertical="center" wrapText="1"/>
    </xf>
    <xf numFmtId="49" fontId="30" fillId="0" borderId="7" xfId="0" applyNumberFormat="1" applyFont="1" applyFill="1" applyBorder="1" applyAlignment="1">
      <alignment horizontal="left" vertical="center"/>
    </xf>
    <xf numFmtId="0" fontId="32" fillId="8" borderId="7" xfId="317" applyNumberFormat="1" applyFont="1" applyFill="1" applyBorder="1" applyAlignment="1" applyProtection="1">
      <alignment horizontal="center" vertical="center" wrapText="1"/>
    </xf>
    <xf numFmtId="14" fontId="33" fillId="9" borderId="7" xfId="0" applyNumberFormat="1" applyFont="1" applyFill="1" applyBorder="1" applyAlignment="1">
      <alignment vertical="center"/>
    </xf>
    <xf numFmtId="14" fontId="14" fillId="0" borderId="0" xfId="0" applyNumberFormat="1" applyFont="1" applyFill="1" applyBorder="1" applyAlignment="1" applyProtection="1">
      <alignment horizontal="left" vertical="center"/>
      <protection locked="0"/>
    </xf>
    <xf numFmtId="0" fontId="33" fillId="0" borderId="7" xfId="0" applyNumberFormat="1" applyFont="1" applyFill="1" applyBorder="1" applyAlignment="1">
      <alignment horizontal="center" vertical="center"/>
    </xf>
    <xf numFmtId="9" fontId="14" fillId="0" borderId="0" xfId="13" applyFont="1" applyBorder="1" applyAlignment="1" applyProtection="1">
      <alignment horizontal="left" vertical="center"/>
      <protection locked="0"/>
    </xf>
    <xf numFmtId="0" fontId="6" fillId="0" borderId="0" xfId="0" applyFont="1" applyFill="1" applyAlignment="1">
      <alignment horizontal="center" vertical="center"/>
    </xf>
    <xf numFmtId="0" fontId="6" fillId="0" borderId="0" xfId="0" applyFont="1" applyFill="1" applyAlignment="1">
      <alignment vertical="center"/>
    </xf>
    <xf numFmtId="0" fontId="35" fillId="0" borderId="0" xfId="0" applyFont="1" applyFill="1" applyAlignment="1">
      <alignment vertical="center"/>
    </xf>
    <xf numFmtId="0" fontId="35" fillId="11" borderId="0" xfId="0" applyFont="1" applyFill="1" applyAlignment="1">
      <alignment vertical="center"/>
    </xf>
    <xf numFmtId="0" fontId="36" fillId="0" borderId="0" xfId="0" applyFont="1" applyFill="1" applyAlignment="1">
      <alignment vertical="center"/>
    </xf>
    <xf numFmtId="0" fontId="37" fillId="0" borderId="0" xfId="0" applyFont="1" applyFill="1" applyAlignment="1">
      <alignment vertical="center"/>
    </xf>
    <xf numFmtId="0" fontId="38" fillId="0" borderId="0" xfId="0" applyFont="1" applyFill="1" applyAlignment="1">
      <alignment vertical="center"/>
    </xf>
    <xf numFmtId="0" fontId="6" fillId="0" borderId="0" xfId="0" applyNumberFormat="1" applyFont="1" applyFill="1" applyAlignment="1">
      <alignment vertical="center"/>
    </xf>
    <xf numFmtId="0" fontId="39" fillId="0" borderId="0" xfId="0" applyFont="1" applyFill="1" applyAlignment="1">
      <alignment vertical="center"/>
    </xf>
    <xf numFmtId="0" fontId="40" fillId="0" borderId="7" xfId="0" applyFont="1" applyFill="1" applyBorder="1" applyAlignment="1">
      <alignment horizontal="center"/>
    </xf>
    <xf numFmtId="49" fontId="40" fillId="0" borderId="7" xfId="0" applyNumberFormat="1" applyFont="1" applyFill="1" applyBorder="1" applyAlignment="1">
      <alignment horizontal="center" vertical="center"/>
    </xf>
    <xf numFmtId="0" fontId="16" fillId="0" borderId="7" xfId="0" applyFont="1" applyFill="1" applyBorder="1" applyAlignment="1" applyProtection="1">
      <alignment horizontal="center" vertical="center"/>
      <protection locked="0"/>
    </xf>
    <xf numFmtId="49" fontId="40" fillId="0" borderId="7" xfId="0" applyNumberFormat="1" applyFont="1" applyFill="1" applyBorder="1" applyAlignment="1">
      <alignment horizontal="center"/>
    </xf>
    <xf numFmtId="0" fontId="41" fillId="0" borderId="7" xfId="0" applyFont="1" applyFill="1" applyBorder="1" applyAlignment="1">
      <alignment horizontal="center" vertical="center"/>
    </xf>
    <xf numFmtId="49" fontId="42" fillId="0" borderId="7" xfId="0" applyNumberFormat="1" applyFont="1" applyFill="1" applyBorder="1" applyAlignment="1">
      <alignment horizontal="center" vertical="center"/>
    </xf>
    <xf numFmtId="0" fontId="40" fillId="11" borderId="7" xfId="0" applyFont="1" applyFill="1" applyBorder="1" applyAlignment="1">
      <alignment horizontal="center"/>
    </xf>
    <xf numFmtId="49" fontId="40" fillId="11" borderId="7" xfId="0" applyNumberFormat="1" applyFont="1" applyFill="1" applyBorder="1" applyAlignment="1">
      <alignment horizontal="center" vertical="center"/>
    </xf>
    <xf numFmtId="0" fontId="16" fillId="11" borderId="7" xfId="0" applyFont="1" applyFill="1" applyBorder="1" applyAlignment="1" applyProtection="1">
      <alignment horizontal="center" vertical="center"/>
      <protection locked="0"/>
    </xf>
    <xf numFmtId="49" fontId="40" fillId="11" borderId="7" xfId="0" applyNumberFormat="1" applyFont="1" applyFill="1" applyBorder="1" applyAlignment="1">
      <alignment horizontal="center"/>
    </xf>
    <xf numFmtId="0" fontId="41" fillId="11" borderId="7" xfId="0" applyFont="1" applyFill="1" applyBorder="1" applyAlignment="1">
      <alignment horizontal="center" vertical="center"/>
    </xf>
    <xf numFmtId="49" fontId="42" fillId="11" borderId="7" xfId="0" applyNumberFormat="1" applyFont="1" applyFill="1" applyBorder="1" applyAlignment="1">
      <alignment horizontal="center" vertical="center"/>
    </xf>
    <xf numFmtId="49" fontId="40" fillId="0" borderId="7" xfId="0" applyNumberFormat="1" applyFont="1" applyFill="1" applyBorder="1" applyAlignment="1">
      <alignment horizontal="left" vertical="center"/>
    </xf>
    <xf numFmtId="49" fontId="40" fillId="11" borderId="7" xfId="0" applyNumberFormat="1" applyFont="1" applyFill="1" applyBorder="1" applyAlignment="1">
      <alignment horizontal="left" vertical="center"/>
    </xf>
    <xf numFmtId="0" fontId="43" fillId="0" borderId="14" xfId="0" applyFont="1" applyFill="1" applyBorder="1" applyAlignment="1">
      <alignment horizontal="center"/>
    </xf>
    <xf numFmtId="49" fontId="43" fillId="0" borderId="14" xfId="0" applyNumberFormat="1" applyFont="1" applyFill="1" applyBorder="1" applyAlignment="1">
      <alignment horizontal="center" vertical="center"/>
    </xf>
    <xf numFmtId="0" fontId="16" fillId="0" borderId="6" xfId="0" applyFont="1" applyFill="1" applyBorder="1" applyAlignment="1" applyProtection="1">
      <alignment horizontal="center" vertical="center"/>
      <protection locked="0"/>
    </xf>
    <xf numFmtId="49" fontId="43" fillId="0" borderId="6" xfId="0" applyNumberFormat="1" applyFont="1" applyFill="1" applyBorder="1" applyAlignment="1">
      <alignment horizontal="center"/>
    </xf>
    <xf numFmtId="49" fontId="44" fillId="0" borderId="15" xfId="0" applyNumberFormat="1" applyFont="1" applyFill="1" applyBorder="1" applyAlignment="1">
      <alignment horizontal="center" vertical="center"/>
    </xf>
    <xf numFmtId="0" fontId="45" fillId="0" borderId="6" xfId="0" applyFont="1" applyFill="1" applyBorder="1" applyAlignment="1">
      <alignment horizontal="center" vertical="center"/>
    </xf>
    <xf numFmtId="49" fontId="46" fillId="0" borderId="6" xfId="0" applyNumberFormat="1" applyFont="1" applyFill="1" applyBorder="1" applyAlignment="1">
      <alignment horizontal="center" vertical="center"/>
    </xf>
    <xf numFmtId="49" fontId="44" fillId="0" borderId="6" xfId="0" applyNumberFormat="1" applyFont="1" applyFill="1" applyBorder="1" applyAlignment="1">
      <alignment horizontal="center"/>
    </xf>
    <xf numFmtId="0" fontId="19" fillId="12" borderId="16" xfId="0" applyFont="1" applyFill="1" applyBorder="1" applyAlignment="1">
      <alignment horizontal="left" vertical="center"/>
    </xf>
    <xf numFmtId="4" fontId="19" fillId="12" borderId="17" xfId="0" applyNumberFormat="1" applyFont="1" applyFill="1" applyBorder="1" applyAlignment="1">
      <alignment horizontal="right" vertical="center"/>
    </xf>
    <xf numFmtId="4" fontId="19" fillId="12" borderId="6" xfId="0" applyNumberFormat="1" applyFont="1" applyFill="1" applyBorder="1" applyAlignment="1">
      <alignment horizontal="right" vertical="center"/>
    </xf>
    <xf numFmtId="4" fontId="19" fillId="12" borderId="15" xfId="0" applyNumberFormat="1" applyFont="1" applyFill="1" applyBorder="1" applyAlignment="1">
      <alignment horizontal="right" vertical="center"/>
    </xf>
    <xf numFmtId="0" fontId="19" fillId="12" borderId="18" xfId="0" applyFont="1" applyFill="1" applyBorder="1" applyAlignment="1">
      <alignment horizontal="left" vertical="center"/>
    </xf>
    <xf numFmtId="4" fontId="19" fillId="12" borderId="19" xfId="0" applyNumberFormat="1" applyFont="1" applyFill="1" applyBorder="1" applyAlignment="1">
      <alignment horizontal="right" vertical="center"/>
    </xf>
    <xf numFmtId="4" fontId="19" fillId="12" borderId="20" xfId="0" applyNumberFormat="1" applyFont="1" applyFill="1" applyBorder="1" applyAlignment="1">
      <alignment horizontal="right" vertical="center"/>
    </xf>
    <xf numFmtId="4" fontId="19" fillId="12" borderId="21" xfId="0" applyNumberFormat="1" applyFont="1" applyFill="1" applyBorder="1" applyAlignment="1">
      <alignment horizontal="right" vertical="center"/>
    </xf>
    <xf numFmtId="0" fontId="6" fillId="0" borderId="0" xfId="0" applyFont="1" applyFill="1" applyAlignment="1"/>
    <xf numFmtId="0" fontId="45" fillId="0" borderId="0" xfId="0" applyFont="1" applyFill="1" applyAlignment="1">
      <alignment vertical="center"/>
    </xf>
    <xf numFmtId="0" fontId="20" fillId="12" borderId="7" xfId="0" applyFont="1" applyFill="1" applyBorder="1" applyAlignment="1">
      <alignment horizontal="center" vertical="center" wrapText="1"/>
    </xf>
    <xf numFmtId="0" fontId="43" fillId="0" borderId="15" xfId="0" applyFont="1" applyFill="1" applyBorder="1" applyAlignment="1">
      <alignment horizontal="center"/>
    </xf>
    <xf numFmtId="0" fontId="44" fillId="0" borderId="15" xfId="0" applyFont="1" applyFill="1" applyBorder="1" applyAlignment="1">
      <alignment horizontal="center"/>
    </xf>
    <xf numFmtId="4" fontId="19" fillId="12" borderId="22" xfId="0" applyNumberFormat="1" applyFont="1" applyFill="1" applyBorder="1" applyAlignment="1">
      <alignment horizontal="right" vertical="center"/>
    </xf>
    <xf numFmtId="0" fontId="43" fillId="3" borderId="15" xfId="0" applyFont="1" applyFill="1" applyBorder="1" applyAlignment="1">
      <alignment horizontal="center"/>
    </xf>
    <xf numFmtId="0" fontId="44" fillId="3" borderId="15" xfId="0" applyFont="1" applyFill="1" applyBorder="1" applyAlignment="1">
      <alignment horizontal="center"/>
    </xf>
    <xf numFmtId="0" fontId="35" fillId="0" borderId="7" xfId="0" applyFont="1" applyFill="1" applyBorder="1" applyAlignment="1">
      <alignment vertical="center"/>
    </xf>
    <xf numFmtId="0" fontId="35" fillId="11" borderId="7" xfId="0" applyFont="1" applyFill="1" applyBorder="1" applyAlignment="1">
      <alignment vertical="center"/>
    </xf>
    <xf numFmtId="0" fontId="36" fillId="0" borderId="15" xfId="0" applyFont="1" applyFill="1" applyBorder="1" applyAlignment="1">
      <alignment vertical="center"/>
    </xf>
    <xf numFmtId="0" fontId="20" fillId="12" borderId="7" xfId="0" applyNumberFormat="1" applyFont="1" applyFill="1" applyBorder="1" applyAlignment="1">
      <alignment horizontal="center" vertical="center" wrapText="1"/>
    </xf>
    <xf numFmtId="186" fontId="47" fillId="0" borderId="7" xfId="0" applyNumberFormat="1" applyFont="1" applyFill="1" applyBorder="1" applyAlignment="1">
      <alignment horizontal="left" vertical="center"/>
    </xf>
    <xf numFmtId="0" fontId="40" fillId="0" borderId="7" xfId="0" applyNumberFormat="1" applyFont="1" applyFill="1" applyBorder="1" applyAlignment="1">
      <alignment horizontal="center"/>
    </xf>
    <xf numFmtId="186" fontId="47" fillId="11" borderId="7" xfId="0" applyNumberFormat="1" applyFont="1" applyFill="1" applyBorder="1" applyAlignment="1">
      <alignment horizontal="left" vertical="center"/>
    </xf>
    <xf numFmtId="0" fontId="40" fillId="11" borderId="7" xfId="0" applyNumberFormat="1" applyFont="1" applyFill="1" applyBorder="1" applyAlignment="1">
      <alignment horizontal="center"/>
    </xf>
    <xf numFmtId="49" fontId="43" fillId="0" borderId="15" xfId="0" applyNumberFormat="1" applyFont="1" applyFill="1" applyBorder="1" applyAlignment="1">
      <alignment horizontal="center" vertical="center"/>
    </xf>
    <xf numFmtId="186" fontId="48" fillId="0" borderId="15" xfId="0" applyNumberFormat="1" applyFont="1" applyFill="1" applyBorder="1" applyAlignment="1">
      <alignment horizontal="left" vertical="center"/>
    </xf>
    <xf numFmtId="0" fontId="43" fillId="0" borderId="15" xfId="0" applyNumberFormat="1" applyFont="1" applyFill="1" applyBorder="1" applyAlignment="1">
      <alignment horizontal="center"/>
    </xf>
    <xf numFmtId="0" fontId="19" fillId="12" borderId="22" xfId="0" applyNumberFormat="1" applyFont="1" applyFill="1" applyBorder="1" applyAlignment="1">
      <alignment horizontal="right" vertical="center"/>
    </xf>
    <xf numFmtId="0" fontId="6" fillId="0" borderId="0" xfId="0" applyNumberFormat="1" applyFont="1" applyFill="1" applyAlignment="1"/>
    <xf numFmtId="4" fontId="26" fillId="0" borderId="7" xfId="0" applyNumberFormat="1" applyFont="1" applyFill="1" applyBorder="1" applyAlignment="1">
      <alignment horizontal="center" vertical="center" wrapText="1"/>
    </xf>
    <xf numFmtId="0" fontId="26" fillId="0" borderId="7" xfId="0" applyNumberFormat="1" applyFont="1" applyFill="1" applyBorder="1" applyAlignment="1">
      <alignment horizontal="center" vertical="center" wrapText="1"/>
    </xf>
    <xf numFmtId="49" fontId="50" fillId="0" borderId="10" xfId="0" applyNumberFormat="1" applyFont="1" applyFill="1" applyBorder="1" applyAlignment="1">
      <alignment horizontal="center" wrapText="1"/>
    </xf>
    <xf numFmtId="4" fontId="26" fillId="11" borderId="7" xfId="0" applyNumberFormat="1" applyFont="1" applyFill="1" applyBorder="1" applyAlignment="1">
      <alignment horizontal="center" vertical="center" wrapText="1"/>
    </xf>
    <xf numFmtId="0" fontId="26" fillId="11" borderId="7" xfId="0" applyNumberFormat="1" applyFont="1" applyFill="1" applyBorder="1" applyAlignment="1">
      <alignment horizontal="center" vertical="center" wrapText="1"/>
    </xf>
    <xf numFmtId="49" fontId="50" fillId="11" borderId="10" xfId="0" applyNumberFormat="1" applyFont="1" applyFill="1" applyBorder="1" applyAlignment="1">
      <alignment horizontal="center" wrapText="1"/>
    </xf>
    <xf numFmtId="49" fontId="50" fillId="0" borderId="10" xfId="0" applyNumberFormat="1" applyFont="1" applyFill="1" applyBorder="1" applyAlignment="1">
      <alignment horizontal="center" vertical="top" wrapText="1"/>
    </xf>
    <xf numFmtId="49" fontId="50" fillId="11" borderId="10" xfId="0" applyNumberFormat="1" applyFont="1" applyFill="1" applyBorder="1" applyAlignment="1">
      <alignment horizontal="center" vertical="top" wrapText="1"/>
    </xf>
    <xf numFmtId="49" fontId="50" fillId="0" borderId="10" xfId="0" applyNumberFormat="1" applyFont="1" applyFill="1" applyBorder="1" applyAlignment="1">
      <alignment horizontal="center"/>
    </xf>
    <xf numFmtId="0" fontId="50" fillId="0" borderId="10" xfId="0" applyNumberFormat="1" applyFont="1" applyFill="1" applyBorder="1" applyAlignment="1">
      <alignment horizontal="center"/>
    </xf>
    <xf numFmtId="0" fontId="50" fillId="11" borderId="10" xfId="0" applyNumberFormat="1" applyFont="1" applyFill="1" applyBorder="1" applyAlignment="1">
      <alignment horizontal="center"/>
    </xf>
    <xf numFmtId="4" fontId="20" fillId="0" borderId="15" xfId="0" applyNumberFormat="1" applyFont="1" applyFill="1" applyBorder="1" applyAlignment="1">
      <alignment horizontal="center" vertical="center" wrapText="1"/>
    </xf>
    <xf numFmtId="4" fontId="20" fillId="0" borderId="14" xfId="0" applyNumberFormat="1" applyFont="1" applyFill="1" applyBorder="1" applyAlignment="1">
      <alignment horizontal="center" vertical="center" wrapText="1"/>
    </xf>
    <xf numFmtId="0" fontId="20" fillId="0" borderId="15" xfId="0" applyNumberFormat="1" applyFont="1" applyFill="1" applyBorder="1" applyAlignment="1">
      <alignment horizontal="center" vertical="center" wrapText="1"/>
    </xf>
    <xf numFmtId="4" fontId="20" fillId="0" borderId="7" xfId="0" applyNumberFormat="1" applyFont="1" applyFill="1" applyBorder="1" applyAlignment="1">
      <alignment horizontal="center" vertical="center" wrapText="1"/>
    </xf>
    <xf numFmtId="49" fontId="51" fillId="0" borderId="10" xfId="0" applyNumberFormat="1" applyFont="1" applyFill="1" applyBorder="1" applyAlignment="1">
      <alignment horizontal="center"/>
    </xf>
    <xf numFmtId="4" fontId="49" fillId="12" borderId="7" xfId="0" applyNumberFormat="1" applyFont="1" applyFill="1" applyBorder="1" applyAlignment="1">
      <alignment horizontal="right" vertical="center"/>
    </xf>
    <xf numFmtId="4" fontId="49" fillId="12" borderId="4" xfId="0" applyNumberFormat="1" applyFont="1" applyFill="1" applyBorder="1" applyAlignment="1">
      <alignment horizontal="right" vertical="center"/>
    </xf>
    <xf numFmtId="0" fontId="39" fillId="0" borderId="0" xfId="0" applyFont="1" applyFill="1" applyAlignment="1"/>
    <xf numFmtId="179" fontId="6" fillId="0" borderId="0" xfId="0" applyNumberFormat="1" applyFont="1" applyFill="1" applyAlignment="1">
      <alignment vertical="center"/>
    </xf>
    <xf numFmtId="0" fontId="40" fillId="0" borderId="23" xfId="0" applyFont="1" applyFill="1" applyBorder="1" applyAlignment="1">
      <alignment horizontal="center" wrapText="1"/>
    </xf>
    <xf numFmtId="0" fontId="40" fillId="0" borderId="24" xfId="0" applyFont="1" applyFill="1" applyBorder="1" applyAlignment="1">
      <alignment horizontal="center" wrapText="1"/>
    </xf>
    <xf numFmtId="0" fontId="40" fillId="0" borderId="24" xfId="0" applyFont="1" applyFill="1" applyBorder="1" applyAlignment="1">
      <alignment horizontal="center"/>
    </xf>
    <xf numFmtId="49" fontId="40" fillId="0" borderId="24" xfId="0" applyNumberFormat="1" applyFont="1" applyFill="1" applyBorder="1" applyAlignment="1">
      <alignment horizontal="center" vertical="center"/>
    </xf>
    <xf numFmtId="0" fontId="40" fillId="11" borderId="23" xfId="0" applyFont="1" applyFill="1" applyBorder="1" applyAlignment="1">
      <alignment horizontal="center" wrapText="1"/>
    </xf>
    <xf numFmtId="0" fontId="40" fillId="11" borderId="24" xfId="0" applyFont="1" applyFill="1" applyBorder="1" applyAlignment="1">
      <alignment horizontal="center" wrapText="1"/>
    </xf>
    <xf numFmtId="0" fontId="40" fillId="11" borderId="24" xfId="0" applyFont="1" applyFill="1" applyBorder="1" applyAlignment="1">
      <alignment horizontal="center"/>
    </xf>
    <xf numFmtId="49" fontId="40" fillId="11" borderId="24" xfId="0" applyNumberFormat="1" applyFont="1" applyFill="1" applyBorder="1" applyAlignment="1">
      <alignment horizontal="center" vertical="center"/>
    </xf>
    <xf numFmtId="0" fontId="52" fillId="0" borderId="0" xfId="0" applyFont="1" applyFill="1" applyAlignment="1">
      <alignment vertical="center"/>
    </xf>
    <xf numFmtId="0" fontId="52" fillId="11" borderId="0" xfId="0" applyFont="1" applyFill="1" applyAlignment="1">
      <alignment vertical="center"/>
    </xf>
    <xf numFmtId="0" fontId="53" fillId="0" borderId="0" xfId="0" applyFont="1" applyFill="1" applyAlignment="1">
      <alignment vertical="center"/>
    </xf>
    <xf numFmtId="0" fontId="54" fillId="0" borderId="7" xfId="0" applyFont="1" applyFill="1" applyBorder="1" applyAlignment="1">
      <alignment horizontal="center"/>
    </xf>
    <xf numFmtId="49" fontId="54" fillId="0" borderId="7" xfId="0" applyNumberFormat="1" applyFont="1" applyFill="1" applyBorder="1" applyAlignment="1">
      <alignment horizontal="center" vertical="center"/>
    </xf>
    <xf numFmtId="0" fontId="55" fillId="0" borderId="7" xfId="0" applyFont="1" applyFill="1" applyBorder="1" applyAlignment="1" applyProtection="1">
      <alignment horizontal="center" vertical="center"/>
      <protection locked="0"/>
    </xf>
    <xf numFmtId="49" fontId="54" fillId="0" borderId="7" xfId="0" applyNumberFormat="1" applyFont="1" applyFill="1" applyBorder="1" applyAlignment="1">
      <alignment horizontal="center"/>
    </xf>
    <xf numFmtId="0" fontId="56" fillId="0" borderId="7" xfId="0" applyFont="1" applyFill="1" applyBorder="1" applyAlignment="1">
      <alignment horizontal="center" vertical="center"/>
    </xf>
    <xf numFmtId="49" fontId="57" fillId="0" borderId="7" xfId="0" applyNumberFormat="1" applyFont="1" applyFill="1" applyBorder="1" applyAlignment="1">
      <alignment horizontal="center" vertical="center"/>
    </xf>
    <xf numFmtId="0" fontId="54" fillId="3" borderId="7" xfId="0" applyFont="1" applyFill="1" applyBorder="1" applyAlignment="1">
      <alignment horizontal="center"/>
    </xf>
    <xf numFmtId="0" fontId="53" fillId="0" borderId="7" xfId="0" applyFont="1" applyFill="1" applyBorder="1" applyAlignment="1">
      <alignment vertical="center"/>
    </xf>
    <xf numFmtId="186" fontId="58" fillId="0" borderId="7" xfId="0" applyNumberFormat="1" applyFont="1" applyFill="1" applyBorder="1" applyAlignment="1">
      <alignment horizontal="left" vertical="center"/>
    </xf>
    <xf numFmtId="0" fontId="54" fillId="0" borderId="7" xfId="0" applyNumberFormat="1" applyFont="1" applyFill="1" applyBorder="1" applyAlignment="1">
      <alignment horizontal="center"/>
    </xf>
    <xf numFmtId="4" fontId="59" fillId="0" borderId="7" xfId="0" applyNumberFormat="1" applyFont="1" applyFill="1" applyBorder="1" applyAlignment="1">
      <alignment horizontal="center" vertical="center" wrapText="1"/>
    </xf>
    <xf numFmtId="0" fontId="59" fillId="0" borderId="7" xfId="0" applyNumberFormat="1" applyFont="1" applyFill="1" applyBorder="1" applyAlignment="1">
      <alignment horizontal="center" vertical="center" wrapText="1"/>
    </xf>
    <xf numFmtId="49" fontId="60" fillId="0" borderId="10" xfId="0" applyNumberFormat="1" applyFont="1" applyFill="1" applyBorder="1" applyAlignment="1">
      <alignment horizontal="center"/>
    </xf>
    <xf numFmtId="0" fontId="40" fillId="0" borderId="23" xfId="0" applyFont="1" applyFill="1" applyBorder="1" applyAlignment="1">
      <alignment horizontal="center"/>
    </xf>
    <xf numFmtId="0" fontId="61" fillId="0" borderId="0" xfId="0" applyFont="1" applyFill="1" applyAlignment="1">
      <alignment vertical="center"/>
    </xf>
    <xf numFmtId="0" fontId="6" fillId="13" borderId="0" xfId="0" applyFont="1" applyFill="1" applyAlignment="1">
      <alignment vertical="center"/>
    </xf>
    <xf numFmtId="0" fontId="63" fillId="13" borderId="0" xfId="443" applyNumberFormat="1" applyFont="1" applyFill="1" applyBorder="1" applyAlignment="1" applyProtection="1">
      <alignment horizontal="center" vertical="center"/>
      <protection locked="0"/>
    </xf>
    <xf numFmtId="0" fontId="63" fillId="13" borderId="0" xfId="443" applyNumberFormat="1" applyFont="1" applyFill="1" applyBorder="1" applyAlignment="1" applyProtection="1">
      <alignment horizontal="left" vertical="center"/>
      <protection locked="0"/>
    </xf>
    <xf numFmtId="0" fontId="64" fillId="13" borderId="0" xfId="443" applyNumberFormat="1" applyFont="1" applyFill="1" applyBorder="1" applyAlignment="1" applyProtection="1">
      <alignment horizontal="center" vertical="center"/>
      <protection locked="0"/>
    </xf>
    <xf numFmtId="0" fontId="65" fillId="13" borderId="0" xfId="443" applyNumberFormat="1" applyFont="1" applyFill="1" applyBorder="1" applyAlignment="1" applyProtection="1">
      <alignment horizontal="left" vertical="center"/>
      <protection locked="0"/>
    </xf>
    <xf numFmtId="0" fontId="26" fillId="13" borderId="0" xfId="0" applyFont="1" applyFill="1" applyBorder="1" applyAlignment="1" applyProtection="1">
      <alignment horizontal="right" vertical="center"/>
      <protection locked="0"/>
    </xf>
    <xf numFmtId="49" fontId="66" fillId="13" borderId="0" xfId="442" applyNumberFormat="1" applyFont="1" applyFill="1" applyBorder="1" applyAlignment="1" applyProtection="1">
      <alignment horizontal="left" vertical="center"/>
      <protection locked="0"/>
    </xf>
    <xf numFmtId="0" fontId="52" fillId="13" borderId="0" xfId="0" applyFont="1" applyFill="1" applyBorder="1" applyAlignment="1" applyProtection="1">
      <alignment horizontal="left" vertical="center"/>
      <protection locked="0"/>
    </xf>
    <xf numFmtId="0" fontId="67" fillId="13" borderId="0" xfId="443" applyFont="1" applyFill="1" applyBorder="1" applyAlignment="1">
      <alignment horizontal="right" vertical="center"/>
    </xf>
    <xf numFmtId="14" fontId="68" fillId="13" borderId="0" xfId="0" applyNumberFormat="1" applyFont="1" applyFill="1" applyBorder="1" applyAlignment="1" applyProtection="1">
      <alignment horizontal="left" vertical="center"/>
      <protection locked="0"/>
    </xf>
    <xf numFmtId="0" fontId="68" fillId="13" borderId="0" xfId="0" applyFont="1" applyFill="1" applyBorder="1" applyAlignment="1" applyProtection="1">
      <alignment horizontal="right" vertical="center"/>
      <protection locked="0"/>
    </xf>
    <xf numFmtId="0" fontId="69" fillId="13" borderId="0" xfId="0" applyFont="1" applyFill="1" applyBorder="1" applyAlignment="1">
      <alignment horizontal="left" vertical="center"/>
    </xf>
    <xf numFmtId="0" fontId="65" fillId="13" borderId="0" xfId="443" applyNumberFormat="1" applyFont="1" applyFill="1" applyBorder="1" applyAlignment="1" applyProtection="1">
      <alignment horizontal="center" vertical="center"/>
      <protection locked="0"/>
    </xf>
    <xf numFmtId="0" fontId="69" fillId="13" borderId="0" xfId="0" applyFont="1" applyFill="1" applyBorder="1" applyAlignment="1" applyProtection="1">
      <alignment horizontal="left" vertical="center"/>
      <protection locked="0"/>
    </xf>
    <xf numFmtId="0" fontId="70" fillId="13" borderId="0" xfId="443" applyNumberFormat="1" applyFont="1" applyFill="1" applyBorder="1" applyAlignment="1" applyProtection="1">
      <alignment horizontal="center" vertical="center"/>
      <protection locked="0"/>
    </xf>
    <xf numFmtId="187" fontId="68" fillId="13" borderId="0" xfId="442" applyNumberFormat="1" applyFont="1" applyFill="1" applyBorder="1" applyAlignment="1" applyProtection="1">
      <alignment horizontal="left" vertical="center"/>
      <protection locked="0"/>
    </xf>
    <xf numFmtId="43" fontId="73" fillId="13" borderId="6" xfId="0" applyNumberFormat="1" applyFont="1" applyFill="1" applyBorder="1" applyAlignment="1" applyProtection="1">
      <alignment horizontal="left" vertical="center" shrinkToFit="1"/>
    </xf>
    <xf numFmtId="43" fontId="73" fillId="13" borderId="37" xfId="0" applyNumberFormat="1" applyFont="1" applyFill="1" applyBorder="1" applyAlignment="1" applyProtection="1">
      <alignment horizontal="left" vertical="center" shrinkToFit="1"/>
      <protection locked="0"/>
    </xf>
    <xf numFmtId="43" fontId="73" fillId="13" borderId="7" xfId="0" applyNumberFormat="1" applyFont="1" applyFill="1" applyBorder="1" applyAlignment="1" applyProtection="1">
      <alignment horizontal="left" vertical="center" shrinkToFit="1"/>
      <protection locked="0"/>
    </xf>
    <xf numFmtId="43" fontId="73" fillId="13" borderId="39" xfId="0" applyNumberFormat="1" applyFont="1" applyFill="1" applyBorder="1" applyAlignment="1" applyProtection="1">
      <alignment horizontal="left" vertical="center" shrinkToFit="1"/>
      <protection locked="0"/>
    </xf>
    <xf numFmtId="43" fontId="73" fillId="13" borderId="41" xfId="442" applyNumberFormat="1" applyFont="1" applyFill="1" applyBorder="1" applyAlignment="1" applyProtection="1">
      <alignment horizontal="left" vertical="center" shrinkToFit="1"/>
      <protection locked="0"/>
    </xf>
    <xf numFmtId="43" fontId="73" fillId="13" borderId="45" xfId="442" applyNumberFormat="1" applyFont="1" applyFill="1" applyBorder="1" applyAlignment="1" applyProtection="1">
      <alignment horizontal="left" vertical="center" shrinkToFit="1"/>
      <protection locked="0"/>
    </xf>
    <xf numFmtId="188" fontId="74" fillId="13" borderId="0" xfId="442" applyNumberFormat="1" applyFont="1" applyFill="1" applyBorder="1" applyAlignment="1" applyProtection="1">
      <alignment horizontal="left" vertical="center"/>
      <protection locked="0"/>
    </xf>
    <xf numFmtId="0" fontId="75" fillId="0" borderId="25" xfId="440" applyFont="1" applyFill="1" applyBorder="1" applyAlignment="1">
      <alignment horizontal="center" vertical="center" wrapText="1"/>
    </xf>
    <xf numFmtId="0" fontId="75" fillId="0" borderId="46" xfId="440" applyFont="1" applyFill="1" applyBorder="1" applyAlignment="1">
      <alignment horizontal="center" vertical="center" wrapText="1"/>
    </xf>
    <xf numFmtId="185" fontId="75" fillId="0" borderId="46" xfId="440" applyNumberFormat="1" applyFont="1" applyFill="1" applyBorder="1" applyAlignment="1">
      <alignment horizontal="center" vertical="center" wrapText="1"/>
    </xf>
    <xf numFmtId="184" fontId="75" fillId="0" borderId="46" xfId="440" applyNumberFormat="1" applyFont="1" applyFill="1" applyBorder="1" applyAlignment="1">
      <alignment horizontal="center" vertical="center" wrapText="1"/>
    </xf>
    <xf numFmtId="0" fontId="75" fillId="0" borderId="47" xfId="440" applyFont="1" applyFill="1" applyBorder="1" applyAlignment="1">
      <alignment horizontal="center" vertical="center" wrapText="1"/>
    </xf>
    <xf numFmtId="0" fontId="50" fillId="0" borderId="38" xfId="440" applyFont="1" applyFill="1" applyBorder="1" applyAlignment="1">
      <alignment horizontal="center" vertical="center"/>
    </xf>
    <xf numFmtId="0" fontId="50" fillId="0" borderId="7" xfId="440" applyFont="1" applyFill="1" applyBorder="1" applyAlignment="1">
      <alignment horizontal="center" vertical="center"/>
    </xf>
    <xf numFmtId="185" fontId="50" fillId="0" borderId="7" xfId="440" applyNumberFormat="1" applyFont="1" applyFill="1" applyBorder="1" applyAlignment="1">
      <alignment horizontal="center" vertical="center"/>
    </xf>
    <xf numFmtId="184" fontId="50" fillId="0" borderId="7" xfId="440" applyNumberFormat="1" applyFont="1" applyFill="1" applyBorder="1" applyAlignment="1">
      <alignment horizontal="right" vertical="center"/>
    </xf>
    <xf numFmtId="0" fontId="50" fillId="0" borderId="39" xfId="440" applyFont="1" applyFill="1" applyBorder="1" applyAlignment="1">
      <alignment horizontal="left" vertical="center"/>
    </xf>
    <xf numFmtId="43" fontId="50" fillId="0" borderId="7" xfId="440" applyNumberFormat="1" applyFont="1" applyFill="1" applyBorder="1" applyAlignment="1">
      <alignment vertical="center"/>
    </xf>
    <xf numFmtId="43" fontId="50" fillId="0" borderId="7" xfId="440" applyNumberFormat="1" applyFont="1" applyFill="1" applyBorder="1" applyAlignment="1">
      <alignment horizontal="center" vertical="center"/>
    </xf>
    <xf numFmtId="0" fontId="50" fillId="0" borderId="39" xfId="440" applyFont="1" applyFill="1" applyBorder="1" applyAlignment="1">
      <alignment vertical="center" wrapText="1"/>
    </xf>
    <xf numFmtId="184" fontId="32" fillId="0" borderId="7" xfId="440" applyNumberFormat="1" applyFont="1" applyFill="1" applyBorder="1" applyAlignment="1">
      <alignment horizontal="right" vertical="center"/>
    </xf>
    <xf numFmtId="0" fontId="50" fillId="0" borderId="39" xfId="440" applyFont="1" applyFill="1" applyBorder="1" applyAlignment="1">
      <alignment vertical="center"/>
    </xf>
    <xf numFmtId="0" fontId="50" fillId="0" borderId="7" xfId="440" applyFont="1" applyFill="1" applyBorder="1" applyAlignment="1">
      <alignment horizontal="center" vertical="center" wrapText="1"/>
    </xf>
    <xf numFmtId="184" fontId="28" fillId="14" borderId="7" xfId="440" applyNumberFormat="1" applyFont="1" applyFill="1" applyBorder="1" applyAlignment="1">
      <alignment vertical="center"/>
    </xf>
    <xf numFmtId="0" fontId="50" fillId="14" borderId="39" xfId="440" applyFont="1" applyFill="1" applyBorder="1" applyAlignment="1">
      <alignment horizontal="left" vertical="center"/>
    </xf>
    <xf numFmtId="184" fontId="28" fillId="14" borderId="41" xfId="440" applyNumberFormat="1" applyFont="1" applyFill="1" applyBorder="1" applyAlignment="1">
      <alignment vertical="center"/>
    </xf>
    <xf numFmtId="0" fontId="50" fillId="14" borderId="45" xfId="440" applyFont="1" applyFill="1" applyBorder="1" applyAlignment="1">
      <alignment horizontal="left" vertical="center"/>
    </xf>
    <xf numFmtId="187" fontId="68" fillId="13" borderId="0" xfId="442" applyNumberFormat="1" applyFont="1" applyFill="1" applyBorder="1" applyAlignment="1" applyProtection="1">
      <alignment horizontal="right" vertical="center"/>
      <protection locked="0"/>
    </xf>
    <xf numFmtId="0" fontId="20" fillId="13" borderId="0" xfId="443" applyFont="1" applyFill="1" applyBorder="1" applyAlignment="1">
      <alignment horizontal="right" vertical="center"/>
    </xf>
    <xf numFmtId="14" fontId="66" fillId="13" borderId="0" xfId="0" applyNumberFormat="1" applyFont="1" applyFill="1" applyBorder="1" applyAlignment="1" applyProtection="1">
      <alignment horizontal="left" vertical="center"/>
      <protection locked="0"/>
    </xf>
    <xf numFmtId="0" fontId="76" fillId="13" borderId="0" xfId="443" applyNumberFormat="1" applyFont="1" applyFill="1" applyBorder="1" applyAlignment="1" applyProtection="1">
      <alignment horizontal="right" vertical="center"/>
      <protection locked="0"/>
    </xf>
    <xf numFmtId="0" fontId="77" fillId="13" borderId="0" xfId="443" applyNumberFormat="1" applyFont="1" applyFill="1" applyBorder="1" applyAlignment="1" applyProtection="1">
      <alignment horizontal="left" vertical="center"/>
      <protection locked="0"/>
    </xf>
    <xf numFmtId="0" fontId="79" fillId="13" borderId="0" xfId="443" applyNumberFormat="1" applyFont="1" applyFill="1" applyBorder="1" applyAlignment="1" applyProtection="1">
      <alignment horizontal="left" vertical="center"/>
      <protection locked="0"/>
    </xf>
    <xf numFmtId="0" fontId="80" fillId="13" borderId="0" xfId="443" applyNumberFormat="1" applyFont="1" applyFill="1" applyBorder="1" applyAlignment="1" applyProtection="1">
      <alignment horizontal="left" vertical="center"/>
      <protection locked="0"/>
    </xf>
    <xf numFmtId="0" fontId="81" fillId="13" borderId="0" xfId="443" applyNumberFormat="1" applyFont="1" applyFill="1" applyBorder="1" applyAlignment="1" applyProtection="1">
      <alignment horizontal="left" vertical="center"/>
      <protection locked="0"/>
    </xf>
    <xf numFmtId="0" fontId="82" fillId="13" borderId="0" xfId="443" applyNumberFormat="1" applyFont="1" applyFill="1" applyBorder="1" applyAlignment="1" applyProtection="1">
      <alignment horizontal="left" vertical="center"/>
      <protection locked="0"/>
    </xf>
    <xf numFmtId="0" fontId="81" fillId="13" borderId="0" xfId="443" applyNumberFormat="1" applyFont="1" applyFill="1" applyBorder="1" applyAlignment="1" applyProtection="1">
      <alignment horizontal="right" vertical="center"/>
      <protection locked="0"/>
    </xf>
    <xf numFmtId="49" fontId="83" fillId="13" borderId="0" xfId="443" applyNumberFormat="1" applyFont="1" applyFill="1" applyBorder="1" applyAlignment="1" applyProtection="1">
      <alignment horizontal="left" vertical="center"/>
      <protection locked="0"/>
    </xf>
    <xf numFmtId="0" fontId="84" fillId="13" borderId="0" xfId="0" applyFont="1" applyFill="1" applyBorder="1" applyAlignment="1">
      <alignment horizontal="left" vertical="center"/>
    </xf>
    <xf numFmtId="0" fontId="85" fillId="13" borderId="0" xfId="0" applyFont="1" applyFill="1" applyAlignment="1">
      <alignment vertical="center"/>
    </xf>
    <xf numFmtId="49" fontId="74" fillId="13" borderId="0" xfId="442" applyNumberFormat="1" applyFont="1" applyFill="1" applyBorder="1" applyAlignment="1" applyProtection="1">
      <alignment horizontal="left" vertical="center"/>
      <protection locked="0"/>
    </xf>
    <xf numFmtId="49" fontId="67" fillId="13" borderId="0" xfId="443" applyNumberFormat="1" applyFont="1" applyFill="1" applyBorder="1" applyAlignment="1" applyProtection="1">
      <alignment horizontal="left" vertical="center"/>
      <protection locked="0"/>
    </xf>
    <xf numFmtId="49" fontId="68" fillId="13" borderId="0" xfId="442" applyNumberFormat="1" applyFont="1" applyFill="1" applyBorder="1" applyAlignment="1" applyProtection="1">
      <alignment horizontal="left" vertical="center"/>
      <protection locked="0"/>
    </xf>
    <xf numFmtId="49" fontId="42" fillId="0" borderId="7" xfId="0" quotePrefix="1" applyNumberFormat="1" applyFont="1" applyFill="1" applyBorder="1" applyAlignment="1">
      <alignment horizontal="center" vertical="center"/>
    </xf>
    <xf numFmtId="49" fontId="57" fillId="0" borderId="7" xfId="0" quotePrefix="1" applyNumberFormat="1" applyFont="1" applyFill="1" applyBorder="1" applyAlignment="1">
      <alignment horizontal="center" vertical="center"/>
    </xf>
    <xf numFmtId="49" fontId="42" fillId="11" borderId="7" xfId="0" quotePrefix="1" applyNumberFormat="1" applyFont="1" applyFill="1" applyBorder="1" applyAlignment="1">
      <alignment horizontal="center" vertical="center"/>
    </xf>
    <xf numFmtId="0" fontId="15" fillId="0" borderId="7" xfId="262" quotePrefix="1" applyFont="1" applyFill="1" applyBorder="1" applyAlignment="1">
      <alignment horizontal="center" vertical="center" wrapText="1"/>
    </xf>
    <xf numFmtId="49" fontId="29" fillId="0" borderId="7" xfId="0" quotePrefix="1" applyNumberFormat="1" applyFont="1" applyFill="1" applyBorder="1" applyAlignment="1">
      <alignment vertical="center"/>
    </xf>
    <xf numFmtId="0" fontId="62" fillId="13" borderId="0" xfId="443" applyFont="1" applyFill="1" applyBorder="1" applyAlignment="1">
      <alignment horizontal="center" vertical="center"/>
    </xf>
    <xf numFmtId="0" fontId="69" fillId="13" borderId="0" xfId="0" applyFont="1" applyFill="1" applyBorder="1" applyAlignment="1">
      <alignment horizontal="left" vertical="center"/>
    </xf>
    <xf numFmtId="0" fontId="69" fillId="13" borderId="0" xfId="0" applyFont="1" applyFill="1" applyAlignment="1">
      <alignment horizontal="left" vertical="center"/>
    </xf>
    <xf numFmtId="0" fontId="71" fillId="13" borderId="25" xfId="0" applyFont="1" applyFill="1" applyBorder="1" applyAlignment="1" applyProtection="1">
      <alignment horizontal="center" vertical="center"/>
      <protection locked="0"/>
    </xf>
    <xf numFmtId="0" fontId="71" fillId="13" borderId="26" xfId="0" applyFont="1" applyFill="1" applyBorder="1" applyAlignment="1" applyProtection="1">
      <alignment horizontal="center" vertical="center"/>
      <protection locked="0"/>
    </xf>
    <xf numFmtId="0" fontId="78" fillId="13" borderId="0" xfId="443" applyNumberFormat="1" applyFont="1" applyFill="1" applyBorder="1" applyAlignment="1" applyProtection="1">
      <alignment horizontal="right" vertical="center"/>
      <protection locked="0"/>
    </xf>
    <xf numFmtId="0" fontId="13" fillId="13" borderId="27" xfId="441" applyNumberFormat="1" applyFont="1" applyFill="1" applyBorder="1" applyAlignment="1" applyProtection="1">
      <alignment horizontal="left" vertical="center"/>
      <protection locked="0"/>
    </xf>
    <xf numFmtId="0" fontId="13" fillId="13" borderId="6" xfId="441" applyNumberFormat="1" applyFont="1" applyFill="1" applyBorder="1" applyAlignment="1" applyProtection="1">
      <alignment horizontal="left" vertical="center"/>
      <protection locked="0"/>
    </xf>
    <xf numFmtId="43" fontId="72" fillId="13" borderId="8" xfId="0" applyNumberFormat="1" applyFont="1" applyFill="1" applyBorder="1" applyAlignment="1" applyProtection="1">
      <alignment horizontal="left" vertical="center" shrinkToFit="1"/>
    </xf>
    <xf numFmtId="43" fontId="72" fillId="13" borderId="9" xfId="0" applyNumberFormat="1" applyFont="1" applyFill="1" applyBorder="1" applyAlignment="1" applyProtection="1">
      <alignment horizontal="left" vertical="center" shrinkToFit="1"/>
    </xf>
    <xf numFmtId="43" fontId="72" fillId="13" borderId="28" xfId="0" applyNumberFormat="1" applyFont="1" applyFill="1" applyBorder="1" applyAlignment="1" applyProtection="1">
      <alignment horizontal="left" vertical="center" shrinkToFit="1"/>
    </xf>
    <xf numFmtId="0" fontId="82" fillId="13" borderId="0" xfId="443" applyNumberFormat="1" applyFont="1" applyFill="1" applyBorder="1" applyAlignment="1" applyProtection="1">
      <alignment horizontal="left" vertical="center"/>
      <protection locked="0"/>
    </xf>
    <xf numFmtId="0" fontId="13" fillId="13" borderId="29" xfId="441" applyNumberFormat="1" applyFont="1" applyFill="1" applyBorder="1" applyAlignment="1" applyProtection="1">
      <alignment horizontal="left" vertical="center"/>
      <protection locked="0"/>
    </xf>
    <xf numFmtId="0" fontId="13" fillId="13" borderId="30" xfId="441" applyNumberFormat="1" applyFont="1" applyFill="1" applyBorder="1" applyAlignment="1" applyProtection="1">
      <alignment horizontal="left" vertical="center"/>
      <protection locked="0"/>
    </xf>
    <xf numFmtId="180" fontId="72" fillId="13" borderId="31" xfId="0" applyNumberFormat="1" applyFont="1" applyFill="1" applyBorder="1" applyAlignment="1" applyProtection="1">
      <alignment horizontal="right" vertical="center" shrinkToFit="1"/>
    </xf>
    <xf numFmtId="180" fontId="72" fillId="13" borderId="32" xfId="0" applyNumberFormat="1" applyFont="1" applyFill="1" applyBorder="1" applyAlignment="1" applyProtection="1">
      <alignment horizontal="right" vertical="center" shrinkToFit="1"/>
    </xf>
    <xf numFmtId="180" fontId="72" fillId="13" borderId="33" xfId="0" applyNumberFormat="1" applyFont="1" applyFill="1" applyBorder="1" applyAlignment="1" applyProtection="1">
      <alignment horizontal="right" vertical="center" shrinkToFit="1"/>
    </xf>
    <xf numFmtId="0" fontId="69" fillId="13" borderId="0" xfId="97" applyFont="1" applyFill="1" applyBorder="1" applyAlignment="1">
      <alignment horizontal="left" vertical="center"/>
    </xf>
    <xf numFmtId="0" fontId="69" fillId="13" borderId="0" xfId="97" applyFont="1" applyFill="1" applyAlignment="1">
      <alignment horizontal="left" vertical="center"/>
    </xf>
    <xf numFmtId="0" fontId="25" fillId="13" borderId="27" xfId="442" applyNumberFormat="1" applyFont="1" applyFill="1" applyBorder="1" applyAlignment="1" applyProtection="1">
      <alignment horizontal="left" vertical="center"/>
      <protection locked="0"/>
    </xf>
    <xf numFmtId="0" fontId="25" fillId="13" borderId="6" xfId="442" applyNumberFormat="1" applyFont="1" applyFill="1" applyBorder="1" applyAlignment="1" applyProtection="1">
      <alignment horizontal="left" vertical="center"/>
      <protection locked="0"/>
    </xf>
    <xf numFmtId="0" fontId="25" fillId="13" borderId="34" xfId="442" applyNumberFormat="1" applyFont="1" applyFill="1" applyBorder="1" applyAlignment="1" applyProtection="1">
      <alignment horizontal="left" vertical="center"/>
      <protection locked="0"/>
    </xf>
    <xf numFmtId="0" fontId="25" fillId="13" borderId="35" xfId="442" applyNumberFormat="1" applyFont="1" applyFill="1" applyBorder="1" applyAlignment="1" applyProtection="1">
      <alignment horizontal="left" vertical="center"/>
      <protection locked="0"/>
    </xf>
    <xf numFmtId="0" fontId="25" fillId="13" borderId="36" xfId="442" applyNumberFormat="1" applyFont="1" applyFill="1" applyBorder="1" applyAlignment="1" applyProtection="1">
      <alignment horizontal="left" vertical="center"/>
      <protection locked="0"/>
    </xf>
    <xf numFmtId="0" fontId="69" fillId="13" borderId="0" xfId="97" applyFont="1" applyFill="1" applyBorder="1" applyAlignment="1">
      <alignment horizontal="left" vertical="center" wrapText="1"/>
    </xf>
    <xf numFmtId="0" fontId="69" fillId="13" borderId="0" xfId="97" applyFont="1" applyFill="1" applyAlignment="1">
      <alignment horizontal="left" vertical="center" wrapText="1"/>
    </xf>
    <xf numFmtId="0" fontId="14" fillId="13" borderId="38" xfId="116" applyFont="1" applyFill="1" applyBorder="1" applyAlignment="1">
      <alignment vertical="center"/>
    </xf>
    <xf numFmtId="0" fontId="14" fillId="13" borderId="7" xfId="116" applyFont="1" applyFill="1" applyBorder="1" applyAlignment="1">
      <alignment vertical="center"/>
    </xf>
    <xf numFmtId="0" fontId="14" fillId="13" borderId="8" xfId="116" applyFont="1" applyFill="1" applyBorder="1" applyAlignment="1">
      <alignment horizontal="left" vertical="center"/>
    </xf>
    <xf numFmtId="0" fontId="14" fillId="13" borderId="9" xfId="116" applyFont="1" applyFill="1" applyBorder="1" applyAlignment="1">
      <alignment horizontal="left" vertical="center"/>
    </xf>
    <xf numFmtId="0" fontId="14" fillId="13" borderId="10" xfId="116" applyFont="1" applyFill="1" applyBorder="1" applyAlignment="1">
      <alignment horizontal="left" vertical="center"/>
    </xf>
    <xf numFmtId="49" fontId="20" fillId="13" borderId="0" xfId="443" applyNumberFormat="1" applyFont="1" applyFill="1" applyBorder="1" applyAlignment="1" applyProtection="1">
      <alignment horizontal="left" vertical="center"/>
      <protection locked="0"/>
    </xf>
    <xf numFmtId="0" fontId="14" fillId="13" borderId="40" xfId="116" applyFont="1" applyFill="1" applyBorder="1" applyAlignment="1">
      <alignment vertical="center"/>
    </xf>
    <xf numFmtId="0" fontId="14" fillId="13" borderId="41" xfId="116" applyFont="1" applyFill="1" applyBorder="1" applyAlignment="1">
      <alignment vertical="center"/>
    </xf>
    <xf numFmtId="178" fontId="25" fillId="13" borderId="42" xfId="442" applyNumberFormat="1" applyFont="1" applyFill="1" applyBorder="1" applyAlignment="1" applyProtection="1">
      <alignment horizontal="left" vertical="center"/>
      <protection locked="0"/>
    </xf>
    <xf numFmtId="178" fontId="25" fillId="13" borderId="43" xfId="442" applyNumberFormat="1" applyFont="1" applyFill="1" applyBorder="1" applyAlignment="1" applyProtection="1">
      <alignment horizontal="left" vertical="center"/>
      <protection locked="0"/>
    </xf>
    <xf numFmtId="178" fontId="25" fillId="13" borderId="44" xfId="442" applyNumberFormat="1" applyFont="1" applyFill="1" applyBorder="1" applyAlignment="1" applyProtection="1">
      <alignment horizontal="left" vertical="center"/>
      <protection locked="0"/>
    </xf>
    <xf numFmtId="49" fontId="26" fillId="13" borderId="0" xfId="442" applyNumberFormat="1" applyFont="1" applyFill="1" applyBorder="1" applyAlignment="1" applyProtection="1">
      <alignment horizontal="left" vertical="center"/>
      <protection locked="0"/>
    </xf>
    <xf numFmtId="0" fontId="64" fillId="13" borderId="0" xfId="443" applyNumberFormat="1" applyFont="1" applyFill="1" applyBorder="1" applyAlignment="1" applyProtection="1">
      <alignment horizontal="center" vertical="center"/>
      <protection locked="0"/>
    </xf>
    <xf numFmtId="0" fontId="75" fillId="0" borderId="46" xfId="440" applyFont="1" applyFill="1" applyBorder="1" applyAlignment="1">
      <alignment horizontal="center" vertical="center" wrapText="1"/>
    </xf>
    <xf numFmtId="43" fontId="50" fillId="0" borderId="7" xfId="440" applyNumberFormat="1" applyFont="1" applyFill="1" applyBorder="1" applyAlignment="1">
      <alignment horizontal="left" vertical="center"/>
    </xf>
    <xf numFmtId="43" fontId="32" fillId="0" borderId="7" xfId="440" applyNumberFormat="1" applyFont="1" applyFill="1" applyBorder="1" applyAlignment="1">
      <alignment horizontal="center" vertical="center"/>
    </xf>
    <xf numFmtId="10" fontId="32" fillId="0" borderId="7" xfId="440" applyNumberFormat="1" applyFont="1" applyFill="1" applyBorder="1" applyAlignment="1">
      <alignment horizontal="center" vertical="center"/>
    </xf>
    <xf numFmtId="0" fontId="28" fillId="14" borderId="38" xfId="440" applyFont="1" applyFill="1" applyBorder="1" applyAlignment="1">
      <alignment horizontal="center" vertical="center"/>
    </xf>
    <xf numFmtId="0" fontId="28" fillId="14" borderId="7" xfId="440" applyFont="1" applyFill="1" applyBorder="1" applyAlignment="1">
      <alignment horizontal="center" vertical="center"/>
    </xf>
    <xf numFmtId="0" fontId="28" fillId="14" borderId="40" xfId="440" applyFont="1" applyFill="1" applyBorder="1" applyAlignment="1">
      <alignment horizontal="center" vertical="center"/>
    </xf>
    <xf numFmtId="0" fontId="28" fillId="14" borderId="41" xfId="440" applyFont="1" applyFill="1" applyBorder="1" applyAlignment="1">
      <alignment horizontal="center" vertical="center"/>
    </xf>
    <xf numFmtId="0" fontId="50" fillId="0" borderId="7" xfId="440" applyFont="1" applyFill="1" applyBorder="1" applyAlignment="1">
      <alignment horizontal="center" vertical="center"/>
    </xf>
    <xf numFmtId="0" fontId="14" fillId="13" borderId="0" xfId="0" applyFont="1" applyFill="1" applyAlignment="1">
      <alignment horizontal="left" vertical="center" wrapText="1"/>
    </xf>
    <xf numFmtId="0" fontId="22" fillId="12" borderId="7" xfId="0" applyFont="1" applyFill="1" applyBorder="1" applyAlignment="1">
      <alignment horizontal="center" vertical="center" wrapText="1"/>
    </xf>
    <xf numFmtId="0" fontId="19" fillId="12" borderId="7" xfId="0" applyFont="1" applyFill="1" applyBorder="1" applyAlignment="1">
      <alignment horizontal="center" vertical="center" wrapText="1"/>
    </xf>
    <xf numFmtId="0" fontId="19" fillId="12" borderId="7" xfId="0" applyNumberFormat="1" applyFont="1" applyFill="1" applyBorder="1" applyAlignment="1">
      <alignment horizontal="center" vertical="center" wrapText="1"/>
    </xf>
    <xf numFmtId="4" fontId="26" fillId="0" borderId="7" xfId="0" applyNumberFormat="1" applyFont="1" applyFill="1" applyBorder="1" applyAlignment="1">
      <alignment horizontal="center" vertical="center" wrapText="1"/>
    </xf>
    <xf numFmtId="4" fontId="59" fillId="0" borderId="7" xfId="0" applyNumberFormat="1" applyFont="1" applyFill="1" applyBorder="1" applyAlignment="1">
      <alignment horizontal="center" vertical="center" wrapText="1"/>
    </xf>
    <xf numFmtId="4" fontId="19" fillId="12" borderId="15" xfId="0" applyNumberFormat="1" applyFont="1" applyFill="1" applyBorder="1" applyAlignment="1">
      <alignment horizontal="center" vertical="center"/>
    </xf>
    <xf numFmtId="179" fontId="6" fillId="0" borderId="0" xfId="0" applyNumberFormat="1" applyFont="1" applyFill="1" applyAlignment="1">
      <alignment horizontal="center" vertical="center"/>
    </xf>
    <xf numFmtId="0" fontId="23" fillId="12" borderId="7" xfId="0" applyFont="1" applyFill="1" applyBorder="1" applyAlignment="1">
      <alignment horizontal="center" vertical="center" wrapText="1"/>
    </xf>
    <xf numFmtId="0" fontId="38" fillId="0" borderId="7" xfId="0" applyFont="1" applyFill="1" applyBorder="1" applyAlignment="1"/>
    <xf numFmtId="0" fontId="21" fillId="12" borderId="7" xfId="0" applyFont="1" applyFill="1" applyBorder="1" applyAlignment="1">
      <alignment horizontal="center" vertical="center" wrapText="1"/>
    </xf>
    <xf numFmtId="0" fontId="49" fillId="12" borderId="10" xfId="0" applyFont="1" applyFill="1" applyBorder="1" applyAlignment="1">
      <alignment horizontal="center" vertical="center" wrapText="1"/>
    </xf>
    <xf numFmtId="4" fontId="26" fillId="11" borderId="7" xfId="0" applyNumberFormat="1" applyFont="1" applyFill="1" applyBorder="1" applyAlignment="1">
      <alignment horizontal="center" vertical="center" wrapText="1"/>
    </xf>
    <xf numFmtId="179" fontId="24" fillId="5" borderId="0" xfId="262" applyNumberFormat="1" applyFont="1" applyFill="1" applyBorder="1" applyAlignment="1">
      <alignment horizontal="center" vertical="center"/>
    </xf>
    <xf numFmtId="0" fontId="12" fillId="3" borderId="8" xfId="355" applyNumberFormat="1" applyFont="1" applyFill="1" applyBorder="1" applyAlignment="1" applyProtection="1">
      <alignment horizontal="center" vertical="center" wrapText="1"/>
    </xf>
    <xf numFmtId="0" fontId="12" fillId="3" borderId="9" xfId="355" applyNumberFormat="1" applyFont="1" applyFill="1" applyBorder="1" applyAlignment="1" applyProtection="1">
      <alignment horizontal="center" vertical="center" wrapText="1"/>
    </xf>
    <xf numFmtId="0" fontId="12" fillId="3" borderId="10" xfId="355" applyNumberFormat="1" applyFont="1" applyFill="1" applyBorder="1" applyAlignment="1" applyProtection="1">
      <alignment horizontal="center" vertical="center" wrapText="1"/>
    </xf>
    <xf numFmtId="0" fontId="13" fillId="3" borderId="8" xfId="355" applyNumberFormat="1" applyFont="1" applyFill="1" applyBorder="1" applyAlignment="1" applyProtection="1">
      <alignment horizontal="center" vertical="center" wrapText="1"/>
    </xf>
    <xf numFmtId="0" fontId="13" fillId="3" borderId="9" xfId="355" applyNumberFormat="1" applyFont="1" applyFill="1" applyBorder="1" applyAlignment="1" applyProtection="1">
      <alignment horizontal="center" vertical="center" wrapText="1"/>
    </xf>
    <xf numFmtId="0" fontId="13" fillId="3" borderId="10" xfId="355" applyNumberFormat="1" applyFont="1" applyFill="1" applyBorder="1" applyAlignment="1" applyProtection="1">
      <alignment horizontal="center" vertical="center" wrapText="1"/>
    </xf>
    <xf numFmtId="183" fontId="11" fillId="3" borderId="5" xfId="64" applyNumberFormat="1" applyFont="1" applyFill="1" applyBorder="1" applyAlignment="1" applyProtection="1">
      <alignment horizontal="center" vertical="center"/>
    </xf>
    <xf numFmtId="183" fontId="11" fillId="3" borderId="6" xfId="64" applyNumberFormat="1" applyFont="1" applyFill="1" applyBorder="1" applyAlignment="1" applyProtection="1">
      <alignment horizontal="center" vertical="center"/>
    </xf>
    <xf numFmtId="183" fontId="8" fillId="3" borderId="5" xfId="64" applyNumberFormat="1" applyFont="1" applyFill="1" applyBorder="1" applyAlignment="1" applyProtection="1">
      <alignment horizontal="center" vertical="center"/>
    </xf>
    <xf numFmtId="183" fontId="8" fillId="3" borderId="6" xfId="64" applyNumberFormat="1" applyFont="1" applyFill="1" applyBorder="1" applyAlignment="1" applyProtection="1">
      <alignment horizontal="center" vertical="center"/>
    </xf>
    <xf numFmtId="0" fontId="8" fillId="3" borderId="5" xfId="64" applyNumberFormat="1" applyFont="1" applyFill="1" applyBorder="1" applyAlignment="1" applyProtection="1">
      <alignment horizontal="center" vertical="center" wrapText="1"/>
    </xf>
    <xf numFmtId="0" fontId="8" fillId="3" borderId="6" xfId="64" applyNumberFormat="1" applyFont="1" applyFill="1" applyBorder="1" applyAlignment="1" applyProtection="1">
      <alignment horizontal="center" vertical="center" wrapText="1"/>
    </xf>
    <xf numFmtId="0" fontId="12" fillId="3" borderId="5" xfId="355" applyNumberFormat="1" applyFont="1" applyFill="1" applyBorder="1" applyAlignment="1" applyProtection="1">
      <alignment horizontal="center" vertical="center" wrapText="1"/>
    </xf>
    <xf numFmtId="0" fontId="12" fillId="3" borderId="6" xfId="355" applyNumberFormat="1" applyFont="1" applyFill="1" applyBorder="1" applyAlignment="1" applyProtection="1">
      <alignment horizontal="center" vertical="center" wrapText="1"/>
    </xf>
    <xf numFmtId="0" fontId="13" fillId="3" borderId="5" xfId="355" applyNumberFormat="1" applyFont="1" applyFill="1" applyBorder="1" applyAlignment="1" applyProtection="1">
      <alignment horizontal="center" vertical="center" wrapText="1"/>
    </xf>
    <xf numFmtId="0" fontId="13" fillId="3" borderId="6" xfId="355" applyNumberFormat="1" applyFont="1" applyFill="1" applyBorder="1" applyAlignment="1" applyProtection="1">
      <alignment horizontal="center" vertical="center" wrapText="1"/>
    </xf>
    <xf numFmtId="14" fontId="12" fillId="3" borderId="5" xfId="355" applyNumberFormat="1" applyFont="1" applyFill="1" applyBorder="1" applyAlignment="1" applyProtection="1">
      <alignment horizontal="center" vertical="center" wrapText="1"/>
    </xf>
    <xf numFmtId="14" fontId="12" fillId="3" borderId="6" xfId="355" applyNumberFormat="1" applyFont="1" applyFill="1" applyBorder="1" applyAlignment="1" applyProtection="1">
      <alignment horizontal="center" vertical="center" wrapText="1"/>
    </xf>
    <xf numFmtId="181" fontId="13" fillId="3" borderId="5" xfId="355" applyNumberFormat="1" applyFont="1" applyFill="1" applyBorder="1" applyAlignment="1" applyProtection="1">
      <alignment horizontal="center" vertical="center" wrapText="1"/>
    </xf>
    <xf numFmtId="181" fontId="13" fillId="3" borderId="6" xfId="355" applyNumberFormat="1" applyFont="1" applyFill="1" applyBorder="1" applyAlignment="1" applyProtection="1">
      <alignment horizontal="center" vertical="center" wrapText="1"/>
    </xf>
    <xf numFmtId="0" fontId="11" fillId="3" borderId="5" xfId="64" applyNumberFormat="1" applyFont="1" applyFill="1" applyBorder="1" applyAlignment="1" applyProtection="1">
      <alignment horizontal="center" vertical="center" wrapText="1"/>
    </xf>
    <xf numFmtId="0" fontId="11" fillId="3" borderId="6" xfId="64" applyNumberFormat="1" applyFont="1" applyFill="1" applyBorder="1" applyAlignment="1" applyProtection="1">
      <alignment horizontal="center" vertical="center" wrapText="1"/>
    </xf>
    <xf numFmtId="181" fontId="8" fillId="3" borderId="5" xfId="64" applyNumberFormat="1" applyFont="1" applyFill="1" applyBorder="1" applyAlignment="1" applyProtection="1">
      <alignment horizontal="center" vertical="center" wrapText="1"/>
    </xf>
    <xf numFmtId="181" fontId="8" fillId="3" borderId="6" xfId="64" applyNumberFormat="1" applyFont="1" applyFill="1" applyBorder="1" applyAlignment="1" applyProtection="1">
      <alignment horizontal="center" vertical="center" wrapText="1"/>
    </xf>
    <xf numFmtId="49" fontId="12" fillId="3" borderId="5" xfId="355" applyNumberFormat="1" applyFont="1" applyFill="1" applyBorder="1" applyAlignment="1" applyProtection="1">
      <alignment horizontal="center" vertical="center" wrapText="1"/>
    </xf>
    <xf numFmtId="49" fontId="12" fillId="3" borderId="6" xfId="355" applyNumberFormat="1" applyFont="1" applyFill="1" applyBorder="1" applyAlignment="1" applyProtection="1">
      <alignment horizontal="center" vertical="center" wrapText="1"/>
    </xf>
    <xf numFmtId="0" fontId="32" fillId="8" borderId="7" xfId="317" applyNumberFormat="1" applyFont="1" applyFill="1" applyBorder="1" applyAlignment="1" applyProtection="1">
      <alignment horizontal="center" vertical="center" wrapText="1"/>
    </xf>
    <xf numFmtId="0" fontId="32" fillId="8" borderId="7" xfId="364" applyNumberFormat="1" applyFont="1" applyFill="1" applyBorder="1" applyAlignment="1" applyProtection="1">
      <alignment horizontal="center" vertical="center" wrapText="1"/>
    </xf>
    <xf numFmtId="0" fontId="28" fillId="7" borderId="5" xfId="364" applyNumberFormat="1" applyFont="1" applyFill="1" applyBorder="1" applyAlignment="1" applyProtection="1">
      <alignment horizontal="center" vertical="center" wrapText="1"/>
    </xf>
    <xf numFmtId="0" fontId="28" fillId="7" borderId="11" xfId="364" applyNumberFormat="1" applyFont="1" applyFill="1" applyBorder="1" applyAlignment="1" applyProtection="1">
      <alignment horizontal="center" vertical="center" wrapText="1"/>
    </xf>
    <xf numFmtId="0" fontId="28" fillId="7" borderId="7" xfId="364" applyNumberFormat="1" applyFont="1" applyFill="1" applyBorder="1" applyAlignment="1" applyProtection="1">
      <alignment horizontal="center" vertical="center" wrapText="1"/>
    </xf>
    <xf numFmtId="0" fontId="28" fillId="8" borderId="5" xfId="364" applyNumberFormat="1" applyFont="1" applyFill="1" applyBorder="1" applyAlignment="1" applyProtection="1">
      <alignment horizontal="center" vertical="center" wrapText="1"/>
    </xf>
    <xf numFmtId="0" fontId="28" fillId="8" borderId="11" xfId="364" applyNumberFormat="1" applyFont="1" applyFill="1" applyBorder="1" applyAlignment="1" applyProtection="1">
      <alignment horizontal="center" vertical="center" wrapText="1"/>
    </xf>
    <xf numFmtId="0" fontId="28" fillId="7" borderId="6" xfId="364" applyNumberFormat="1" applyFont="1" applyFill="1" applyBorder="1" applyAlignment="1" applyProtection="1">
      <alignment horizontal="center" vertical="center" wrapText="1"/>
    </xf>
    <xf numFmtId="0" fontId="28" fillId="7" borderId="12" xfId="364" applyNumberFormat="1" applyFont="1" applyFill="1" applyBorder="1" applyAlignment="1" applyProtection="1">
      <alignment horizontal="center" vertical="center" wrapText="1"/>
    </xf>
    <xf numFmtId="0" fontId="28" fillId="8" borderId="12" xfId="364" applyNumberFormat="1" applyFont="1" applyFill="1" applyBorder="1" applyAlignment="1" applyProtection="1">
      <alignment horizontal="center" vertical="center" wrapText="1"/>
    </xf>
    <xf numFmtId="0" fontId="31" fillId="8" borderId="5" xfId="364" applyNumberFormat="1" applyFont="1" applyFill="1" applyBorder="1" applyAlignment="1" applyProtection="1">
      <alignment horizontal="center" vertical="center" wrapText="1"/>
    </xf>
    <xf numFmtId="0" fontId="31" fillId="8" borderId="11" xfId="364" applyNumberFormat="1" applyFont="1" applyFill="1" applyBorder="1" applyAlignment="1" applyProtection="1">
      <alignment horizontal="center" vertical="center" wrapText="1"/>
    </xf>
    <xf numFmtId="0" fontId="28" fillId="10" borderId="7" xfId="317" applyNumberFormat="1" applyFont="1" applyFill="1" applyBorder="1" applyAlignment="1" applyProtection="1">
      <alignment horizontal="center" vertical="center" wrapText="1"/>
    </xf>
    <xf numFmtId="0" fontId="34" fillId="3" borderId="7" xfId="317" applyNumberFormat="1" applyFont="1" applyFill="1" applyBorder="1" applyAlignment="1" applyProtection="1">
      <alignment horizontal="center" vertical="center" wrapText="1"/>
    </xf>
    <xf numFmtId="0" fontId="34" fillId="3" borderId="7" xfId="0" applyNumberFormat="1" applyFont="1" applyFill="1" applyBorder="1" applyAlignment="1" applyProtection="1">
      <alignment horizontal="center" vertical="center" wrapText="1"/>
    </xf>
    <xf numFmtId="0" fontId="34" fillId="3" borderId="7" xfId="0" applyNumberFormat="1" applyFont="1" applyFill="1" applyBorder="1" applyAlignment="1" applyProtection="1">
      <alignment horizontal="center" vertical="center"/>
    </xf>
    <xf numFmtId="0" fontId="1" fillId="0" borderId="0" xfId="0" applyFont="1" applyAlignment="1">
      <alignment horizontal="center" vertical="center" wrapText="1"/>
    </xf>
    <xf numFmtId="0" fontId="5" fillId="0" borderId="0" xfId="0" applyFont="1" applyAlignment="1">
      <alignment horizontal="center" vertical="center" wrapText="1"/>
    </xf>
  </cellXfs>
  <cellStyles count="444">
    <cellStyle name=" 3]_x000d__x000a_Zoomed=1_x000d__x000a_Row=128_x000d__x000a_Column=101_x000d__x000a_Height=300_x000d__x000a_Width=301_x000d__x000a_FontName=System_x000d__x000a_FontStyle=1_x000d__x000a_FontSize=12_x000d__x000a_PrtFontNa" xfId="37"/>
    <cellStyle name="??&amp;O龡&amp;H?_x0008_??_x0007__x0001__x0001_" xfId="42"/>
    <cellStyle name="??_x005f_x0011_?_x005f_x0010_?" xfId="64"/>
    <cellStyle name="_ET_STYLE_NoName_00_" xfId="55"/>
    <cellStyle name="_ET_STYLE_NoName_00__北区长促工资1004_3" xfId="65"/>
    <cellStyle name="_ET_STYLE_NoName_00__南区长促工资1004_5" xfId="59"/>
    <cellStyle name="_ET_STYLE_NoName_-01_ 3 3 3 2" xfId="5"/>
    <cellStyle name="0,0_x000a__x000a_NA_x000a__x000a_" xfId="68"/>
    <cellStyle name="0,0_x000d__x000a_NA_x000d__x000a_" xfId="23"/>
    <cellStyle name="20% - 强调文字颜色 1 2" xfId="2"/>
    <cellStyle name="20% - 强调文字颜色 1 2 2" xfId="70"/>
    <cellStyle name="20% - 强调文字颜色 1 2 3" xfId="60"/>
    <cellStyle name="20% - 强调文字颜色 1 3" xfId="62"/>
    <cellStyle name="20% - 强调文字颜色 1 3 2" xfId="66"/>
    <cellStyle name="20% - 强调文字颜色 1 4" xfId="61"/>
    <cellStyle name="20% - 强调文字颜色 1 5" xfId="57"/>
    <cellStyle name="20% - 强调文字颜色 2 2" xfId="72"/>
    <cellStyle name="20% - 强调文字颜色 2 2 2" xfId="74"/>
    <cellStyle name="20% - 强调文字颜色 2 2 3" xfId="76"/>
    <cellStyle name="20% - 强调文字颜色 2 3" xfId="78"/>
    <cellStyle name="20% - 强调文字颜色 2 3 2" xfId="80"/>
    <cellStyle name="20% - 强调文字颜色 2 4" xfId="82"/>
    <cellStyle name="20% - 强调文字颜色 2 5" xfId="84"/>
    <cellStyle name="20% - 强调文字颜色 3 2" xfId="86"/>
    <cellStyle name="20% - 强调文字颜色 3 2 2" xfId="88"/>
    <cellStyle name="20% - 强调文字颜色 3 2 3" xfId="90"/>
    <cellStyle name="20% - 强调文字颜色 3 3" xfId="33"/>
    <cellStyle name="20% - 强调文字颜色 3 3 2" xfId="53"/>
    <cellStyle name="20% - 强调文字颜色 3 4" xfId="93"/>
    <cellStyle name="20% - 强调文字颜色 3 5" xfId="95"/>
    <cellStyle name="20% - 强调文字颜色 4 2" xfId="98"/>
    <cellStyle name="20% - 强调文字颜色 4 2 2" xfId="101"/>
    <cellStyle name="20% - 强调文字颜色 4 2 3" xfId="104"/>
    <cellStyle name="20% - 强调文字颜色 4 3" xfId="107"/>
    <cellStyle name="20% - 强调文字颜色 4 3 2" xfId="109"/>
    <cellStyle name="20% - 强调文字颜色 4 4" xfId="112"/>
    <cellStyle name="20% - 强调文字颜色 4 5" xfId="16"/>
    <cellStyle name="20% - 强调文字颜色 5 2" xfId="114"/>
    <cellStyle name="20% - 强调文字颜色 5 2 2" xfId="117"/>
    <cellStyle name="20% - 强调文字颜色 5 2 3" xfId="118"/>
    <cellStyle name="20% - 强调文字颜色 5 3" xfId="120"/>
    <cellStyle name="20% - 强调文字颜色 5 3 2" xfId="123"/>
    <cellStyle name="20% - 强调文字颜色 5 4" xfId="125"/>
    <cellStyle name="20% - 强调文字颜色 5 5" xfId="127"/>
    <cellStyle name="20% - 强调文字颜色 6 2" xfId="128"/>
    <cellStyle name="20% - 强调文字颜色 6 2 2" xfId="130"/>
    <cellStyle name="20% - 强调文字颜色 6 2 3" xfId="132"/>
    <cellStyle name="20% - 强调文字颜色 6 3" xfId="133"/>
    <cellStyle name="20% - 强调文字颜色 6 3 2" xfId="135"/>
    <cellStyle name="20% - 强调文字颜色 6 4" xfId="138"/>
    <cellStyle name="20% - 强调文字颜色 6 5" xfId="141"/>
    <cellStyle name="3232" xfId="116"/>
    <cellStyle name="40% - 强调文字颜色 1 2" xfId="142"/>
    <cellStyle name="40% - 强调文字颜色 1 2 2" xfId="143"/>
    <cellStyle name="40% - 强调文字颜色 1 2 3" xfId="144"/>
    <cellStyle name="40% - 强调文字颜色 1 3" xfId="145"/>
    <cellStyle name="40% - 强调文字颜色 1 3 2" xfId="146"/>
    <cellStyle name="40% - 强调文字颜色 1 4" xfId="147"/>
    <cellStyle name="40% - 强调文字颜色 1 5" xfId="148"/>
    <cellStyle name="40% - 强调文字颜色 2 2" xfId="58"/>
    <cellStyle name="40% - 强调文字颜色 2 2 2" xfId="149"/>
    <cellStyle name="40% - 强调文字颜色 2 2 3" xfId="150"/>
    <cellStyle name="40% - 强调文字颜色 2 3" xfId="151"/>
    <cellStyle name="40% - 强调文字颜色 2 3 2" xfId="152"/>
    <cellStyle name="40% - 强调文字颜色 2 4" xfId="153"/>
    <cellStyle name="40% - 强调文字颜色 2 5" xfId="154"/>
    <cellStyle name="40% - 强调文字颜色 3 2" xfId="156"/>
    <cellStyle name="40% - 强调文字颜色 3 2 2" xfId="158"/>
    <cellStyle name="40% - 强调文字颜色 3 2 3" xfId="159"/>
    <cellStyle name="40% - 强调文字颜色 3 3" xfId="161"/>
    <cellStyle name="40% - 强调文字颜色 3 3 2" xfId="163"/>
    <cellStyle name="40% - 强调文字颜色 3 4" xfId="166"/>
    <cellStyle name="40% - 强调文字颜色 3 5" xfId="167"/>
    <cellStyle name="40% - 强调文字颜色 4 2" xfId="27"/>
    <cellStyle name="40% - 强调文字颜色 4 2 2" xfId="172"/>
    <cellStyle name="40% - 强调文字颜色 4 2 3" xfId="176"/>
    <cellStyle name="40% - 强调文字颜色 4 3" xfId="179"/>
    <cellStyle name="40% - 强调文字颜色 4 3 2" xfId="41"/>
    <cellStyle name="40% - 强调文字颜色 4 4" xfId="129"/>
    <cellStyle name="40% - 强调文字颜色 4 5" xfId="131"/>
    <cellStyle name="40% - 强调文字颜色 5 2" xfId="182"/>
    <cellStyle name="40% - 强调文字颜色 5 2 2" xfId="140"/>
    <cellStyle name="40% - 强调文字颜色 5 2 3" xfId="184"/>
    <cellStyle name="40% - 强调文字颜色 5 3" xfId="186"/>
    <cellStyle name="40% - 强调文字颜色 5 3 2" xfId="188"/>
    <cellStyle name="40% - 强调文字颜色 5 4" xfId="134"/>
    <cellStyle name="40% - 强调文字颜色 5 5" xfId="189"/>
    <cellStyle name="40% - 强调文字颜色 6 2" xfId="192"/>
    <cellStyle name="40% - 强调文字颜色 6 2 2" xfId="193"/>
    <cellStyle name="40% - 强调文字颜色 6 2 3" xfId="194"/>
    <cellStyle name="40% - 强调文字颜色 6 3" xfId="197"/>
    <cellStyle name="40% - 强调文字颜色 6 3 2" xfId="199"/>
    <cellStyle name="40% - 强调文字颜色 6 4" xfId="202"/>
    <cellStyle name="40% - 强调文字颜色 6 5" xfId="31"/>
    <cellStyle name="60% - 强调文字颜色 1 2" xfId="92"/>
    <cellStyle name="60% - 强调文字颜色 1 2 2" xfId="203"/>
    <cellStyle name="60% - 强调文字颜色 1 2 3" xfId="204"/>
    <cellStyle name="60% - 强调文字颜色 1 3" xfId="94"/>
    <cellStyle name="60% - 强调文字颜色 1 3 2" xfId="205"/>
    <cellStyle name="60% - 强调文字颜色 1 4" xfId="206"/>
    <cellStyle name="60% - 强调文字颜色 1 5" xfId="209"/>
    <cellStyle name="60% - 强调文字颜色 2 2" xfId="111"/>
    <cellStyle name="60% - 强调文字颜色 2 2 2" xfId="21"/>
    <cellStyle name="60% - 强调文字颜色 2 2 3" xfId="210"/>
    <cellStyle name="60% - 强调文字颜色 2 3" xfId="15"/>
    <cellStyle name="60% - 强调文字颜色 2 3 2" xfId="213"/>
    <cellStyle name="60% - 强调文字颜色 2 4" xfId="215"/>
    <cellStyle name="60% - 强调文字颜色 2 5" xfId="218"/>
    <cellStyle name="60% - 强调文字颜色 3 2" xfId="124"/>
    <cellStyle name="60% - 强调文字颜色 3 2 2" xfId="220"/>
    <cellStyle name="60% - 强调文字颜色 3 2 3" xfId="221"/>
    <cellStyle name="60% - 强调文字颜色 3 3" xfId="126"/>
    <cellStyle name="60% - 强调文字颜色 3 3 2" xfId="222"/>
    <cellStyle name="60% - 强调文字颜色 3 4" xfId="223"/>
    <cellStyle name="60% - 强调文字颜色 3 5" xfId="224"/>
    <cellStyle name="60% - 强调文字颜色 4 2" xfId="137"/>
    <cellStyle name="60% - 强调文字颜色 4 2 2" xfId="201"/>
    <cellStyle name="60% - 强调文字颜色 4 2 3" xfId="30"/>
    <cellStyle name="60% - 强调文字颜色 4 3" xfId="139"/>
    <cellStyle name="60% - 强调文字颜色 4 3 2" xfId="225"/>
    <cellStyle name="60% - 强调文字颜色 4 4" xfId="183"/>
    <cellStyle name="60% - 强调文字颜色 4 5" xfId="227"/>
    <cellStyle name="60% - 强调文字颜色 5 2" xfId="228"/>
    <cellStyle name="60% - 强调文字颜色 5 2 2" xfId="230"/>
    <cellStyle name="60% - 强调文字颜色 5 2 3" xfId="231"/>
    <cellStyle name="60% - 强调文字颜色 5 3" xfId="187"/>
    <cellStyle name="60% - 强调文字颜色 5 3 2" xfId="232"/>
    <cellStyle name="60% - 强调文字颜色 5 4" xfId="233"/>
    <cellStyle name="60% - 强调文字颜色 5 5" xfId="234"/>
    <cellStyle name="60% - 强调文字颜色 6 2" xfId="235"/>
    <cellStyle name="60% - 强调文字颜色 6 2 2" xfId="238"/>
    <cellStyle name="60% - 强调文字颜色 6 2 3" xfId="240"/>
    <cellStyle name="60% - 强调文字颜色 6 3" xfId="241"/>
    <cellStyle name="60% - 强调文字颜色 6 3 2" xfId="12"/>
    <cellStyle name="60% - 强调文字颜色 6 4" xfId="242"/>
    <cellStyle name="60% - 强调文字颜色 6 5" xfId="243"/>
    <cellStyle name="Comma_SALARYBJ" xfId="245"/>
    <cellStyle name="Normal_08'前程工资8月" xfId="239"/>
    <cellStyle name="百分比" xfId="13" builtinId="5"/>
    <cellStyle name="百分比 2" xfId="247"/>
    <cellStyle name="百分比 2 2" xfId="248"/>
    <cellStyle name="百分比 3" xfId="122"/>
    <cellStyle name="百分比 4" xfId="22"/>
    <cellStyle name="标题 1 2" xfId="249"/>
    <cellStyle name="标题 1 2 2" xfId="250"/>
    <cellStyle name="标题 1 2 3" xfId="251"/>
    <cellStyle name="标题 1 3" xfId="252"/>
    <cellStyle name="标题 1 3 2" xfId="254"/>
    <cellStyle name="标题 1 4" xfId="255"/>
    <cellStyle name="标题 1 5" xfId="256"/>
    <cellStyle name="标题 2 2" xfId="257"/>
    <cellStyle name="标题 2 2 2" xfId="258"/>
    <cellStyle name="标题 2 2 3" xfId="260"/>
    <cellStyle name="标题 2 3" xfId="261"/>
    <cellStyle name="标题 2 3 2" xfId="263"/>
    <cellStyle name="标题 2 4" xfId="264"/>
    <cellStyle name="标题 2 5" xfId="265"/>
    <cellStyle name="标题 3 2" xfId="266"/>
    <cellStyle name="标题 3 2 2" xfId="268"/>
    <cellStyle name="标题 3 2 3" xfId="269"/>
    <cellStyle name="标题 3 3" xfId="270"/>
    <cellStyle name="标题 3 3 2" xfId="272"/>
    <cellStyle name="标题 3 4" xfId="273"/>
    <cellStyle name="标题 3 5" xfId="274"/>
    <cellStyle name="标题 4 2" xfId="276"/>
    <cellStyle name="标题 4 2 2" xfId="54"/>
    <cellStyle name="标题 4 2 3" xfId="277"/>
    <cellStyle name="标题 4 3" xfId="279"/>
    <cellStyle name="标题 4 3 2" xfId="281"/>
    <cellStyle name="标题 4 4" xfId="171"/>
    <cellStyle name="标题 4 5" xfId="175"/>
    <cellStyle name="标题 5" xfId="283"/>
    <cellStyle name="标题 5 2" xfId="285"/>
    <cellStyle name="标题 5 3" xfId="288"/>
    <cellStyle name="标题 6" xfId="289"/>
    <cellStyle name="标题 6 2" xfId="291"/>
    <cellStyle name="标题 7" xfId="293"/>
    <cellStyle name="标题 8" xfId="294"/>
    <cellStyle name="差 2" xfId="296"/>
    <cellStyle name="差 2 2" xfId="297"/>
    <cellStyle name="差 2 3" xfId="63"/>
    <cellStyle name="差 3" xfId="298"/>
    <cellStyle name="差 3 2" xfId="299"/>
    <cellStyle name="差 4" xfId="246"/>
    <cellStyle name="差 5" xfId="121"/>
    <cellStyle name="常规" xfId="0" builtinId="0"/>
    <cellStyle name="常规 11" xfId="262"/>
    <cellStyle name="常规 11 2" xfId="300"/>
    <cellStyle name="常规 11 3" xfId="302"/>
    <cellStyle name="常规 12" xfId="303"/>
    <cellStyle name="常规 12 2" xfId="304"/>
    <cellStyle name="常规 12 3" xfId="305"/>
    <cellStyle name="常规 14" xfId="307"/>
    <cellStyle name="常规 14 2" xfId="308"/>
    <cellStyle name="常规 14 3" xfId="309"/>
    <cellStyle name="常规 2" xfId="310"/>
    <cellStyle name="常规 2 2" xfId="311"/>
    <cellStyle name="常规 2 2 2" xfId="312"/>
    <cellStyle name="常规 2 2 2 2" xfId="313"/>
    <cellStyle name="常规 2 2 3" xfId="314"/>
    <cellStyle name="常规 2 3" xfId="316"/>
    <cellStyle name="常规 2 3 2" xfId="319"/>
    <cellStyle name="常规 2 3 2 2" xfId="301"/>
    <cellStyle name="常规 2 3 2 3" xfId="69"/>
    <cellStyle name="常规 2 3 3" xfId="320"/>
    <cellStyle name="常规 2 3 4" xfId="321"/>
    <cellStyle name="常规 2 4" xfId="323"/>
    <cellStyle name="常规 2 4 2" xfId="324"/>
    <cellStyle name="常规 2 5" xfId="326"/>
    <cellStyle name="常规 2 5 2" xfId="328"/>
    <cellStyle name="常规 2 6" xfId="330"/>
    <cellStyle name="常规 2 6 2" xfId="332"/>
    <cellStyle name="常规 2 6 2 2" xfId="333"/>
    <cellStyle name="常规 25" xfId="164"/>
    <cellStyle name="常规 27" xfId="334"/>
    <cellStyle name="常规 3" xfId="97"/>
    <cellStyle name="常规 3 2" xfId="100"/>
    <cellStyle name="常规 3 2 2" xfId="336"/>
    <cellStyle name="常规 3 3" xfId="103"/>
    <cellStyle name="常规 3 3 2" xfId="337"/>
    <cellStyle name="常规 3 3 3" xfId="338"/>
    <cellStyle name="常规 3 4" xfId="339"/>
    <cellStyle name="常规 3 4 2" xfId="340"/>
    <cellStyle name="常规 3 4 3" xfId="9"/>
    <cellStyle name="常规 3 5" xfId="342"/>
    <cellStyle name="常规 3 5 2" xfId="344"/>
    <cellStyle name="常规 3 5 3" xfId="237"/>
    <cellStyle name="常规 4" xfId="106"/>
    <cellStyle name="常规 4 2" xfId="108"/>
    <cellStyle name="常规 4 2 2" xfId="346"/>
    <cellStyle name="常规 4 3" xfId="348"/>
    <cellStyle name="常规 4 4" xfId="345"/>
    <cellStyle name="常规 5" xfId="110"/>
    <cellStyle name="常规 5 2" xfId="20"/>
    <cellStyle name="常规 6" xfId="14"/>
    <cellStyle name="常规 6 2" xfId="212"/>
    <cellStyle name="常规 7" xfId="214"/>
    <cellStyle name="常规 7 2" xfId="349"/>
    <cellStyle name="常规 7 3" xfId="11"/>
    <cellStyle name="常规 8" xfId="217"/>
    <cellStyle name="常规 8 2" xfId="35"/>
    <cellStyle name="常规 8 3" xfId="28"/>
    <cellStyle name="常规 8 4" xfId="351"/>
    <cellStyle name="常规 9" xfId="352"/>
    <cellStyle name="常规_0705 UL South CS meeting (chonghua)" xfId="440"/>
    <cellStyle name="常规_Sheet1" xfId="364"/>
    <cellStyle name="常规_创联至信12年工资表sn803808" xfId="226"/>
    <cellStyle name="常规_付款通知书智联（神数系统）" xfId="355"/>
    <cellStyle name="常规_全国客服表格" xfId="317"/>
    <cellStyle name="好 2" xfId="56"/>
    <cellStyle name="好 2 2" xfId="356"/>
    <cellStyle name="好 2 3" xfId="181"/>
    <cellStyle name="好 3" xfId="357"/>
    <cellStyle name="好 3 2" xfId="259"/>
    <cellStyle name="好 4" xfId="358"/>
    <cellStyle name="好 5" xfId="267"/>
    <cellStyle name="汇总 2" xfId="359"/>
    <cellStyle name="汇总 2 2" xfId="278"/>
    <cellStyle name="汇总 2 2 2" xfId="280"/>
    <cellStyle name="汇总 2 3" xfId="170"/>
    <cellStyle name="汇总 2 3 2" xfId="361"/>
    <cellStyle name="汇总 2 4" xfId="174"/>
    <cellStyle name="汇总 3" xfId="253"/>
    <cellStyle name="汇总 3 2" xfId="287"/>
    <cellStyle name="汇总 3 2 2" xfId="46"/>
    <cellStyle name="汇总 3 3" xfId="40"/>
    <cellStyle name="汇总 4" xfId="362"/>
    <cellStyle name="汇总 4 2" xfId="4"/>
    <cellStyle name="汇总 5" xfId="363"/>
    <cellStyle name="汇总 5 2" xfId="366"/>
    <cellStyle name="计算 2" xfId="10"/>
    <cellStyle name="计算 2 2" xfId="155"/>
    <cellStyle name="计算 2 2 2" xfId="157"/>
    <cellStyle name="计算 2 3" xfId="160"/>
    <cellStyle name="计算 2 3 2" xfId="162"/>
    <cellStyle name="计算 2 4" xfId="165"/>
    <cellStyle name="计算 3" xfId="47"/>
    <cellStyle name="计算 3 2" xfId="26"/>
    <cellStyle name="计算 3 2 2" xfId="169"/>
    <cellStyle name="计算 3 3" xfId="178"/>
    <cellStyle name="计算 4" xfId="48"/>
    <cellStyle name="计算 4 2" xfId="180"/>
    <cellStyle name="计算 5" xfId="52"/>
    <cellStyle name="计算 5 2" xfId="191"/>
    <cellStyle name="检查单元格 2" xfId="168"/>
    <cellStyle name="检查单元格 2 2" xfId="360"/>
    <cellStyle name="检查单元格 2 3" xfId="367"/>
    <cellStyle name="检查单元格 3" xfId="173"/>
    <cellStyle name="检查单元格 3 2" xfId="36"/>
    <cellStyle name="检查单元格 4" xfId="368"/>
    <cellStyle name="检查单元格 5" xfId="369"/>
    <cellStyle name="解释性文本 2" xfId="370"/>
    <cellStyle name="解释性文本 2 2" xfId="17"/>
    <cellStyle name="解释性文本 2 3" xfId="282"/>
    <cellStyle name="解释性文本 3" xfId="198"/>
    <cellStyle name="解释性文本 3 2" xfId="371"/>
    <cellStyle name="解释性文本 4" xfId="372"/>
    <cellStyle name="解释性文本 5" xfId="295"/>
    <cellStyle name="警告文本 2" xfId="354"/>
    <cellStyle name="警告文本 2 2" xfId="208"/>
    <cellStyle name="警告文本 2 3" xfId="244"/>
    <cellStyle name="警告文本 3" xfId="374"/>
    <cellStyle name="警告文本 3 2" xfId="216"/>
    <cellStyle name="警告文本 4" xfId="375"/>
    <cellStyle name="警告文本 5" xfId="376"/>
    <cellStyle name="链接单元格 2" xfId="378"/>
    <cellStyle name="链接单元格 2 2" xfId="380"/>
    <cellStyle name="链接单元格 2 3" xfId="381"/>
    <cellStyle name="链接单元格 3" xfId="39"/>
    <cellStyle name="链接单元格 3 2" xfId="1"/>
    <cellStyle name="链接单元格 4" xfId="44"/>
    <cellStyle name="链接单元格 5" xfId="7"/>
    <cellStyle name="千位分隔 2" xfId="382"/>
    <cellStyle name="千位分隔 2 2" xfId="383"/>
    <cellStyle name="千位分隔 3" xfId="275"/>
    <cellStyle name="强调文字颜色 1 2" xfId="384"/>
    <cellStyle name="强调文字颜色 1 2 2" xfId="385"/>
    <cellStyle name="强调文字颜色 1 2 3" xfId="19"/>
    <cellStyle name="强调文字颜色 1 3" xfId="386"/>
    <cellStyle name="强调文字颜色 1 3 2" xfId="387"/>
    <cellStyle name="强调文字颜色 1 4" xfId="284"/>
    <cellStyle name="强调文字颜色 1 5" xfId="286"/>
    <cellStyle name="强调文字颜色 2 2" xfId="388"/>
    <cellStyle name="强调文字颜色 2 2 2" xfId="389"/>
    <cellStyle name="强调文字颜色 2 2 3" xfId="219"/>
    <cellStyle name="强调文字颜色 2 3" xfId="390"/>
    <cellStyle name="强调文字颜色 2 3 2" xfId="8"/>
    <cellStyle name="强调文字颜色 2 4" xfId="290"/>
    <cellStyle name="强调文字颜色 2 5" xfId="3"/>
    <cellStyle name="强调文字颜色 3 2" xfId="392"/>
    <cellStyle name="强调文字颜色 3 2 2" xfId="196"/>
    <cellStyle name="强调文字颜色 3 2 3" xfId="200"/>
    <cellStyle name="强调文字颜色 3 3" xfId="393"/>
    <cellStyle name="强调文字颜色 3 3 2" xfId="306"/>
    <cellStyle name="强调文字颜色 3 4" xfId="394"/>
    <cellStyle name="强调文字颜色 3 5" xfId="365"/>
    <cellStyle name="强调文字颜色 4 2" xfId="325"/>
    <cellStyle name="强调文字颜色 4 2 2" xfId="327"/>
    <cellStyle name="强调文字颜色 4 2 3" xfId="229"/>
    <cellStyle name="强调文字颜色 4 3" xfId="329"/>
    <cellStyle name="强调文字颜色 4 3 2" xfId="331"/>
    <cellStyle name="强调文字颜色 4 4" xfId="395"/>
    <cellStyle name="强调文字颜色 4 5" xfId="397"/>
    <cellStyle name="强调文字颜色 5 2" xfId="341"/>
    <cellStyle name="强调文字颜色 5 2 2" xfId="343"/>
    <cellStyle name="强调文字颜色 5 2 3" xfId="236"/>
    <cellStyle name="强调文字颜色 5 3" xfId="398"/>
    <cellStyle name="强调文字颜色 5 3 2" xfId="399"/>
    <cellStyle name="强调文字颜色 5 4" xfId="400"/>
    <cellStyle name="强调文字颜色 5 5" xfId="67"/>
    <cellStyle name="强调文字颜色 6 2" xfId="401"/>
    <cellStyle name="强调文字颜色 6 2 2" xfId="402"/>
    <cellStyle name="强调文字颜色 6 2 3" xfId="403"/>
    <cellStyle name="强调文字颜色 6 3" xfId="404"/>
    <cellStyle name="强调文字颜色 6 3 2" xfId="350"/>
    <cellStyle name="强调文字颜色 6 4" xfId="405"/>
    <cellStyle name="强调文字颜色 6 5" xfId="406"/>
    <cellStyle name="适中 2" xfId="51"/>
    <cellStyle name="适中 2 2" xfId="190"/>
    <cellStyle name="适中 2 3" xfId="195"/>
    <cellStyle name="适中 3" xfId="407"/>
    <cellStyle name="适中 3 2" xfId="408"/>
    <cellStyle name="适中 4" xfId="335"/>
    <cellStyle name="适中 5" xfId="409"/>
    <cellStyle name="输出 2" xfId="43"/>
    <cellStyle name="输出 2 2" xfId="71"/>
    <cellStyle name="输出 2 2 2" xfId="73"/>
    <cellStyle name="输出 2 2 2 2" xfId="410"/>
    <cellStyle name="输出 2 2 3" xfId="75"/>
    <cellStyle name="输出 2 3" xfId="77"/>
    <cellStyle name="输出 2 3 2" xfId="79"/>
    <cellStyle name="输出 2 3 2 2" xfId="411"/>
    <cellStyle name="输出 2 3 3" xfId="412"/>
    <cellStyle name="输出 2 4" xfId="81"/>
    <cellStyle name="输出 2 4 2" xfId="25"/>
    <cellStyle name="输出 2 5" xfId="83"/>
    <cellStyle name="输出 3" xfId="6"/>
    <cellStyle name="输出 3 2" xfId="85"/>
    <cellStyle name="输出 3 2 2" xfId="87"/>
    <cellStyle name="输出 3 2 2 2" xfId="413"/>
    <cellStyle name="输出 3 2 3" xfId="89"/>
    <cellStyle name="输出 3 3" xfId="32"/>
    <cellStyle name="输出 3 3 2" xfId="50"/>
    <cellStyle name="输出 3 4" xfId="91"/>
    <cellStyle name="输出 4" xfId="45"/>
    <cellStyle name="输出 4 2" xfId="96"/>
    <cellStyle name="输出 4 2 2" xfId="99"/>
    <cellStyle name="输出 4 3" xfId="105"/>
    <cellStyle name="输出 5" xfId="34"/>
    <cellStyle name="输出 5 2" xfId="113"/>
    <cellStyle name="输出 5 2 2" xfId="115"/>
    <cellStyle name="输出 5 3" xfId="119"/>
    <cellStyle name="输入 2" xfId="396"/>
    <cellStyle name="输入 2 2" xfId="415"/>
    <cellStyle name="输入 2 2 2" xfId="177"/>
    <cellStyle name="输入 2 3" xfId="417"/>
    <cellStyle name="输入 2 3 2" xfId="185"/>
    <cellStyle name="输入 2 4" xfId="391"/>
    <cellStyle name="输入 3" xfId="418"/>
    <cellStyle name="输入 3 2" xfId="315"/>
    <cellStyle name="输入 3 2 2" xfId="318"/>
    <cellStyle name="输入 3 3" xfId="322"/>
    <cellStyle name="输入 4" xfId="419"/>
    <cellStyle name="输入 4 2" xfId="102"/>
    <cellStyle name="输入 5" xfId="420"/>
    <cellStyle name="输入 5 2" xfId="347"/>
    <cellStyle name="㼿㼿㼿㼿? 2" xfId="443"/>
    <cellStyle name="㼿㼿㼿㼿㼿" xfId="441"/>
    <cellStyle name="㼿㼿㼿㼿㼿㼿㼿" xfId="442"/>
    <cellStyle name="样式 1" xfId="271"/>
    <cellStyle name="样式 1 2" xfId="421"/>
    <cellStyle name="样式 2" xfId="422"/>
    <cellStyle name="样式 2 2" xfId="423"/>
    <cellStyle name="样式 2 3" xfId="424"/>
    <cellStyle name="样式 2 4" xfId="414"/>
    <cellStyle name="样式 2 5" xfId="416"/>
    <cellStyle name="注释 2" xfId="211"/>
    <cellStyle name="注释 2 2" xfId="425"/>
    <cellStyle name="注释 2 2 2" xfId="426"/>
    <cellStyle name="注释 2 2 2 2" xfId="427"/>
    <cellStyle name="注释 2 2 3" xfId="428"/>
    <cellStyle name="注释 2 3" xfId="29"/>
    <cellStyle name="注释 2 3 2" xfId="377"/>
    <cellStyle name="注释 2 3 2 2" xfId="379"/>
    <cellStyle name="注释 2 3 3" xfId="38"/>
    <cellStyle name="注释 2 4" xfId="429"/>
    <cellStyle name="注释 2 4 2" xfId="292"/>
    <cellStyle name="注释 2 5" xfId="430"/>
    <cellStyle name="注释 3" xfId="431"/>
    <cellStyle name="注释 3 2" xfId="432"/>
    <cellStyle name="注释 3 2 2" xfId="24"/>
    <cellStyle name="注释 3 2 2 2" xfId="136"/>
    <cellStyle name="注释 3 2 3" xfId="49"/>
    <cellStyle name="注释 3 3" xfId="433"/>
    <cellStyle name="注释 3 3 2" xfId="434"/>
    <cellStyle name="注释 3 4" xfId="435"/>
    <cellStyle name="注释 4" xfId="436"/>
    <cellStyle name="注释 4 2" xfId="437"/>
    <cellStyle name="注释 4 2 2" xfId="438"/>
    <cellStyle name="注释 4 3" xfId="439"/>
    <cellStyle name="注释 5" xfId="18"/>
    <cellStyle name="注释 5 2" xfId="353"/>
    <cellStyle name="注释 5 2 2" xfId="207"/>
    <cellStyle name="注释 5 3" xfId="373"/>
  </cellStyles>
  <dxfs count="98">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ill>
        <patternFill patternType="solid">
          <bgColor indexed="43"/>
        </patternFill>
      </fill>
    </dxf>
    <dxf>
      <fill>
        <patternFill patternType="solid">
          <bgColor indexed="45"/>
        </patternFill>
      </fill>
    </dxf>
  </dxfs>
  <tableStyles count="0" defaultTableStyle="TableStyleMedium2" defaultPivotStyle="PivotStyleLight16"/>
  <colors>
    <mruColors>
      <color rgb="FF79EBA7"/>
      <color rgb="FFFF0000"/>
      <color rgb="FFFFFF00"/>
      <color rgb="FF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219075</xdr:colOff>
      <xdr:row>2</xdr:row>
      <xdr:rowOff>95250</xdr:rowOff>
    </xdr:to>
    <xdr:pic>
      <xdr:nvPicPr>
        <xdr:cNvPr id="2" name="图片 4" descr="cid:_Foxmail.1@6377c9cf-32a5-0363-4d93-1ccf8febe018"/>
        <xdr:cNvPicPr>
          <a:picLocks noChangeAspect="1" noChangeArrowheads="1"/>
        </xdr:cNvPicPr>
      </xdr:nvPicPr>
      <xdr:blipFill>
        <a:blip xmlns:r="http://schemas.openxmlformats.org/officeDocument/2006/relationships" r:embed="rId1" cstate="print"/>
        <a:srcRect/>
        <a:stretch>
          <a:fillRect/>
        </a:stretch>
      </xdr:blipFill>
      <xdr:spPr>
        <a:xfrm>
          <a:off x="0" y="0"/>
          <a:ext cx="2409825"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5"/>
  <sheetViews>
    <sheetView tabSelected="1" workbookViewId="0">
      <selection activeCell="E35" sqref="E35"/>
    </sheetView>
  </sheetViews>
  <sheetFormatPr defaultColWidth="9" defaultRowHeight="13.5"/>
  <cols>
    <col min="1" max="2" width="9" style="227"/>
    <col min="3" max="3" width="10.75" style="227" customWidth="1"/>
    <col min="4" max="4" width="16.75" style="227" customWidth="1"/>
    <col min="5" max="5" width="11.75" style="227" customWidth="1"/>
    <col min="6" max="6" width="9" style="227"/>
    <col min="7" max="7" width="10.75" style="227" customWidth="1"/>
    <col min="8" max="12" width="9" style="227"/>
    <col min="13" max="13" width="9.5" style="227" customWidth="1"/>
    <col min="14" max="14" width="16.5" style="227" customWidth="1"/>
    <col min="15" max="16384" width="9" style="227"/>
  </cols>
  <sheetData>
    <row r="1" spans="1:14" ht="25.5">
      <c r="A1" s="291" t="s">
        <v>0</v>
      </c>
      <c r="B1" s="291"/>
      <c r="C1" s="291"/>
      <c r="D1" s="291"/>
      <c r="E1" s="291"/>
      <c r="F1" s="291"/>
      <c r="G1" s="291"/>
      <c r="H1" s="291"/>
      <c r="I1" s="291"/>
      <c r="J1" s="291"/>
      <c r="K1" s="291"/>
      <c r="L1" s="291"/>
      <c r="M1" s="291"/>
      <c r="N1" s="291"/>
    </row>
    <row r="2" spans="1:14" ht="14.25">
      <c r="A2" s="228"/>
      <c r="B2" s="229"/>
      <c r="C2" s="229"/>
      <c r="D2" s="230"/>
      <c r="E2" s="230"/>
      <c r="F2" s="230"/>
      <c r="G2" s="228"/>
      <c r="H2" s="228"/>
      <c r="I2" s="228"/>
      <c r="J2" s="230"/>
      <c r="K2" s="230"/>
      <c r="L2" s="230"/>
      <c r="M2" s="230"/>
      <c r="N2" s="230"/>
    </row>
    <row r="3" spans="1:14">
      <c r="A3" s="231"/>
      <c r="B3" s="232"/>
      <c r="C3" s="233"/>
      <c r="D3" s="234"/>
      <c r="E3" s="235"/>
      <c r="F3" s="235"/>
      <c r="G3" s="236"/>
      <c r="H3" s="237"/>
      <c r="I3" s="232"/>
      <c r="J3" s="233"/>
      <c r="K3" s="234"/>
      <c r="L3" s="270"/>
      <c r="M3" s="230"/>
      <c r="N3" s="230"/>
    </row>
    <row r="4" spans="1:14">
      <c r="A4" s="231"/>
      <c r="B4" s="292" t="s">
        <v>1</v>
      </c>
      <c r="C4" s="292"/>
      <c r="D4" s="292"/>
      <c r="E4" s="292"/>
      <c r="F4" s="293"/>
      <c r="G4" s="238"/>
      <c r="H4" s="237"/>
      <c r="K4" s="230"/>
      <c r="L4" s="271"/>
      <c r="M4" s="272"/>
      <c r="N4" s="230"/>
    </row>
    <row r="5" spans="1:14">
      <c r="A5" s="239"/>
      <c r="B5" s="240" t="s">
        <v>2</v>
      </c>
      <c r="C5" s="234"/>
      <c r="D5" s="234"/>
      <c r="E5" s="234"/>
      <c r="F5" s="234"/>
      <c r="G5" s="234"/>
      <c r="H5" s="241"/>
      <c r="I5" s="237"/>
      <c r="J5" s="232"/>
      <c r="K5" s="233"/>
      <c r="L5" s="270"/>
      <c r="M5" s="230"/>
      <c r="N5" s="230"/>
    </row>
    <row r="6" spans="1:14" ht="9.75" customHeight="1">
      <c r="A6" s="242"/>
      <c r="B6" s="242"/>
      <c r="C6" s="242"/>
      <c r="D6" s="242"/>
      <c r="E6" s="242"/>
      <c r="F6" s="242"/>
      <c r="G6" s="242"/>
      <c r="H6" s="242"/>
      <c r="I6" s="273"/>
      <c r="J6" s="273"/>
      <c r="K6" s="274"/>
      <c r="L6" s="274"/>
      <c r="M6" s="274"/>
      <c r="N6" s="274"/>
    </row>
    <row r="7" spans="1:14" ht="14.25">
      <c r="A7" s="242"/>
      <c r="B7" s="294" t="s">
        <v>3</v>
      </c>
      <c r="C7" s="295"/>
      <c r="D7" s="295"/>
      <c r="E7" s="295"/>
      <c r="F7" s="295"/>
      <c r="G7" s="295"/>
      <c r="H7" s="295"/>
      <c r="I7" s="296" t="s">
        <v>4</v>
      </c>
      <c r="J7" s="296"/>
      <c r="K7" s="275"/>
      <c r="L7" s="229"/>
      <c r="M7" s="229"/>
      <c r="N7" s="276"/>
    </row>
    <row r="8" spans="1:14" ht="14.25">
      <c r="A8" s="242"/>
      <c r="B8" s="297" t="s">
        <v>5</v>
      </c>
      <c r="C8" s="298"/>
      <c r="D8" s="298"/>
      <c r="E8" s="299">
        <f>D10</f>
        <v>35682.619999999995</v>
      </c>
      <c r="F8" s="300"/>
      <c r="G8" s="300"/>
      <c r="H8" s="301"/>
      <c r="I8" s="277"/>
      <c r="J8" s="302" t="s">
        <v>6</v>
      </c>
      <c r="K8" s="302"/>
      <c r="L8" s="302"/>
      <c r="M8" s="302"/>
      <c r="N8" s="302"/>
    </row>
    <row r="9" spans="1:14">
      <c r="A9" s="242"/>
      <c r="B9" s="303" t="s">
        <v>7</v>
      </c>
      <c r="C9" s="304"/>
      <c r="D9" s="304"/>
      <c r="E9" s="305">
        <f>G24</f>
        <v>35682.619999999995</v>
      </c>
      <c r="F9" s="306"/>
      <c r="G9" s="306"/>
      <c r="H9" s="307"/>
      <c r="I9" s="278"/>
      <c r="J9" s="308" t="s">
        <v>8</v>
      </c>
      <c r="K9" s="308"/>
      <c r="L9" s="308"/>
      <c r="M9" s="308"/>
      <c r="N9" s="309"/>
    </row>
    <row r="10" spans="1:14" ht="14.25">
      <c r="A10" s="242"/>
      <c r="B10" s="310" t="s">
        <v>9</v>
      </c>
      <c r="C10" s="311"/>
      <c r="D10" s="243">
        <f>G24</f>
        <v>35682.619999999995</v>
      </c>
      <c r="E10" s="312" t="s">
        <v>10</v>
      </c>
      <c r="F10" s="313"/>
      <c r="G10" s="314"/>
      <c r="H10" s="244">
        <v>0</v>
      </c>
      <c r="I10" s="279"/>
      <c r="J10" s="315" t="s">
        <v>11</v>
      </c>
      <c r="K10" s="315"/>
      <c r="L10" s="315"/>
      <c r="M10" s="315"/>
      <c r="N10" s="316"/>
    </row>
    <row r="11" spans="1:14" ht="14.25">
      <c r="A11" s="242"/>
      <c r="B11" s="317" t="s">
        <v>12</v>
      </c>
      <c r="C11" s="318"/>
      <c r="D11" s="245"/>
      <c r="E11" s="319" t="s">
        <v>13</v>
      </c>
      <c r="F11" s="320"/>
      <c r="G11" s="321"/>
      <c r="H11" s="246"/>
      <c r="I11" s="280"/>
      <c r="J11" s="281"/>
      <c r="K11" s="280"/>
      <c r="L11" s="280"/>
      <c r="M11" s="280"/>
      <c r="N11" s="282"/>
    </row>
    <row r="12" spans="1:14">
      <c r="A12" s="239"/>
      <c r="B12" s="317" t="s">
        <v>14</v>
      </c>
      <c r="C12" s="318"/>
      <c r="D12" s="245">
        <v>0</v>
      </c>
      <c r="E12" s="319" t="s">
        <v>15</v>
      </c>
      <c r="F12" s="320"/>
      <c r="G12" s="321"/>
      <c r="H12" s="246"/>
      <c r="I12" s="283"/>
      <c r="J12" s="284"/>
      <c r="K12" s="322"/>
      <c r="L12" s="322"/>
      <c r="M12" s="322"/>
      <c r="N12" s="322"/>
    </row>
    <row r="13" spans="1:14">
      <c r="A13" s="230"/>
      <c r="B13" s="323" t="s">
        <v>16</v>
      </c>
      <c r="C13" s="324"/>
      <c r="D13" s="247">
        <v>0</v>
      </c>
      <c r="E13" s="325"/>
      <c r="F13" s="326"/>
      <c r="G13" s="327"/>
      <c r="H13" s="248"/>
      <c r="I13" s="242"/>
      <c r="J13" s="285"/>
      <c r="K13" s="328"/>
      <c r="L13" s="328"/>
      <c r="M13" s="328"/>
      <c r="N13" s="328"/>
    </row>
    <row r="14" spans="1:14" ht="5.25" customHeight="1">
      <c r="A14" s="249"/>
      <c r="B14" s="242"/>
      <c r="C14" s="242"/>
      <c r="D14" s="242"/>
      <c r="E14" s="242"/>
      <c r="F14" s="242"/>
      <c r="G14" s="242"/>
      <c r="H14" s="242"/>
      <c r="I14" s="242"/>
      <c r="J14" s="242"/>
      <c r="K14" s="242"/>
      <c r="L14" s="242"/>
      <c r="M14" s="242"/>
      <c r="N14" s="242"/>
    </row>
    <row r="15" spans="1:14">
      <c r="A15" s="329" t="s">
        <v>17</v>
      </c>
      <c r="B15" s="329"/>
      <c r="C15" s="329"/>
      <c r="D15" s="329"/>
      <c r="E15" s="329"/>
      <c r="F15" s="329"/>
      <c r="G15" s="329"/>
      <c r="H15" s="329"/>
      <c r="I15" s="329"/>
      <c r="J15" s="329"/>
      <c r="K15" s="329"/>
      <c r="L15" s="329"/>
      <c r="M15" s="329"/>
      <c r="N15" s="329"/>
    </row>
    <row r="16" spans="1:14" ht="3" customHeight="1">
      <c r="A16" s="230"/>
      <c r="B16" s="230"/>
      <c r="C16" s="230"/>
      <c r="D16" s="230"/>
      <c r="E16" s="230"/>
      <c r="F16" s="230"/>
      <c r="G16" s="230"/>
      <c r="H16" s="230"/>
      <c r="I16" s="230"/>
      <c r="J16" s="230"/>
      <c r="K16" s="230"/>
      <c r="L16" s="230"/>
      <c r="M16" s="230"/>
      <c r="N16" s="230"/>
    </row>
    <row r="17" spans="2:13" ht="18">
      <c r="B17" s="250" t="s">
        <v>18</v>
      </c>
      <c r="C17" s="251" t="s">
        <v>19</v>
      </c>
      <c r="D17" s="330" t="s">
        <v>20</v>
      </c>
      <c r="E17" s="330"/>
      <c r="F17" s="252" t="s">
        <v>21</v>
      </c>
      <c r="G17" s="253" t="s">
        <v>22</v>
      </c>
      <c r="H17" s="254" t="s">
        <v>23</v>
      </c>
      <c r="J17" s="339" t="s">
        <v>24</v>
      </c>
      <c r="K17" s="339"/>
      <c r="L17" s="339"/>
      <c r="M17" s="339"/>
    </row>
    <row r="18" spans="2:13" ht="16.5">
      <c r="B18" s="255">
        <v>1</v>
      </c>
      <c r="C18" s="338" t="s">
        <v>25</v>
      </c>
      <c r="D18" s="331" t="s">
        <v>26</v>
      </c>
      <c r="E18" s="331"/>
      <c r="F18" s="257"/>
      <c r="G18" s="258">
        <f>'（居民）工资表-8月'!E14</f>
        <v>25903.8</v>
      </c>
      <c r="H18" s="259"/>
      <c r="J18" s="339"/>
      <c r="K18" s="339"/>
      <c r="L18" s="339"/>
      <c r="M18" s="339"/>
    </row>
    <row r="19" spans="2:13" ht="16.5">
      <c r="B19" s="255">
        <v>2</v>
      </c>
      <c r="C19" s="338"/>
      <c r="D19" s="260" t="s">
        <v>27</v>
      </c>
      <c r="E19" s="261" t="s">
        <v>28</v>
      </c>
      <c r="F19" s="257"/>
      <c r="G19" s="258">
        <f>社保1!AX14</f>
        <v>7959.82</v>
      </c>
      <c r="H19" s="262"/>
      <c r="J19" s="339"/>
      <c r="K19" s="339"/>
      <c r="L19" s="339"/>
      <c r="M19" s="339"/>
    </row>
    <row r="20" spans="2:13" ht="16.5">
      <c r="B20" s="255">
        <v>3</v>
      </c>
      <c r="C20" s="338"/>
      <c r="D20" s="260" t="s">
        <v>29</v>
      </c>
      <c r="E20" s="261" t="s">
        <v>28</v>
      </c>
      <c r="F20" s="257"/>
      <c r="G20" s="258">
        <f>社保1!AZ14</f>
        <v>1339</v>
      </c>
      <c r="H20" s="262"/>
      <c r="J20" s="339"/>
      <c r="K20" s="339"/>
      <c r="L20" s="339"/>
      <c r="M20" s="339"/>
    </row>
    <row r="21" spans="2:13" ht="16.5">
      <c r="B21" s="255">
        <v>6</v>
      </c>
      <c r="C21" s="338"/>
      <c r="D21" s="332" t="s">
        <v>30</v>
      </c>
      <c r="E21" s="332"/>
      <c r="F21" s="257"/>
      <c r="G21" s="263">
        <f>G18+G19+G20</f>
        <v>35202.619999999995</v>
      </c>
      <c r="H21" s="264"/>
      <c r="J21" s="339"/>
      <c r="K21" s="339"/>
      <c r="L21" s="339"/>
      <c r="M21" s="339"/>
    </row>
    <row r="22" spans="2:13" ht="16.5">
      <c r="B22" s="255">
        <v>7</v>
      </c>
      <c r="C22" s="256" t="s">
        <v>31</v>
      </c>
      <c r="D22" s="332" t="s">
        <v>32</v>
      </c>
      <c r="E22" s="332"/>
      <c r="F22" s="257"/>
      <c r="G22" s="263">
        <f>社保1!BB14</f>
        <v>480</v>
      </c>
      <c r="H22" s="259"/>
      <c r="J22" s="339"/>
      <c r="K22" s="339"/>
      <c r="L22" s="339"/>
      <c r="M22" s="339"/>
    </row>
    <row r="23" spans="2:13" ht="18" customHeight="1">
      <c r="B23" s="255">
        <v>8</v>
      </c>
      <c r="C23" s="265" t="s">
        <v>33</v>
      </c>
      <c r="D23" s="333">
        <v>5.6000000000000001E-2</v>
      </c>
      <c r="E23" s="333"/>
      <c r="F23" s="333"/>
      <c r="G23" s="263"/>
      <c r="H23" s="259"/>
      <c r="J23" s="339"/>
      <c r="K23" s="339"/>
      <c r="L23" s="339"/>
      <c r="M23" s="339"/>
    </row>
    <row r="24" spans="2:13" ht="16.5">
      <c r="B24" s="334" t="s">
        <v>34</v>
      </c>
      <c r="C24" s="335"/>
      <c r="D24" s="335"/>
      <c r="E24" s="335"/>
      <c r="F24" s="335"/>
      <c r="G24" s="266">
        <f>G21+G22</f>
        <v>35682.619999999995</v>
      </c>
      <c r="H24" s="267"/>
    </row>
    <row r="25" spans="2:13" ht="15.95" customHeight="1">
      <c r="B25" s="336" t="s">
        <v>35</v>
      </c>
      <c r="C25" s="337"/>
      <c r="D25" s="337"/>
      <c r="E25" s="337"/>
      <c r="F25" s="337"/>
      <c r="G25" s="268">
        <f>G24</f>
        <v>35682.619999999995</v>
      </c>
      <c r="H25" s="269"/>
    </row>
  </sheetData>
  <mergeCells count="31">
    <mergeCell ref="B25:F25"/>
    <mergeCell ref="C18:C21"/>
    <mergeCell ref="J17:M23"/>
    <mergeCell ref="D18:E18"/>
    <mergeCell ref="D21:E21"/>
    <mergeCell ref="D22:E22"/>
    <mergeCell ref="D23:F23"/>
    <mergeCell ref="B24:F24"/>
    <mergeCell ref="B13:C13"/>
    <mergeCell ref="E13:G13"/>
    <mergeCell ref="K13:N13"/>
    <mergeCell ref="A15:N15"/>
    <mergeCell ref="D17:E17"/>
    <mergeCell ref="B11:C11"/>
    <mergeCell ref="E11:G11"/>
    <mergeCell ref="B12:C12"/>
    <mergeCell ref="E12:G12"/>
    <mergeCell ref="K12:N12"/>
    <mergeCell ref="B9:D9"/>
    <mergeCell ref="E9:H9"/>
    <mergeCell ref="J9:N9"/>
    <mergeCell ref="B10:C10"/>
    <mergeCell ref="E10:G10"/>
    <mergeCell ref="J10:N10"/>
    <mergeCell ref="A1:N1"/>
    <mergeCell ref="B4:F4"/>
    <mergeCell ref="B7:H7"/>
    <mergeCell ref="I7:J7"/>
    <mergeCell ref="B8:D8"/>
    <mergeCell ref="E8:H8"/>
    <mergeCell ref="J8:N8"/>
  </mergeCells>
  <phoneticPr fontId="108" type="noConversion"/>
  <conditionalFormatting sqref="G20:H20 C21:H21 F19:F22">
    <cfRule type="cellIs" dxfId="97" priority="1" stopIfTrue="1" operator="equal">
      <formula>"信用卡"</formula>
    </cfRule>
    <cfRule type="cellIs" dxfId="96" priority="2" stopIfTrue="1" operator="equal">
      <formula>"現金"</formula>
    </cfRule>
  </conditionalFormatting>
  <pageMargins left="0.75" right="0.75" top="1" bottom="1" header="0.5" footer="0.5"/>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5"/>
  <sheetViews>
    <sheetView workbookViewId="0">
      <pane xSplit="6" ySplit="3" topLeftCell="S4" activePane="bottomRight" state="frozen"/>
      <selection pane="topRight"/>
      <selection pane="bottomLeft"/>
      <selection pane="bottomRight" activeCell="B4" sqref="B4:P8"/>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144</v>
      </c>
      <c r="B1" s="19"/>
      <c r="C1" s="20"/>
      <c r="D1" s="21"/>
      <c r="E1" s="22"/>
      <c r="F1" s="22"/>
      <c r="G1" s="23"/>
      <c r="J1" s="53"/>
      <c r="L1" s="54"/>
      <c r="M1" s="352" t="s">
        <v>145</v>
      </c>
      <c r="N1" s="352"/>
      <c r="O1" s="352"/>
      <c r="P1" s="352"/>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59" t="s">
        <v>18</v>
      </c>
      <c r="B2" s="361" t="s">
        <v>146</v>
      </c>
      <c r="C2" s="363" t="s">
        <v>147</v>
      </c>
      <c r="D2" s="363" t="s">
        <v>148</v>
      </c>
      <c r="E2" s="365" t="s">
        <v>149</v>
      </c>
      <c r="F2" s="367" t="s">
        <v>150</v>
      </c>
      <c r="G2" s="365" t="s">
        <v>151</v>
      </c>
      <c r="H2" s="365" t="s">
        <v>152</v>
      </c>
      <c r="I2" s="365" t="s">
        <v>153</v>
      </c>
      <c r="J2" s="369" t="s">
        <v>154</v>
      </c>
      <c r="K2" s="365" t="s">
        <v>155</v>
      </c>
      <c r="L2" s="365" t="s">
        <v>156</v>
      </c>
      <c r="M2" s="353" t="s">
        <v>157</v>
      </c>
      <c r="N2" s="354"/>
      <c r="O2" s="354"/>
      <c r="P2" s="355"/>
      <c r="Q2" s="367" t="s">
        <v>158</v>
      </c>
      <c r="R2" s="365" t="s">
        <v>159</v>
      </c>
      <c r="S2" s="367" t="s">
        <v>160</v>
      </c>
      <c r="T2" s="371" t="s">
        <v>161</v>
      </c>
      <c r="U2" s="367" t="s">
        <v>162</v>
      </c>
      <c r="V2" s="356" t="s">
        <v>163</v>
      </c>
      <c r="W2" s="357"/>
      <c r="X2" s="357"/>
      <c r="Y2" s="357"/>
      <c r="Z2" s="357"/>
      <c r="AA2" s="358"/>
      <c r="AB2" s="367" t="s">
        <v>164</v>
      </c>
      <c r="AC2" s="367" t="s">
        <v>165</v>
      </c>
      <c r="AD2" s="371" t="s">
        <v>166</v>
      </c>
      <c r="AE2" s="371" t="s">
        <v>167</v>
      </c>
      <c r="AF2" s="371" t="s">
        <v>168</v>
      </c>
      <c r="AG2" s="371" t="s">
        <v>169</v>
      </c>
      <c r="AH2" s="373" t="s">
        <v>170</v>
      </c>
      <c r="AI2" s="375" t="s">
        <v>171</v>
      </c>
      <c r="AJ2" s="373" t="s">
        <v>172</v>
      </c>
      <c r="AK2" s="363" t="s">
        <v>57</v>
      </c>
      <c r="AL2" s="373" t="s">
        <v>173</v>
      </c>
      <c r="AM2" s="365" t="s">
        <v>174</v>
      </c>
      <c r="AN2" s="365" t="s">
        <v>175</v>
      </c>
      <c r="AO2" s="377" t="s">
        <v>176</v>
      </c>
      <c r="AP2" s="365" t="s">
        <v>177</v>
      </c>
      <c r="AQ2" s="365" t="s">
        <v>178</v>
      </c>
      <c r="AR2" s="367" t="s">
        <v>179</v>
      </c>
      <c r="AS2" s="367" t="s">
        <v>180</v>
      </c>
      <c r="AT2" s="367" t="s">
        <v>181</v>
      </c>
    </row>
    <row r="3" spans="1:46" s="9" customFormat="1" ht="27" customHeight="1">
      <c r="A3" s="360"/>
      <c r="B3" s="362"/>
      <c r="C3" s="364"/>
      <c r="D3" s="364"/>
      <c r="E3" s="366"/>
      <c r="F3" s="368"/>
      <c r="G3" s="366"/>
      <c r="H3" s="366"/>
      <c r="I3" s="366"/>
      <c r="J3" s="370"/>
      <c r="K3" s="366"/>
      <c r="L3" s="366"/>
      <c r="M3" s="55" t="s">
        <v>182</v>
      </c>
      <c r="N3" s="55" t="s">
        <v>183</v>
      </c>
      <c r="O3" s="55" t="s">
        <v>184</v>
      </c>
      <c r="P3" s="55" t="s">
        <v>70</v>
      </c>
      <c r="Q3" s="368"/>
      <c r="R3" s="366"/>
      <c r="S3" s="368"/>
      <c r="T3" s="372"/>
      <c r="U3" s="368"/>
      <c r="V3" s="73" t="s">
        <v>185</v>
      </c>
      <c r="W3" s="73" t="s">
        <v>186</v>
      </c>
      <c r="X3" s="73" t="s">
        <v>187</v>
      </c>
      <c r="Y3" s="73" t="s">
        <v>188</v>
      </c>
      <c r="Z3" s="73" t="s">
        <v>189</v>
      </c>
      <c r="AA3" s="73" t="s">
        <v>190</v>
      </c>
      <c r="AB3" s="368"/>
      <c r="AC3" s="368"/>
      <c r="AD3" s="372"/>
      <c r="AE3" s="372"/>
      <c r="AF3" s="372"/>
      <c r="AG3" s="372"/>
      <c r="AH3" s="374"/>
      <c r="AI3" s="376"/>
      <c r="AJ3" s="374"/>
      <c r="AK3" s="364"/>
      <c r="AL3" s="374"/>
      <c r="AM3" s="366"/>
      <c r="AN3" s="366"/>
      <c r="AO3" s="378"/>
      <c r="AP3" s="366"/>
      <c r="AQ3" s="366"/>
      <c r="AR3" s="368"/>
      <c r="AS3" s="368"/>
      <c r="AT3" s="368"/>
    </row>
    <row r="4" spans="1:46" s="10" customFormat="1" ht="18" customHeight="1">
      <c r="A4" s="24">
        <v>1</v>
      </c>
      <c r="B4" s="25" t="s">
        <v>249</v>
      </c>
      <c r="C4" s="25" t="s">
        <v>75</v>
      </c>
      <c r="D4" s="25" t="s">
        <v>192</v>
      </c>
      <c r="E4" s="25" t="s">
        <v>76</v>
      </c>
      <c r="F4" s="26" t="s">
        <v>193</v>
      </c>
      <c r="G4" s="33">
        <v>18035163638</v>
      </c>
      <c r="H4" s="28"/>
      <c r="I4" s="28"/>
      <c r="J4" s="56"/>
      <c r="K4" s="28"/>
      <c r="L4" s="60">
        <v>10400</v>
      </c>
      <c r="M4" s="58">
        <v>264</v>
      </c>
      <c r="N4" s="58">
        <v>66</v>
      </c>
      <c r="O4" s="58">
        <v>9.9</v>
      </c>
      <c r="P4" s="58">
        <v>180</v>
      </c>
      <c r="Q4" s="74">
        <f>ROUND(SUM(M4:P4),2)</f>
        <v>519.9</v>
      </c>
      <c r="R4" s="60">
        <v>0</v>
      </c>
      <c r="S4" s="75">
        <f>L4+IFERROR(VLOOKUP($E:$E,'（居民）工资表-10月'!$E:$S,15,0),0)</f>
        <v>107850</v>
      </c>
      <c r="T4" s="76">
        <f>5000+IFERROR(VLOOKUP($E:$E,'（居民）工资表-10月'!$E:$T,16,0),0)</f>
        <v>55000</v>
      </c>
      <c r="U4" s="76">
        <f>Q4+IFERROR(VLOOKUP($E:$E,'（居民）工资表-10月'!$E:$U,17,0),0)</f>
        <v>5883.5399999999991</v>
      </c>
      <c r="V4" s="60"/>
      <c r="W4" s="60"/>
      <c r="X4" s="60">
        <v>11000</v>
      </c>
      <c r="Y4" s="60"/>
      <c r="Z4" s="60"/>
      <c r="AA4" s="60"/>
      <c r="AB4" s="75">
        <f>ROUND(SUM(V4:AA4),2)</f>
        <v>11000</v>
      </c>
      <c r="AC4" s="75">
        <f>R4+IFERROR(VLOOKUP($E:$E,'（居民）工资表-10月'!$E:$AC,25,0),0)</f>
        <v>0</v>
      </c>
      <c r="AD4" s="77">
        <f>ROUND(S4-T4-U4-AB4-AC4,2)</f>
        <v>35966.46</v>
      </c>
      <c r="AE4" s="78">
        <f>ROUND(MAX((AD4)*{0.03;0.1;0.2;0.25;0.3;0.35;0.45}-{0;2520;16920;31920;52920;85920;181920},0),2)</f>
        <v>1078.99</v>
      </c>
      <c r="AF4" s="79">
        <f>IFERROR(VLOOKUP(E:E,'（居民）工资表-10月'!E:AF,28,0)+VLOOKUP(E:E,'（居民）工资表-10月'!E:AG,29,0),0)</f>
        <v>962.59</v>
      </c>
      <c r="AG4" s="79">
        <f>IF((AE4-AF4)&lt;0,0,AE4-AF4)</f>
        <v>116.39999999999998</v>
      </c>
      <c r="AH4" s="82">
        <f>ROUND(IF((L4-Q4-AG4)&lt;0,0,(L4-Q4-AG4)),2)</f>
        <v>9763.7000000000007</v>
      </c>
      <c r="AI4" s="83"/>
      <c r="AJ4" s="82">
        <f>AH4+AI4</f>
        <v>9763.7000000000007</v>
      </c>
      <c r="AK4" s="84"/>
      <c r="AL4" s="82">
        <f>AJ4+AG4+AK4</f>
        <v>9880.1</v>
      </c>
      <c r="AM4" s="84"/>
      <c r="AN4" s="84"/>
      <c r="AO4" s="84"/>
      <c r="AP4" s="84"/>
      <c r="AQ4" s="84"/>
      <c r="AR4" s="8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IF(SUMPRODUCT(N(E$1:E$6=E4))&gt;1,"重复","不")</f>
        <v>不</v>
      </c>
      <c r="AT4" s="88" t="str">
        <f>IF(SUMPRODUCT(N(AO$1:AO$6=AO4))&gt;1,"重复","不")</f>
        <v>重复</v>
      </c>
    </row>
    <row r="5" spans="1:46" s="10" customFormat="1" ht="18" customHeight="1">
      <c r="A5" s="24">
        <v>2</v>
      </c>
      <c r="B5" s="25" t="s">
        <v>249</v>
      </c>
      <c r="C5" s="25" t="s">
        <v>93</v>
      </c>
      <c r="D5" s="25" t="s">
        <v>192</v>
      </c>
      <c r="E5" s="25" t="s">
        <v>94</v>
      </c>
      <c r="F5" s="26" t="s">
        <v>193</v>
      </c>
      <c r="G5" s="33">
        <v>13944441728</v>
      </c>
      <c r="H5" s="28"/>
      <c r="I5" s="28"/>
      <c r="J5" s="56"/>
      <c r="K5" s="28"/>
      <c r="L5" s="60">
        <v>7000</v>
      </c>
      <c r="M5" s="58">
        <f>268.81+24.57*4</f>
        <v>367.09</v>
      </c>
      <c r="N5" s="58">
        <v>61.06</v>
      </c>
      <c r="O5" s="58">
        <f>10.08+0.92*4</f>
        <v>13.76</v>
      </c>
      <c r="P5" s="58">
        <v>79</v>
      </c>
      <c r="Q5" s="74">
        <f>ROUND(SUM(M5:P5),2)</f>
        <v>520.91</v>
      </c>
      <c r="R5" s="60">
        <v>0</v>
      </c>
      <c r="S5" s="75">
        <f>L5+IFERROR(VLOOKUP($E:$E,'（居民）工资表-10月'!$E:$S,15,0),0)</f>
        <v>76810.399999999994</v>
      </c>
      <c r="T5" s="76">
        <f>5000+IFERROR(VLOOKUP($E:$E,'（居民）工资表-10月'!$E:$T,16,0),0)</f>
        <v>55000</v>
      </c>
      <c r="U5" s="76">
        <f>Q5+IFERROR(VLOOKUP($E:$E,'（居民）工资表-10月'!$E:$U,17,0),0)</f>
        <v>4771.4299999999994</v>
      </c>
      <c r="V5" s="60"/>
      <c r="W5" s="60"/>
      <c r="X5" s="60"/>
      <c r="Y5" s="60"/>
      <c r="Z5" s="60"/>
      <c r="AA5" s="60"/>
      <c r="AB5" s="75">
        <f>ROUND(SUM(V5:AA5),2)</f>
        <v>0</v>
      </c>
      <c r="AC5" s="75">
        <f>R5+IFERROR(VLOOKUP($E:$E,'（居民）工资表-10月'!$E:$AC,25,0),0)</f>
        <v>0</v>
      </c>
      <c r="AD5" s="77">
        <f>ROUND(S5-T5-U5-AB5-AC5,2)</f>
        <v>17038.97</v>
      </c>
      <c r="AE5" s="78">
        <f>ROUND(MAX((AD5)*{0.03;0.1;0.2;0.25;0.3;0.35;0.45}-{0;2520;16920;31920;52920;85920;181920},0),2)</f>
        <v>511.17</v>
      </c>
      <c r="AF5" s="79">
        <f>IFERROR(VLOOKUP(E:E,'（居民）工资表-10月'!E:AF,28,0)+VLOOKUP(E:E,'（居民）工资表-10月'!E:AG,29,0),0)</f>
        <v>466.8</v>
      </c>
      <c r="AG5" s="79">
        <f>IF((AE5-AF5)&lt;0,0,AE5-AF5)</f>
        <v>44.370000000000005</v>
      </c>
      <c r="AH5" s="82">
        <f>ROUND(IF((L5-Q5-AG5)&lt;0,0,(L5-Q5-AG5)),2)</f>
        <v>6434.72</v>
      </c>
      <c r="AI5" s="83"/>
      <c r="AJ5" s="82">
        <f>AH5+AI5</f>
        <v>6434.72</v>
      </c>
      <c r="AK5" s="84"/>
      <c r="AL5" s="82">
        <f>AJ5+AG5+AK5</f>
        <v>6479.09</v>
      </c>
      <c r="AM5" s="84"/>
      <c r="AN5" s="84"/>
      <c r="AO5" s="84"/>
      <c r="AP5" s="84"/>
      <c r="AQ5" s="84"/>
      <c r="AR5" s="8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8" t="str">
        <f>IF(SUMPRODUCT(N(E$1:E$6=E5))&gt;1,"重复","不")</f>
        <v>不</v>
      </c>
      <c r="AT5" s="88" t="str">
        <f>IF(SUMPRODUCT(N(AO$1:AO$6=AO5))&gt;1,"重复","不")</f>
        <v>重复</v>
      </c>
    </row>
    <row r="6" spans="1:46" s="10" customFormat="1" ht="18" customHeight="1">
      <c r="A6" s="24">
        <v>3</v>
      </c>
      <c r="B6" s="25" t="s">
        <v>249</v>
      </c>
      <c r="C6" s="25" t="s">
        <v>107</v>
      </c>
      <c r="D6" s="25" t="s">
        <v>192</v>
      </c>
      <c r="E6" s="289" t="s">
        <v>108</v>
      </c>
      <c r="F6" s="26" t="str">
        <f>IF(MOD(MID(E6,17,1),2)=1,"男","女")</f>
        <v>女</v>
      </c>
      <c r="G6" s="33">
        <v>15360550807</v>
      </c>
      <c r="H6" s="28"/>
      <c r="I6" s="28"/>
      <c r="J6" s="56"/>
      <c r="K6" s="28"/>
      <c r="L6" s="60">
        <v>5700</v>
      </c>
      <c r="M6" s="58">
        <v>367.04</v>
      </c>
      <c r="N6" s="58">
        <v>123.5</v>
      </c>
      <c r="O6" s="58">
        <v>4.2</v>
      </c>
      <c r="P6" s="58">
        <v>105</v>
      </c>
      <c r="Q6" s="74">
        <f>ROUND(SUM(M6:P6),2)</f>
        <v>599.74</v>
      </c>
      <c r="R6" s="60">
        <v>0</v>
      </c>
      <c r="S6" s="75">
        <f>L6+IFERROR(VLOOKUP($E:$E,'（居民）工资表-10月'!$E:$S,15,0),0)</f>
        <v>61560</v>
      </c>
      <c r="T6" s="76">
        <f>5000+IFERROR(VLOOKUP($E:$E,'（居民）工资表-10月'!$E:$T,16,0),0)</f>
        <v>55000</v>
      </c>
      <c r="U6" s="76">
        <f>Q6+IFERROR(VLOOKUP($E:$E,'（居民）工资表-10月'!$E:$U,17,0),0)</f>
        <v>5621.5399999999991</v>
      </c>
      <c r="V6" s="60"/>
      <c r="W6" s="60"/>
      <c r="X6" s="60"/>
      <c r="Y6" s="60"/>
      <c r="Z6" s="60"/>
      <c r="AA6" s="60"/>
      <c r="AB6" s="75">
        <f>ROUND(SUM(V6:AA6),2)</f>
        <v>0</v>
      </c>
      <c r="AC6" s="75">
        <f>R6+IFERROR(VLOOKUP($E:$E,'（居民）工资表-10月'!$E:$AC,25,0),0)</f>
        <v>0</v>
      </c>
      <c r="AD6" s="77">
        <f>ROUND(S6-T6-U6-AB6-AC6,2)</f>
        <v>938.46</v>
      </c>
      <c r="AE6" s="78">
        <f>ROUND(MAX((AD6)*{0.03;0.1;0.2;0.25;0.3;0.35;0.45}-{0;2520;16920;31920;52920;85920;181920},0),2)</f>
        <v>28.15</v>
      </c>
      <c r="AF6" s="79">
        <f>IFERROR(VLOOKUP(E:E,'（居民）工资表-10月'!E:AF,28,0)+VLOOKUP(E:E,'（居民）工资表-10月'!E:AG,29,0),0)</f>
        <v>25.15</v>
      </c>
      <c r="AG6" s="79">
        <f>IF((AE6-AF6)&lt;0,0,AE6-AF6)</f>
        <v>3</v>
      </c>
      <c r="AH6" s="82">
        <f>ROUND(IF((L6-Q6-AG6)&lt;0,0,(L6-Q6-AG6)),2)</f>
        <v>5097.26</v>
      </c>
      <c r="AI6" s="83"/>
      <c r="AJ6" s="82">
        <f>AH6+AI6</f>
        <v>5097.26</v>
      </c>
      <c r="AK6" s="84"/>
      <c r="AL6" s="82">
        <f>AJ6+AG6+AK6</f>
        <v>5100.26</v>
      </c>
      <c r="AM6" s="84"/>
      <c r="AN6" s="84"/>
      <c r="AO6" s="84"/>
      <c r="AP6" s="84"/>
      <c r="AQ6" s="84"/>
      <c r="AR6" s="88"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8" t="str">
        <f>IF(SUMPRODUCT(N(E$1:E$6=E6))&gt;1,"重复","不")</f>
        <v>不</v>
      </c>
      <c r="AT6" s="88" t="str">
        <f>IF(SUMPRODUCT(N(AO$1:AO$6=AO6))&gt;1,"重复","不")</f>
        <v>重复</v>
      </c>
    </row>
    <row r="7" spans="1:46" s="10" customFormat="1" ht="18" customHeight="1">
      <c r="A7" s="24">
        <v>4</v>
      </c>
      <c r="B7" s="25" t="s">
        <v>249</v>
      </c>
      <c r="C7" s="25" t="s">
        <v>253</v>
      </c>
      <c r="D7" s="25" t="s">
        <v>192</v>
      </c>
      <c r="E7" s="289" t="s">
        <v>254</v>
      </c>
      <c r="F7" s="26" t="s">
        <v>193</v>
      </c>
      <c r="G7" s="33">
        <v>18607383005</v>
      </c>
      <c r="H7" s="28"/>
      <c r="I7" s="28"/>
      <c r="J7" s="56"/>
      <c r="K7" s="28"/>
      <c r="L7" s="60">
        <v>25000</v>
      </c>
      <c r="M7" s="58">
        <f>320</f>
        <v>320</v>
      </c>
      <c r="N7" s="58">
        <f>80</f>
        <v>80</v>
      </c>
      <c r="O7" s="58">
        <f>12</f>
        <v>12</v>
      </c>
      <c r="P7" s="58">
        <v>200</v>
      </c>
      <c r="Q7" s="74">
        <f>ROUND(SUM(M7:P7),2)</f>
        <v>612</v>
      </c>
      <c r="R7" s="60">
        <v>0</v>
      </c>
      <c r="S7" s="75">
        <f>L7+IFERROR(VLOOKUP($E:$E,'（居民）工资表-10月'!$E:$S,15,0),0)</f>
        <v>68520</v>
      </c>
      <c r="T7" s="76">
        <f>5000+IFERROR(VLOOKUP($E:$E,'（居民）工资表-10月'!$E:$T,16,0),0)</f>
        <v>15000</v>
      </c>
      <c r="U7" s="76">
        <f>Q7+IFERROR(VLOOKUP($E:$E,'（居民）工资表-10月'!$E:$U,17,0),0)</f>
        <v>1836</v>
      </c>
      <c r="V7" s="60"/>
      <c r="W7" s="60"/>
      <c r="X7" s="60"/>
      <c r="Y7" s="60"/>
      <c r="Z7" s="60"/>
      <c r="AA7" s="60"/>
      <c r="AB7" s="75">
        <f>ROUND(SUM(V7:AA7),2)</f>
        <v>0</v>
      </c>
      <c r="AC7" s="75">
        <f>R7+IFERROR(VLOOKUP($E:$E,'（居民）工资表-10月'!$E:$AC,25,0),0)</f>
        <v>0</v>
      </c>
      <c r="AD7" s="77">
        <f>ROUND(S7-T7-U7-AB7-AC7,2)</f>
        <v>51684</v>
      </c>
      <c r="AE7" s="78">
        <f>ROUND(MAX((AD7)*{0.03;0.1;0.2;0.25;0.3;0.35;0.45}-{0;2520;16920;31920;52920;85920;181920},0),2)</f>
        <v>2648.4</v>
      </c>
      <c r="AF7" s="79">
        <f>IFERROR(VLOOKUP(E:E,'（居民）工资表-10月'!E:AF,28,0)+VLOOKUP(E:E,'（居民）工资表-10月'!E:AG,29,0),0)</f>
        <v>968.88</v>
      </c>
      <c r="AG7" s="79">
        <f>IF((AE7-AF7)&lt;0,0,AE7-AF7)</f>
        <v>1679.52</v>
      </c>
      <c r="AH7" s="82">
        <f>ROUND(IF((L7-Q7-AG7)&lt;0,0,(L7-Q7-AG7)),2)</f>
        <v>22708.48</v>
      </c>
      <c r="AI7" s="83"/>
      <c r="AJ7" s="82">
        <f>AH7+AI7</f>
        <v>22708.48</v>
      </c>
      <c r="AK7" s="84"/>
      <c r="AL7" s="82">
        <f>AJ7+AG7+AK7</f>
        <v>24388</v>
      </c>
      <c r="AM7" s="84"/>
      <c r="AN7" s="84"/>
      <c r="AO7" s="84"/>
      <c r="AP7" s="84"/>
      <c r="AQ7" s="84"/>
      <c r="AR7" s="88"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8" t="str">
        <f>IF(SUMPRODUCT(N(E$1:E$6=E7))&gt;1,"重复","不")</f>
        <v>不</v>
      </c>
      <c r="AT7" s="88" t="str">
        <f>IF(SUMPRODUCT(N(AO$1:AO$6=AO7))&gt;1,"重复","不")</f>
        <v>重复</v>
      </c>
    </row>
    <row r="8" spans="1:46" s="10" customFormat="1" ht="18" customHeight="1">
      <c r="A8" s="24">
        <v>5</v>
      </c>
      <c r="B8" s="25" t="s">
        <v>249</v>
      </c>
      <c r="C8" s="25" t="s">
        <v>255</v>
      </c>
      <c r="D8" s="25" t="s">
        <v>192</v>
      </c>
      <c r="E8" s="25" t="s">
        <v>256</v>
      </c>
      <c r="F8" s="26" t="s">
        <v>193</v>
      </c>
      <c r="G8" s="33">
        <v>13373825180</v>
      </c>
      <c r="H8" s="28"/>
      <c r="I8" s="28"/>
      <c r="J8" s="56"/>
      <c r="K8" s="28"/>
      <c r="L8" s="60">
        <v>25000</v>
      </c>
      <c r="M8" s="58">
        <f>261.04*2</f>
        <v>522.08000000000004</v>
      </c>
      <c r="N8" s="58">
        <f>57.18*2+32.5</f>
        <v>146.86000000000001</v>
      </c>
      <c r="O8" s="58">
        <f>9.1*2</f>
        <v>18.2</v>
      </c>
      <c r="P8" s="58">
        <f>85*2</f>
        <v>170</v>
      </c>
      <c r="Q8" s="74">
        <f>ROUND(SUM(M8:P8),2)</f>
        <v>857.14</v>
      </c>
      <c r="R8" s="60">
        <v>0</v>
      </c>
      <c r="S8" s="75">
        <f>L8+IFERROR(VLOOKUP($E:$E,'（居民）工资表-10月'!$E:$S,15,0),0)</f>
        <v>25000</v>
      </c>
      <c r="T8" s="76">
        <f>5000+IFERROR(VLOOKUP($E:$E,'（居民）工资表-10月'!$E:$T,16,0),0)</f>
        <v>5000</v>
      </c>
      <c r="U8" s="76">
        <f>Q8+IFERROR(VLOOKUP($E:$E,'（居民）工资表-10月'!$E:$U,17,0),0)</f>
        <v>857.14</v>
      </c>
      <c r="V8" s="60"/>
      <c r="W8" s="60"/>
      <c r="X8" s="60"/>
      <c r="Y8" s="60"/>
      <c r="Z8" s="60"/>
      <c r="AA8" s="60"/>
      <c r="AB8" s="75">
        <f>ROUND(SUM(V8:AA8),2)</f>
        <v>0</v>
      </c>
      <c r="AC8" s="75">
        <f>R8+IFERROR(VLOOKUP($E:$E,'（居民）工资表-10月'!$E:$AC,25,0),0)</f>
        <v>0</v>
      </c>
      <c r="AD8" s="77">
        <f>ROUND(S8-T8-U8-AB8-AC8,2)</f>
        <v>19142.86</v>
      </c>
      <c r="AE8" s="78">
        <f>ROUND(MAX((AD8)*{0.03;0.1;0.2;0.25;0.3;0.35;0.45}-{0;2520;16920;31920;52920;85920;181920},0),2)</f>
        <v>574.29</v>
      </c>
      <c r="AF8" s="79">
        <f>IFERROR(VLOOKUP(E:E,'（居民）工资表-10月'!E:AF,28,0)+VLOOKUP(E:E,'（居民）工资表-10月'!E:AG,29,0),0)</f>
        <v>0</v>
      </c>
      <c r="AG8" s="79">
        <f>IF((AE8-AF8)&lt;0,0,AE8-AF8)</f>
        <v>574.29</v>
      </c>
      <c r="AH8" s="82">
        <f>ROUND(IF((L8-Q8-AG8)&lt;0,0,(L8-Q8-AG8)),2)</f>
        <v>23568.57</v>
      </c>
      <c r="AI8" s="83"/>
      <c r="AJ8" s="82">
        <f>AH8+AI8</f>
        <v>23568.57</v>
      </c>
      <c r="AK8" s="84"/>
      <c r="AL8" s="82">
        <f>AJ8+AG8+AK8</f>
        <v>24142.86</v>
      </c>
      <c r="AM8" s="84"/>
      <c r="AN8" s="84"/>
      <c r="AO8" s="84"/>
      <c r="AP8" s="84"/>
      <c r="AQ8" s="84"/>
      <c r="AR8" s="88"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88" t="str">
        <f>IF(SUMPRODUCT(N(E$1:E$6=E8))&gt;1,"重复","不")</f>
        <v>不</v>
      </c>
      <c r="AT8" s="88" t="str">
        <f>IF(SUMPRODUCT(N(AO$1:AO$6=AO8))&gt;1,"重复","不")</f>
        <v>重复</v>
      </c>
    </row>
    <row r="9" spans="1:46" s="11" customFormat="1" ht="18" customHeight="1">
      <c r="A9" s="34"/>
      <c r="B9" s="35" t="s">
        <v>198</v>
      </c>
      <c r="C9" s="35"/>
      <c r="D9" s="36"/>
      <c r="E9" s="37"/>
      <c r="F9" s="38"/>
      <c r="G9" s="39"/>
      <c r="H9" s="38"/>
      <c r="I9" s="61"/>
      <c r="J9" s="62"/>
      <c r="K9" s="61"/>
      <c r="L9" s="63">
        <f>SUM(L4:L8)</f>
        <v>73100</v>
      </c>
      <c r="M9" s="63">
        <f t="shared" ref="M9:AL9" si="0">SUM(M4:M8)</f>
        <v>1840.21</v>
      </c>
      <c r="N9" s="63">
        <f t="shared" si="0"/>
        <v>477.42</v>
      </c>
      <c r="O9" s="63">
        <f t="shared" si="0"/>
        <v>58.06</v>
      </c>
      <c r="P9" s="63">
        <f t="shared" si="0"/>
        <v>734</v>
      </c>
      <c r="Q9" s="63">
        <f t="shared" si="0"/>
        <v>3109.69</v>
      </c>
      <c r="R9" s="63">
        <f t="shared" si="0"/>
        <v>0</v>
      </c>
      <c r="S9" s="63">
        <f t="shared" si="0"/>
        <v>339740.4</v>
      </c>
      <c r="T9" s="63">
        <f t="shared" si="0"/>
        <v>185000</v>
      </c>
      <c r="U9" s="63">
        <f t="shared" si="0"/>
        <v>18969.649999999994</v>
      </c>
      <c r="V9" s="63">
        <f t="shared" si="0"/>
        <v>0</v>
      </c>
      <c r="W9" s="63">
        <f t="shared" si="0"/>
        <v>0</v>
      </c>
      <c r="X9" s="63">
        <f t="shared" si="0"/>
        <v>11000</v>
      </c>
      <c r="Y9" s="63">
        <f t="shared" si="0"/>
        <v>0</v>
      </c>
      <c r="Z9" s="63">
        <f t="shared" si="0"/>
        <v>0</v>
      </c>
      <c r="AA9" s="63">
        <f t="shared" si="0"/>
        <v>0</v>
      </c>
      <c r="AB9" s="63">
        <f t="shared" si="0"/>
        <v>11000</v>
      </c>
      <c r="AC9" s="63">
        <f t="shared" si="0"/>
        <v>0</v>
      </c>
      <c r="AD9" s="63">
        <f t="shared" si="0"/>
        <v>124770.75</v>
      </c>
      <c r="AE9" s="63">
        <f t="shared" si="0"/>
        <v>4841</v>
      </c>
      <c r="AF9" s="63">
        <f t="shared" si="0"/>
        <v>2423.42</v>
      </c>
      <c r="AG9" s="63">
        <f t="shared" si="0"/>
        <v>2417.58</v>
      </c>
      <c r="AH9" s="63">
        <f t="shared" si="0"/>
        <v>67572.73000000001</v>
      </c>
      <c r="AI9" s="63">
        <f t="shared" si="0"/>
        <v>0</v>
      </c>
      <c r="AJ9" s="63">
        <f t="shared" si="0"/>
        <v>67572.73000000001</v>
      </c>
      <c r="AK9" s="63">
        <f t="shared" si="0"/>
        <v>0</v>
      </c>
      <c r="AL9" s="63">
        <f t="shared" si="0"/>
        <v>69990.31</v>
      </c>
      <c r="AM9" s="85"/>
      <c r="AN9" s="85"/>
      <c r="AO9" s="85"/>
      <c r="AP9" s="85"/>
      <c r="AQ9" s="85"/>
      <c r="AR9" s="38"/>
      <c r="AS9" s="38"/>
      <c r="AT9" s="89"/>
    </row>
    <row r="12" spans="1:46">
      <c r="AD12" s="80"/>
    </row>
    <row r="13" spans="1:46" ht="18.75" customHeight="1">
      <c r="B13" s="40" t="s">
        <v>172</v>
      </c>
      <c r="C13" s="40" t="s">
        <v>199</v>
      </c>
      <c r="D13" s="40" t="s">
        <v>57</v>
      </c>
      <c r="E13" s="40" t="s">
        <v>58</v>
      </c>
      <c r="AD13" s="8"/>
    </row>
    <row r="14" spans="1:46" ht="18.75" customHeight="1">
      <c r="B14" s="41">
        <f>AJ9</f>
        <v>67572.73000000001</v>
      </c>
      <c r="C14" s="41">
        <f>AG9</f>
        <v>2417.58</v>
      </c>
      <c r="D14" s="41">
        <f>AK9</f>
        <v>0</v>
      </c>
      <c r="E14" s="41">
        <f>B14+C14+D14</f>
        <v>69990.310000000012</v>
      </c>
    </row>
    <row r="15" spans="1:46">
      <c r="B15" s="42"/>
      <c r="C15" s="42"/>
      <c r="D15" s="42"/>
      <c r="E15" s="42"/>
    </row>
    <row r="16" spans="1:46" s="12" customFormat="1">
      <c r="A16" s="43" t="s">
        <v>200</v>
      </c>
      <c r="B16" s="44" t="s">
        <v>201</v>
      </c>
      <c r="C16" s="45"/>
      <c r="D16" s="45"/>
      <c r="E16" s="45"/>
      <c r="G16" s="46"/>
      <c r="J16" s="64"/>
      <c r="M16" s="65"/>
      <c r="AI16" s="86"/>
    </row>
    <row r="17" spans="1:35" s="12" customFormat="1">
      <c r="A17" s="47"/>
      <c r="B17" s="48" t="s">
        <v>202</v>
      </c>
      <c r="C17" s="45"/>
      <c r="D17" s="45"/>
      <c r="E17" s="45"/>
      <c r="G17" s="46"/>
      <c r="J17" s="64"/>
      <c r="M17" s="65"/>
      <c r="AI17" s="86"/>
    </row>
    <row r="18" spans="1:35" s="12" customFormat="1">
      <c r="A18" s="44"/>
      <c r="B18" s="48" t="s">
        <v>203</v>
      </c>
      <c r="C18" s="49"/>
      <c r="D18" s="49"/>
      <c r="E18" s="49"/>
      <c r="F18" s="49"/>
      <c r="G18" s="49"/>
      <c r="H18" s="49"/>
      <c r="I18" s="49"/>
      <c r="J18" s="66"/>
      <c r="K18" s="49"/>
      <c r="L18" s="49"/>
      <c r="M18" s="67"/>
      <c r="N18" s="49"/>
      <c r="O18" s="49"/>
      <c r="P18" s="49"/>
      <c r="AI18" s="86"/>
    </row>
    <row r="19" spans="1:35" s="12" customFormat="1" ht="13.5" customHeight="1">
      <c r="A19" s="48"/>
      <c r="B19" s="48" t="s">
        <v>204</v>
      </c>
      <c r="C19" s="50"/>
      <c r="D19" s="50"/>
      <c r="E19" s="50"/>
      <c r="F19" s="50"/>
      <c r="G19" s="50"/>
      <c r="H19" s="50"/>
      <c r="I19" s="68"/>
      <c r="J19" s="69"/>
      <c r="K19" s="68"/>
      <c r="L19" s="68"/>
      <c r="M19" s="70"/>
      <c r="N19" s="68"/>
      <c r="O19" s="68"/>
      <c r="P19" s="68"/>
      <c r="AI19" s="86"/>
    </row>
    <row r="20" spans="1:35" s="12" customFormat="1" ht="13.5" customHeight="1">
      <c r="A20" s="48"/>
      <c r="B20" s="48" t="s">
        <v>205</v>
      </c>
      <c r="C20" s="50"/>
      <c r="D20" s="50"/>
      <c r="E20" s="50"/>
      <c r="F20" s="50"/>
      <c r="G20" s="50"/>
      <c r="H20" s="50"/>
      <c r="I20" s="50"/>
      <c r="J20" s="71"/>
      <c r="K20" s="50"/>
      <c r="L20" s="68"/>
      <c r="M20" s="70"/>
      <c r="N20" s="68"/>
      <c r="O20" s="68"/>
      <c r="P20" s="68"/>
      <c r="AI20" s="86"/>
    </row>
    <row r="21" spans="1:35" s="12" customFormat="1" ht="13.5" customHeight="1">
      <c r="A21" s="48"/>
      <c r="B21" s="48" t="s">
        <v>206</v>
      </c>
      <c r="C21" s="50"/>
      <c r="D21" s="50"/>
      <c r="E21" s="50"/>
      <c r="F21" s="50"/>
      <c r="G21" s="50"/>
      <c r="H21" s="50"/>
      <c r="I21" s="68"/>
      <c r="J21" s="69"/>
      <c r="K21" s="68"/>
      <c r="L21" s="68"/>
      <c r="M21" s="70"/>
      <c r="N21" s="68"/>
      <c r="O21" s="68"/>
      <c r="P21" s="68"/>
      <c r="AI21" s="86"/>
    </row>
    <row r="23" spans="1:35" ht="11.25" customHeight="1">
      <c r="B23" s="51" t="s">
        <v>207</v>
      </c>
    </row>
    <row r="24" spans="1:35">
      <c r="B24" s="52" t="s">
        <v>208</v>
      </c>
    </row>
    <row r="25" spans="1:35">
      <c r="B25" s="52" t="s">
        <v>209</v>
      </c>
    </row>
  </sheetData>
  <autoFilter ref="A3:AT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8" type="noConversion"/>
  <conditionalFormatting sqref="B21">
    <cfRule type="duplicateValues" dxfId="48" priority="2" stopIfTrue="1"/>
  </conditionalFormatting>
  <conditionalFormatting sqref="B16:B20">
    <cfRule type="duplicateValues" dxfId="47" priority="3" stopIfTrue="1"/>
  </conditionalFormatting>
  <conditionalFormatting sqref="B24:B25">
    <cfRule type="duplicateValues" dxfId="46" priority="1" stopIfTrue="1"/>
  </conditionalFormatting>
  <conditionalFormatting sqref="C13:C15">
    <cfRule type="duplicateValues" dxfId="45" priority="4" stopIfTrue="1"/>
    <cfRule type="expression" dxfId="44" priority="5" stopIfTrue="1">
      <formula>AND(COUNTIF($B$9:$B$65445,C13)+COUNTIF($B$1:$B$3,C13)&gt;1,NOT(ISBLANK(C13)))</formula>
    </cfRule>
    <cfRule type="expression" dxfId="43" priority="6" stopIfTrue="1">
      <formula>AND(COUNTIF($B$20:$B$65396,C13)+COUNTIF($B$1:$B$19,C13)&gt;1,NOT(ISBLANK(C13)))</formula>
    </cfRule>
    <cfRule type="expression" dxfId="42" priority="7" stopIfTrue="1">
      <formula>AND(COUNTIF($B$9:$B$65434,C13)+COUNTIF($B$1:$B$3,C13)&gt;1,NOT(ISBLANK(C13)))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5"/>
  <sheetViews>
    <sheetView workbookViewId="0">
      <pane xSplit="6" ySplit="3" topLeftCell="G4" activePane="bottomRight" state="frozen"/>
      <selection pane="topRight"/>
      <selection pane="bottomLeft"/>
      <selection pane="bottomRight" activeCell="E15" sqref="E15"/>
    </sheetView>
  </sheetViews>
  <sheetFormatPr defaultColWidth="9" defaultRowHeight="13.5" outlineLevelCol="1"/>
  <cols>
    <col min="1" max="1" width="4.5" style="13" customWidth="1"/>
    <col min="2" max="2" width="14"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75" style="13" customWidth="1" outlineLevel="1"/>
    <col min="14" max="15" width="9" style="13" customWidth="1" outlineLevel="1"/>
    <col min="16" max="16" width="11.125" style="13" customWidth="1" outlineLevel="1"/>
    <col min="17" max="17" width="9.75" style="13" customWidth="1"/>
    <col min="18" max="18" width="9.5" style="13" customWidth="1"/>
    <col min="19" max="19" width="11.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hidden="1"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144</v>
      </c>
      <c r="B1" s="19"/>
      <c r="C1" s="20"/>
      <c r="D1" s="21"/>
      <c r="E1" s="22"/>
      <c r="F1" s="22"/>
      <c r="G1" s="23"/>
      <c r="J1" s="53"/>
      <c r="L1" s="54"/>
      <c r="M1" s="352" t="s">
        <v>145</v>
      </c>
      <c r="N1" s="352"/>
      <c r="O1" s="352"/>
      <c r="P1" s="352"/>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59" t="s">
        <v>18</v>
      </c>
      <c r="B2" s="361" t="s">
        <v>146</v>
      </c>
      <c r="C2" s="363" t="s">
        <v>147</v>
      </c>
      <c r="D2" s="363" t="s">
        <v>148</v>
      </c>
      <c r="E2" s="365" t="s">
        <v>149</v>
      </c>
      <c r="F2" s="367" t="s">
        <v>150</v>
      </c>
      <c r="G2" s="365" t="s">
        <v>151</v>
      </c>
      <c r="H2" s="365" t="s">
        <v>152</v>
      </c>
      <c r="I2" s="365" t="s">
        <v>153</v>
      </c>
      <c r="J2" s="369" t="s">
        <v>154</v>
      </c>
      <c r="K2" s="365" t="s">
        <v>155</v>
      </c>
      <c r="L2" s="365" t="s">
        <v>156</v>
      </c>
      <c r="M2" s="353" t="s">
        <v>157</v>
      </c>
      <c r="N2" s="354"/>
      <c r="O2" s="354"/>
      <c r="P2" s="355"/>
      <c r="Q2" s="367" t="s">
        <v>158</v>
      </c>
      <c r="R2" s="365" t="s">
        <v>159</v>
      </c>
      <c r="S2" s="367" t="s">
        <v>160</v>
      </c>
      <c r="T2" s="371" t="s">
        <v>161</v>
      </c>
      <c r="U2" s="367" t="s">
        <v>162</v>
      </c>
      <c r="V2" s="356" t="s">
        <v>163</v>
      </c>
      <c r="W2" s="357"/>
      <c r="X2" s="357"/>
      <c r="Y2" s="357"/>
      <c r="Z2" s="357"/>
      <c r="AA2" s="358"/>
      <c r="AB2" s="367" t="s">
        <v>164</v>
      </c>
      <c r="AC2" s="367" t="s">
        <v>165</v>
      </c>
      <c r="AD2" s="371" t="s">
        <v>166</v>
      </c>
      <c r="AE2" s="371" t="s">
        <v>167</v>
      </c>
      <c r="AF2" s="371" t="s">
        <v>168</v>
      </c>
      <c r="AG2" s="371" t="s">
        <v>169</v>
      </c>
      <c r="AH2" s="373" t="s">
        <v>170</v>
      </c>
      <c r="AI2" s="375" t="s">
        <v>171</v>
      </c>
      <c r="AJ2" s="373" t="s">
        <v>172</v>
      </c>
      <c r="AK2" s="363" t="s">
        <v>57</v>
      </c>
      <c r="AL2" s="373" t="s">
        <v>173</v>
      </c>
      <c r="AM2" s="365" t="s">
        <v>174</v>
      </c>
      <c r="AN2" s="365" t="s">
        <v>175</v>
      </c>
      <c r="AO2" s="377" t="s">
        <v>176</v>
      </c>
      <c r="AP2" s="365" t="s">
        <v>177</v>
      </c>
      <c r="AQ2" s="365" t="s">
        <v>178</v>
      </c>
      <c r="AR2" s="367" t="s">
        <v>179</v>
      </c>
      <c r="AS2" s="367" t="s">
        <v>180</v>
      </c>
      <c r="AT2" s="367" t="s">
        <v>181</v>
      </c>
    </row>
    <row r="3" spans="1:46" s="9" customFormat="1" ht="27" customHeight="1">
      <c r="A3" s="360"/>
      <c r="B3" s="362"/>
      <c r="C3" s="364"/>
      <c r="D3" s="364"/>
      <c r="E3" s="366"/>
      <c r="F3" s="368"/>
      <c r="G3" s="366"/>
      <c r="H3" s="366"/>
      <c r="I3" s="366"/>
      <c r="J3" s="370"/>
      <c r="K3" s="366"/>
      <c r="L3" s="366"/>
      <c r="M3" s="55" t="s">
        <v>182</v>
      </c>
      <c r="N3" s="55" t="s">
        <v>183</v>
      </c>
      <c r="O3" s="55" t="s">
        <v>184</v>
      </c>
      <c r="P3" s="55" t="s">
        <v>70</v>
      </c>
      <c r="Q3" s="368"/>
      <c r="R3" s="366"/>
      <c r="S3" s="368"/>
      <c r="T3" s="372"/>
      <c r="U3" s="368"/>
      <c r="V3" s="73" t="s">
        <v>185</v>
      </c>
      <c r="W3" s="73" t="s">
        <v>186</v>
      </c>
      <c r="X3" s="73" t="s">
        <v>187</v>
      </c>
      <c r="Y3" s="73" t="s">
        <v>188</v>
      </c>
      <c r="Z3" s="73" t="s">
        <v>189</v>
      </c>
      <c r="AA3" s="73" t="s">
        <v>190</v>
      </c>
      <c r="AB3" s="368"/>
      <c r="AC3" s="368"/>
      <c r="AD3" s="372"/>
      <c r="AE3" s="372"/>
      <c r="AF3" s="372"/>
      <c r="AG3" s="372"/>
      <c r="AH3" s="374"/>
      <c r="AI3" s="376"/>
      <c r="AJ3" s="374"/>
      <c r="AK3" s="364"/>
      <c r="AL3" s="374"/>
      <c r="AM3" s="366"/>
      <c r="AN3" s="366"/>
      <c r="AO3" s="378"/>
      <c r="AP3" s="366"/>
      <c r="AQ3" s="366"/>
      <c r="AR3" s="368"/>
      <c r="AS3" s="368"/>
      <c r="AT3" s="368"/>
    </row>
    <row r="4" spans="1:46" s="10" customFormat="1" ht="18" customHeight="1">
      <c r="A4" s="24">
        <v>1</v>
      </c>
      <c r="B4" s="25" t="s">
        <v>191</v>
      </c>
      <c r="C4" s="25" t="s">
        <v>75</v>
      </c>
      <c r="D4" s="25" t="s">
        <v>192</v>
      </c>
      <c r="E4" s="25" t="s">
        <v>76</v>
      </c>
      <c r="F4" s="26" t="s">
        <v>193</v>
      </c>
      <c r="G4" s="33">
        <v>18035163638</v>
      </c>
      <c r="H4" s="28"/>
      <c r="I4" s="28"/>
      <c r="J4" s="56"/>
      <c r="K4" s="28"/>
      <c r="L4" s="60">
        <v>9280</v>
      </c>
      <c r="M4" s="58">
        <v>264</v>
      </c>
      <c r="N4" s="58">
        <v>66</v>
      </c>
      <c r="O4" s="58">
        <v>9.9</v>
      </c>
      <c r="P4" s="58">
        <v>180</v>
      </c>
      <c r="Q4" s="74">
        <f>ROUND(SUM(M4:P4),2)</f>
        <v>519.9</v>
      </c>
      <c r="R4" s="60">
        <v>0</v>
      </c>
      <c r="S4" s="75">
        <f>L4</f>
        <v>9280</v>
      </c>
      <c r="T4" s="76">
        <v>5000</v>
      </c>
      <c r="U4" s="76">
        <f>Q4</f>
        <v>519.9</v>
      </c>
      <c r="V4" s="60">
        <v>1000</v>
      </c>
      <c r="W4" s="60"/>
      <c r="X4" s="60">
        <v>1000</v>
      </c>
      <c r="Y4" s="60"/>
      <c r="Z4" s="60"/>
      <c r="AA4" s="60"/>
      <c r="AB4" s="75">
        <f>ROUND(SUM(V4:AA4),2)</f>
        <v>2000</v>
      </c>
      <c r="AC4" s="75">
        <f>R4</f>
        <v>0</v>
      </c>
      <c r="AD4" s="77">
        <f>ROUND(S4-T4-U4-AB4-AC4,2)</f>
        <v>1760.1</v>
      </c>
      <c r="AE4" s="78">
        <f>ROUND(MAX((AD4)*{0.03;0.1;0.2;0.25;0.3;0.35;0.45}-{0;2520;16920;31920;52920;85920;181920},0),2)</f>
        <v>52.8</v>
      </c>
      <c r="AF4" s="79">
        <v>0</v>
      </c>
      <c r="AG4" s="79">
        <f>IF((AE4-AF4)&lt;0,0,AE4-AF4)</f>
        <v>52.8</v>
      </c>
      <c r="AH4" s="82">
        <f>ROUND(IF((L4-Q4-AG4)&lt;0,0,(L4-Q4-AG4)),2)</f>
        <v>8707.2999999999993</v>
      </c>
      <c r="AI4" s="83"/>
      <c r="AJ4" s="82">
        <f>AH4+AI4</f>
        <v>8707.2999999999993</v>
      </c>
      <c r="AK4" s="84"/>
      <c r="AL4" s="82">
        <f>AJ4+AG4+AK4</f>
        <v>8760.1</v>
      </c>
      <c r="AM4" s="84"/>
      <c r="AN4" s="84"/>
      <c r="AO4" s="84" t="s">
        <v>257</v>
      </c>
      <c r="AP4" s="84" t="s">
        <v>258</v>
      </c>
      <c r="AQ4" s="84" t="s">
        <v>259</v>
      </c>
      <c r="AR4" s="8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IF(SUMPRODUCT(N(E$1:E$8=E4))&gt;1,"重复","不")</f>
        <v>不</v>
      </c>
      <c r="AT4" s="88" t="str">
        <f>IF(SUMPRODUCT(N(AO$1:AO$8=AO4))&gt;1,"重复","不")</f>
        <v>重复</v>
      </c>
    </row>
    <row r="5" spans="1:46" s="10" customFormat="1" ht="18" customHeight="1">
      <c r="A5" s="24">
        <v>2</v>
      </c>
      <c r="B5" s="25" t="s">
        <v>191</v>
      </c>
      <c r="C5" s="25" t="s">
        <v>93</v>
      </c>
      <c r="D5" s="25" t="s">
        <v>192</v>
      </c>
      <c r="E5" s="25" t="s">
        <v>94</v>
      </c>
      <c r="F5" s="26" t="s">
        <v>193</v>
      </c>
      <c r="G5" s="33">
        <v>13944441728</v>
      </c>
      <c r="H5" s="28"/>
      <c r="I5" s="28"/>
      <c r="J5" s="56"/>
      <c r="K5" s="28"/>
      <c r="L5" s="60">
        <v>7000</v>
      </c>
      <c r="M5" s="58">
        <v>268.81</v>
      </c>
      <c r="N5" s="58">
        <v>10.08</v>
      </c>
      <c r="O5" s="58">
        <v>61.06</v>
      </c>
      <c r="P5" s="58">
        <v>79</v>
      </c>
      <c r="Q5" s="74">
        <f>ROUND(SUM(M5:P5),2)</f>
        <v>418.95</v>
      </c>
      <c r="R5" s="60">
        <v>0</v>
      </c>
      <c r="S5" s="75">
        <f>L5</f>
        <v>7000</v>
      </c>
      <c r="T5" s="76">
        <v>5000</v>
      </c>
      <c r="U5" s="76">
        <f>Q5</f>
        <v>418.95</v>
      </c>
      <c r="V5" s="60"/>
      <c r="W5" s="60"/>
      <c r="X5" s="60">
        <v>1000</v>
      </c>
      <c r="Y5" s="60"/>
      <c r="Z5" s="60"/>
      <c r="AA5" s="60"/>
      <c r="AB5" s="75">
        <f>ROUND(SUM(V5:AA5),2)</f>
        <v>1000</v>
      </c>
      <c r="AC5" s="75">
        <f>R5</f>
        <v>0</v>
      </c>
      <c r="AD5" s="77">
        <f>ROUND(S5-T5-U5-AB5-AC5,2)</f>
        <v>581.04999999999995</v>
      </c>
      <c r="AE5" s="78">
        <f>ROUND(MAX((AD5)*{0.03;0.1;0.2;0.25;0.3;0.35;0.45}-{0;2520;16920;31920;52920;85920;181920},0),2)</f>
        <v>17.43</v>
      </c>
      <c r="AF5" s="79">
        <v>0</v>
      </c>
      <c r="AG5" s="79">
        <f>IF((AE5-AF5)&lt;0,0,AE5-AF5)</f>
        <v>17.43</v>
      </c>
      <c r="AH5" s="82">
        <f>ROUND(IF((L5-Q5-AG5)&lt;0,0,(L5-Q5-AG5)),2)</f>
        <v>6563.62</v>
      </c>
      <c r="AI5" s="83"/>
      <c r="AJ5" s="82">
        <f>AH5+AI5</f>
        <v>6563.62</v>
      </c>
      <c r="AK5" s="84"/>
      <c r="AL5" s="82">
        <f>AJ5+AG5+AK5</f>
        <v>6581.05</v>
      </c>
      <c r="AM5" s="84"/>
      <c r="AN5" s="84"/>
      <c r="AO5" s="84" t="s">
        <v>257</v>
      </c>
      <c r="AP5" s="84" t="s">
        <v>258</v>
      </c>
      <c r="AQ5" s="84" t="s">
        <v>259</v>
      </c>
      <c r="AR5" s="8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8" t="str">
        <f>IF(SUMPRODUCT(N(E$1:E$8=E5))&gt;1,"重复","不")</f>
        <v>不</v>
      </c>
      <c r="AT5" s="88" t="str">
        <f>IF(SUMPRODUCT(N(AO$1:AO$8=AO5))&gt;1,"重复","不")</f>
        <v>重复</v>
      </c>
    </row>
    <row r="6" spans="1:46" s="10" customFormat="1" ht="18" customHeight="1">
      <c r="A6" s="24">
        <v>3</v>
      </c>
      <c r="B6" s="25" t="s">
        <v>191</v>
      </c>
      <c r="C6" s="25" t="s">
        <v>107</v>
      </c>
      <c r="D6" s="25" t="s">
        <v>192</v>
      </c>
      <c r="E6" s="289" t="s">
        <v>108</v>
      </c>
      <c r="F6" s="26" t="str">
        <f>IF(MOD(MID(E6,17,1),2)=1,"男","女")</f>
        <v>女</v>
      </c>
      <c r="G6" s="33">
        <v>15360550807</v>
      </c>
      <c r="H6" s="28"/>
      <c r="I6" s="28"/>
      <c r="J6" s="56"/>
      <c r="K6" s="28"/>
      <c r="L6" s="60">
        <v>5700</v>
      </c>
      <c r="M6" s="58">
        <v>367.04</v>
      </c>
      <c r="N6" s="58">
        <v>123.5</v>
      </c>
      <c r="O6" s="58">
        <v>4.2</v>
      </c>
      <c r="P6" s="58">
        <v>105</v>
      </c>
      <c r="Q6" s="74">
        <f>ROUND(SUM(M6:P6),2)</f>
        <v>599.74</v>
      </c>
      <c r="R6" s="60">
        <v>0</v>
      </c>
      <c r="S6" s="75">
        <f>L6</f>
        <v>5700</v>
      </c>
      <c r="T6" s="76">
        <v>5000</v>
      </c>
      <c r="U6" s="76">
        <f>Q6</f>
        <v>599.74</v>
      </c>
      <c r="V6" s="60"/>
      <c r="W6" s="60"/>
      <c r="X6" s="60"/>
      <c r="Y6" s="60">
        <v>1500</v>
      </c>
      <c r="Z6" s="60"/>
      <c r="AA6" s="60"/>
      <c r="AB6" s="75">
        <f>ROUND(SUM(V6:AA6),2)</f>
        <v>1500</v>
      </c>
      <c r="AC6" s="75">
        <f>R6</f>
        <v>0</v>
      </c>
      <c r="AD6" s="77">
        <f>ROUND(S6-T6-U6-AB6-AC6,2)</f>
        <v>-1399.74</v>
      </c>
      <c r="AE6" s="78">
        <f>ROUND(MAX((AD6)*{0.03;0.1;0.2;0.25;0.3;0.35;0.45}-{0;2520;16920;31920;52920;85920;181920},0),2)</f>
        <v>0</v>
      </c>
      <c r="AF6" s="79">
        <v>0</v>
      </c>
      <c r="AG6" s="79">
        <f>IF((AE6-AF6)&lt;0,0,AE6-AF6)</f>
        <v>0</v>
      </c>
      <c r="AH6" s="82">
        <f>ROUND(IF((L6-Q6-AG6)&lt;0,0,(L6-Q6-AG6)),2)</f>
        <v>5100.26</v>
      </c>
      <c r="AI6" s="83"/>
      <c r="AJ6" s="82">
        <f>AH6+AI6</f>
        <v>5100.26</v>
      </c>
      <c r="AK6" s="84"/>
      <c r="AL6" s="82">
        <f>AJ6+AG6+AK6</f>
        <v>5100.26</v>
      </c>
      <c r="AM6" s="84"/>
      <c r="AN6" s="84"/>
      <c r="AO6" s="84" t="s">
        <v>257</v>
      </c>
      <c r="AP6" s="84" t="s">
        <v>258</v>
      </c>
      <c r="AQ6" s="84" t="s">
        <v>259</v>
      </c>
      <c r="AR6" s="88"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8" t="str">
        <f>IF(SUMPRODUCT(N(E$1:E$8=E6))&gt;1,"重复","不")</f>
        <v>不</v>
      </c>
      <c r="AT6" s="88" t="str">
        <f>IF(SUMPRODUCT(N(AO$1:AO$8=AO6))&gt;1,"重复","不")</f>
        <v>重复</v>
      </c>
    </row>
    <row r="7" spans="1:46" s="10" customFormat="1" ht="18" customHeight="1">
      <c r="A7" s="24">
        <v>4</v>
      </c>
      <c r="B7" s="25" t="s">
        <v>191</v>
      </c>
      <c r="C7" s="25" t="s">
        <v>253</v>
      </c>
      <c r="D7" s="25" t="s">
        <v>192</v>
      </c>
      <c r="E7" s="289" t="s">
        <v>254</v>
      </c>
      <c r="F7" s="26" t="s">
        <v>193</v>
      </c>
      <c r="G7" s="33">
        <v>18607383005</v>
      </c>
      <c r="H7" s="28"/>
      <c r="I7" s="28"/>
      <c r="J7" s="56"/>
      <c r="K7" s="28"/>
      <c r="L7" s="60">
        <v>31000</v>
      </c>
      <c r="M7" s="58">
        <f>320</f>
        <v>320</v>
      </c>
      <c r="N7" s="58">
        <f>80</f>
        <v>80</v>
      </c>
      <c r="O7" s="58">
        <f>12</f>
        <v>12</v>
      </c>
      <c r="P7" s="58">
        <v>200</v>
      </c>
      <c r="Q7" s="74">
        <f>ROUND(SUM(M7:P7),2)</f>
        <v>612</v>
      </c>
      <c r="R7" s="60">
        <v>0</v>
      </c>
      <c r="S7" s="75">
        <f>L7</f>
        <v>31000</v>
      </c>
      <c r="T7" s="76">
        <v>5000</v>
      </c>
      <c r="U7" s="76">
        <f>Q7</f>
        <v>612</v>
      </c>
      <c r="V7" s="60">
        <v>2000</v>
      </c>
      <c r="W7" s="60">
        <v>1000</v>
      </c>
      <c r="X7" s="60"/>
      <c r="Y7" s="60"/>
      <c r="Z7" s="60"/>
      <c r="AA7" s="60"/>
      <c r="AB7" s="75">
        <f>ROUND(SUM(V7:AA7),2)</f>
        <v>3000</v>
      </c>
      <c r="AC7" s="75">
        <f>R7</f>
        <v>0</v>
      </c>
      <c r="AD7" s="77">
        <f>ROUND(S7-T7-U7-AB7-AC7,2)</f>
        <v>22388</v>
      </c>
      <c r="AE7" s="78">
        <f>ROUND(MAX((AD7)*{0.03;0.1;0.2;0.25;0.3;0.35;0.45}-{0;2520;16920;31920;52920;85920;181920},0),2)</f>
        <v>671.64</v>
      </c>
      <c r="AF7" s="79">
        <v>0</v>
      </c>
      <c r="AG7" s="79">
        <f>IF((AE7-AF7)&lt;0,0,AE7-AF7)</f>
        <v>671.64</v>
      </c>
      <c r="AH7" s="82">
        <f>ROUND(IF((L7-Q7-AG7)&lt;0,0,(L7-Q7-AG7)),2)</f>
        <v>29716.36</v>
      </c>
      <c r="AI7" s="83"/>
      <c r="AJ7" s="82">
        <f>AH7+AI7</f>
        <v>29716.36</v>
      </c>
      <c r="AK7" s="84"/>
      <c r="AL7" s="82">
        <f>AJ7+AG7+AK7</f>
        <v>30388</v>
      </c>
      <c r="AM7" s="84"/>
      <c r="AN7" s="84"/>
      <c r="AO7" s="84" t="s">
        <v>257</v>
      </c>
      <c r="AP7" s="84" t="s">
        <v>258</v>
      </c>
      <c r="AQ7" s="84" t="s">
        <v>259</v>
      </c>
      <c r="AR7" s="88"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8" t="str">
        <f>IF(SUMPRODUCT(N(E$1:E$8=E7))&gt;1,"重复","不")</f>
        <v>不</v>
      </c>
      <c r="AT7" s="88" t="str">
        <f>IF(SUMPRODUCT(N(AO$1:AO$8=AO7))&gt;1,"重复","不")</f>
        <v>重复</v>
      </c>
    </row>
    <row r="8" spans="1:46" s="10" customFormat="1" ht="18" customHeight="1">
      <c r="A8" s="24">
        <v>5</v>
      </c>
      <c r="B8" s="25" t="s">
        <v>191</v>
      </c>
      <c r="C8" s="25" t="s">
        <v>255</v>
      </c>
      <c r="D8" s="25" t="s">
        <v>192</v>
      </c>
      <c r="E8" s="25" t="s">
        <v>256</v>
      </c>
      <c r="F8" s="26" t="s">
        <v>193</v>
      </c>
      <c r="G8" s="33">
        <v>13373825180</v>
      </c>
      <c r="H8" s="28"/>
      <c r="I8" s="28"/>
      <c r="J8" s="56"/>
      <c r="K8" s="28"/>
      <c r="L8" s="60">
        <v>26739</v>
      </c>
      <c r="M8" s="58">
        <v>261.04000000000002</v>
      </c>
      <c r="N8" s="58">
        <v>9.1</v>
      </c>
      <c r="O8" s="58">
        <v>57.18</v>
      </c>
      <c r="P8" s="58">
        <v>85</v>
      </c>
      <c r="Q8" s="74">
        <f>ROUND(SUM(M8:P8),2)</f>
        <v>412.32</v>
      </c>
      <c r="R8" s="60">
        <v>0</v>
      </c>
      <c r="S8" s="75">
        <f>L8</f>
        <v>26739</v>
      </c>
      <c r="T8" s="76">
        <v>5000</v>
      </c>
      <c r="U8" s="76">
        <f>Q8</f>
        <v>412.32</v>
      </c>
      <c r="V8" s="60">
        <v>1000</v>
      </c>
      <c r="W8" s="60">
        <v>1000</v>
      </c>
      <c r="X8" s="60">
        <v>1000</v>
      </c>
      <c r="Y8" s="60"/>
      <c r="Z8" s="60"/>
      <c r="AA8" s="60"/>
      <c r="AB8" s="75">
        <f>ROUND(SUM(V8:AA8),2)</f>
        <v>3000</v>
      </c>
      <c r="AC8" s="75">
        <f>R8</f>
        <v>0</v>
      </c>
      <c r="AD8" s="77">
        <f>ROUND(S8-T8-U8-AB8-AC8,2)</f>
        <v>18326.68</v>
      </c>
      <c r="AE8" s="78">
        <f>ROUND(MAX((AD8)*{0.03;0.1;0.2;0.25;0.3;0.35;0.45}-{0;2520;16920;31920;52920;85920;181920},0),2)</f>
        <v>549.79999999999995</v>
      </c>
      <c r="AF8" s="79">
        <v>0</v>
      </c>
      <c r="AG8" s="79">
        <f>IF((AE8-AF8)&lt;0,0,AE8-AF8)</f>
        <v>549.79999999999995</v>
      </c>
      <c r="AH8" s="82">
        <f>ROUND(IF((L8-Q8-AG8)&lt;0,0,(L8-Q8-AG8)),2)</f>
        <v>25776.880000000001</v>
      </c>
      <c r="AI8" s="83"/>
      <c r="AJ8" s="82">
        <f>AH8+AI8</f>
        <v>25776.880000000001</v>
      </c>
      <c r="AK8" s="84"/>
      <c r="AL8" s="82">
        <f>AJ8+AG8+AK8</f>
        <v>26326.68</v>
      </c>
      <c r="AM8" s="84"/>
      <c r="AN8" s="84"/>
      <c r="AO8" s="84" t="s">
        <v>257</v>
      </c>
      <c r="AP8" s="84" t="s">
        <v>258</v>
      </c>
      <c r="AQ8" s="84" t="s">
        <v>259</v>
      </c>
      <c r="AR8" s="88"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88" t="str">
        <f>IF(SUMPRODUCT(N(E$1:E$8=E8))&gt;1,"重复","不")</f>
        <v>不</v>
      </c>
      <c r="AT8" s="88" t="str">
        <f>IF(SUMPRODUCT(N(AO$1:AO$8=AO8))&gt;1,"重复","不")</f>
        <v>重复</v>
      </c>
    </row>
    <row r="9" spans="1:46" s="11" customFormat="1" ht="18" customHeight="1">
      <c r="A9" s="34"/>
      <c r="B9" s="35" t="s">
        <v>198</v>
      </c>
      <c r="C9" s="35"/>
      <c r="D9" s="36"/>
      <c r="E9" s="37"/>
      <c r="F9" s="38"/>
      <c r="G9" s="39"/>
      <c r="H9" s="38"/>
      <c r="I9" s="61"/>
      <c r="J9" s="62"/>
      <c r="K9" s="61"/>
      <c r="L9" s="63">
        <f t="shared" ref="L9:AL9" si="0">SUM(L4:L8)</f>
        <v>79719</v>
      </c>
      <c r="M9" s="63">
        <f t="shared" si="0"/>
        <v>1480.89</v>
      </c>
      <c r="N9" s="63">
        <f t="shared" si="0"/>
        <v>288.68</v>
      </c>
      <c r="O9" s="63">
        <f t="shared" si="0"/>
        <v>144.34</v>
      </c>
      <c r="P9" s="63">
        <f t="shared" si="0"/>
        <v>649</v>
      </c>
      <c r="Q9" s="63">
        <f t="shared" si="0"/>
        <v>2562.91</v>
      </c>
      <c r="R9" s="63">
        <f t="shared" si="0"/>
        <v>0</v>
      </c>
      <c r="S9" s="63">
        <f t="shared" si="0"/>
        <v>79719</v>
      </c>
      <c r="T9" s="63">
        <f t="shared" si="0"/>
        <v>25000</v>
      </c>
      <c r="U9" s="63">
        <f t="shared" si="0"/>
        <v>2562.91</v>
      </c>
      <c r="V9" s="63">
        <f t="shared" si="0"/>
        <v>4000</v>
      </c>
      <c r="W9" s="63">
        <f t="shared" si="0"/>
        <v>2000</v>
      </c>
      <c r="X9" s="63">
        <f t="shared" si="0"/>
        <v>3000</v>
      </c>
      <c r="Y9" s="63">
        <f t="shared" si="0"/>
        <v>1500</v>
      </c>
      <c r="Z9" s="63">
        <f t="shared" si="0"/>
        <v>0</v>
      </c>
      <c r="AA9" s="63">
        <f t="shared" si="0"/>
        <v>0</v>
      </c>
      <c r="AB9" s="63">
        <f t="shared" si="0"/>
        <v>10500</v>
      </c>
      <c r="AC9" s="63">
        <f t="shared" si="0"/>
        <v>0</v>
      </c>
      <c r="AD9" s="63">
        <f t="shared" si="0"/>
        <v>41656.089999999997</v>
      </c>
      <c r="AE9" s="63">
        <f t="shared" si="0"/>
        <v>1291.67</v>
      </c>
      <c r="AF9" s="63">
        <f t="shared" si="0"/>
        <v>0</v>
      </c>
      <c r="AG9" s="63">
        <f t="shared" si="0"/>
        <v>1291.67</v>
      </c>
      <c r="AH9" s="63">
        <f t="shared" si="0"/>
        <v>75864.42</v>
      </c>
      <c r="AI9" s="109">
        <f t="shared" si="0"/>
        <v>0</v>
      </c>
      <c r="AJ9" s="63">
        <f t="shared" si="0"/>
        <v>75864.42</v>
      </c>
      <c r="AK9" s="63">
        <f t="shared" si="0"/>
        <v>0</v>
      </c>
      <c r="AL9" s="63">
        <f t="shared" si="0"/>
        <v>77156.09</v>
      </c>
      <c r="AM9" s="85"/>
      <c r="AN9" s="85"/>
      <c r="AO9" s="85"/>
      <c r="AP9" s="85"/>
      <c r="AQ9" s="85"/>
      <c r="AR9" s="38"/>
      <c r="AS9" s="38"/>
      <c r="AT9" s="89"/>
    </row>
    <row r="12" spans="1:46">
      <c r="AD12" s="80"/>
    </row>
    <row r="13" spans="1:46" ht="18.75" customHeight="1">
      <c r="B13" s="40" t="s">
        <v>172</v>
      </c>
      <c r="C13" s="40" t="s">
        <v>199</v>
      </c>
      <c r="D13" s="40" t="s">
        <v>57</v>
      </c>
      <c r="E13" s="40" t="s">
        <v>58</v>
      </c>
      <c r="AD13" s="8"/>
    </row>
    <row r="14" spans="1:46" ht="18.75" customHeight="1">
      <c r="B14" s="41">
        <f>AJ9</f>
        <v>75864.42</v>
      </c>
      <c r="C14" s="41">
        <f>AG9</f>
        <v>1291.67</v>
      </c>
      <c r="D14" s="41">
        <f>AK9</f>
        <v>0</v>
      </c>
      <c r="E14" s="41">
        <f>B14+C14+D14</f>
        <v>77156.09</v>
      </c>
    </row>
    <row r="15" spans="1:46">
      <c r="B15" s="42"/>
      <c r="C15" s="42"/>
      <c r="D15" s="42"/>
      <c r="E15" s="42"/>
    </row>
    <row r="16" spans="1:46" s="12" customFormat="1">
      <c r="A16" s="43" t="s">
        <v>200</v>
      </c>
      <c r="B16" s="44" t="s">
        <v>201</v>
      </c>
      <c r="C16" s="45"/>
      <c r="D16" s="45"/>
      <c r="E16" s="45"/>
      <c r="G16" s="46"/>
      <c r="J16" s="64"/>
      <c r="M16" s="65"/>
      <c r="AI16" s="86"/>
    </row>
    <row r="17" spans="1:35" s="12" customFormat="1">
      <c r="A17" s="47"/>
      <c r="B17" s="48" t="s">
        <v>202</v>
      </c>
      <c r="C17" s="45"/>
      <c r="D17" s="45"/>
      <c r="E17" s="45"/>
      <c r="G17" s="46"/>
      <c r="J17" s="64"/>
      <c r="M17" s="65"/>
      <c r="AI17" s="86"/>
    </row>
    <row r="18" spans="1:35" s="12" customFormat="1">
      <c r="A18" s="44"/>
      <c r="B18" s="48" t="s">
        <v>203</v>
      </c>
      <c r="C18" s="49"/>
      <c r="D18" s="49"/>
      <c r="E18" s="49"/>
      <c r="F18" s="49"/>
      <c r="G18" s="49"/>
      <c r="H18" s="49"/>
      <c r="I18" s="49"/>
      <c r="J18" s="66"/>
      <c r="K18" s="49"/>
      <c r="L18" s="49"/>
      <c r="M18" s="67"/>
      <c r="N18" s="49"/>
      <c r="O18" s="49"/>
      <c r="P18" s="49"/>
      <c r="AI18" s="86"/>
    </row>
    <row r="19" spans="1:35" s="12" customFormat="1" ht="13.5" customHeight="1">
      <c r="A19" s="48"/>
      <c r="B19" s="48" t="s">
        <v>204</v>
      </c>
      <c r="C19" s="50"/>
      <c r="D19" s="50"/>
      <c r="E19" s="50"/>
      <c r="F19" s="50"/>
      <c r="G19" s="50"/>
      <c r="H19" s="50"/>
      <c r="I19" s="68"/>
      <c r="J19" s="69"/>
      <c r="K19" s="68"/>
      <c r="L19" s="68"/>
      <c r="M19" s="70"/>
      <c r="N19" s="68"/>
      <c r="O19" s="68"/>
      <c r="P19" s="68"/>
      <c r="AI19" s="86"/>
    </row>
    <row r="20" spans="1:35" s="12" customFormat="1" ht="13.5" customHeight="1">
      <c r="A20" s="48"/>
      <c r="B20" s="48" t="s">
        <v>205</v>
      </c>
      <c r="C20" s="50"/>
      <c r="D20" s="50"/>
      <c r="E20" s="50"/>
      <c r="F20" s="50"/>
      <c r="G20" s="50"/>
      <c r="H20" s="50"/>
      <c r="I20" s="50"/>
      <c r="J20" s="71"/>
      <c r="K20" s="50"/>
      <c r="L20" s="68"/>
      <c r="M20" s="70"/>
      <c r="N20" s="68"/>
      <c r="O20" s="68"/>
      <c r="P20" s="68"/>
      <c r="AI20" s="86"/>
    </row>
    <row r="21" spans="1:35" s="12" customFormat="1" ht="13.5" customHeight="1">
      <c r="A21" s="48"/>
      <c r="B21" s="48" t="s">
        <v>206</v>
      </c>
      <c r="C21" s="50"/>
      <c r="D21" s="50"/>
      <c r="E21" s="50"/>
      <c r="F21" s="50"/>
      <c r="G21" s="50"/>
      <c r="H21" s="50"/>
      <c r="I21" s="68"/>
      <c r="J21" s="69"/>
      <c r="K21" s="68"/>
      <c r="L21" s="68"/>
      <c r="M21" s="70"/>
      <c r="N21" s="68"/>
      <c r="O21" s="68"/>
      <c r="P21" s="68"/>
      <c r="AI21" s="86"/>
    </row>
    <row r="23" spans="1:35" ht="11.25" customHeight="1">
      <c r="B23" s="51" t="s">
        <v>207</v>
      </c>
    </row>
    <row r="24" spans="1:35">
      <c r="B24" s="52" t="s">
        <v>208</v>
      </c>
    </row>
    <row r="25" spans="1:35">
      <c r="B25" s="52" t="s">
        <v>209</v>
      </c>
    </row>
  </sheetData>
  <autoFilter ref="A3:AT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8" type="noConversion"/>
  <conditionalFormatting sqref="B21">
    <cfRule type="duplicateValues" dxfId="41" priority="10" stopIfTrue="1"/>
  </conditionalFormatting>
  <conditionalFormatting sqref="B16:B20">
    <cfRule type="duplicateValues" dxfId="40" priority="13" stopIfTrue="1"/>
  </conditionalFormatting>
  <conditionalFormatting sqref="B24:B25">
    <cfRule type="duplicateValues" dxfId="39" priority="1" stopIfTrue="1"/>
  </conditionalFormatting>
  <conditionalFormatting sqref="C13:C15">
    <cfRule type="duplicateValues" dxfId="38" priority="17" stopIfTrue="1"/>
    <cfRule type="expression" dxfId="37" priority="19" stopIfTrue="1">
      <formula>AND(COUNTIF($B$9:$B$65445,C13)+COUNTIF($B$1:$B$3,C13)&gt;1,NOT(ISBLANK(C13)))</formula>
    </cfRule>
    <cfRule type="expression" dxfId="36" priority="21" stopIfTrue="1">
      <formula>AND(COUNTIF($B$20:$B$65396,C13)+COUNTIF($B$1:$B$19,C13)&gt;1,NOT(ISBLANK(C13)))</formula>
    </cfRule>
    <cfRule type="expression" dxfId="35" priority="23" stopIfTrue="1">
      <formula>AND(COUNTIF($B$9:$B$65434,C13)+COUNTIF($B$1:$B$3,C13)&gt;1,NOT(ISBLANK(C13)))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5"/>
  <sheetViews>
    <sheetView workbookViewId="0">
      <pane xSplit="6" ySplit="3" topLeftCell="G4" activePane="bottomRight" state="frozen"/>
      <selection pane="topRight"/>
      <selection pane="bottomLeft"/>
      <selection pane="bottomRight" activeCell="B4" sqref="B4:P8"/>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144</v>
      </c>
      <c r="B1" s="19"/>
      <c r="C1" s="20"/>
      <c r="D1" s="21"/>
      <c r="E1" s="22"/>
      <c r="F1" s="22"/>
      <c r="G1" s="23"/>
      <c r="J1" s="53"/>
      <c r="L1" s="54"/>
      <c r="M1" s="352" t="s">
        <v>145</v>
      </c>
      <c r="N1" s="352"/>
      <c r="O1" s="352"/>
      <c r="P1" s="352"/>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59" t="s">
        <v>18</v>
      </c>
      <c r="B2" s="361" t="s">
        <v>146</v>
      </c>
      <c r="C2" s="363" t="s">
        <v>147</v>
      </c>
      <c r="D2" s="363" t="s">
        <v>148</v>
      </c>
      <c r="E2" s="365" t="s">
        <v>149</v>
      </c>
      <c r="F2" s="367" t="s">
        <v>150</v>
      </c>
      <c r="G2" s="365" t="s">
        <v>151</v>
      </c>
      <c r="H2" s="365" t="s">
        <v>152</v>
      </c>
      <c r="I2" s="365" t="s">
        <v>153</v>
      </c>
      <c r="J2" s="369" t="s">
        <v>154</v>
      </c>
      <c r="K2" s="365" t="s">
        <v>155</v>
      </c>
      <c r="L2" s="365" t="s">
        <v>156</v>
      </c>
      <c r="M2" s="353" t="s">
        <v>157</v>
      </c>
      <c r="N2" s="354"/>
      <c r="O2" s="354"/>
      <c r="P2" s="355"/>
      <c r="Q2" s="367" t="s">
        <v>158</v>
      </c>
      <c r="R2" s="365" t="s">
        <v>159</v>
      </c>
      <c r="S2" s="367" t="s">
        <v>160</v>
      </c>
      <c r="T2" s="371" t="s">
        <v>161</v>
      </c>
      <c r="U2" s="367" t="s">
        <v>162</v>
      </c>
      <c r="V2" s="356" t="s">
        <v>163</v>
      </c>
      <c r="W2" s="357"/>
      <c r="X2" s="357"/>
      <c r="Y2" s="357"/>
      <c r="Z2" s="357"/>
      <c r="AA2" s="358"/>
      <c r="AB2" s="367" t="s">
        <v>164</v>
      </c>
      <c r="AC2" s="367" t="s">
        <v>165</v>
      </c>
      <c r="AD2" s="371" t="s">
        <v>166</v>
      </c>
      <c r="AE2" s="371" t="s">
        <v>167</v>
      </c>
      <c r="AF2" s="371" t="s">
        <v>168</v>
      </c>
      <c r="AG2" s="371" t="s">
        <v>169</v>
      </c>
      <c r="AH2" s="373" t="s">
        <v>170</v>
      </c>
      <c r="AI2" s="375" t="s">
        <v>171</v>
      </c>
      <c r="AJ2" s="373" t="s">
        <v>172</v>
      </c>
      <c r="AK2" s="363" t="s">
        <v>57</v>
      </c>
      <c r="AL2" s="373" t="s">
        <v>173</v>
      </c>
      <c r="AM2" s="365" t="s">
        <v>174</v>
      </c>
      <c r="AN2" s="365" t="s">
        <v>175</v>
      </c>
      <c r="AO2" s="377" t="s">
        <v>176</v>
      </c>
      <c r="AP2" s="365" t="s">
        <v>177</v>
      </c>
      <c r="AQ2" s="365" t="s">
        <v>178</v>
      </c>
      <c r="AR2" s="367" t="s">
        <v>179</v>
      </c>
      <c r="AS2" s="367" t="s">
        <v>180</v>
      </c>
      <c r="AT2" s="367" t="s">
        <v>181</v>
      </c>
    </row>
    <row r="3" spans="1:46" s="9" customFormat="1" ht="27" customHeight="1">
      <c r="A3" s="360"/>
      <c r="B3" s="362"/>
      <c r="C3" s="364"/>
      <c r="D3" s="364"/>
      <c r="E3" s="366"/>
      <c r="F3" s="368"/>
      <c r="G3" s="366"/>
      <c r="H3" s="366"/>
      <c r="I3" s="366"/>
      <c r="J3" s="370"/>
      <c r="K3" s="366"/>
      <c r="L3" s="366"/>
      <c r="M3" s="55" t="s">
        <v>182</v>
      </c>
      <c r="N3" s="55" t="s">
        <v>183</v>
      </c>
      <c r="O3" s="55" t="s">
        <v>184</v>
      </c>
      <c r="P3" s="55" t="s">
        <v>70</v>
      </c>
      <c r="Q3" s="368"/>
      <c r="R3" s="366"/>
      <c r="S3" s="368"/>
      <c r="T3" s="372"/>
      <c r="U3" s="368"/>
      <c r="V3" s="73" t="s">
        <v>185</v>
      </c>
      <c r="W3" s="73" t="s">
        <v>186</v>
      </c>
      <c r="X3" s="73" t="s">
        <v>187</v>
      </c>
      <c r="Y3" s="73" t="s">
        <v>188</v>
      </c>
      <c r="Z3" s="73" t="s">
        <v>189</v>
      </c>
      <c r="AA3" s="73" t="s">
        <v>190</v>
      </c>
      <c r="AB3" s="368"/>
      <c r="AC3" s="368"/>
      <c r="AD3" s="372"/>
      <c r="AE3" s="372"/>
      <c r="AF3" s="372"/>
      <c r="AG3" s="372"/>
      <c r="AH3" s="374"/>
      <c r="AI3" s="376"/>
      <c r="AJ3" s="374"/>
      <c r="AK3" s="364"/>
      <c r="AL3" s="374"/>
      <c r="AM3" s="366"/>
      <c r="AN3" s="366"/>
      <c r="AO3" s="378"/>
      <c r="AP3" s="366"/>
      <c r="AQ3" s="366"/>
      <c r="AR3" s="368"/>
      <c r="AS3" s="368"/>
      <c r="AT3" s="368"/>
    </row>
    <row r="4" spans="1:46" s="10" customFormat="1" ht="18" customHeight="1">
      <c r="A4" s="24">
        <v>1</v>
      </c>
      <c r="B4" s="25" t="s">
        <v>249</v>
      </c>
      <c r="C4" s="25" t="s">
        <v>75</v>
      </c>
      <c r="D4" s="25" t="s">
        <v>192</v>
      </c>
      <c r="E4" s="25" t="s">
        <v>76</v>
      </c>
      <c r="F4" s="26" t="s">
        <v>193</v>
      </c>
      <c r="G4" s="33">
        <v>18035163638</v>
      </c>
      <c r="H4" s="28"/>
      <c r="I4" s="28"/>
      <c r="J4" s="56"/>
      <c r="K4" s="28"/>
      <c r="L4" s="60">
        <v>8000</v>
      </c>
      <c r="M4" s="58">
        <v>264</v>
      </c>
      <c r="N4" s="58">
        <v>66</v>
      </c>
      <c r="O4" s="58">
        <v>9.9</v>
      </c>
      <c r="P4" s="58">
        <v>180</v>
      </c>
      <c r="Q4" s="74">
        <f>ROUND(SUM(M4:P4),2)</f>
        <v>519.9</v>
      </c>
      <c r="R4" s="60">
        <v>0</v>
      </c>
      <c r="S4" s="75">
        <f>L4+IFERROR(VLOOKUP($E:$E,'（居民）工资表-11月'!$E:$S,15,0),0)</f>
        <v>115850</v>
      </c>
      <c r="T4" s="76">
        <f>5000+IFERROR(VLOOKUP($E:$E,'（居民）工资表-11月'!$E:$T,16,0),0)</f>
        <v>60000</v>
      </c>
      <c r="U4" s="76">
        <f>Q4+IFERROR(VLOOKUP($E:$E,'（居民）工资表-11月'!$E:$U,17,0),0)</f>
        <v>6403.4399999999987</v>
      </c>
      <c r="V4" s="60"/>
      <c r="W4" s="60"/>
      <c r="X4" s="60">
        <v>12000</v>
      </c>
      <c r="Y4" s="60"/>
      <c r="Z4" s="60"/>
      <c r="AA4" s="60"/>
      <c r="AB4" s="75">
        <f>ROUND(SUM(V4:AA4),2)</f>
        <v>12000</v>
      </c>
      <c r="AC4" s="75">
        <f>R4+IFERROR(VLOOKUP($E:$E,'（居民）工资表-11月'!$E:$AC,25,0),0)</f>
        <v>0</v>
      </c>
      <c r="AD4" s="77">
        <f>ROUND(S4-T4-U4-AB4-AC4,2)</f>
        <v>37446.559999999998</v>
      </c>
      <c r="AE4" s="78">
        <f>ROUND(MAX((AD4)*{0.03;0.1;0.2;0.25;0.3;0.35;0.45}-{0;2520;16920;31920;52920;85920;181920},0),2)</f>
        <v>1224.6600000000001</v>
      </c>
      <c r="AF4" s="79">
        <f>IFERROR(VLOOKUP(E:E,'（居民）工资表-11月'!E:AF,28,0)+VLOOKUP(E:E,'（居民）工资表-11月'!E:AG,29,0),0)</f>
        <v>1078.99</v>
      </c>
      <c r="AG4" s="79">
        <f>IF((AE4-AF4)&lt;0,0,AE4-AF4)</f>
        <v>145.67000000000007</v>
      </c>
      <c r="AH4" s="82">
        <f>ROUND(IF((L4-Q4-AG4)&lt;0,0,(L4-Q4-AG4)),2)</f>
        <v>7334.43</v>
      </c>
      <c r="AI4" s="83"/>
      <c r="AJ4" s="82">
        <f>AH4+AI4</f>
        <v>7334.43</v>
      </c>
      <c r="AK4" s="84"/>
      <c r="AL4" s="82">
        <f>AJ4+AG4+AK4</f>
        <v>7480.1</v>
      </c>
      <c r="AM4" s="84"/>
      <c r="AN4" s="84"/>
      <c r="AO4" s="84"/>
      <c r="AP4" s="84"/>
      <c r="AQ4" s="84"/>
      <c r="AR4" s="8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IF(SUMPRODUCT(N(E$1:E$8=E4))&gt;1,"重复","不")</f>
        <v>不</v>
      </c>
      <c r="AT4" s="88" t="str">
        <f>IF(SUMPRODUCT(N(AO$1:AO$8=AO4))&gt;1,"重复","不")</f>
        <v>重复</v>
      </c>
    </row>
    <row r="5" spans="1:46" s="10" customFormat="1" ht="18" customHeight="1">
      <c r="A5" s="24">
        <v>2</v>
      </c>
      <c r="B5" s="25" t="s">
        <v>249</v>
      </c>
      <c r="C5" s="25" t="s">
        <v>93</v>
      </c>
      <c r="D5" s="25" t="s">
        <v>192</v>
      </c>
      <c r="E5" s="25" t="s">
        <v>94</v>
      </c>
      <c r="F5" s="26" t="s">
        <v>193</v>
      </c>
      <c r="G5" s="33">
        <v>13944441728</v>
      </c>
      <c r="H5" s="28"/>
      <c r="I5" s="28"/>
      <c r="J5" s="56"/>
      <c r="K5" s="28"/>
      <c r="L5" s="60">
        <v>7000</v>
      </c>
      <c r="M5" s="58">
        <v>268.81</v>
      </c>
      <c r="N5" s="58">
        <v>10.08</v>
      </c>
      <c r="O5" s="58">
        <v>61.06</v>
      </c>
      <c r="P5" s="58">
        <v>79</v>
      </c>
      <c r="Q5" s="74">
        <f>ROUND(SUM(M5:P5),2)</f>
        <v>418.95</v>
      </c>
      <c r="R5" s="60">
        <v>0</v>
      </c>
      <c r="S5" s="75">
        <f>L5+IFERROR(VLOOKUP($E:$E,'（居民）工资表-11月'!$E:$S,15,0),0)</f>
        <v>83810.399999999994</v>
      </c>
      <c r="T5" s="76">
        <f>5000+IFERROR(VLOOKUP($E:$E,'（居民）工资表-11月'!$E:$T,16,0),0)</f>
        <v>60000</v>
      </c>
      <c r="U5" s="76">
        <f>Q5+IFERROR(VLOOKUP($E:$E,'（居民）工资表-11月'!$E:$U,17,0),0)</f>
        <v>5190.3799999999992</v>
      </c>
      <c r="V5" s="60"/>
      <c r="W5" s="60"/>
      <c r="X5" s="60"/>
      <c r="Y5" s="60"/>
      <c r="Z5" s="60"/>
      <c r="AA5" s="60"/>
      <c r="AB5" s="75">
        <f>ROUND(SUM(V5:AA5),2)</f>
        <v>0</v>
      </c>
      <c r="AC5" s="75">
        <f>R5+IFERROR(VLOOKUP($E:$E,'（居民）工资表-11月'!$E:$AC,25,0),0)</f>
        <v>0</v>
      </c>
      <c r="AD5" s="77">
        <f>ROUND(S5-T5-U5-AB5-AC5,2)</f>
        <v>18620.02</v>
      </c>
      <c r="AE5" s="78">
        <f>ROUND(MAX((AD5)*{0.03;0.1;0.2;0.25;0.3;0.35;0.45}-{0;2520;16920;31920;52920;85920;181920},0),2)</f>
        <v>558.6</v>
      </c>
      <c r="AF5" s="79">
        <f>IFERROR(VLOOKUP(E:E,'（居民）工资表-11月'!E:AF,28,0)+VLOOKUP(E:E,'（居民）工资表-11月'!E:AG,29,0),0)</f>
        <v>511.17</v>
      </c>
      <c r="AG5" s="79">
        <f>IF((AE5-AF5)&lt;0,0,AE5-AF5)</f>
        <v>47.430000000000007</v>
      </c>
      <c r="AH5" s="82">
        <f>ROUND(IF((L5-Q5-AG5)&lt;0,0,(L5-Q5-AG5)),2)</f>
        <v>6533.62</v>
      </c>
      <c r="AI5" s="83"/>
      <c r="AJ5" s="82">
        <f>AH5+AI5</f>
        <v>6533.62</v>
      </c>
      <c r="AK5" s="84"/>
      <c r="AL5" s="82">
        <f>AJ5+AG5+AK5</f>
        <v>6581.05</v>
      </c>
      <c r="AM5" s="84"/>
      <c r="AN5" s="84"/>
      <c r="AO5" s="84"/>
      <c r="AP5" s="84"/>
      <c r="AQ5" s="84"/>
      <c r="AR5" s="8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8" t="str">
        <f>IF(SUMPRODUCT(N(E$1:E$8=E5))&gt;1,"重复","不")</f>
        <v>不</v>
      </c>
      <c r="AT5" s="88" t="str">
        <f>IF(SUMPRODUCT(N(AO$1:AO$8=AO5))&gt;1,"重复","不")</f>
        <v>重复</v>
      </c>
    </row>
    <row r="6" spans="1:46" s="10" customFormat="1" ht="18" customHeight="1">
      <c r="A6" s="24">
        <v>3</v>
      </c>
      <c r="B6" s="25" t="s">
        <v>249</v>
      </c>
      <c r="C6" s="25" t="s">
        <v>107</v>
      </c>
      <c r="D6" s="25" t="s">
        <v>192</v>
      </c>
      <c r="E6" s="289" t="s">
        <v>108</v>
      </c>
      <c r="F6" s="26" t="str">
        <f>IF(MOD(MID(E6,17,1),2)=1,"男","女")</f>
        <v>女</v>
      </c>
      <c r="G6" s="33">
        <v>15360550807</v>
      </c>
      <c r="H6" s="28"/>
      <c r="I6" s="28"/>
      <c r="J6" s="56"/>
      <c r="K6" s="28"/>
      <c r="L6" s="60">
        <v>5700</v>
      </c>
      <c r="M6" s="58">
        <v>367.04</v>
      </c>
      <c r="N6" s="58">
        <v>123.5</v>
      </c>
      <c r="O6" s="58">
        <v>4.2</v>
      </c>
      <c r="P6" s="58">
        <v>105</v>
      </c>
      <c r="Q6" s="74">
        <f>ROUND(SUM(M6:P6),2)</f>
        <v>599.74</v>
      </c>
      <c r="R6" s="60">
        <v>0</v>
      </c>
      <c r="S6" s="75">
        <f>L6+IFERROR(VLOOKUP($E:$E,'（居民）工资表-11月'!$E:$S,15,0),0)</f>
        <v>67260</v>
      </c>
      <c r="T6" s="76">
        <f>5000+IFERROR(VLOOKUP($E:$E,'（居民）工资表-11月'!$E:$T,16,0),0)</f>
        <v>60000</v>
      </c>
      <c r="U6" s="76">
        <f>Q6+IFERROR(VLOOKUP($E:$E,'（居民）工资表-11月'!$E:$U,17,0),0)</f>
        <v>6221.2799999999988</v>
      </c>
      <c r="V6" s="60"/>
      <c r="W6" s="60"/>
      <c r="X6" s="60"/>
      <c r="Y6" s="60"/>
      <c r="Z6" s="60"/>
      <c r="AA6" s="60"/>
      <c r="AB6" s="75">
        <f>ROUND(SUM(V6:AA6),2)</f>
        <v>0</v>
      </c>
      <c r="AC6" s="75">
        <f>R6+IFERROR(VLOOKUP($E:$E,'（居民）工资表-11月'!$E:$AC,25,0),0)</f>
        <v>0</v>
      </c>
      <c r="AD6" s="77">
        <f>ROUND(S6-T6-U6-AB6-AC6,2)</f>
        <v>1038.72</v>
      </c>
      <c r="AE6" s="78">
        <f>ROUND(MAX((AD6)*{0.03;0.1;0.2;0.25;0.3;0.35;0.45}-{0;2520;16920;31920;52920;85920;181920},0),2)</f>
        <v>31.16</v>
      </c>
      <c r="AF6" s="79">
        <f>IFERROR(VLOOKUP(E:E,'（居民）工资表-11月'!E:AF,28,0)+VLOOKUP(E:E,'（居民）工资表-11月'!E:AG,29,0),0)</f>
        <v>28.15</v>
      </c>
      <c r="AG6" s="79">
        <f>IF((AE6-AF6)&lt;0,0,AE6-AF6)</f>
        <v>3.0100000000000016</v>
      </c>
      <c r="AH6" s="82">
        <f>ROUND(IF((L6-Q6-AG6)&lt;0,0,(L6-Q6-AG6)),2)</f>
        <v>5097.25</v>
      </c>
      <c r="AI6" s="83"/>
      <c r="AJ6" s="82">
        <f>AH6+AI6</f>
        <v>5097.25</v>
      </c>
      <c r="AK6" s="84"/>
      <c r="AL6" s="82">
        <f>AJ6+AG6+AK6</f>
        <v>5100.26</v>
      </c>
      <c r="AM6" s="84"/>
      <c r="AN6" s="84"/>
      <c r="AO6" s="84"/>
      <c r="AP6" s="84"/>
      <c r="AQ6" s="84"/>
      <c r="AR6" s="88"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8" t="str">
        <f>IF(SUMPRODUCT(N(E$1:E$8=E6))&gt;1,"重复","不")</f>
        <v>不</v>
      </c>
      <c r="AT6" s="88" t="str">
        <f>IF(SUMPRODUCT(N(AO$1:AO$8=AO6))&gt;1,"重复","不")</f>
        <v>重复</v>
      </c>
    </row>
    <row r="7" spans="1:46" s="10" customFormat="1" ht="18" customHeight="1">
      <c r="A7" s="24">
        <v>4</v>
      </c>
      <c r="B7" s="25" t="s">
        <v>249</v>
      </c>
      <c r="C7" s="25" t="s">
        <v>253</v>
      </c>
      <c r="D7" s="25" t="s">
        <v>192</v>
      </c>
      <c r="E7" s="289" t="s">
        <v>254</v>
      </c>
      <c r="F7" s="26" t="s">
        <v>193</v>
      </c>
      <c r="G7" s="33">
        <v>18607383005</v>
      </c>
      <c r="H7" s="28"/>
      <c r="I7" s="28"/>
      <c r="J7" s="56"/>
      <c r="K7" s="28"/>
      <c r="L7" s="60">
        <v>25000</v>
      </c>
      <c r="M7" s="58">
        <f>320</f>
        <v>320</v>
      </c>
      <c r="N7" s="58">
        <f>80</f>
        <v>80</v>
      </c>
      <c r="O7" s="58">
        <f>12</f>
        <v>12</v>
      </c>
      <c r="P7" s="58">
        <v>200</v>
      </c>
      <c r="Q7" s="74">
        <f>ROUND(SUM(M7:P7),2)</f>
        <v>612</v>
      </c>
      <c r="R7" s="60">
        <v>0</v>
      </c>
      <c r="S7" s="75">
        <f>L7+IFERROR(VLOOKUP($E:$E,'（居民）工资表-11月'!$E:$S,15,0),0)</f>
        <v>93520</v>
      </c>
      <c r="T7" s="76">
        <f>5000+IFERROR(VLOOKUP($E:$E,'（居民）工资表-11月'!$E:$T,16,0),0)</f>
        <v>20000</v>
      </c>
      <c r="U7" s="76">
        <f>Q7+IFERROR(VLOOKUP($E:$E,'（居民）工资表-11月'!$E:$U,17,0),0)</f>
        <v>2448</v>
      </c>
      <c r="V7" s="60"/>
      <c r="W7" s="60"/>
      <c r="X7" s="60"/>
      <c r="Y7" s="60"/>
      <c r="Z7" s="60"/>
      <c r="AA7" s="60"/>
      <c r="AB7" s="75">
        <f>ROUND(SUM(V7:AA7),2)</f>
        <v>0</v>
      </c>
      <c r="AC7" s="75">
        <f>R7+IFERROR(VLOOKUP($E:$E,'（居民）工资表-11月'!$E:$AC,25,0),0)</f>
        <v>0</v>
      </c>
      <c r="AD7" s="77">
        <f>ROUND(S7-T7-U7-AB7-AC7,2)</f>
        <v>71072</v>
      </c>
      <c r="AE7" s="78">
        <f>ROUND(MAX((AD7)*{0.03;0.1;0.2;0.25;0.3;0.35;0.45}-{0;2520;16920;31920;52920;85920;181920},0),2)</f>
        <v>4587.2</v>
      </c>
      <c r="AF7" s="79">
        <f>IFERROR(VLOOKUP(E:E,'（居民）工资表-11月'!E:AF,28,0)+VLOOKUP(E:E,'（居民）工资表-11月'!E:AG,29,0),0)</f>
        <v>2648.4</v>
      </c>
      <c r="AG7" s="79">
        <f>IF((AE7-AF7)&lt;0,0,AE7-AF7)</f>
        <v>1938.7999999999997</v>
      </c>
      <c r="AH7" s="82">
        <f>ROUND(IF((L7-Q7-AG7)&lt;0,0,(L7-Q7-AG7)),2)</f>
        <v>22449.200000000001</v>
      </c>
      <c r="AI7" s="83"/>
      <c r="AJ7" s="82">
        <f>AH7+AI7</f>
        <v>22449.200000000001</v>
      </c>
      <c r="AK7" s="84"/>
      <c r="AL7" s="82">
        <f>AJ7+AG7+AK7</f>
        <v>24388</v>
      </c>
      <c r="AM7" s="84"/>
      <c r="AN7" s="84"/>
      <c r="AO7" s="84"/>
      <c r="AP7" s="84"/>
      <c r="AQ7" s="84"/>
      <c r="AR7" s="88"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8" t="str">
        <f>IF(SUMPRODUCT(N(E$1:E$8=E7))&gt;1,"重复","不")</f>
        <v>不</v>
      </c>
      <c r="AT7" s="88" t="str">
        <f>IF(SUMPRODUCT(N(AO$1:AO$8=AO7))&gt;1,"重复","不")</f>
        <v>重复</v>
      </c>
    </row>
    <row r="8" spans="1:46" s="10" customFormat="1" ht="18" customHeight="1">
      <c r="A8" s="24">
        <v>5</v>
      </c>
      <c r="B8" s="25" t="s">
        <v>249</v>
      </c>
      <c r="C8" s="25" t="s">
        <v>255</v>
      </c>
      <c r="D8" s="25" t="s">
        <v>192</v>
      </c>
      <c r="E8" s="25" t="s">
        <v>256</v>
      </c>
      <c r="F8" s="26" t="s">
        <v>193</v>
      </c>
      <c r="G8" s="33">
        <v>13373825180</v>
      </c>
      <c r="H8" s="28"/>
      <c r="I8" s="28"/>
      <c r="J8" s="56"/>
      <c r="K8" s="28"/>
      <c r="L8" s="60">
        <v>25000</v>
      </c>
      <c r="M8" s="58">
        <v>261.04000000000002</v>
      </c>
      <c r="N8" s="58">
        <v>9.1</v>
      </c>
      <c r="O8" s="58">
        <v>57.18</v>
      </c>
      <c r="P8" s="58">
        <v>85</v>
      </c>
      <c r="Q8" s="74">
        <f>ROUND(SUM(M8:P8),2)</f>
        <v>412.32</v>
      </c>
      <c r="R8" s="60">
        <v>0</v>
      </c>
      <c r="S8" s="75">
        <f>L8+IFERROR(VLOOKUP($E:$E,'（居民）工资表-11月'!$E:$S,15,0),0)</f>
        <v>50000</v>
      </c>
      <c r="T8" s="76">
        <f>5000+IFERROR(VLOOKUP($E:$E,'（居民）工资表-11月'!$E:$T,16,0),0)</f>
        <v>10000</v>
      </c>
      <c r="U8" s="76">
        <f>Q8+IFERROR(VLOOKUP($E:$E,'（居民）工资表-11月'!$E:$U,17,0),0)</f>
        <v>1269.46</v>
      </c>
      <c r="V8" s="60"/>
      <c r="W8" s="60"/>
      <c r="X8" s="60"/>
      <c r="Y8" s="60"/>
      <c r="Z8" s="60"/>
      <c r="AA8" s="60"/>
      <c r="AB8" s="75">
        <f>ROUND(SUM(V8:AA8),2)</f>
        <v>0</v>
      </c>
      <c r="AC8" s="75">
        <f>R8+IFERROR(VLOOKUP($E:$E,'（居民）工资表-11月'!$E:$AC,25,0),0)</f>
        <v>0</v>
      </c>
      <c r="AD8" s="77">
        <f>ROUND(S8-T8-U8-AB8-AC8,2)</f>
        <v>38730.54</v>
      </c>
      <c r="AE8" s="78">
        <f>ROUND(MAX((AD8)*{0.03;0.1;0.2;0.25;0.3;0.35;0.45}-{0;2520;16920;31920;52920;85920;181920},0),2)</f>
        <v>1353.05</v>
      </c>
      <c r="AF8" s="79">
        <f>IFERROR(VLOOKUP(E:E,'（居民）工资表-11月'!E:AF,28,0)+VLOOKUP(E:E,'（居民）工资表-11月'!E:AG,29,0),0)</f>
        <v>574.29</v>
      </c>
      <c r="AG8" s="79">
        <f>IF((AE8-AF8)&lt;0,0,AE8-AF8)</f>
        <v>778.76</v>
      </c>
      <c r="AH8" s="82">
        <f>ROUND(IF((L8-Q8-AG8)&lt;0,0,(L8-Q8-AG8)),2)</f>
        <v>23808.92</v>
      </c>
      <c r="AI8" s="83"/>
      <c r="AJ8" s="82">
        <f>AH8+AI8</f>
        <v>23808.92</v>
      </c>
      <c r="AK8" s="84"/>
      <c r="AL8" s="82">
        <f>AJ8+AG8+AK8</f>
        <v>24587.679999999997</v>
      </c>
      <c r="AM8" s="84"/>
      <c r="AN8" s="84"/>
      <c r="AO8" s="84"/>
      <c r="AP8" s="84"/>
      <c r="AQ8" s="84"/>
      <c r="AR8" s="88"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88" t="str">
        <f>IF(SUMPRODUCT(N(E$1:E$8=E8))&gt;1,"重复","不")</f>
        <v>不</v>
      </c>
      <c r="AT8" s="88" t="str">
        <f>IF(SUMPRODUCT(N(AO$1:AO$8=AO8))&gt;1,"重复","不")</f>
        <v>重复</v>
      </c>
    </row>
    <row r="9" spans="1:46" s="11" customFormat="1" ht="18" customHeight="1">
      <c r="A9" s="34"/>
      <c r="B9" s="35" t="s">
        <v>198</v>
      </c>
      <c r="C9" s="35"/>
      <c r="D9" s="36"/>
      <c r="E9" s="37"/>
      <c r="F9" s="38"/>
      <c r="G9" s="39"/>
      <c r="H9" s="38"/>
      <c r="I9" s="61"/>
      <c r="J9" s="62"/>
      <c r="K9" s="61"/>
      <c r="L9" s="63">
        <f t="shared" ref="L9:AL9" si="0">SUM(L4:L8)</f>
        <v>70700</v>
      </c>
      <c r="M9" s="63">
        <f t="shared" si="0"/>
        <v>1480.89</v>
      </c>
      <c r="N9" s="63">
        <f t="shared" si="0"/>
        <v>288.68</v>
      </c>
      <c r="O9" s="63">
        <f t="shared" si="0"/>
        <v>144.34</v>
      </c>
      <c r="P9" s="63">
        <f t="shared" si="0"/>
        <v>649</v>
      </c>
      <c r="Q9" s="63">
        <f t="shared" si="0"/>
        <v>2562.91</v>
      </c>
      <c r="R9" s="63">
        <f t="shared" si="0"/>
        <v>0</v>
      </c>
      <c r="S9" s="63">
        <f t="shared" si="0"/>
        <v>410440.4</v>
      </c>
      <c r="T9" s="63">
        <f t="shared" si="0"/>
        <v>210000</v>
      </c>
      <c r="U9" s="63">
        <f t="shared" si="0"/>
        <v>21532.559999999998</v>
      </c>
      <c r="V9" s="63">
        <f t="shared" si="0"/>
        <v>0</v>
      </c>
      <c r="W9" s="63">
        <f t="shared" si="0"/>
        <v>0</v>
      </c>
      <c r="X9" s="63">
        <f t="shared" si="0"/>
        <v>12000</v>
      </c>
      <c r="Y9" s="63">
        <f t="shared" si="0"/>
        <v>0</v>
      </c>
      <c r="Z9" s="63">
        <f t="shared" si="0"/>
        <v>0</v>
      </c>
      <c r="AA9" s="63">
        <f t="shared" si="0"/>
        <v>0</v>
      </c>
      <c r="AB9" s="63">
        <f t="shared" si="0"/>
        <v>12000</v>
      </c>
      <c r="AC9" s="63">
        <f t="shared" si="0"/>
        <v>0</v>
      </c>
      <c r="AD9" s="63">
        <f t="shared" si="0"/>
        <v>166907.84</v>
      </c>
      <c r="AE9" s="63">
        <f t="shared" si="0"/>
        <v>7754.67</v>
      </c>
      <c r="AF9" s="63">
        <f t="shared" si="0"/>
        <v>4841</v>
      </c>
      <c r="AG9" s="63">
        <f t="shared" si="0"/>
        <v>2913.67</v>
      </c>
      <c r="AH9" s="63">
        <f t="shared" si="0"/>
        <v>65223.42</v>
      </c>
      <c r="AI9" s="109">
        <f t="shared" si="0"/>
        <v>0</v>
      </c>
      <c r="AJ9" s="63">
        <f t="shared" si="0"/>
        <v>65223.42</v>
      </c>
      <c r="AK9" s="63">
        <f t="shared" si="0"/>
        <v>0</v>
      </c>
      <c r="AL9" s="63">
        <f t="shared" si="0"/>
        <v>68137.09</v>
      </c>
      <c r="AM9" s="85"/>
      <c r="AN9" s="85"/>
      <c r="AO9" s="85"/>
      <c r="AP9" s="85"/>
      <c r="AQ9" s="85"/>
      <c r="AR9" s="38"/>
      <c r="AS9" s="38"/>
      <c r="AT9" s="89"/>
    </row>
    <row r="12" spans="1:46">
      <c r="AD12" s="80"/>
    </row>
    <row r="13" spans="1:46" ht="18.75" customHeight="1">
      <c r="B13" s="40" t="s">
        <v>172</v>
      </c>
      <c r="C13" s="40" t="s">
        <v>199</v>
      </c>
      <c r="D13" s="40" t="s">
        <v>57</v>
      </c>
      <c r="E13" s="40" t="s">
        <v>58</v>
      </c>
      <c r="AD13" s="8"/>
    </row>
    <row r="14" spans="1:46" ht="18.75" customHeight="1">
      <c r="B14" s="41">
        <f>AJ9</f>
        <v>65223.42</v>
      </c>
      <c r="C14" s="41">
        <f>AG9</f>
        <v>2913.67</v>
      </c>
      <c r="D14" s="41">
        <f>AK9</f>
        <v>0</v>
      </c>
      <c r="E14" s="41">
        <f>B14+C14+D14</f>
        <v>68137.09</v>
      </c>
    </row>
    <row r="15" spans="1:46">
      <c r="B15" s="42"/>
      <c r="C15" s="42"/>
      <c r="D15" s="42"/>
      <c r="E15" s="42"/>
    </row>
    <row r="16" spans="1:46" s="12" customFormat="1">
      <c r="A16" s="43" t="s">
        <v>200</v>
      </c>
      <c r="B16" s="44" t="s">
        <v>201</v>
      </c>
      <c r="C16" s="45"/>
      <c r="D16" s="45"/>
      <c r="E16" s="45"/>
      <c r="G16" s="46"/>
      <c r="J16" s="64"/>
      <c r="M16" s="65"/>
      <c r="AI16" s="86"/>
    </row>
    <row r="17" spans="1:35" s="12" customFormat="1">
      <c r="A17" s="47"/>
      <c r="B17" s="48" t="s">
        <v>202</v>
      </c>
      <c r="C17" s="45"/>
      <c r="D17" s="45"/>
      <c r="E17" s="45"/>
      <c r="G17" s="46"/>
      <c r="J17" s="64"/>
      <c r="M17" s="65"/>
      <c r="AI17" s="86"/>
    </row>
    <row r="18" spans="1:35" s="12" customFormat="1">
      <c r="A18" s="44"/>
      <c r="B18" s="48" t="s">
        <v>203</v>
      </c>
      <c r="C18" s="49"/>
      <c r="D18" s="49"/>
      <c r="E18" s="49"/>
      <c r="F18" s="49"/>
      <c r="G18" s="49"/>
      <c r="H18" s="49"/>
      <c r="I18" s="49"/>
      <c r="J18" s="66"/>
      <c r="K18" s="49"/>
      <c r="L18" s="49"/>
      <c r="M18" s="67"/>
      <c r="N18" s="49"/>
      <c r="O18" s="49"/>
      <c r="P18" s="49"/>
      <c r="AI18" s="86"/>
    </row>
    <row r="19" spans="1:35" s="12" customFormat="1" ht="13.5" customHeight="1">
      <c r="A19" s="48"/>
      <c r="B19" s="48" t="s">
        <v>204</v>
      </c>
      <c r="C19" s="50"/>
      <c r="D19" s="50"/>
      <c r="E19" s="50"/>
      <c r="F19" s="50"/>
      <c r="G19" s="50"/>
      <c r="H19" s="50"/>
      <c r="I19" s="68"/>
      <c r="J19" s="69"/>
      <c r="K19" s="68"/>
      <c r="L19" s="68"/>
      <c r="M19" s="70"/>
      <c r="N19" s="68"/>
      <c r="O19" s="68"/>
      <c r="P19" s="68"/>
      <c r="AI19" s="86"/>
    </row>
    <row r="20" spans="1:35" s="12" customFormat="1" ht="13.5" customHeight="1">
      <c r="A20" s="48"/>
      <c r="B20" s="48" t="s">
        <v>205</v>
      </c>
      <c r="C20" s="50"/>
      <c r="D20" s="50"/>
      <c r="E20" s="50"/>
      <c r="F20" s="50"/>
      <c r="G20" s="50"/>
      <c r="H20" s="50"/>
      <c r="I20" s="50"/>
      <c r="J20" s="71"/>
      <c r="K20" s="50"/>
      <c r="L20" s="68"/>
      <c r="M20" s="70"/>
      <c r="N20" s="68"/>
      <c r="O20" s="68"/>
      <c r="P20" s="68"/>
      <c r="AI20" s="86"/>
    </row>
    <row r="21" spans="1:35" s="12" customFormat="1" ht="13.5" customHeight="1">
      <c r="A21" s="48"/>
      <c r="B21" s="48" t="s">
        <v>206</v>
      </c>
      <c r="C21" s="50"/>
      <c r="D21" s="50"/>
      <c r="E21" s="50"/>
      <c r="F21" s="50"/>
      <c r="G21" s="50"/>
      <c r="H21" s="50"/>
      <c r="I21" s="68"/>
      <c r="J21" s="69"/>
      <c r="K21" s="68"/>
      <c r="L21" s="68"/>
      <c r="M21" s="70"/>
      <c r="N21" s="68"/>
      <c r="O21" s="68"/>
      <c r="P21" s="68"/>
      <c r="AI21" s="86"/>
    </row>
    <row r="23" spans="1:35" ht="11.25" customHeight="1">
      <c r="B23" s="51" t="s">
        <v>207</v>
      </c>
    </row>
    <row r="24" spans="1:35">
      <c r="B24" s="52" t="s">
        <v>208</v>
      </c>
    </row>
    <row r="25" spans="1:35">
      <c r="B25" s="52" t="s">
        <v>209</v>
      </c>
    </row>
  </sheetData>
  <autoFilter ref="A3:AT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8" type="noConversion"/>
  <conditionalFormatting sqref="B21">
    <cfRule type="duplicateValues" dxfId="34" priority="2" stopIfTrue="1"/>
  </conditionalFormatting>
  <conditionalFormatting sqref="B16:B20">
    <cfRule type="duplicateValues" dxfId="33" priority="3" stopIfTrue="1"/>
  </conditionalFormatting>
  <conditionalFormatting sqref="B24:B25">
    <cfRule type="duplicateValues" dxfId="32" priority="1" stopIfTrue="1"/>
  </conditionalFormatting>
  <conditionalFormatting sqref="C13:C15">
    <cfRule type="duplicateValues" dxfId="31" priority="4" stopIfTrue="1"/>
    <cfRule type="expression" dxfId="30" priority="5" stopIfTrue="1">
      <formula>AND(COUNTIF($B$9:$B$65445,C13)+COUNTIF($B$1:$B$3,C13)&gt;1,NOT(ISBLANK(C13)))</formula>
    </cfRule>
    <cfRule type="expression" dxfId="29" priority="6" stopIfTrue="1">
      <formula>AND(COUNTIF($B$20:$B$65396,C13)+COUNTIF($B$1:$B$19,C13)&gt;1,NOT(ISBLANK(C13)))</formula>
    </cfRule>
    <cfRule type="expression" dxfId="28" priority="7" stopIfTrue="1">
      <formula>AND(COUNTIF($B$9:$B$65434,C13)+COUNTIF($B$1:$B$3,C13)&gt;1,NOT(ISBLANK(C13)))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T29"/>
  <sheetViews>
    <sheetView workbookViewId="0">
      <pane xSplit="6" ySplit="3" topLeftCell="AD4" activePane="bottomRight" state="frozen"/>
      <selection pane="topRight"/>
      <selection pane="bottomLeft"/>
      <selection pane="bottomRight" activeCell="AH9" sqref="AH9"/>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5" style="13" customWidth="1" outlineLevel="1"/>
    <col min="14" max="15" width="9" style="13" customWidth="1" outlineLevel="1"/>
    <col min="16" max="16" width="11.125" style="13" customWidth="1" outlineLevel="1"/>
    <col min="17" max="17" width="9.75" style="13" customWidth="1"/>
    <col min="18" max="18" width="9.5" style="13" customWidth="1"/>
    <col min="19" max="19" width="11.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144</v>
      </c>
      <c r="B1" s="19"/>
      <c r="C1" s="20"/>
      <c r="D1" s="21"/>
      <c r="E1" s="22"/>
      <c r="F1" s="22"/>
      <c r="G1" s="23"/>
      <c r="J1" s="53"/>
      <c r="L1" s="54"/>
      <c r="M1" s="352" t="s">
        <v>145</v>
      </c>
      <c r="N1" s="352"/>
      <c r="O1" s="352"/>
      <c r="P1" s="352"/>
      <c r="Q1" s="72"/>
      <c r="R1" s="72"/>
      <c r="S1" s="72"/>
      <c r="T1" s="72"/>
      <c r="U1" s="72">
        <f>U4/2</f>
        <v>519.9</v>
      </c>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59" t="s">
        <v>18</v>
      </c>
      <c r="B2" s="361" t="s">
        <v>146</v>
      </c>
      <c r="C2" s="363" t="s">
        <v>147</v>
      </c>
      <c r="D2" s="363" t="s">
        <v>148</v>
      </c>
      <c r="E2" s="365" t="s">
        <v>149</v>
      </c>
      <c r="F2" s="367" t="s">
        <v>150</v>
      </c>
      <c r="G2" s="365" t="s">
        <v>151</v>
      </c>
      <c r="H2" s="365" t="s">
        <v>152</v>
      </c>
      <c r="I2" s="365" t="s">
        <v>153</v>
      </c>
      <c r="J2" s="369" t="s">
        <v>154</v>
      </c>
      <c r="K2" s="365" t="s">
        <v>155</v>
      </c>
      <c r="L2" s="365" t="s">
        <v>156</v>
      </c>
      <c r="M2" s="353" t="s">
        <v>157</v>
      </c>
      <c r="N2" s="354"/>
      <c r="O2" s="354"/>
      <c r="P2" s="355"/>
      <c r="Q2" s="367" t="s">
        <v>158</v>
      </c>
      <c r="R2" s="365" t="s">
        <v>159</v>
      </c>
      <c r="S2" s="367" t="s">
        <v>160</v>
      </c>
      <c r="T2" s="371" t="s">
        <v>161</v>
      </c>
      <c r="U2" s="367" t="s">
        <v>162</v>
      </c>
      <c r="V2" s="356" t="s">
        <v>163</v>
      </c>
      <c r="W2" s="357"/>
      <c r="X2" s="357"/>
      <c r="Y2" s="357"/>
      <c r="Z2" s="357"/>
      <c r="AA2" s="358"/>
      <c r="AB2" s="367" t="s">
        <v>164</v>
      </c>
      <c r="AC2" s="367" t="s">
        <v>165</v>
      </c>
      <c r="AD2" s="371" t="s">
        <v>166</v>
      </c>
      <c r="AE2" s="371" t="s">
        <v>167</v>
      </c>
      <c r="AF2" s="371" t="s">
        <v>168</v>
      </c>
      <c r="AG2" s="371" t="s">
        <v>169</v>
      </c>
      <c r="AH2" s="373" t="s">
        <v>170</v>
      </c>
      <c r="AI2" s="375" t="s">
        <v>171</v>
      </c>
      <c r="AJ2" s="373" t="s">
        <v>172</v>
      </c>
      <c r="AK2" s="363" t="s">
        <v>57</v>
      </c>
      <c r="AL2" s="373" t="s">
        <v>173</v>
      </c>
      <c r="AM2" s="365" t="s">
        <v>174</v>
      </c>
      <c r="AN2" s="365" t="s">
        <v>175</v>
      </c>
      <c r="AO2" s="377" t="s">
        <v>176</v>
      </c>
      <c r="AP2" s="365" t="s">
        <v>177</v>
      </c>
      <c r="AQ2" s="365" t="s">
        <v>178</v>
      </c>
      <c r="AR2" s="367" t="s">
        <v>179</v>
      </c>
      <c r="AS2" s="367" t="s">
        <v>180</v>
      </c>
      <c r="AT2" s="367" t="s">
        <v>181</v>
      </c>
    </row>
    <row r="3" spans="1:46" s="9" customFormat="1" ht="27" customHeight="1">
      <c r="A3" s="360"/>
      <c r="B3" s="362"/>
      <c r="C3" s="364"/>
      <c r="D3" s="364"/>
      <c r="E3" s="366"/>
      <c r="F3" s="368"/>
      <c r="G3" s="366"/>
      <c r="H3" s="366"/>
      <c r="I3" s="366"/>
      <c r="J3" s="370"/>
      <c r="K3" s="366"/>
      <c r="L3" s="366"/>
      <c r="M3" s="55" t="s">
        <v>182</v>
      </c>
      <c r="N3" s="55" t="s">
        <v>183</v>
      </c>
      <c r="O3" s="55" t="s">
        <v>184</v>
      </c>
      <c r="P3" s="55" t="s">
        <v>70</v>
      </c>
      <c r="Q3" s="368"/>
      <c r="R3" s="366"/>
      <c r="S3" s="368"/>
      <c r="T3" s="372"/>
      <c r="U3" s="368"/>
      <c r="V3" s="73" t="s">
        <v>185</v>
      </c>
      <c r="W3" s="73" t="s">
        <v>186</v>
      </c>
      <c r="X3" s="73" t="s">
        <v>187</v>
      </c>
      <c r="Y3" s="73" t="s">
        <v>188</v>
      </c>
      <c r="Z3" s="73" t="s">
        <v>189</v>
      </c>
      <c r="AA3" s="73" t="s">
        <v>190</v>
      </c>
      <c r="AB3" s="368"/>
      <c r="AC3" s="368"/>
      <c r="AD3" s="372"/>
      <c r="AE3" s="372"/>
      <c r="AF3" s="372"/>
      <c r="AG3" s="372"/>
      <c r="AH3" s="374"/>
      <c r="AI3" s="376"/>
      <c r="AJ3" s="374"/>
      <c r="AK3" s="364"/>
      <c r="AL3" s="374"/>
      <c r="AM3" s="366"/>
      <c r="AN3" s="366"/>
      <c r="AO3" s="378"/>
      <c r="AP3" s="366"/>
      <c r="AQ3" s="366"/>
      <c r="AR3" s="368"/>
      <c r="AS3" s="368"/>
      <c r="AT3" s="368"/>
    </row>
    <row r="4" spans="1:46" s="10" customFormat="1" ht="18" customHeight="1">
      <c r="A4" s="24">
        <v>1</v>
      </c>
      <c r="B4" s="25" t="s">
        <v>191</v>
      </c>
      <c r="C4" s="25" t="s">
        <v>75</v>
      </c>
      <c r="D4" s="25" t="s">
        <v>192</v>
      </c>
      <c r="E4" s="25" t="s">
        <v>76</v>
      </c>
      <c r="F4" s="26" t="s">
        <v>193</v>
      </c>
      <c r="G4" s="33">
        <v>18035163638</v>
      </c>
      <c r="H4" s="28"/>
      <c r="I4" s="28"/>
      <c r="J4" s="56"/>
      <c r="K4" s="28"/>
      <c r="L4" s="60">
        <v>8490</v>
      </c>
      <c r="M4" s="58">
        <v>264</v>
      </c>
      <c r="N4" s="58">
        <v>66</v>
      </c>
      <c r="O4" s="58">
        <v>9.9</v>
      </c>
      <c r="P4" s="58">
        <v>180</v>
      </c>
      <c r="Q4" s="74">
        <f t="shared" ref="Q4:Q12" si="0">ROUND(SUM(M4:P4),2)</f>
        <v>519.9</v>
      </c>
      <c r="R4" s="60">
        <v>0</v>
      </c>
      <c r="S4" s="75">
        <f>L4+IFERROR(VLOOKUP($E:$E,'（居民）工资表-1月'!$E:$S,15,0),0)</f>
        <v>17770</v>
      </c>
      <c r="T4" s="76">
        <f>5000+IFERROR(VLOOKUP($E:$E,'（居民）工资表-1月'!$E:$T,16,0),0)</f>
        <v>10000</v>
      </c>
      <c r="U4" s="76">
        <f>Q4+IFERROR(VLOOKUP($E:$E,'（居民）工资表-1月'!$E:$U,17,0),0)</f>
        <v>1039.8</v>
      </c>
      <c r="V4" s="108">
        <v>2000</v>
      </c>
      <c r="W4" s="108"/>
      <c r="X4" s="108">
        <v>2000</v>
      </c>
      <c r="Y4" s="108"/>
      <c r="Z4" s="108"/>
      <c r="AA4" s="108"/>
      <c r="AB4" s="75">
        <f>ROUND(SUM(V4:AA4),2)</f>
        <v>4000</v>
      </c>
      <c r="AC4" s="75">
        <f>R4+IFERROR(VLOOKUP($E:$E,'（居民）工资表-1月'!$E:$AC,25,0),0)</f>
        <v>0</v>
      </c>
      <c r="AD4" s="77">
        <f t="shared" ref="AD4:AD12" si="1">ROUND(S4-T4-U4-AB4-AC4,2)</f>
        <v>2730.2</v>
      </c>
      <c r="AE4" s="78">
        <f>ROUND(MAX((AD4)*{0.03;0.1;0.2;0.25;0.3;0.35;0.45}-{0;2520;16920;31920;52920;85920;181920},0),2)</f>
        <v>81.91</v>
      </c>
      <c r="AF4" s="79">
        <f>IFERROR(VLOOKUP(E:E,'（居民）工资表-1月'!E:AF,28,0)+VLOOKUP(E:E,'（居民）工资表-1月'!E:AG,29,0),0)</f>
        <v>52.8</v>
      </c>
      <c r="AG4" s="79">
        <f t="shared" ref="AG4:AG12" si="2">IF((AE4-AF4)&lt;0,0,AE4-AF4)</f>
        <v>29.11</v>
      </c>
      <c r="AH4" s="82">
        <f t="shared" ref="AH4:AH12" si="3">ROUND(IF((L4-Q4-AG4)&lt;0,0,(L4-Q4-AG4)),2)</f>
        <v>7940.99</v>
      </c>
      <c r="AI4" s="83"/>
      <c r="AJ4" s="82">
        <f t="shared" ref="AJ4:AJ12" si="4">AH4+AI4</f>
        <v>7940.99</v>
      </c>
      <c r="AK4" s="84"/>
      <c r="AL4" s="82">
        <f t="shared" ref="AL4:AL12" si="5">AJ4+AG4+AK4</f>
        <v>7970.1</v>
      </c>
      <c r="AM4" s="84"/>
      <c r="AN4" s="84"/>
      <c r="AO4" s="84"/>
      <c r="AP4" s="84"/>
      <c r="AQ4" s="84"/>
      <c r="AR4" s="88" t="str">
        <f t="shared" ref="AR4:AR12" si="6">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 t="shared" ref="AS4:AS12" si="7">IF(SUMPRODUCT(N(E$1:E$8=E4))&gt;1,"重复","不")</f>
        <v>不</v>
      </c>
      <c r="AT4" s="88" t="str">
        <f t="shared" ref="AT4:AT12" si="8">IF(SUMPRODUCT(N(AO$1:AO$8=AO4))&gt;1,"重复","不")</f>
        <v>重复</v>
      </c>
    </row>
    <row r="5" spans="1:46" s="10" customFormat="1" ht="18" customHeight="1">
      <c r="A5" s="24">
        <v>2</v>
      </c>
      <c r="B5" s="25" t="s">
        <v>191</v>
      </c>
      <c r="C5" s="25" t="s">
        <v>93</v>
      </c>
      <c r="D5" s="25" t="s">
        <v>192</v>
      </c>
      <c r="E5" s="25" t="s">
        <v>94</v>
      </c>
      <c r="F5" s="26" t="s">
        <v>193</v>
      </c>
      <c r="G5" s="33">
        <v>13944441728</v>
      </c>
      <c r="H5" s="28"/>
      <c r="I5" s="28"/>
      <c r="J5" s="56"/>
      <c r="K5" s="28"/>
      <c r="L5" s="60">
        <v>7000</v>
      </c>
      <c r="M5" s="58">
        <v>268.81</v>
      </c>
      <c r="N5" s="58">
        <v>61.06</v>
      </c>
      <c r="O5" s="58">
        <v>10.08</v>
      </c>
      <c r="P5" s="58">
        <v>79</v>
      </c>
      <c r="Q5" s="74">
        <f t="shared" si="0"/>
        <v>418.95</v>
      </c>
      <c r="R5" s="60">
        <v>0</v>
      </c>
      <c r="S5" s="75">
        <f>L5+IFERROR(VLOOKUP($E:$E,'（居民）工资表-1月'!$E:$S,15,0),0)</f>
        <v>14000</v>
      </c>
      <c r="T5" s="76">
        <f>5000+IFERROR(VLOOKUP($E:$E,'（居民）工资表-1月'!$E:$T,16,0),0)</f>
        <v>10000</v>
      </c>
      <c r="U5" s="76">
        <f>Q5+IFERROR(VLOOKUP($E:$E,'（居民）工资表-1月'!$E:$U,17,0),0)</f>
        <v>837.9</v>
      </c>
      <c r="V5" s="108"/>
      <c r="W5" s="108"/>
      <c r="X5" s="108">
        <v>2000</v>
      </c>
      <c r="Y5" s="108"/>
      <c r="Z5" s="108"/>
      <c r="AA5" s="108"/>
      <c r="AB5" s="75">
        <f t="shared" ref="AB5:AB12" si="9">ROUND(SUM(V5:AA5),2)</f>
        <v>2000</v>
      </c>
      <c r="AC5" s="75">
        <f>R5+IFERROR(VLOOKUP($E:$E,'（居民）工资表-1月'!$E:$AC,25,0),0)</f>
        <v>0</v>
      </c>
      <c r="AD5" s="77">
        <f t="shared" si="1"/>
        <v>1162.0999999999999</v>
      </c>
      <c r="AE5" s="78">
        <f>ROUND(MAX((AD5)*{0.03;0.1;0.2;0.25;0.3;0.35;0.45}-{0;2520;16920;31920;52920;85920;181920},0),2)</f>
        <v>34.86</v>
      </c>
      <c r="AF5" s="79">
        <f>IFERROR(VLOOKUP(E:E,'（居民）工资表-1月'!E:AF,28,0)+VLOOKUP(E:E,'（居民）工资表-1月'!E:AG,29,0),0)</f>
        <v>17.43</v>
      </c>
      <c r="AG5" s="79">
        <f t="shared" si="2"/>
        <v>17.43</v>
      </c>
      <c r="AH5" s="82">
        <f t="shared" si="3"/>
        <v>6563.62</v>
      </c>
      <c r="AI5" s="83"/>
      <c r="AJ5" s="82">
        <f t="shared" si="4"/>
        <v>6563.62</v>
      </c>
      <c r="AK5" s="84"/>
      <c r="AL5" s="82">
        <f t="shared" si="5"/>
        <v>6581.05</v>
      </c>
      <c r="AM5" s="84"/>
      <c r="AN5" s="84"/>
      <c r="AO5" s="84"/>
      <c r="AP5" s="84"/>
      <c r="AQ5" s="84"/>
      <c r="AR5" s="88" t="str">
        <f t="shared" si="6"/>
        <v>正确</v>
      </c>
      <c r="AS5" s="88" t="str">
        <f t="shared" si="7"/>
        <v>不</v>
      </c>
      <c r="AT5" s="88" t="str">
        <f t="shared" si="8"/>
        <v>重复</v>
      </c>
    </row>
    <row r="6" spans="1:46" s="10" customFormat="1" ht="18" customHeight="1">
      <c r="A6" s="24">
        <v>3</v>
      </c>
      <c r="B6" s="25" t="s">
        <v>191</v>
      </c>
      <c r="C6" s="25" t="s">
        <v>107</v>
      </c>
      <c r="D6" s="25" t="s">
        <v>192</v>
      </c>
      <c r="E6" s="289" t="s">
        <v>108</v>
      </c>
      <c r="F6" s="26" t="str">
        <f>IF(MOD(MID(E6,17,1),2)=1,"男","女")</f>
        <v>女</v>
      </c>
      <c r="G6" s="33">
        <v>15360550807</v>
      </c>
      <c r="H6" s="28"/>
      <c r="I6" s="28"/>
      <c r="J6" s="56"/>
      <c r="K6" s="28"/>
      <c r="L6" s="60">
        <v>5700</v>
      </c>
      <c r="M6" s="58">
        <v>367.04</v>
      </c>
      <c r="N6" s="58">
        <v>176.06</v>
      </c>
      <c r="O6" s="58">
        <v>5</v>
      </c>
      <c r="P6" s="58">
        <v>155.91999999999999</v>
      </c>
      <c r="Q6" s="74">
        <f t="shared" si="0"/>
        <v>704.02</v>
      </c>
      <c r="R6" s="60">
        <v>0</v>
      </c>
      <c r="S6" s="75">
        <f>L6+IFERROR(VLOOKUP($E:$E,'（居民）工资表-1月'!$E:$S,15,0),0)</f>
        <v>11400</v>
      </c>
      <c r="T6" s="76">
        <f>5000+IFERROR(VLOOKUP($E:$E,'（居民）工资表-1月'!$E:$T,16,0),0)</f>
        <v>10000</v>
      </c>
      <c r="U6" s="76">
        <f>Q6+IFERROR(VLOOKUP($E:$E,'（居民）工资表-1月'!$E:$U,17,0),0)</f>
        <v>1303.76</v>
      </c>
      <c r="V6" s="108"/>
      <c r="W6" s="108"/>
      <c r="X6" s="108"/>
      <c r="Y6" s="108">
        <v>3000</v>
      </c>
      <c r="Z6" s="108"/>
      <c r="AA6" s="108"/>
      <c r="AB6" s="75">
        <f t="shared" si="9"/>
        <v>3000</v>
      </c>
      <c r="AC6" s="75">
        <f>R6+IFERROR(VLOOKUP($E:$E,'（居民）工资表-1月'!$E:$AC,25,0),0)</f>
        <v>0</v>
      </c>
      <c r="AD6" s="77">
        <f t="shared" si="1"/>
        <v>-2903.76</v>
      </c>
      <c r="AE6" s="78">
        <f>ROUND(MAX((AD6)*{0.03;0.1;0.2;0.25;0.3;0.35;0.45}-{0;2520;16920;31920;52920;85920;181920},0),2)</f>
        <v>0</v>
      </c>
      <c r="AF6" s="79">
        <f>IFERROR(VLOOKUP(E:E,'（居民）工资表-1月'!E:AF,28,0)+VLOOKUP(E:E,'（居民）工资表-1月'!E:AG,29,0),0)</f>
        <v>0</v>
      </c>
      <c r="AG6" s="79">
        <f t="shared" si="2"/>
        <v>0</v>
      </c>
      <c r="AH6" s="82">
        <f t="shared" si="3"/>
        <v>4995.9799999999996</v>
      </c>
      <c r="AI6" s="83"/>
      <c r="AJ6" s="82">
        <f t="shared" si="4"/>
        <v>4995.9799999999996</v>
      </c>
      <c r="AK6" s="84"/>
      <c r="AL6" s="82">
        <f t="shared" si="5"/>
        <v>4995.9799999999996</v>
      </c>
      <c r="AM6" s="84"/>
      <c r="AN6" s="84"/>
      <c r="AO6" s="84"/>
      <c r="AP6" s="84"/>
      <c r="AQ6" s="84"/>
      <c r="AR6" s="88" t="str">
        <f t="shared" si="6"/>
        <v>正确</v>
      </c>
      <c r="AS6" s="88" t="str">
        <f t="shared" si="7"/>
        <v>不</v>
      </c>
      <c r="AT6" s="88" t="str">
        <f t="shared" si="8"/>
        <v>重复</v>
      </c>
    </row>
    <row r="7" spans="1:46" s="10" customFormat="1" ht="18" customHeight="1">
      <c r="A7" s="24">
        <v>4</v>
      </c>
      <c r="B7" s="25" t="s">
        <v>191</v>
      </c>
      <c r="C7" s="25" t="s">
        <v>253</v>
      </c>
      <c r="D7" s="25" t="s">
        <v>192</v>
      </c>
      <c r="E7" s="289" t="s">
        <v>254</v>
      </c>
      <c r="F7" s="26" t="s">
        <v>193</v>
      </c>
      <c r="G7" s="33">
        <v>18607383005</v>
      </c>
      <c r="H7" s="28"/>
      <c r="I7" s="28"/>
      <c r="J7" s="56"/>
      <c r="K7" s="28"/>
      <c r="L7" s="60">
        <v>29000</v>
      </c>
      <c r="M7" s="58">
        <v>320</v>
      </c>
      <c r="N7" s="58">
        <v>210</v>
      </c>
      <c r="O7" s="58">
        <v>12</v>
      </c>
      <c r="P7" s="58">
        <v>330</v>
      </c>
      <c r="Q7" s="74">
        <f t="shared" si="0"/>
        <v>872</v>
      </c>
      <c r="R7" s="60">
        <v>0</v>
      </c>
      <c r="S7" s="75">
        <f>L7+IFERROR(VLOOKUP($E:$E,'（居民）工资表-1月'!$E:$S,15,0),0)</f>
        <v>60000</v>
      </c>
      <c r="T7" s="76">
        <f>5000+IFERROR(VLOOKUP($E:$E,'（居民）工资表-1月'!$E:$T,16,0),0)</f>
        <v>10000</v>
      </c>
      <c r="U7" s="76">
        <f>Q7+IFERROR(VLOOKUP($E:$E,'（居民）工资表-1月'!$E:$U,17,0),0)</f>
        <v>1484</v>
      </c>
      <c r="V7" s="108">
        <v>4000</v>
      </c>
      <c r="W7" s="108">
        <v>2000</v>
      </c>
      <c r="X7" s="108"/>
      <c r="Y7" s="108"/>
      <c r="Z7" s="108"/>
      <c r="AA7" s="108"/>
      <c r="AB7" s="75">
        <f t="shared" si="9"/>
        <v>6000</v>
      </c>
      <c r="AC7" s="75">
        <f>R7+IFERROR(VLOOKUP($E:$E,'（居民）工资表-1月'!$E:$AC,25,0),0)</f>
        <v>0</v>
      </c>
      <c r="AD7" s="77">
        <f t="shared" si="1"/>
        <v>42516</v>
      </c>
      <c r="AE7" s="78">
        <f>ROUND(MAX((AD7)*{0.03;0.1;0.2;0.25;0.3;0.35;0.45}-{0;2520;16920;31920;52920;85920;181920},0),2)</f>
        <v>1731.6</v>
      </c>
      <c r="AF7" s="79">
        <f>IFERROR(VLOOKUP(E:E,'（居民）工资表-1月'!E:AF,28,0)+VLOOKUP(E:E,'（居民）工资表-1月'!E:AG,29,0),0)</f>
        <v>671.64</v>
      </c>
      <c r="AG7" s="79">
        <f t="shared" si="2"/>
        <v>1059.96</v>
      </c>
      <c r="AH7" s="82">
        <f t="shared" si="3"/>
        <v>27068.04</v>
      </c>
      <c r="AI7" s="83"/>
      <c r="AJ7" s="82">
        <f t="shared" si="4"/>
        <v>27068.04</v>
      </c>
      <c r="AK7" s="84"/>
      <c r="AL7" s="82">
        <f t="shared" si="5"/>
        <v>28128</v>
      </c>
      <c r="AM7" s="84"/>
      <c r="AN7" s="84"/>
      <c r="AO7" s="84"/>
      <c r="AP7" s="84"/>
      <c r="AQ7" s="84"/>
      <c r="AR7" s="88" t="str">
        <f t="shared" si="6"/>
        <v>正确</v>
      </c>
      <c r="AS7" s="88" t="str">
        <f t="shared" si="7"/>
        <v>不</v>
      </c>
      <c r="AT7" s="88" t="str">
        <f t="shared" si="8"/>
        <v>重复</v>
      </c>
    </row>
    <row r="8" spans="1:46" s="10" customFormat="1" ht="18" customHeight="1">
      <c r="A8" s="24">
        <v>5</v>
      </c>
      <c r="B8" s="25" t="s">
        <v>191</v>
      </c>
      <c r="C8" s="25" t="s">
        <v>255</v>
      </c>
      <c r="D8" s="25" t="s">
        <v>192</v>
      </c>
      <c r="E8" s="25" t="s">
        <v>256</v>
      </c>
      <c r="F8" s="26" t="s">
        <v>193</v>
      </c>
      <c r="G8" s="33">
        <v>13373825180</v>
      </c>
      <c r="H8" s="28"/>
      <c r="I8" s="28"/>
      <c r="J8" s="56"/>
      <c r="K8" s="28"/>
      <c r="L8" s="60">
        <v>30739</v>
      </c>
      <c r="M8" s="58">
        <v>266.24</v>
      </c>
      <c r="N8" s="58">
        <v>228.02</v>
      </c>
      <c r="O8" s="58">
        <v>12.75</v>
      </c>
      <c r="P8" s="58">
        <v>247.5</v>
      </c>
      <c r="Q8" s="74">
        <f t="shared" si="0"/>
        <v>754.51</v>
      </c>
      <c r="R8" s="60">
        <v>0</v>
      </c>
      <c r="S8" s="75">
        <f>L8+IFERROR(VLOOKUP($E:$E,'（居民）工资表-1月'!$E:$S,15,0),0)</f>
        <v>57478</v>
      </c>
      <c r="T8" s="76">
        <f>5000+IFERROR(VLOOKUP($E:$E,'（居民）工资表-1月'!$E:$T,16,0),0)</f>
        <v>10000</v>
      </c>
      <c r="U8" s="76">
        <f>Q8+IFERROR(VLOOKUP($E:$E,'（居民）工资表-1月'!$E:$U,17,0),0)</f>
        <v>1166.83</v>
      </c>
      <c r="V8" s="108">
        <v>2000</v>
      </c>
      <c r="W8" s="108">
        <v>2000</v>
      </c>
      <c r="X8" s="108">
        <v>2000</v>
      </c>
      <c r="Y8" s="108"/>
      <c r="Z8" s="108"/>
      <c r="AA8" s="108"/>
      <c r="AB8" s="75">
        <f t="shared" si="9"/>
        <v>6000</v>
      </c>
      <c r="AC8" s="75">
        <f>R8+IFERROR(VLOOKUP($E:$E,'（居民）工资表-1月'!$E:$AC,25,0),0)</f>
        <v>0</v>
      </c>
      <c r="AD8" s="77">
        <f t="shared" si="1"/>
        <v>40311.17</v>
      </c>
      <c r="AE8" s="78">
        <f>ROUND(MAX((AD8)*{0.03;0.1;0.2;0.25;0.3;0.35;0.45}-{0;2520;16920;31920;52920;85920;181920},0),2)</f>
        <v>1511.12</v>
      </c>
      <c r="AF8" s="79">
        <f>IFERROR(VLOOKUP(E:E,'（居民）工资表-1月'!E:AF,28,0)+VLOOKUP(E:E,'（居民）工资表-1月'!E:AG,29,0),0)</f>
        <v>549.79999999999995</v>
      </c>
      <c r="AG8" s="79">
        <f t="shared" si="2"/>
        <v>961.32</v>
      </c>
      <c r="AH8" s="82">
        <f t="shared" si="3"/>
        <v>29023.17</v>
      </c>
      <c r="AI8" s="83"/>
      <c r="AJ8" s="82">
        <f t="shared" si="4"/>
        <v>29023.17</v>
      </c>
      <c r="AK8" s="84"/>
      <c r="AL8" s="82">
        <f t="shared" si="5"/>
        <v>29984.49</v>
      </c>
      <c r="AM8" s="84"/>
      <c r="AN8" s="84"/>
      <c r="AO8" s="84"/>
      <c r="AP8" s="84"/>
      <c r="AQ8" s="84"/>
      <c r="AR8" s="88" t="str">
        <f t="shared" si="6"/>
        <v>正确</v>
      </c>
      <c r="AS8" s="88" t="str">
        <f t="shared" si="7"/>
        <v>不</v>
      </c>
      <c r="AT8" s="88" t="str">
        <f t="shared" si="8"/>
        <v>重复</v>
      </c>
    </row>
    <row r="9" spans="1:46" s="10" customFormat="1" ht="18" customHeight="1">
      <c r="A9" s="24">
        <v>6</v>
      </c>
      <c r="B9" s="25" t="s">
        <v>191</v>
      </c>
      <c r="C9" s="25" t="s">
        <v>118</v>
      </c>
      <c r="D9" s="25" t="s">
        <v>192</v>
      </c>
      <c r="E9" s="25" t="s">
        <v>119</v>
      </c>
      <c r="F9" s="26" t="s">
        <v>193</v>
      </c>
      <c r="G9" s="33">
        <v>18037463616</v>
      </c>
      <c r="H9" s="28"/>
      <c r="I9" s="28"/>
      <c r="J9" s="56"/>
      <c r="K9" s="28"/>
      <c r="L9" s="60">
        <v>14200</v>
      </c>
      <c r="M9" s="58">
        <v>508.64</v>
      </c>
      <c r="N9" s="58">
        <v>127.16</v>
      </c>
      <c r="O9" s="58">
        <v>19.079999999999998</v>
      </c>
      <c r="P9" s="58">
        <v>215.58</v>
      </c>
      <c r="Q9" s="74">
        <f t="shared" si="0"/>
        <v>870.46</v>
      </c>
      <c r="R9" s="60">
        <v>0</v>
      </c>
      <c r="S9" s="75">
        <f>L9+IFERROR(VLOOKUP($E:$E,'（居民）工资表-1月'!$E:$S,15,0),0)</f>
        <v>14200</v>
      </c>
      <c r="T9" s="76">
        <f>5000+IFERROR(VLOOKUP($E:$E,'（居民）工资表-1月'!$E:$T,16,0),0)</f>
        <v>5000</v>
      </c>
      <c r="U9" s="76">
        <f>Q9+IFERROR(VLOOKUP($E:$E,'（居民）工资表-1月'!$E:$U,17,0),0)</f>
        <v>870.46</v>
      </c>
      <c r="V9" s="108"/>
      <c r="W9" s="108"/>
      <c r="X9" s="108"/>
      <c r="Y9" s="108"/>
      <c r="Z9" s="108"/>
      <c r="AA9" s="108"/>
      <c r="AB9" s="75">
        <f t="shared" si="9"/>
        <v>0</v>
      </c>
      <c r="AC9" s="75">
        <f>R9+IFERROR(VLOOKUP($E:$E,'（居民）工资表-1月'!$E:$AC,25,0),0)</f>
        <v>0</v>
      </c>
      <c r="AD9" s="77">
        <f t="shared" si="1"/>
        <v>8329.5400000000009</v>
      </c>
      <c r="AE9" s="78">
        <f>ROUND(MAX((AD9)*{0.03;0.1;0.2;0.25;0.3;0.35;0.45}-{0;2520;16920;31920;52920;85920;181920},0),2)</f>
        <v>249.89</v>
      </c>
      <c r="AF9" s="79">
        <f>IFERROR(VLOOKUP(E:E,'（居民）工资表-1月'!E:AF,28,0)+VLOOKUP(E:E,'（居民）工资表-1月'!E:AG,29,0),0)</f>
        <v>0</v>
      </c>
      <c r="AG9" s="79">
        <f t="shared" si="2"/>
        <v>249.89</v>
      </c>
      <c r="AH9" s="82">
        <f t="shared" si="3"/>
        <v>13079.65</v>
      </c>
      <c r="AI9" s="83"/>
      <c r="AJ9" s="82">
        <f t="shared" si="4"/>
        <v>13079.65</v>
      </c>
      <c r="AK9" s="84"/>
      <c r="AL9" s="82">
        <f t="shared" si="5"/>
        <v>13329.54</v>
      </c>
      <c r="AM9" s="84"/>
      <c r="AN9" s="84"/>
      <c r="AO9" s="84"/>
      <c r="AP9" s="84"/>
      <c r="AQ9" s="84"/>
      <c r="AR9" s="88" t="str">
        <f t="shared" si="6"/>
        <v>正确</v>
      </c>
      <c r="AS9" s="88" t="str">
        <f t="shared" si="7"/>
        <v>不</v>
      </c>
      <c r="AT9" s="88" t="str">
        <f t="shared" si="8"/>
        <v>重复</v>
      </c>
    </row>
    <row r="10" spans="1:46" s="10" customFormat="1" ht="18" customHeight="1">
      <c r="A10" s="24">
        <v>7</v>
      </c>
      <c r="B10" s="25" t="s">
        <v>191</v>
      </c>
      <c r="C10" s="25" t="s">
        <v>120</v>
      </c>
      <c r="D10" s="25" t="s">
        <v>192</v>
      </c>
      <c r="E10" s="289" t="s">
        <v>121</v>
      </c>
      <c r="F10" s="26" t="s">
        <v>193</v>
      </c>
      <c r="G10" s="33">
        <v>18500634358</v>
      </c>
      <c r="H10" s="28"/>
      <c r="I10" s="28"/>
      <c r="J10" s="56"/>
      <c r="K10" s="28"/>
      <c r="L10" s="60">
        <v>14500</v>
      </c>
      <c r="M10" s="58">
        <v>508.64</v>
      </c>
      <c r="N10" s="58">
        <v>127.16</v>
      </c>
      <c r="O10" s="58">
        <v>19.079999999999998</v>
      </c>
      <c r="P10" s="58">
        <v>215.58</v>
      </c>
      <c r="Q10" s="74">
        <f t="shared" si="0"/>
        <v>870.46</v>
      </c>
      <c r="R10" s="60">
        <v>0</v>
      </c>
      <c r="S10" s="75">
        <f>L10+IFERROR(VLOOKUP($E:$E,'（居民）工资表-1月'!$E:$S,15,0),0)</f>
        <v>14500</v>
      </c>
      <c r="T10" s="76">
        <f>5000+IFERROR(VLOOKUP($E:$E,'（居民）工资表-1月'!$E:$T,16,0),0)</f>
        <v>5000</v>
      </c>
      <c r="U10" s="76">
        <f>Q10+IFERROR(VLOOKUP($E:$E,'（居民）工资表-1月'!$E:$U,17,0),0)</f>
        <v>870.46</v>
      </c>
      <c r="V10" s="108"/>
      <c r="W10" s="108"/>
      <c r="X10" s="108"/>
      <c r="Y10" s="108"/>
      <c r="Z10" s="108"/>
      <c r="AA10" s="108"/>
      <c r="AB10" s="75">
        <f t="shared" si="9"/>
        <v>0</v>
      </c>
      <c r="AC10" s="75">
        <f>R10+IFERROR(VLOOKUP($E:$E,'（居民）工资表-1月'!$E:$AC,25,0),0)</f>
        <v>0</v>
      </c>
      <c r="AD10" s="77">
        <f t="shared" si="1"/>
        <v>8629.5400000000009</v>
      </c>
      <c r="AE10" s="78">
        <f>ROUND(MAX((AD10)*{0.03;0.1;0.2;0.25;0.3;0.35;0.45}-{0;2520;16920;31920;52920;85920;181920},0),2)</f>
        <v>258.89</v>
      </c>
      <c r="AF10" s="79">
        <f>IFERROR(VLOOKUP(E:E,'（居民）工资表-1月'!E:AF,28,0)+VLOOKUP(E:E,'（居民）工资表-1月'!E:AG,29,0),0)</f>
        <v>0</v>
      </c>
      <c r="AG10" s="79">
        <f t="shared" si="2"/>
        <v>258.89</v>
      </c>
      <c r="AH10" s="82">
        <f t="shared" si="3"/>
        <v>13370.65</v>
      </c>
      <c r="AI10" s="83"/>
      <c r="AJ10" s="82">
        <f t="shared" si="4"/>
        <v>13370.65</v>
      </c>
      <c r="AK10" s="84"/>
      <c r="AL10" s="82">
        <f t="shared" si="5"/>
        <v>13629.54</v>
      </c>
      <c r="AM10" s="84"/>
      <c r="AN10" s="84"/>
      <c r="AO10" s="84"/>
      <c r="AP10" s="84"/>
      <c r="AQ10" s="84"/>
      <c r="AR10" s="88" t="str">
        <f t="shared" si="6"/>
        <v>正确</v>
      </c>
      <c r="AS10" s="88" t="str">
        <f t="shared" si="7"/>
        <v>不</v>
      </c>
      <c r="AT10" s="88" t="str">
        <f t="shared" si="8"/>
        <v>重复</v>
      </c>
    </row>
    <row r="11" spans="1:46" s="10" customFormat="1" ht="18" customHeight="1">
      <c r="A11" s="24">
        <v>8</v>
      </c>
      <c r="B11" s="25" t="s">
        <v>191</v>
      </c>
      <c r="C11" s="25" t="s">
        <v>113</v>
      </c>
      <c r="D11" s="25" t="s">
        <v>192</v>
      </c>
      <c r="E11" s="25" t="s">
        <v>114</v>
      </c>
      <c r="F11" s="26" t="s">
        <v>193</v>
      </c>
      <c r="G11" s="33">
        <v>18738169923</v>
      </c>
      <c r="H11" s="28"/>
      <c r="I11" s="28"/>
      <c r="J11" s="56"/>
      <c r="K11" s="28"/>
      <c r="L11" s="60">
        <v>12000</v>
      </c>
      <c r="M11" s="58">
        <v>508.64</v>
      </c>
      <c r="N11" s="58">
        <v>127.16</v>
      </c>
      <c r="O11" s="58">
        <v>19.079999999999998</v>
      </c>
      <c r="P11" s="58">
        <v>317.58</v>
      </c>
      <c r="Q11" s="74">
        <f t="shared" si="0"/>
        <v>972.46</v>
      </c>
      <c r="R11" s="60">
        <v>0</v>
      </c>
      <c r="S11" s="75">
        <f>L11+IFERROR(VLOOKUP($E:$E,'（居民）工资表-1月'!$E:$S,15,0),0)</f>
        <v>12000</v>
      </c>
      <c r="T11" s="76">
        <f>5000+IFERROR(VLOOKUP($E:$E,'（居民）工资表-1月'!$E:$T,16,0),0)</f>
        <v>5000</v>
      </c>
      <c r="U11" s="76">
        <f>Q11+IFERROR(VLOOKUP($E:$E,'（居民）工资表-1月'!$E:$U,17,0),0)</f>
        <v>972.46</v>
      </c>
      <c r="V11" s="108"/>
      <c r="W11" s="108"/>
      <c r="X11" s="108"/>
      <c r="Y11" s="108"/>
      <c r="Z11" s="108"/>
      <c r="AA11" s="108"/>
      <c r="AB11" s="75">
        <f t="shared" si="9"/>
        <v>0</v>
      </c>
      <c r="AC11" s="75">
        <f>R11+IFERROR(VLOOKUP($E:$E,'（居民）工资表-1月'!$E:$AC,25,0),0)</f>
        <v>0</v>
      </c>
      <c r="AD11" s="77">
        <f t="shared" si="1"/>
        <v>6027.54</v>
      </c>
      <c r="AE11" s="78">
        <f>ROUND(MAX((AD11)*{0.03;0.1;0.2;0.25;0.3;0.35;0.45}-{0;2520;16920;31920;52920;85920;181920},0),2)</f>
        <v>180.83</v>
      </c>
      <c r="AF11" s="79">
        <f>IFERROR(VLOOKUP(E:E,'（居民）工资表-1月'!E:AF,28,0)+VLOOKUP(E:E,'（居民）工资表-1月'!E:AG,29,0),0)</f>
        <v>0</v>
      </c>
      <c r="AG11" s="79">
        <f t="shared" si="2"/>
        <v>180.83</v>
      </c>
      <c r="AH11" s="82">
        <f t="shared" si="3"/>
        <v>10846.71</v>
      </c>
      <c r="AI11" s="83"/>
      <c r="AJ11" s="82">
        <f t="shared" si="4"/>
        <v>10846.71</v>
      </c>
      <c r="AK11" s="84"/>
      <c r="AL11" s="82">
        <f t="shared" si="5"/>
        <v>11027.54</v>
      </c>
      <c r="AM11" s="84"/>
      <c r="AN11" s="84"/>
      <c r="AO11" s="84"/>
      <c r="AP11" s="84"/>
      <c r="AQ11" s="84"/>
      <c r="AR11" s="88" t="str">
        <f t="shared" si="6"/>
        <v>正确</v>
      </c>
      <c r="AS11" s="88" t="str">
        <f t="shared" si="7"/>
        <v>不</v>
      </c>
      <c r="AT11" s="88" t="str">
        <f t="shared" si="8"/>
        <v>重复</v>
      </c>
    </row>
    <row r="12" spans="1:46" s="10" customFormat="1" ht="18" customHeight="1">
      <c r="A12" s="24">
        <v>9</v>
      </c>
      <c r="B12" s="25" t="s">
        <v>191</v>
      </c>
      <c r="C12" s="25" t="s">
        <v>116</v>
      </c>
      <c r="D12" s="25" t="s">
        <v>192</v>
      </c>
      <c r="E12" s="25" t="s">
        <v>117</v>
      </c>
      <c r="F12" s="26" t="s">
        <v>193</v>
      </c>
      <c r="G12" s="33">
        <v>15001138812</v>
      </c>
      <c r="H12" s="28"/>
      <c r="I12" s="28"/>
      <c r="J12" s="56"/>
      <c r="K12" s="28"/>
      <c r="L12" s="60">
        <v>10000</v>
      </c>
      <c r="M12" s="58">
        <v>508.64</v>
      </c>
      <c r="N12" s="58">
        <v>127.16</v>
      </c>
      <c r="O12" s="58">
        <v>19.079999999999998</v>
      </c>
      <c r="P12" s="58">
        <v>215.58</v>
      </c>
      <c r="Q12" s="74">
        <f t="shared" si="0"/>
        <v>870.46</v>
      </c>
      <c r="R12" s="60">
        <v>0</v>
      </c>
      <c r="S12" s="75">
        <f>L12+IFERROR(VLOOKUP($E:$E,'（居民）工资表-1月'!$E:$S,15,0),0)</f>
        <v>10000</v>
      </c>
      <c r="T12" s="76">
        <f>5000+IFERROR(VLOOKUP($E:$E,'（居民）工资表-1月'!$E:$T,16,0),0)</f>
        <v>5000</v>
      </c>
      <c r="U12" s="76">
        <f>Q12+IFERROR(VLOOKUP($E:$E,'（居民）工资表-1月'!$E:$U,17,0),0)</f>
        <v>870.46</v>
      </c>
      <c r="V12" s="108"/>
      <c r="W12" s="108"/>
      <c r="X12" s="108"/>
      <c r="Y12" s="108"/>
      <c r="Z12" s="108"/>
      <c r="AA12" s="108"/>
      <c r="AB12" s="75">
        <f t="shared" si="9"/>
        <v>0</v>
      </c>
      <c r="AC12" s="75">
        <f>R12+IFERROR(VLOOKUP($E:$E,'（居民）工资表-1月'!$E:$AC,25,0),0)</f>
        <v>0</v>
      </c>
      <c r="AD12" s="77">
        <f t="shared" si="1"/>
        <v>4129.54</v>
      </c>
      <c r="AE12" s="78">
        <f>ROUND(MAX((AD12)*{0.03;0.1;0.2;0.25;0.3;0.35;0.45}-{0;2520;16920;31920;52920;85920;181920},0),2)</f>
        <v>123.89</v>
      </c>
      <c r="AF12" s="79">
        <f>IFERROR(VLOOKUP(E:E,'（居民）工资表-1月'!E:AF,28,0)+VLOOKUP(E:E,'（居民）工资表-1月'!E:AG,29,0),0)</f>
        <v>0</v>
      </c>
      <c r="AG12" s="79">
        <f t="shared" si="2"/>
        <v>123.89</v>
      </c>
      <c r="AH12" s="82">
        <f t="shared" si="3"/>
        <v>9005.65</v>
      </c>
      <c r="AI12" s="83"/>
      <c r="AJ12" s="82">
        <f t="shared" si="4"/>
        <v>9005.65</v>
      </c>
      <c r="AK12" s="84"/>
      <c r="AL12" s="82">
        <f t="shared" si="5"/>
        <v>9129.5400000000009</v>
      </c>
      <c r="AM12" s="84"/>
      <c r="AN12" s="84"/>
      <c r="AO12" s="84"/>
      <c r="AP12" s="84"/>
      <c r="AQ12" s="84"/>
      <c r="AR12" s="88" t="str">
        <f t="shared" si="6"/>
        <v>正确</v>
      </c>
      <c r="AS12" s="88" t="str">
        <f t="shared" si="7"/>
        <v>不</v>
      </c>
      <c r="AT12" s="88" t="str">
        <f t="shared" si="8"/>
        <v>重复</v>
      </c>
    </row>
    <row r="13" spans="1:46" s="11" customFormat="1" ht="18" customHeight="1">
      <c r="A13" s="34"/>
      <c r="B13" s="35" t="s">
        <v>198</v>
      </c>
      <c r="C13" s="35"/>
      <c r="D13" s="36"/>
      <c r="E13" s="37"/>
      <c r="F13" s="38"/>
      <c r="G13" s="39"/>
      <c r="H13" s="38"/>
      <c r="I13" s="61"/>
      <c r="J13" s="62"/>
      <c r="K13" s="61"/>
      <c r="L13" s="63">
        <f>SUM(L4:L12)</f>
        <v>131629</v>
      </c>
      <c r="M13" s="63">
        <f t="shared" ref="M13:AL13" si="10">SUM(M4:M12)</f>
        <v>3520.65</v>
      </c>
      <c r="N13" s="63">
        <f t="shared" si="10"/>
        <v>1249.78</v>
      </c>
      <c r="O13" s="63">
        <f t="shared" si="10"/>
        <v>126.05</v>
      </c>
      <c r="P13" s="63">
        <f t="shared" si="10"/>
        <v>1956.74</v>
      </c>
      <c r="Q13" s="63">
        <f t="shared" si="10"/>
        <v>6853.22</v>
      </c>
      <c r="R13" s="63">
        <f t="shared" si="10"/>
        <v>0</v>
      </c>
      <c r="S13" s="63">
        <f t="shared" si="10"/>
        <v>211348</v>
      </c>
      <c r="T13" s="63">
        <f t="shared" si="10"/>
        <v>70000</v>
      </c>
      <c r="U13" s="63">
        <f t="shared" si="10"/>
        <v>9416.1299999999992</v>
      </c>
      <c r="V13" s="63">
        <f t="shared" si="10"/>
        <v>8000</v>
      </c>
      <c r="W13" s="63">
        <f t="shared" si="10"/>
        <v>4000</v>
      </c>
      <c r="X13" s="63">
        <f t="shared" si="10"/>
        <v>6000</v>
      </c>
      <c r="Y13" s="63">
        <f t="shared" si="10"/>
        <v>3000</v>
      </c>
      <c r="Z13" s="63">
        <f t="shared" si="10"/>
        <v>0</v>
      </c>
      <c r="AA13" s="63">
        <f t="shared" si="10"/>
        <v>0</v>
      </c>
      <c r="AB13" s="63">
        <f t="shared" si="10"/>
        <v>21000</v>
      </c>
      <c r="AC13" s="63">
        <f t="shared" si="10"/>
        <v>0</v>
      </c>
      <c r="AD13" s="63">
        <f t="shared" si="10"/>
        <v>110931.87</v>
      </c>
      <c r="AE13" s="63">
        <f t="shared" si="10"/>
        <v>4172.99</v>
      </c>
      <c r="AF13" s="63">
        <f t="shared" si="10"/>
        <v>1291.67</v>
      </c>
      <c r="AG13" s="63">
        <f t="shared" si="10"/>
        <v>2881.32</v>
      </c>
      <c r="AH13" s="63">
        <f t="shared" si="10"/>
        <v>121894.46</v>
      </c>
      <c r="AI13" s="63">
        <f t="shared" si="10"/>
        <v>0</v>
      </c>
      <c r="AJ13" s="63">
        <f t="shared" si="10"/>
        <v>121894.46</v>
      </c>
      <c r="AK13" s="63">
        <f t="shared" si="10"/>
        <v>0</v>
      </c>
      <c r="AL13" s="63">
        <f t="shared" si="10"/>
        <v>124775.78</v>
      </c>
      <c r="AM13" s="85"/>
      <c r="AN13" s="85"/>
      <c r="AO13" s="85"/>
      <c r="AP13" s="85"/>
      <c r="AQ13" s="85"/>
      <c r="AR13" s="38"/>
      <c r="AS13" s="38"/>
      <c r="AT13" s="89"/>
    </row>
    <row r="16" spans="1:46">
      <c r="AD16" s="80"/>
    </row>
    <row r="17" spans="1:35" ht="18.75" customHeight="1">
      <c r="B17" s="40" t="s">
        <v>172</v>
      </c>
      <c r="C17" s="40" t="s">
        <v>199</v>
      </c>
      <c r="D17" s="40" t="s">
        <v>57</v>
      </c>
      <c r="E17" s="40" t="s">
        <v>58</v>
      </c>
      <c r="AD17" s="8"/>
    </row>
    <row r="18" spans="1:35" ht="18.75" customHeight="1">
      <c r="B18" s="41">
        <f>AJ13</f>
        <v>121894.46</v>
      </c>
      <c r="C18" s="41">
        <f>AG13</f>
        <v>2881.32</v>
      </c>
      <c r="D18" s="41">
        <f>AK13</f>
        <v>0</v>
      </c>
      <c r="E18" s="41">
        <f>B18+C18+D18</f>
        <v>124775.78</v>
      </c>
    </row>
    <row r="19" spans="1:35">
      <c r="B19" s="42"/>
      <c r="C19" s="42"/>
      <c r="D19" s="42"/>
      <c r="E19" s="42"/>
    </row>
    <row r="20" spans="1:35" s="12" customFormat="1">
      <c r="A20" s="43" t="s">
        <v>200</v>
      </c>
      <c r="B20" s="44" t="s">
        <v>201</v>
      </c>
      <c r="C20" s="45"/>
      <c r="D20" s="45"/>
      <c r="E20" s="45"/>
      <c r="G20" s="46"/>
      <c r="J20" s="64"/>
      <c r="M20" s="65"/>
      <c r="AI20" s="86"/>
    </row>
    <row r="21" spans="1:35" s="12" customFormat="1">
      <c r="A21" s="47"/>
      <c r="B21" s="48" t="s">
        <v>202</v>
      </c>
      <c r="C21" s="45"/>
      <c r="D21" s="45"/>
      <c r="E21" s="45"/>
      <c r="G21" s="46"/>
      <c r="J21" s="64"/>
      <c r="M21" s="65"/>
      <c r="AI21" s="86"/>
    </row>
    <row r="22" spans="1:35" s="12" customFormat="1">
      <c r="A22" s="44"/>
      <c r="B22" s="48" t="s">
        <v>203</v>
      </c>
      <c r="C22" s="49"/>
      <c r="D22" s="49"/>
      <c r="E22" s="49"/>
      <c r="F22" s="49"/>
      <c r="G22" s="49"/>
      <c r="H22" s="49"/>
      <c r="I22" s="49"/>
      <c r="J22" s="66"/>
      <c r="K22" s="49"/>
      <c r="L22" s="49"/>
      <c r="M22" s="67"/>
      <c r="N22" s="49"/>
      <c r="O22" s="49"/>
      <c r="P22" s="49"/>
      <c r="AI22" s="86"/>
    </row>
    <row r="23" spans="1:35" s="12" customFormat="1" ht="13.5" customHeight="1">
      <c r="A23" s="48"/>
      <c r="B23" s="48" t="s">
        <v>204</v>
      </c>
      <c r="C23" s="50"/>
      <c r="D23" s="50"/>
      <c r="E23" s="50"/>
      <c r="F23" s="50"/>
      <c r="G23" s="50"/>
      <c r="H23" s="50"/>
      <c r="I23" s="68"/>
      <c r="J23" s="69"/>
      <c r="K23" s="68"/>
      <c r="L23" s="68"/>
      <c r="M23" s="70"/>
      <c r="N23" s="68"/>
      <c r="O23" s="68"/>
      <c r="P23" s="68"/>
      <c r="AI23" s="86"/>
    </row>
    <row r="24" spans="1:35" s="12" customFormat="1" ht="13.5" customHeight="1">
      <c r="A24" s="48"/>
      <c r="B24" s="48" t="s">
        <v>205</v>
      </c>
      <c r="C24" s="50"/>
      <c r="D24" s="50"/>
      <c r="E24" s="50"/>
      <c r="F24" s="50"/>
      <c r="G24" s="50"/>
      <c r="H24" s="50"/>
      <c r="I24" s="50"/>
      <c r="J24" s="71"/>
      <c r="K24" s="50"/>
      <c r="L24" s="68"/>
      <c r="M24" s="70"/>
      <c r="N24" s="68"/>
      <c r="O24" s="68"/>
      <c r="P24" s="68"/>
      <c r="AI24" s="86"/>
    </row>
    <row r="25" spans="1:35" s="12" customFormat="1" ht="13.5" customHeight="1">
      <c r="A25" s="48"/>
      <c r="B25" s="48" t="s">
        <v>206</v>
      </c>
      <c r="C25" s="50"/>
      <c r="D25" s="50"/>
      <c r="E25" s="50"/>
      <c r="F25" s="50"/>
      <c r="G25" s="50"/>
      <c r="H25" s="50"/>
      <c r="I25" s="68"/>
      <c r="J25" s="69"/>
      <c r="K25" s="68"/>
      <c r="L25" s="68"/>
      <c r="M25" s="70"/>
      <c r="N25" s="68"/>
      <c r="O25" s="68"/>
      <c r="P25" s="68"/>
      <c r="AI25" s="86"/>
    </row>
    <row r="27" spans="1:35" ht="11.25" customHeight="1">
      <c r="B27" s="51" t="s">
        <v>207</v>
      </c>
    </row>
    <row r="28" spans="1:35">
      <c r="B28" s="52" t="s">
        <v>208</v>
      </c>
    </row>
    <row r="29" spans="1:35">
      <c r="B29" s="52" t="s">
        <v>209</v>
      </c>
    </row>
  </sheetData>
  <autoFilter ref="A3:AT13"/>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8" type="noConversion"/>
  <conditionalFormatting sqref="B25">
    <cfRule type="duplicateValues" dxfId="27" priority="2" stopIfTrue="1"/>
  </conditionalFormatting>
  <conditionalFormatting sqref="B20:B24">
    <cfRule type="duplicateValues" dxfId="26" priority="3" stopIfTrue="1"/>
  </conditionalFormatting>
  <conditionalFormatting sqref="B28:B29">
    <cfRule type="duplicateValues" dxfId="25" priority="1" stopIfTrue="1"/>
  </conditionalFormatting>
  <conditionalFormatting sqref="C17:C19">
    <cfRule type="duplicateValues" dxfId="24" priority="4" stopIfTrue="1"/>
    <cfRule type="expression" dxfId="23" priority="5" stopIfTrue="1">
      <formula>AND(COUNTIF($B$13:$B$65449,C17)+COUNTIF($B$1:$B$3,C17)&gt;1,NOT(ISBLANK(C17)))</formula>
    </cfRule>
    <cfRule type="expression" dxfId="22" priority="6" stopIfTrue="1">
      <formula>AND(COUNTIF($B$24:$B$65400,C17)+COUNTIF($B$1:$B$23,C17)&gt;1,NOT(ISBLANK(C17)))</formula>
    </cfRule>
    <cfRule type="expression" dxfId="21" priority="7" stopIfTrue="1">
      <formula>AND(COUNTIF($B$13:$B$65438,C17)+COUNTIF($B$1:$B$3,C17)&gt;1,NOT(ISBLANK(C17)))</formula>
    </cfRule>
  </conditionalFormatting>
  <pageMargins left="0.235416666666667" right="0.235416666666667" top="0.74791666666666701" bottom="0.74791666666666701" header="0.31388888888888899" footer="0.31388888888888899"/>
  <pageSetup paperSize="9" scale="40" fitToWidth="2" orientation="landscape"/>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30"/>
  <sheetViews>
    <sheetView workbookViewId="0">
      <pane xSplit="6" ySplit="3" topLeftCell="T4" activePane="bottomRight" state="frozen"/>
      <selection pane="topRight"/>
      <selection pane="bottomLeft"/>
      <selection pane="bottomRight" activeCell="X9" sqref="X9"/>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5" style="13" customWidth="1" outlineLevel="1"/>
    <col min="14" max="15" width="9" style="13" customWidth="1" outlineLevel="1"/>
    <col min="16" max="16" width="11.125" style="13" customWidth="1" outlineLevel="1"/>
    <col min="17" max="17" width="9.75" style="13" customWidth="1"/>
    <col min="18" max="18" width="9.5" style="13" customWidth="1"/>
    <col min="19" max="19" width="11.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144</v>
      </c>
      <c r="B1" s="19"/>
      <c r="C1" s="20"/>
      <c r="D1" s="21"/>
      <c r="E1" s="22"/>
      <c r="F1" s="22"/>
      <c r="G1" s="23"/>
      <c r="J1" s="53"/>
      <c r="L1" s="54"/>
      <c r="M1" s="352" t="s">
        <v>145</v>
      </c>
      <c r="N1" s="352"/>
      <c r="O1" s="352"/>
      <c r="P1" s="352"/>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59" t="s">
        <v>18</v>
      </c>
      <c r="B2" s="361" t="s">
        <v>146</v>
      </c>
      <c r="C2" s="363" t="s">
        <v>147</v>
      </c>
      <c r="D2" s="363" t="s">
        <v>148</v>
      </c>
      <c r="E2" s="365" t="s">
        <v>149</v>
      </c>
      <c r="F2" s="367" t="s">
        <v>150</v>
      </c>
      <c r="G2" s="365" t="s">
        <v>151</v>
      </c>
      <c r="H2" s="365" t="s">
        <v>152</v>
      </c>
      <c r="I2" s="365" t="s">
        <v>153</v>
      </c>
      <c r="J2" s="369" t="s">
        <v>154</v>
      </c>
      <c r="K2" s="365" t="s">
        <v>155</v>
      </c>
      <c r="L2" s="365" t="s">
        <v>156</v>
      </c>
      <c r="M2" s="353" t="s">
        <v>157</v>
      </c>
      <c r="N2" s="354"/>
      <c r="O2" s="354"/>
      <c r="P2" s="355"/>
      <c r="Q2" s="367" t="s">
        <v>158</v>
      </c>
      <c r="R2" s="365" t="s">
        <v>159</v>
      </c>
      <c r="S2" s="367" t="s">
        <v>160</v>
      </c>
      <c r="T2" s="371" t="s">
        <v>161</v>
      </c>
      <c r="U2" s="367" t="s">
        <v>162</v>
      </c>
      <c r="V2" s="356" t="s">
        <v>163</v>
      </c>
      <c r="W2" s="357"/>
      <c r="X2" s="357"/>
      <c r="Y2" s="357"/>
      <c r="Z2" s="357"/>
      <c r="AA2" s="358"/>
      <c r="AB2" s="367" t="s">
        <v>164</v>
      </c>
      <c r="AC2" s="367" t="s">
        <v>165</v>
      </c>
      <c r="AD2" s="371" t="s">
        <v>166</v>
      </c>
      <c r="AE2" s="371" t="s">
        <v>167</v>
      </c>
      <c r="AF2" s="371" t="s">
        <v>168</v>
      </c>
      <c r="AG2" s="371" t="s">
        <v>169</v>
      </c>
      <c r="AH2" s="373" t="s">
        <v>170</v>
      </c>
      <c r="AI2" s="375" t="s">
        <v>171</v>
      </c>
      <c r="AJ2" s="373" t="s">
        <v>172</v>
      </c>
      <c r="AK2" s="363" t="s">
        <v>57</v>
      </c>
      <c r="AL2" s="373" t="s">
        <v>173</v>
      </c>
      <c r="AM2" s="365" t="s">
        <v>174</v>
      </c>
      <c r="AN2" s="365" t="s">
        <v>175</v>
      </c>
      <c r="AO2" s="377" t="s">
        <v>176</v>
      </c>
      <c r="AP2" s="365" t="s">
        <v>177</v>
      </c>
      <c r="AQ2" s="365" t="s">
        <v>178</v>
      </c>
      <c r="AR2" s="367" t="s">
        <v>179</v>
      </c>
      <c r="AS2" s="367" t="s">
        <v>180</v>
      </c>
      <c r="AT2" s="367" t="s">
        <v>181</v>
      </c>
    </row>
    <row r="3" spans="1:46" s="9" customFormat="1" ht="27" customHeight="1">
      <c r="A3" s="360"/>
      <c r="B3" s="362"/>
      <c r="C3" s="364"/>
      <c r="D3" s="364"/>
      <c r="E3" s="366"/>
      <c r="F3" s="368"/>
      <c r="G3" s="366"/>
      <c r="H3" s="366"/>
      <c r="I3" s="366"/>
      <c r="J3" s="370"/>
      <c r="K3" s="366"/>
      <c r="L3" s="366"/>
      <c r="M3" s="55" t="s">
        <v>182</v>
      </c>
      <c r="N3" s="55" t="s">
        <v>183</v>
      </c>
      <c r="O3" s="55" t="s">
        <v>184</v>
      </c>
      <c r="P3" s="55" t="s">
        <v>70</v>
      </c>
      <c r="Q3" s="368"/>
      <c r="R3" s="366"/>
      <c r="S3" s="368"/>
      <c r="T3" s="372"/>
      <c r="U3" s="368"/>
      <c r="V3" s="73" t="s">
        <v>185</v>
      </c>
      <c r="W3" s="73" t="s">
        <v>186</v>
      </c>
      <c r="X3" s="73" t="s">
        <v>187</v>
      </c>
      <c r="Y3" s="73" t="s">
        <v>188</v>
      </c>
      <c r="Z3" s="73" t="s">
        <v>189</v>
      </c>
      <c r="AA3" s="73" t="s">
        <v>190</v>
      </c>
      <c r="AB3" s="368"/>
      <c r="AC3" s="368"/>
      <c r="AD3" s="372"/>
      <c r="AE3" s="372"/>
      <c r="AF3" s="372"/>
      <c r="AG3" s="372"/>
      <c r="AH3" s="374"/>
      <c r="AI3" s="376"/>
      <c r="AJ3" s="374"/>
      <c r="AK3" s="364"/>
      <c r="AL3" s="374"/>
      <c r="AM3" s="366"/>
      <c r="AN3" s="366"/>
      <c r="AO3" s="378"/>
      <c r="AP3" s="366"/>
      <c r="AQ3" s="366"/>
      <c r="AR3" s="368"/>
      <c r="AS3" s="368"/>
      <c r="AT3" s="368"/>
    </row>
    <row r="4" spans="1:46" s="10" customFormat="1" ht="18" customHeight="1">
      <c r="A4" s="24">
        <v>1</v>
      </c>
      <c r="B4" s="25" t="s">
        <v>191</v>
      </c>
      <c r="C4" s="25" t="s">
        <v>75</v>
      </c>
      <c r="D4" s="25" t="s">
        <v>192</v>
      </c>
      <c r="E4" s="25" t="s">
        <v>76</v>
      </c>
      <c r="F4" s="26" t="s">
        <v>193</v>
      </c>
      <c r="G4" s="33">
        <v>18035163638</v>
      </c>
      <c r="H4" s="28"/>
      <c r="I4" s="28"/>
      <c r="J4" s="56"/>
      <c r="K4" s="28"/>
      <c r="L4" s="60">
        <v>8000</v>
      </c>
      <c r="M4" s="58">
        <v>264</v>
      </c>
      <c r="N4" s="58">
        <v>66</v>
      </c>
      <c r="O4" s="58">
        <v>9.9</v>
      </c>
      <c r="P4" s="58">
        <v>180</v>
      </c>
      <c r="Q4" s="74">
        <f>ROUND(SUM(M4:P4),2)</f>
        <v>519.9</v>
      </c>
      <c r="R4" s="60">
        <v>0</v>
      </c>
      <c r="S4" s="75">
        <f>L4+IFERROR(VLOOKUP($E:$E,'（居民）工资表-2月'!$E:$S,15,0),0)</f>
        <v>25770</v>
      </c>
      <c r="T4" s="76">
        <f>5000+IFERROR(VLOOKUP($E:$E,'（居民）工资表-2月'!$E:$T,16,0),0)</f>
        <v>15000</v>
      </c>
      <c r="U4" s="76">
        <f>Q4+IFERROR(VLOOKUP($E:$E,'（居民）工资表-2月'!$E:$U,17,0),0)</f>
        <v>1559.7</v>
      </c>
      <c r="V4" s="60">
        <v>3000</v>
      </c>
      <c r="W4" s="60"/>
      <c r="X4" s="60">
        <v>3000</v>
      </c>
      <c r="Y4" s="60"/>
      <c r="Z4" s="60"/>
      <c r="AA4" s="60"/>
      <c r="AB4" s="75">
        <f>ROUND(SUM(V4:AA4),2)</f>
        <v>6000</v>
      </c>
      <c r="AC4" s="75">
        <f>R4+IFERROR(VLOOKUP($E:$E,'（居民）工资表-2月'!$E:$AC,25,0),0)</f>
        <v>0</v>
      </c>
      <c r="AD4" s="77">
        <f>ROUND(S4-T4-U4-AB4-AC4,2)</f>
        <v>3210.3</v>
      </c>
      <c r="AE4" s="78">
        <f>ROUND(MAX((AD4)*{0.03;0.1;0.2;0.25;0.3;0.35;0.45}-{0;2520;16920;31920;52920;85920;181920},0),2)</f>
        <v>96.31</v>
      </c>
      <c r="AF4" s="79">
        <f>IFERROR(VLOOKUP(E:E,'（居民）工资表-2月'!E:AF,28,0)+VLOOKUP(E:E,'（居民）工资表-2月'!E:AG,29,0),0)</f>
        <v>81.91</v>
      </c>
      <c r="AG4" s="79">
        <f>IF((AE4-AF4)&lt;0,0,AE4-AF4)</f>
        <v>14.4</v>
      </c>
      <c r="AH4" s="82">
        <f>ROUND(IF((L4-Q4-AG4)&lt;0,0,(L4-Q4-AG4)),2)</f>
        <v>7465.7</v>
      </c>
      <c r="AI4" s="83"/>
      <c r="AJ4" s="82">
        <f>AH4+AI4</f>
        <v>7465.7</v>
      </c>
      <c r="AK4" s="84"/>
      <c r="AL4" s="82">
        <f>AJ4+AG4+AK4</f>
        <v>7480.1</v>
      </c>
      <c r="AM4" s="84"/>
      <c r="AN4" s="84"/>
      <c r="AO4" s="84"/>
      <c r="AP4" s="84"/>
      <c r="AQ4" s="84"/>
      <c r="AR4" s="8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IF(SUMPRODUCT(N(E$1:E$5=E4))&gt;1,"重复","不")</f>
        <v>不</v>
      </c>
      <c r="AT4" s="88" t="str">
        <f>IF(SUMPRODUCT(N(AO$1:AO$5=AO4))&gt;1,"重复","不")</f>
        <v>重复</v>
      </c>
    </row>
    <row r="5" spans="1:46" s="10" customFormat="1" ht="18" customHeight="1">
      <c r="A5" s="24">
        <v>2</v>
      </c>
      <c r="B5" s="25" t="s">
        <v>191</v>
      </c>
      <c r="C5" s="25" t="s">
        <v>93</v>
      </c>
      <c r="D5" s="25" t="s">
        <v>192</v>
      </c>
      <c r="E5" s="25" t="s">
        <v>94</v>
      </c>
      <c r="F5" s="26" t="s">
        <v>193</v>
      </c>
      <c r="G5" s="33">
        <v>13944441728</v>
      </c>
      <c r="H5" s="28"/>
      <c r="I5" s="28"/>
      <c r="J5" s="56"/>
      <c r="K5" s="28"/>
      <c r="L5" s="60">
        <v>7000</v>
      </c>
      <c r="M5" s="58">
        <v>268.81</v>
      </c>
      <c r="N5" s="58">
        <v>61.06</v>
      </c>
      <c r="O5" s="58">
        <v>10.08</v>
      </c>
      <c r="P5" s="58">
        <v>79</v>
      </c>
      <c r="Q5" s="74">
        <f>ROUND(SUM(M5:P5),2)</f>
        <v>418.95</v>
      </c>
      <c r="R5" s="60">
        <v>0</v>
      </c>
      <c r="S5" s="75">
        <f>L5+IFERROR(VLOOKUP($E:$E,'（居民）工资表-2月'!$E:$S,15,0),0)</f>
        <v>21000</v>
      </c>
      <c r="T5" s="76">
        <f>5000+IFERROR(VLOOKUP($E:$E,'（居民）工资表-2月'!$E:$T,16,0),0)</f>
        <v>15000</v>
      </c>
      <c r="U5" s="76">
        <f>Q5+IFERROR(VLOOKUP($E:$E,'（居民）工资表-2月'!$E:$U,17,0),0)</f>
        <v>1256.8499999999999</v>
      </c>
      <c r="V5" s="60"/>
      <c r="W5" s="60"/>
      <c r="X5" s="60">
        <v>3000</v>
      </c>
      <c r="Y5" s="60"/>
      <c r="Z5" s="60"/>
      <c r="AA5" s="60"/>
      <c r="AB5" s="75">
        <f>ROUND(SUM(V5:AA5),2)</f>
        <v>3000</v>
      </c>
      <c r="AC5" s="75">
        <f>R5+IFERROR(VLOOKUP($E:$E,'（居民）工资表-2月'!$E:$AC,25,0),0)</f>
        <v>0</v>
      </c>
      <c r="AD5" s="77">
        <f>ROUND(S5-T5-U5-AB5-AC5,2)</f>
        <v>1743.15</v>
      </c>
      <c r="AE5" s="78">
        <f>ROUND(MAX((AD5)*{0.03;0.1;0.2;0.25;0.3;0.35;0.45}-{0;2520;16920;31920;52920;85920;181920},0),2)</f>
        <v>52.29</v>
      </c>
      <c r="AF5" s="79">
        <f>IFERROR(VLOOKUP(E:E,'（居民）工资表-2月'!E:AF,28,0)+VLOOKUP(E:E,'（居民）工资表-2月'!E:AG,29,0),0)</f>
        <v>34.86</v>
      </c>
      <c r="AG5" s="79">
        <f>IF((AE5-AF5)&lt;0,0,AE5-AF5)</f>
        <v>17.43</v>
      </c>
      <c r="AH5" s="82">
        <f>ROUND(IF((L5-Q5-AG5)&lt;0,0,(L5-Q5-AG5)),2)</f>
        <v>6563.62</v>
      </c>
      <c r="AI5" s="83"/>
      <c r="AJ5" s="82">
        <f>AH5+AI5</f>
        <v>6563.62</v>
      </c>
      <c r="AK5" s="84"/>
      <c r="AL5" s="82">
        <f>AJ5+AG5+AK5</f>
        <v>6581.05</v>
      </c>
      <c r="AM5" s="84"/>
      <c r="AN5" s="84"/>
      <c r="AO5" s="84"/>
      <c r="AP5" s="84"/>
      <c r="AQ5" s="84"/>
      <c r="AR5" s="8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8" t="str">
        <f>IF(SUMPRODUCT(N(E$1:E$5=E5))&gt;1,"重复","不")</f>
        <v>不</v>
      </c>
      <c r="AT5" s="88" t="str">
        <f>IF(SUMPRODUCT(N(AO$1:AO$5=AO5))&gt;1,"重复","不")</f>
        <v>重复</v>
      </c>
    </row>
    <row r="6" spans="1:46" s="10" customFormat="1" ht="18" customHeight="1">
      <c r="A6" s="24">
        <v>3</v>
      </c>
      <c r="B6" s="25" t="s">
        <v>191</v>
      </c>
      <c r="C6" s="25" t="s">
        <v>107</v>
      </c>
      <c r="D6" s="25" t="s">
        <v>192</v>
      </c>
      <c r="E6" s="289" t="s">
        <v>108</v>
      </c>
      <c r="F6" s="26" t="str">
        <f>IF(MOD(MID(E6,17,1),2)=1,"男","女")</f>
        <v>女</v>
      </c>
      <c r="G6" s="33">
        <v>15360550807</v>
      </c>
      <c r="H6" s="28"/>
      <c r="I6" s="28"/>
      <c r="J6" s="56"/>
      <c r="K6" s="28"/>
      <c r="L6" s="60">
        <v>5700</v>
      </c>
      <c r="M6" s="58">
        <v>367.04</v>
      </c>
      <c r="N6" s="58">
        <v>135.13999999999999</v>
      </c>
      <c r="O6" s="58">
        <v>4.5999999999999996</v>
      </c>
      <c r="P6" s="58">
        <v>84.08</v>
      </c>
      <c r="Q6" s="74">
        <f t="shared" ref="Q6:Q12" si="0">ROUND(SUM(M6:P6),2)</f>
        <v>590.86</v>
      </c>
      <c r="R6" s="60">
        <v>0</v>
      </c>
      <c r="S6" s="75">
        <f>L6+IFERROR(VLOOKUP($E:$E,'（居民）工资表-2月'!$E:$S,15,0),0)</f>
        <v>17100</v>
      </c>
      <c r="T6" s="76">
        <f>5000+IFERROR(VLOOKUP($E:$E,'（居民）工资表-2月'!$E:$T,16,0),0)</f>
        <v>15000</v>
      </c>
      <c r="U6" s="76">
        <f>Q6+IFERROR(VLOOKUP($E:$E,'（居民）工资表-2月'!$E:$U,17,0),0)</f>
        <v>1894.62</v>
      </c>
      <c r="V6" s="60"/>
      <c r="W6" s="60"/>
      <c r="X6" s="60"/>
      <c r="Y6" s="60">
        <v>4500</v>
      </c>
      <c r="Z6" s="60"/>
      <c r="AA6" s="60"/>
      <c r="AB6" s="75">
        <f t="shared" ref="AB6:AB12" si="1">ROUND(SUM(V6:AA6),2)</f>
        <v>4500</v>
      </c>
      <c r="AC6" s="75">
        <f>R6+IFERROR(VLOOKUP($E:$E,'（居民）工资表-2月'!$E:$AC,25,0),0)</f>
        <v>0</v>
      </c>
      <c r="AD6" s="77">
        <f t="shared" ref="AD6:AD12" si="2">ROUND(S6-T6-U6-AB6-AC6,2)</f>
        <v>-4294.62</v>
      </c>
      <c r="AE6" s="78">
        <f>ROUND(MAX((AD6)*{0.03;0.1;0.2;0.25;0.3;0.35;0.45}-{0;2520;16920;31920;52920;85920;181920},0),2)</f>
        <v>0</v>
      </c>
      <c r="AF6" s="79">
        <f>IFERROR(VLOOKUP(E:E,'（居民）工资表-2月'!E:AF,28,0)+VLOOKUP(E:E,'（居民）工资表-2月'!E:AG,29,0),0)</f>
        <v>0</v>
      </c>
      <c r="AG6" s="79">
        <f t="shared" ref="AG6:AG12" si="3">IF((AE6-AF6)&lt;0,0,AE6-AF6)</f>
        <v>0</v>
      </c>
      <c r="AH6" s="82">
        <f t="shared" ref="AH6:AH12" si="4">ROUND(IF((L6-Q6-AG6)&lt;0,0,(L6-Q6-AG6)),2)</f>
        <v>5109.1400000000003</v>
      </c>
      <c r="AI6" s="83"/>
      <c r="AJ6" s="82">
        <f t="shared" ref="AJ6:AJ12" si="5">AH6+AI6</f>
        <v>5109.1400000000003</v>
      </c>
      <c r="AK6" s="84"/>
      <c r="AL6" s="82">
        <f t="shared" ref="AL6:AL12" si="6">AJ6+AG6+AK6</f>
        <v>5109.1400000000003</v>
      </c>
      <c r="AM6" s="84"/>
      <c r="AN6" s="84"/>
      <c r="AO6" s="84"/>
      <c r="AP6" s="84"/>
      <c r="AQ6" s="84"/>
      <c r="AR6" s="88" t="str">
        <f t="shared" ref="AR6:AR12"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8" t="str">
        <f t="shared" ref="AS6:AS12" si="8">IF(SUMPRODUCT(N(E$1:E$5=E6))&gt;1,"重复","不")</f>
        <v>不</v>
      </c>
      <c r="AT6" s="88" t="str">
        <f t="shared" ref="AT6:AT12" si="9">IF(SUMPRODUCT(N(AO$1:AO$5=AO6))&gt;1,"重复","不")</f>
        <v>重复</v>
      </c>
    </row>
    <row r="7" spans="1:46" s="10" customFormat="1" ht="18" customHeight="1">
      <c r="A7" s="24">
        <v>4</v>
      </c>
      <c r="B7" s="25" t="s">
        <v>191</v>
      </c>
      <c r="C7" s="25" t="s">
        <v>253</v>
      </c>
      <c r="D7" s="25" t="s">
        <v>192</v>
      </c>
      <c r="E7" s="289" t="s">
        <v>254</v>
      </c>
      <c r="F7" s="26" t="s">
        <v>193</v>
      </c>
      <c r="G7" s="33">
        <v>18607383005</v>
      </c>
      <c r="H7" s="28"/>
      <c r="I7" s="28"/>
      <c r="J7" s="56"/>
      <c r="K7" s="28"/>
      <c r="L7" s="60">
        <v>25000</v>
      </c>
      <c r="M7" s="58">
        <v>320</v>
      </c>
      <c r="N7" s="58">
        <v>80</v>
      </c>
      <c r="O7" s="58">
        <v>12</v>
      </c>
      <c r="P7" s="58">
        <v>70</v>
      </c>
      <c r="Q7" s="74">
        <f t="shared" si="0"/>
        <v>482</v>
      </c>
      <c r="R7" s="60">
        <v>0</v>
      </c>
      <c r="S7" s="75">
        <f>L7+IFERROR(VLOOKUP($E:$E,'（居民）工资表-2月'!$E:$S,15,0),0)</f>
        <v>85000</v>
      </c>
      <c r="T7" s="76">
        <f>5000+IFERROR(VLOOKUP($E:$E,'（居民）工资表-2月'!$E:$T,16,0),0)</f>
        <v>15000</v>
      </c>
      <c r="U7" s="76">
        <f>Q7+IFERROR(VLOOKUP($E:$E,'（居民）工资表-2月'!$E:$U,17,0),0)</f>
        <v>1966</v>
      </c>
      <c r="V7" s="60">
        <v>6000</v>
      </c>
      <c r="W7" s="60">
        <v>3000</v>
      </c>
      <c r="X7" s="60"/>
      <c r="Y7" s="60"/>
      <c r="Z7" s="60"/>
      <c r="AA7" s="60"/>
      <c r="AB7" s="75">
        <f t="shared" si="1"/>
        <v>9000</v>
      </c>
      <c r="AC7" s="75">
        <f>R7+IFERROR(VLOOKUP($E:$E,'（居民）工资表-2月'!$E:$AC,25,0),0)</f>
        <v>0</v>
      </c>
      <c r="AD7" s="77">
        <f t="shared" si="2"/>
        <v>59034</v>
      </c>
      <c r="AE7" s="78">
        <f>ROUND(MAX((AD7)*{0.03;0.1;0.2;0.25;0.3;0.35;0.45}-{0;2520;16920;31920;52920;85920;181920},0),2)</f>
        <v>3383.4</v>
      </c>
      <c r="AF7" s="79">
        <f>IFERROR(VLOOKUP(E:E,'（居民）工资表-2月'!E:AF,28,0)+VLOOKUP(E:E,'（居民）工资表-2月'!E:AG,29,0),0)</f>
        <v>1731.6</v>
      </c>
      <c r="AG7" s="79">
        <f t="shared" si="3"/>
        <v>1651.8</v>
      </c>
      <c r="AH7" s="82">
        <f t="shared" si="4"/>
        <v>22866.2</v>
      </c>
      <c r="AI7" s="83"/>
      <c r="AJ7" s="82">
        <f t="shared" si="5"/>
        <v>22866.2</v>
      </c>
      <c r="AK7" s="84"/>
      <c r="AL7" s="82">
        <f t="shared" si="6"/>
        <v>24518</v>
      </c>
      <c r="AM7" s="84"/>
      <c r="AN7" s="84"/>
      <c r="AO7" s="84"/>
      <c r="AP7" s="84"/>
      <c r="AQ7" s="84"/>
      <c r="AR7" s="88" t="str">
        <f t="shared" si="7"/>
        <v>正确</v>
      </c>
      <c r="AS7" s="88" t="str">
        <f t="shared" si="8"/>
        <v>不</v>
      </c>
      <c r="AT7" s="88" t="str">
        <f t="shared" si="9"/>
        <v>重复</v>
      </c>
    </row>
    <row r="8" spans="1:46" s="10" customFormat="1" ht="18" customHeight="1">
      <c r="A8" s="24">
        <v>5</v>
      </c>
      <c r="B8" s="25" t="s">
        <v>191</v>
      </c>
      <c r="C8" s="25" t="s">
        <v>255</v>
      </c>
      <c r="D8" s="25" t="s">
        <v>192</v>
      </c>
      <c r="E8" s="25" t="s">
        <v>256</v>
      </c>
      <c r="F8" s="26" t="s">
        <v>193</v>
      </c>
      <c r="G8" s="33">
        <v>13373825180</v>
      </c>
      <c r="H8" s="28"/>
      <c r="I8" s="28"/>
      <c r="J8" s="56"/>
      <c r="K8" s="28"/>
      <c r="L8" s="60">
        <f>26739+77.5</f>
        <v>26816.5</v>
      </c>
      <c r="M8" s="58">
        <v>363.84</v>
      </c>
      <c r="N8" s="58">
        <v>90.96</v>
      </c>
      <c r="O8" s="58">
        <v>13.64</v>
      </c>
      <c r="P8" s="58"/>
      <c r="Q8" s="74">
        <f t="shared" si="0"/>
        <v>468.44</v>
      </c>
      <c r="R8" s="60">
        <v>0</v>
      </c>
      <c r="S8" s="75">
        <f>L8+IFERROR(VLOOKUP($E:$E,'（居民）工资表-2月'!$E:$S,15,0),0)</f>
        <v>84294.5</v>
      </c>
      <c r="T8" s="76">
        <f>5000+IFERROR(VLOOKUP($E:$E,'（居民）工资表-2月'!$E:$T,16,0),0)</f>
        <v>15000</v>
      </c>
      <c r="U8" s="76">
        <f>Q8+IFERROR(VLOOKUP($E:$E,'（居民）工资表-2月'!$E:$U,17,0),0)</f>
        <v>1635.27</v>
      </c>
      <c r="V8" s="60">
        <v>3000</v>
      </c>
      <c r="W8" s="60">
        <v>3000</v>
      </c>
      <c r="X8" s="60">
        <v>3000</v>
      </c>
      <c r="Y8" s="60"/>
      <c r="Z8" s="60"/>
      <c r="AA8" s="60"/>
      <c r="AB8" s="75">
        <f t="shared" si="1"/>
        <v>9000</v>
      </c>
      <c r="AC8" s="75">
        <f>R8+IFERROR(VLOOKUP($E:$E,'（居民）工资表-2月'!$E:$AC,25,0),0)</f>
        <v>0</v>
      </c>
      <c r="AD8" s="77">
        <f t="shared" si="2"/>
        <v>58659.23</v>
      </c>
      <c r="AE8" s="78">
        <f>ROUND(MAX((AD8)*{0.03;0.1;0.2;0.25;0.3;0.35;0.45}-{0;2520;16920;31920;52920;85920;181920},0),2)</f>
        <v>3345.92</v>
      </c>
      <c r="AF8" s="79">
        <f>IFERROR(VLOOKUP(E:E,'（居民）工资表-2月'!E:AF,28,0)+VLOOKUP(E:E,'（居民）工资表-2月'!E:AG,29,0),0)</f>
        <v>1511.12</v>
      </c>
      <c r="AG8" s="79">
        <f t="shared" si="3"/>
        <v>1834.8</v>
      </c>
      <c r="AH8" s="82">
        <f t="shared" si="4"/>
        <v>24513.26</v>
      </c>
      <c r="AI8" s="83"/>
      <c r="AJ8" s="82">
        <f t="shared" si="5"/>
        <v>24513.26</v>
      </c>
      <c r="AK8" s="84"/>
      <c r="AL8" s="82">
        <f t="shared" si="6"/>
        <v>26348.06</v>
      </c>
      <c r="AM8" s="84"/>
      <c r="AN8" s="84"/>
      <c r="AO8" s="84"/>
      <c r="AP8" s="84"/>
      <c r="AQ8" s="84"/>
      <c r="AR8" s="88" t="str">
        <f t="shared" si="7"/>
        <v>正确</v>
      </c>
      <c r="AS8" s="88" t="str">
        <f t="shared" si="8"/>
        <v>不</v>
      </c>
      <c r="AT8" s="88" t="str">
        <f t="shared" si="9"/>
        <v>重复</v>
      </c>
    </row>
    <row r="9" spans="1:46" s="10" customFormat="1" ht="18" customHeight="1">
      <c r="A9" s="24">
        <v>6</v>
      </c>
      <c r="B9" s="25" t="s">
        <v>191</v>
      </c>
      <c r="C9" s="25" t="s">
        <v>118</v>
      </c>
      <c r="D9" s="25" t="s">
        <v>192</v>
      </c>
      <c r="E9" s="25" t="s">
        <v>119</v>
      </c>
      <c r="F9" s="26" t="s">
        <v>193</v>
      </c>
      <c r="G9" s="33">
        <v>18037463616</v>
      </c>
      <c r="H9" s="28"/>
      <c r="I9" s="28"/>
      <c r="J9" s="56"/>
      <c r="K9" s="28"/>
      <c r="L9" s="60">
        <v>13572.63</v>
      </c>
      <c r="M9" s="58">
        <v>255.76</v>
      </c>
      <c r="N9" s="58">
        <v>65.02</v>
      </c>
      <c r="O9" s="58">
        <v>9.59</v>
      </c>
      <c r="P9" s="58">
        <v>445.06</v>
      </c>
      <c r="Q9" s="74">
        <f t="shared" si="0"/>
        <v>775.43</v>
      </c>
      <c r="R9" s="60">
        <v>0</v>
      </c>
      <c r="S9" s="75">
        <f>L9+IFERROR(VLOOKUP($E:$E,'（居民）工资表-2月'!$E:$S,15,0),0)</f>
        <v>27772.63</v>
      </c>
      <c r="T9" s="76">
        <f>5000+IFERROR(VLOOKUP($E:$E,'（居民）工资表-2月'!$E:$T,16,0),0)</f>
        <v>10000</v>
      </c>
      <c r="U9" s="76">
        <f>Q9+IFERROR(VLOOKUP($E:$E,'（居民）工资表-2月'!$E:$U,17,0),0)</f>
        <v>1645.89</v>
      </c>
      <c r="V9" s="60"/>
      <c r="W9" s="60"/>
      <c r="X9" s="60"/>
      <c r="Y9" s="60"/>
      <c r="Z9" s="60"/>
      <c r="AA9" s="60"/>
      <c r="AB9" s="75">
        <f t="shared" si="1"/>
        <v>0</v>
      </c>
      <c r="AC9" s="75">
        <f>R9+IFERROR(VLOOKUP($E:$E,'（居民）工资表-2月'!$E:$AC,25,0),0)</f>
        <v>0</v>
      </c>
      <c r="AD9" s="77">
        <f t="shared" si="2"/>
        <v>16126.74</v>
      </c>
      <c r="AE9" s="78">
        <f>ROUND(MAX((AD9)*{0.03;0.1;0.2;0.25;0.3;0.35;0.45}-{0;2520;16920;31920;52920;85920;181920},0),2)</f>
        <v>483.8</v>
      </c>
      <c r="AF9" s="79">
        <f>IFERROR(VLOOKUP(E:E,'（居民）工资表-2月'!E:AF,28,0)+VLOOKUP(E:E,'（居民）工资表-2月'!E:AG,29,0),0)</f>
        <v>249.89</v>
      </c>
      <c r="AG9" s="79">
        <f t="shared" si="3"/>
        <v>233.91</v>
      </c>
      <c r="AH9" s="82">
        <f t="shared" si="4"/>
        <v>12563.29</v>
      </c>
      <c r="AI9" s="83"/>
      <c r="AJ9" s="82">
        <f t="shared" si="5"/>
        <v>12563.29</v>
      </c>
      <c r="AK9" s="84"/>
      <c r="AL9" s="82">
        <f t="shared" si="6"/>
        <v>12797.2</v>
      </c>
      <c r="AM9" s="84"/>
      <c r="AN9" s="84"/>
      <c r="AO9" s="84"/>
      <c r="AP9" s="84"/>
      <c r="AQ9" s="84"/>
      <c r="AR9" s="88" t="str">
        <f t="shared" si="7"/>
        <v>正确</v>
      </c>
      <c r="AS9" s="88" t="str">
        <f t="shared" si="8"/>
        <v>不</v>
      </c>
      <c r="AT9" s="88" t="str">
        <f t="shared" si="9"/>
        <v>重复</v>
      </c>
    </row>
    <row r="10" spans="1:46" s="10" customFormat="1" ht="18" customHeight="1">
      <c r="A10" s="24">
        <v>7</v>
      </c>
      <c r="B10" s="25" t="s">
        <v>191</v>
      </c>
      <c r="C10" s="25" t="s">
        <v>120</v>
      </c>
      <c r="D10" s="25" t="s">
        <v>192</v>
      </c>
      <c r="E10" s="289" t="s">
        <v>121</v>
      </c>
      <c r="F10" s="26" t="s">
        <v>193</v>
      </c>
      <c r="G10" s="33">
        <v>18500634358</v>
      </c>
      <c r="H10" s="28"/>
      <c r="I10" s="28"/>
      <c r="J10" s="56"/>
      <c r="K10" s="28"/>
      <c r="L10" s="60">
        <v>14620</v>
      </c>
      <c r="M10" s="58">
        <v>255.76</v>
      </c>
      <c r="N10" s="58">
        <v>65.02</v>
      </c>
      <c r="O10" s="58">
        <v>9.59</v>
      </c>
      <c r="P10" s="58">
        <v>445.06</v>
      </c>
      <c r="Q10" s="74">
        <f t="shared" si="0"/>
        <v>775.43</v>
      </c>
      <c r="R10" s="60">
        <v>0</v>
      </c>
      <c r="S10" s="75">
        <f>L10+IFERROR(VLOOKUP($E:$E,'（居民）工资表-2月'!$E:$S,15,0),0)</f>
        <v>29120</v>
      </c>
      <c r="T10" s="76">
        <f>5000+IFERROR(VLOOKUP($E:$E,'（居民）工资表-2月'!$E:$T,16,0),0)</f>
        <v>10000</v>
      </c>
      <c r="U10" s="76">
        <f>Q10+IFERROR(VLOOKUP($E:$E,'（居民）工资表-2月'!$E:$U,17,0),0)</f>
        <v>1645.89</v>
      </c>
      <c r="V10" s="60"/>
      <c r="W10" s="60"/>
      <c r="X10" s="60"/>
      <c r="Y10" s="60"/>
      <c r="Z10" s="60"/>
      <c r="AA10" s="60"/>
      <c r="AB10" s="75">
        <f t="shared" si="1"/>
        <v>0</v>
      </c>
      <c r="AC10" s="75">
        <f>R10+IFERROR(VLOOKUP($E:$E,'（居民）工资表-2月'!$E:$AC,25,0),0)</f>
        <v>0</v>
      </c>
      <c r="AD10" s="77">
        <f t="shared" si="2"/>
        <v>17474.11</v>
      </c>
      <c r="AE10" s="78">
        <f>ROUND(MAX((AD10)*{0.03;0.1;0.2;0.25;0.3;0.35;0.45}-{0;2520;16920;31920;52920;85920;181920},0),2)</f>
        <v>524.22</v>
      </c>
      <c r="AF10" s="79">
        <f>IFERROR(VLOOKUP(E:E,'（居民）工资表-2月'!E:AF,28,0)+VLOOKUP(E:E,'（居民）工资表-2月'!E:AG,29,0),0)</f>
        <v>258.89</v>
      </c>
      <c r="AG10" s="79">
        <f t="shared" si="3"/>
        <v>265.33</v>
      </c>
      <c r="AH10" s="82">
        <f t="shared" si="4"/>
        <v>13579.24</v>
      </c>
      <c r="AI10" s="83"/>
      <c r="AJ10" s="82">
        <f t="shared" si="5"/>
        <v>13579.24</v>
      </c>
      <c r="AK10" s="84"/>
      <c r="AL10" s="82">
        <f t="shared" si="6"/>
        <v>13844.57</v>
      </c>
      <c r="AM10" s="84"/>
      <c r="AN10" s="84"/>
      <c r="AO10" s="84"/>
      <c r="AP10" s="84"/>
      <c r="AQ10" s="84"/>
      <c r="AR10" s="88" t="str">
        <f t="shared" si="7"/>
        <v>正确</v>
      </c>
      <c r="AS10" s="88" t="str">
        <f t="shared" si="8"/>
        <v>不</v>
      </c>
      <c r="AT10" s="88" t="str">
        <f t="shared" si="9"/>
        <v>重复</v>
      </c>
    </row>
    <row r="11" spans="1:46" s="10" customFormat="1" ht="18" customHeight="1">
      <c r="A11" s="24">
        <v>8</v>
      </c>
      <c r="B11" s="25" t="s">
        <v>191</v>
      </c>
      <c r="C11" s="25" t="s">
        <v>113</v>
      </c>
      <c r="D11" s="25" t="s">
        <v>192</v>
      </c>
      <c r="E11" s="25" t="s">
        <v>114</v>
      </c>
      <c r="F11" s="26" t="s">
        <v>193</v>
      </c>
      <c r="G11" s="33">
        <v>18738169923</v>
      </c>
      <c r="H11" s="28"/>
      <c r="I11" s="28"/>
      <c r="J11" s="56"/>
      <c r="K11" s="28"/>
      <c r="L11" s="60">
        <v>12120</v>
      </c>
      <c r="M11" s="58">
        <v>254.32</v>
      </c>
      <c r="N11" s="58">
        <v>64.66</v>
      </c>
      <c r="O11" s="58">
        <v>9.5399999999999991</v>
      </c>
      <c r="P11" s="58">
        <v>445.38</v>
      </c>
      <c r="Q11" s="74">
        <f t="shared" si="0"/>
        <v>773.9</v>
      </c>
      <c r="R11" s="60">
        <v>0</v>
      </c>
      <c r="S11" s="75">
        <f>L11+IFERROR(VLOOKUP($E:$E,'（居民）工资表-2月'!$E:$S,15,0),0)</f>
        <v>24120</v>
      </c>
      <c r="T11" s="76">
        <f>5000+IFERROR(VLOOKUP($E:$E,'（居民）工资表-2月'!$E:$T,16,0),0)</f>
        <v>10000</v>
      </c>
      <c r="U11" s="76">
        <f>Q11+IFERROR(VLOOKUP($E:$E,'（居民）工资表-2月'!$E:$U,17,0),0)</f>
        <v>1746.36</v>
      </c>
      <c r="V11" s="60"/>
      <c r="W11" s="60"/>
      <c r="X11" s="60"/>
      <c r="Y11" s="60"/>
      <c r="Z11" s="60"/>
      <c r="AA11" s="60"/>
      <c r="AB11" s="75">
        <f t="shared" si="1"/>
        <v>0</v>
      </c>
      <c r="AC11" s="75">
        <f>R11+IFERROR(VLOOKUP($E:$E,'（居民）工资表-2月'!$E:$AC,25,0),0)</f>
        <v>0</v>
      </c>
      <c r="AD11" s="77">
        <f t="shared" si="2"/>
        <v>12373.64</v>
      </c>
      <c r="AE11" s="78">
        <f>ROUND(MAX((AD11)*{0.03;0.1;0.2;0.25;0.3;0.35;0.45}-{0;2520;16920;31920;52920;85920;181920},0),2)</f>
        <v>371.21</v>
      </c>
      <c r="AF11" s="79">
        <f>IFERROR(VLOOKUP(E:E,'（居民）工资表-2月'!E:AF,28,0)+VLOOKUP(E:E,'（居民）工资表-2月'!E:AG,29,0),0)</f>
        <v>180.83</v>
      </c>
      <c r="AG11" s="79">
        <f t="shared" si="3"/>
        <v>190.38</v>
      </c>
      <c r="AH11" s="82">
        <f t="shared" si="4"/>
        <v>11155.72</v>
      </c>
      <c r="AI11" s="83"/>
      <c r="AJ11" s="82">
        <f t="shared" si="5"/>
        <v>11155.72</v>
      </c>
      <c r="AK11" s="84"/>
      <c r="AL11" s="82">
        <f t="shared" si="6"/>
        <v>11346.1</v>
      </c>
      <c r="AM11" s="84"/>
      <c r="AN11" s="84"/>
      <c r="AO11" s="84"/>
      <c r="AP11" s="84"/>
      <c r="AQ11" s="84"/>
      <c r="AR11" s="88" t="str">
        <f t="shared" si="7"/>
        <v>正确</v>
      </c>
      <c r="AS11" s="88" t="str">
        <f t="shared" si="8"/>
        <v>不</v>
      </c>
      <c r="AT11" s="88" t="str">
        <f t="shared" si="9"/>
        <v>重复</v>
      </c>
    </row>
    <row r="12" spans="1:46" s="10" customFormat="1" ht="18" customHeight="1">
      <c r="A12" s="24">
        <v>9</v>
      </c>
      <c r="B12" s="25" t="s">
        <v>191</v>
      </c>
      <c r="C12" s="25" t="s">
        <v>116</v>
      </c>
      <c r="D12" s="25" t="s">
        <v>192</v>
      </c>
      <c r="E12" s="25" t="s">
        <v>117</v>
      </c>
      <c r="F12" s="26" t="s">
        <v>193</v>
      </c>
      <c r="G12" s="33">
        <v>15001138812</v>
      </c>
      <c r="H12" s="28"/>
      <c r="I12" s="28"/>
      <c r="J12" s="56"/>
      <c r="K12" s="28"/>
      <c r="L12" s="60">
        <v>10120</v>
      </c>
      <c r="M12" s="58">
        <v>254.32</v>
      </c>
      <c r="N12" s="58">
        <v>64.66</v>
      </c>
      <c r="O12" s="58">
        <v>9.5399999999999991</v>
      </c>
      <c r="P12" s="58">
        <v>547.38</v>
      </c>
      <c r="Q12" s="74">
        <f t="shared" si="0"/>
        <v>875.9</v>
      </c>
      <c r="R12" s="60">
        <v>0</v>
      </c>
      <c r="S12" s="75">
        <f>L12+IFERROR(VLOOKUP($E:$E,'（居民）工资表-2月'!$E:$S,15,0),0)</f>
        <v>20120</v>
      </c>
      <c r="T12" s="76">
        <f>5000+IFERROR(VLOOKUP($E:$E,'（居民）工资表-2月'!$E:$T,16,0),0)</f>
        <v>10000</v>
      </c>
      <c r="U12" s="76">
        <f>Q12+IFERROR(VLOOKUP($E:$E,'（居民）工资表-2月'!$E:$U,17,0),0)</f>
        <v>1746.36</v>
      </c>
      <c r="V12" s="60"/>
      <c r="W12" s="60"/>
      <c r="X12" s="60"/>
      <c r="Y12" s="60"/>
      <c r="Z12" s="60"/>
      <c r="AA12" s="60"/>
      <c r="AB12" s="75">
        <f t="shared" si="1"/>
        <v>0</v>
      </c>
      <c r="AC12" s="75">
        <f>R12+IFERROR(VLOOKUP($E:$E,'（居民）工资表-2月'!$E:$AC,25,0),0)</f>
        <v>0</v>
      </c>
      <c r="AD12" s="77">
        <f t="shared" si="2"/>
        <v>8373.64</v>
      </c>
      <c r="AE12" s="78">
        <f>ROUND(MAX((AD12)*{0.03;0.1;0.2;0.25;0.3;0.35;0.45}-{0;2520;16920;31920;52920;85920;181920},0),2)</f>
        <v>251.21</v>
      </c>
      <c r="AF12" s="79">
        <f>IFERROR(VLOOKUP(E:E,'（居民）工资表-2月'!E:AF,28,0)+VLOOKUP(E:E,'（居民）工资表-2月'!E:AG,29,0),0)</f>
        <v>123.89</v>
      </c>
      <c r="AG12" s="79">
        <f t="shared" si="3"/>
        <v>127.32</v>
      </c>
      <c r="AH12" s="82">
        <f t="shared" si="4"/>
        <v>9116.7800000000007</v>
      </c>
      <c r="AI12" s="83"/>
      <c r="AJ12" s="82">
        <f t="shared" si="5"/>
        <v>9116.7800000000007</v>
      </c>
      <c r="AK12" s="84"/>
      <c r="AL12" s="82">
        <f t="shared" si="6"/>
        <v>9244.1</v>
      </c>
      <c r="AM12" s="84"/>
      <c r="AN12" s="84"/>
      <c r="AO12" s="84"/>
      <c r="AP12" s="84"/>
      <c r="AQ12" s="84"/>
      <c r="AR12" s="88" t="str">
        <f t="shared" si="7"/>
        <v>正确</v>
      </c>
      <c r="AS12" s="88" t="str">
        <f t="shared" si="8"/>
        <v>不</v>
      </c>
      <c r="AT12" s="88" t="str">
        <f t="shared" si="9"/>
        <v>重复</v>
      </c>
    </row>
    <row r="13" spans="1:46" s="10" customFormat="1" ht="18" customHeight="1">
      <c r="A13" s="24"/>
      <c r="B13" s="25"/>
      <c r="C13" s="104"/>
      <c r="D13" s="25"/>
      <c r="E13" s="105"/>
      <c r="F13" s="26"/>
      <c r="G13" s="27"/>
      <c r="H13" s="106"/>
      <c r="I13" s="106"/>
      <c r="J13" s="107"/>
      <c r="K13" s="106"/>
      <c r="L13" s="57"/>
      <c r="M13" s="57"/>
      <c r="N13" s="57"/>
      <c r="O13" s="57"/>
      <c r="P13" s="57"/>
      <c r="Q13" s="74"/>
      <c r="R13" s="60"/>
      <c r="S13" s="75"/>
      <c r="T13" s="76"/>
      <c r="U13" s="76"/>
      <c r="V13" s="60"/>
      <c r="W13" s="60"/>
      <c r="X13" s="60"/>
      <c r="Y13" s="60"/>
      <c r="Z13" s="60"/>
      <c r="AA13" s="60"/>
      <c r="AB13" s="75"/>
      <c r="AC13" s="75"/>
      <c r="AD13" s="77"/>
      <c r="AE13" s="78"/>
      <c r="AF13" s="79"/>
      <c r="AG13" s="79"/>
      <c r="AH13" s="82"/>
      <c r="AI13" s="83"/>
      <c r="AJ13" s="82"/>
      <c r="AK13" s="84"/>
      <c r="AL13" s="82"/>
      <c r="AM13" s="84"/>
      <c r="AN13" s="84"/>
      <c r="AO13" s="84"/>
      <c r="AP13" s="84"/>
      <c r="AQ13" s="84"/>
      <c r="AR13" s="88"/>
      <c r="AS13" s="88"/>
      <c r="AT13" s="88"/>
    </row>
    <row r="14" spans="1:46" s="11" customFormat="1" ht="18" customHeight="1">
      <c r="A14" s="34"/>
      <c r="B14" s="35" t="s">
        <v>198</v>
      </c>
      <c r="C14" s="35"/>
      <c r="D14" s="36"/>
      <c r="E14" s="37"/>
      <c r="F14" s="38"/>
      <c r="G14" s="39"/>
      <c r="H14" s="38"/>
      <c r="I14" s="61"/>
      <c r="J14" s="62"/>
      <c r="K14" s="61"/>
      <c r="L14" s="63">
        <f>SUM(L4:L13)</f>
        <v>122949.13</v>
      </c>
      <c r="M14" s="63">
        <f t="shared" ref="M14:AL14" si="10">SUM(M4:M13)</f>
        <v>2603.85</v>
      </c>
      <c r="N14" s="63">
        <f t="shared" si="10"/>
        <v>692.52</v>
      </c>
      <c r="O14" s="63">
        <f t="shared" si="10"/>
        <v>88.48</v>
      </c>
      <c r="P14" s="63">
        <f t="shared" si="10"/>
        <v>2295.96</v>
      </c>
      <c r="Q14" s="63">
        <f t="shared" si="10"/>
        <v>5680.81</v>
      </c>
      <c r="R14" s="63">
        <f t="shared" si="10"/>
        <v>0</v>
      </c>
      <c r="S14" s="63">
        <f t="shared" si="10"/>
        <v>334297.13</v>
      </c>
      <c r="T14" s="63">
        <f t="shared" si="10"/>
        <v>115000</v>
      </c>
      <c r="U14" s="63">
        <f t="shared" si="10"/>
        <v>15096.94</v>
      </c>
      <c r="V14" s="63">
        <f t="shared" si="10"/>
        <v>12000</v>
      </c>
      <c r="W14" s="63">
        <f t="shared" si="10"/>
        <v>6000</v>
      </c>
      <c r="X14" s="63">
        <f t="shared" si="10"/>
        <v>9000</v>
      </c>
      <c r="Y14" s="63">
        <f t="shared" si="10"/>
        <v>4500</v>
      </c>
      <c r="Z14" s="63">
        <f t="shared" si="10"/>
        <v>0</v>
      </c>
      <c r="AA14" s="63">
        <f t="shared" si="10"/>
        <v>0</v>
      </c>
      <c r="AB14" s="63">
        <f t="shared" si="10"/>
        <v>31500</v>
      </c>
      <c r="AC14" s="63">
        <f t="shared" si="10"/>
        <v>0</v>
      </c>
      <c r="AD14" s="63">
        <f t="shared" si="10"/>
        <v>172700.19</v>
      </c>
      <c r="AE14" s="63">
        <f t="shared" si="10"/>
        <v>8508.36</v>
      </c>
      <c r="AF14" s="63">
        <f t="shared" si="10"/>
        <v>4172.99</v>
      </c>
      <c r="AG14" s="63">
        <f t="shared" si="10"/>
        <v>4335.37</v>
      </c>
      <c r="AH14" s="63">
        <f t="shared" si="10"/>
        <v>112932.95</v>
      </c>
      <c r="AI14" s="63">
        <f t="shared" si="10"/>
        <v>0</v>
      </c>
      <c r="AJ14" s="63">
        <f t="shared" si="10"/>
        <v>112932.95</v>
      </c>
      <c r="AK14" s="63">
        <f t="shared" si="10"/>
        <v>0</v>
      </c>
      <c r="AL14" s="63">
        <f t="shared" si="10"/>
        <v>117268.32</v>
      </c>
      <c r="AM14" s="85"/>
      <c r="AN14" s="85"/>
      <c r="AO14" s="85"/>
      <c r="AP14" s="85"/>
      <c r="AQ14" s="85"/>
      <c r="AR14" s="38"/>
      <c r="AS14" s="38"/>
      <c r="AT14" s="89"/>
    </row>
    <row r="17" spans="1:35">
      <c r="AD17" s="80"/>
    </row>
    <row r="18" spans="1:35" ht="18.75" customHeight="1">
      <c r="B18" s="40" t="s">
        <v>172</v>
      </c>
      <c r="C18" s="40" t="s">
        <v>199</v>
      </c>
      <c r="D18" s="40" t="s">
        <v>57</v>
      </c>
      <c r="E18" s="40" t="s">
        <v>58</v>
      </c>
      <c r="AD18" s="8"/>
    </row>
    <row r="19" spans="1:35" ht="18.75" customHeight="1">
      <c r="B19" s="41">
        <f>AJ14</f>
        <v>112932.95</v>
      </c>
      <c r="C19" s="41">
        <f>AG14</f>
        <v>4335.37</v>
      </c>
      <c r="D19" s="41">
        <f>AK14</f>
        <v>0</v>
      </c>
      <c r="E19" s="41">
        <f>B19+C19+D19</f>
        <v>117268.32</v>
      </c>
    </row>
    <row r="20" spans="1:35">
      <c r="B20" s="42"/>
      <c r="C20" s="42"/>
      <c r="D20" s="42"/>
      <c r="E20" s="42">
        <f>社保1!BC14</f>
        <v>9778.82</v>
      </c>
    </row>
    <row r="21" spans="1:35" s="12" customFormat="1">
      <c r="A21" s="43" t="s">
        <v>200</v>
      </c>
      <c r="B21" s="44" t="s">
        <v>201</v>
      </c>
      <c r="C21" s="45"/>
      <c r="D21" s="45"/>
      <c r="E21" s="45"/>
      <c r="G21" s="46"/>
      <c r="J21" s="64"/>
      <c r="M21" s="65"/>
      <c r="AI21" s="86"/>
    </row>
    <row r="22" spans="1:35" s="12" customFormat="1">
      <c r="A22" s="47"/>
      <c r="B22" s="48" t="s">
        <v>202</v>
      </c>
      <c r="C22" s="45"/>
      <c r="D22" s="45"/>
      <c r="E22" s="45"/>
      <c r="G22" s="46"/>
      <c r="J22" s="64"/>
      <c r="M22" s="65"/>
      <c r="AI22" s="86"/>
    </row>
    <row r="23" spans="1:35" s="12" customFormat="1">
      <c r="A23" s="44"/>
      <c r="B23" s="48" t="s">
        <v>203</v>
      </c>
      <c r="C23" s="49"/>
      <c r="D23" s="49"/>
      <c r="E23" s="49"/>
      <c r="F23" s="49"/>
      <c r="G23" s="49"/>
      <c r="H23" s="49"/>
      <c r="I23" s="49"/>
      <c r="J23" s="66"/>
      <c r="K23" s="49"/>
      <c r="L23" s="49"/>
      <c r="M23" s="67"/>
      <c r="N23" s="49"/>
      <c r="O23" s="49"/>
      <c r="P23" s="49"/>
      <c r="AI23" s="86"/>
    </row>
    <row r="24" spans="1:35" s="12" customFormat="1" ht="13.5" customHeight="1">
      <c r="A24" s="48"/>
      <c r="B24" s="48" t="s">
        <v>204</v>
      </c>
      <c r="C24" s="50"/>
      <c r="D24" s="50"/>
      <c r="E24" s="50"/>
      <c r="F24" s="50"/>
      <c r="G24" s="50"/>
      <c r="H24" s="50"/>
      <c r="I24" s="68"/>
      <c r="J24" s="69"/>
      <c r="K24" s="68"/>
      <c r="L24" s="68"/>
      <c r="M24" s="70"/>
      <c r="N24" s="68"/>
      <c r="O24" s="68"/>
      <c r="P24" s="68"/>
      <c r="AI24" s="86"/>
    </row>
    <row r="25" spans="1:35" s="12" customFormat="1" ht="13.5" customHeight="1">
      <c r="A25" s="48"/>
      <c r="B25" s="48" t="s">
        <v>205</v>
      </c>
      <c r="C25" s="50"/>
      <c r="D25" s="50"/>
      <c r="E25" s="50"/>
      <c r="F25" s="50"/>
      <c r="G25" s="50"/>
      <c r="H25" s="50"/>
      <c r="I25" s="50"/>
      <c r="J25" s="71"/>
      <c r="K25" s="50"/>
      <c r="L25" s="68"/>
      <c r="M25" s="70"/>
      <c r="N25" s="68"/>
      <c r="O25" s="68"/>
      <c r="P25" s="68"/>
      <c r="AI25" s="86"/>
    </row>
    <row r="26" spans="1:35" s="12" customFormat="1" ht="13.5" customHeight="1">
      <c r="A26" s="48"/>
      <c r="B26" s="48" t="s">
        <v>206</v>
      </c>
      <c r="C26" s="50"/>
      <c r="D26" s="50"/>
      <c r="E26" s="50"/>
      <c r="F26" s="50"/>
      <c r="G26" s="50"/>
      <c r="H26" s="50"/>
      <c r="I26" s="68"/>
      <c r="J26" s="69"/>
      <c r="K26" s="68"/>
      <c r="L26" s="68"/>
      <c r="M26" s="70"/>
      <c r="N26" s="68"/>
      <c r="O26" s="68"/>
      <c r="P26" s="68"/>
      <c r="AI26" s="86"/>
    </row>
    <row r="28" spans="1:35" ht="11.25" customHeight="1">
      <c r="B28" s="51" t="s">
        <v>207</v>
      </c>
    </row>
    <row r="29" spans="1:35">
      <c r="B29" s="52" t="s">
        <v>208</v>
      </c>
    </row>
    <row r="30" spans="1:35">
      <c r="B30" s="52" t="s">
        <v>209</v>
      </c>
    </row>
  </sheetData>
  <autoFilter ref="A3:AT14"/>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8" type="noConversion"/>
  <conditionalFormatting sqref="B26">
    <cfRule type="duplicateValues" dxfId="20" priority="2" stopIfTrue="1"/>
  </conditionalFormatting>
  <conditionalFormatting sqref="B21:B25">
    <cfRule type="duplicateValues" dxfId="19" priority="3" stopIfTrue="1"/>
  </conditionalFormatting>
  <conditionalFormatting sqref="B29:B30">
    <cfRule type="duplicateValues" dxfId="18" priority="1" stopIfTrue="1"/>
  </conditionalFormatting>
  <conditionalFormatting sqref="C18:C20">
    <cfRule type="duplicateValues" dxfId="17" priority="4" stopIfTrue="1"/>
    <cfRule type="expression" dxfId="16" priority="5" stopIfTrue="1">
      <formula>AND(COUNTIF($B$14:$B$65450,C18)+COUNTIF($B$1:$B$3,C18)&gt;1,NOT(ISBLANK(C18)))</formula>
    </cfRule>
    <cfRule type="expression" dxfId="15" priority="6" stopIfTrue="1">
      <formula>AND(COUNTIF($B$25:$B$65401,C18)+COUNTIF($B$1:$B$24,C18)&gt;1,NOT(ISBLANK(C18)))</formula>
    </cfRule>
    <cfRule type="expression" dxfId="14" priority="7" stopIfTrue="1">
      <formula>AND(COUNTIF($B$14:$B$65439,C18)+COUNTIF($B$1:$B$3,C18)&gt;1,NOT(ISBLANK(C18)))</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34"/>
  <sheetViews>
    <sheetView workbookViewId="0">
      <pane xSplit="6" ySplit="3" topLeftCell="U4" activePane="bottomRight" state="frozen"/>
      <selection pane="topRight"/>
      <selection pane="bottomLeft"/>
      <selection pane="bottomRight" activeCell="F18" sqref="F18"/>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875" style="13" customWidth="1" outlineLevel="1"/>
    <col min="14" max="15" width="9" style="13" customWidth="1" outlineLevel="1"/>
    <col min="16" max="16" width="11.125" style="13" customWidth="1" outlineLevel="1"/>
    <col min="17" max="17" width="9.75" style="13" customWidth="1"/>
    <col min="18" max="18" width="9.5" style="13" customWidth="1"/>
    <col min="19" max="19" width="11.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144</v>
      </c>
      <c r="B1" s="19"/>
      <c r="C1" s="20"/>
      <c r="D1" s="21"/>
      <c r="E1" s="22"/>
      <c r="F1" s="22"/>
      <c r="G1" s="23"/>
      <c r="J1" s="53"/>
      <c r="L1" s="54"/>
      <c r="M1" s="352" t="s">
        <v>145</v>
      </c>
      <c r="N1" s="352"/>
      <c r="O1" s="352"/>
      <c r="P1" s="352"/>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59" t="s">
        <v>18</v>
      </c>
      <c r="B2" s="361" t="s">
        <v>146</v>
      </c>
      <c r="C2" s="363" t="s">
        <v>147</v>
      </c>
      <c r="D2" s="363" t="s">
        <v>148</v>
      </c>
      <c r="E2" s="365" t="s">
        <v>149</v>
      </c>
      <c r="F2" s="367" t="s">
        <v>150</v>
      </c>
      <c r="G2" s="365" t="s">
        <v>151</v>
      </c>
      <c r="H2" s="365" t="s">
        <v>152</v>
      </c>
      <c r="I2" s="365" t="s">
        <v>153</v>
      </c>
      <c r="J2" s="369" t="s">
        <v>154</v>
      </c>
      <c r="K2" s="365" t="s">
        <v>155</v>
      </c>
      <c r="L2" s="365" t="s">
        <v>156</v>
      </c>
      <c r="M2" s="353" t="s">
        <v>157</v>
      </c>
      <c r="N2" s="354"/>
      <c r="O2" s="354"/>
      <c r="P2" s="355"/>
      <c r="Q2" s="367" t="s">
        <v>158</v>
      </c>
      <c r="R2" s="365" t="s">
        <v>159</v>
      </c>
      <c r="S2" s="367" t="s">
        <v>160</v>
      </c>
      <c r="T2" s="371" t="s">
        <v>161</v>
      </c>
      <c r="U2" s="367" t="s">
        <v>162</v>
      </c>
      <c r="V2" s="356" t="s">
        <v>163</v>
      </c>
      <c r="W2" s="357"/>
      <c r="X2" s="357"/>
      <c r="Y2" s="357"/>
      <c r="Z2" s="357"/>
      <c r="AA2" s="358"/>
      <c r="AB2" s="367" t="s">
        <v>164</v>
      </c>
      <c r="AC2" s="367" t="s">
        <v>165</v>
      </c>
      <c r="AD2" s="371" t="s">
        <v>166</v>
      </c>
      <c r="AE2" s="371" t="s">
        <v>167</v>
      </c>
      <c r="AF2" s="371" t="s">
        <v>168</v>
      </c>
      <c r="AG2" s="371" t="s">
        <v>169</v>
      </c>
      <c r="AH2" s="373" t="s">
        <v>170</v>
      </c>
      <c r="AI2" s="375" t="s">
        <v>171</v>
      </c>
      <c r="AJ2" s="373" t="s">
        <v>172</v>
      </c>
      <c r="AK2" s="363" t="s">
        <v>57</v>
      </c>
      <c r="AL2" s="373" t="s">
        <v>173</v>
      </c>
      <c r="AM2" s="365" t="s">
        <v>174</v>
      </c>
      <c r="AN2" s="365" t="s">
        <v>175</v>
      </c>
      <c r="AO2" s="377" t="s">
        <v>176</v>
      </c>
      <c r="AP2" s="365" t="s">
        <v>177</v>
      </c>
      <c r="AQ2" s="365" t="s">
        <v>178</v>
      </c>
      <c r="AR2" s="367" t="s">
        <v>179</v>
      </c>
      <c r="AS2" s="367" t="s">
        <v>180</v>
      </c>
      <c r="AT2" s="367" t="s">
        <v>181</v>
      </c>
    </row>
    <row r="3" spans="1:46" s="9" customFormat="1" ht="27" customHeight="1">
      <c r="A3" s="360"/>
      <c r="B3" s="362"/>
      <c r="C3" s="364"/>
      <c r="D3" s="364"/>
      <c r="E3" s="366"/>
      <c r="F3" s="368"/>
      <c r="G3" s="366"/>
      <c r="H3" s="366"/>
      <c r="I3" s="366"/>
      <c r="J3" s="370"/>
      <c r="K3" s="366"/>
      <c r="L3" s="366"/>
      <c r="M3" s="55" t="s">
        <v>182</v>
      </c>
      <c r="N3" s="55" t="s">
        <v>183</v>
      </c>
      <c r="O3" s="55" t="s">
        <v>184</v>
      </c>
      <c r="P3" s="55" t="s">
        <v>70</v>
      </c>
      <c r="Q3" s="368"/>
      <c r="R3" s="366"/>
      <c r="S3" s="368"/>
      <c r="T3" s="372"/>
      <c r="U3" s="368"/>
      <c r="V3" s="73" t="s">
        <v>185</v>
      </c>
      <c r="W3" s="73" t="s">
        <v>186</v>
      </c>
      <c r="X3" s="73" t="s">
        <v>187</v>
      </c>
      <c r="Y3" s="73" t="s">
        <v>188</v>
      </c>
      <c r="Z3" s="73" t="s">
        <v>189</v>
      </c>
      <c r="AA3" s="73" t="s">
        <v>190</v>
      </c>
      <c r="AB3" s="368"/>
      <c r="AC3" s="368"/>
      <c r="AD3" s="372"/>
      <c r="AE3" s="372"/>
      <c r="AF3" s="372"/>
      <c r="AG3" s="372"/>
      <c r="AH3" s="374"/>
      <c r="AI3" s="376"/>
      <c r="AJ3" s="374"/>
      <c r="AK3" s="364"/>
      <c r="AL3" s="374"/>
      <c r="AM3" s="366"/>
      <c r="AN3" s="366"/>
      <c r="AO3" s="378"/>
      <c r="AP3" s="366"/>
      <c r="AQ3" s="366"/>
      <c r="AR3" s="368"/>
      <c r="AS3" s="368"/>
      <c r="AT3" s="368"/>
    </row>
    <row r="4" spans="1:46" s="10" customFormat="1" ht="18" customHeight="1">
      <c r="A4" s="24">
        <v>1</v>
      </c>
      <c r="B4" s="25" t="s">
        <v>191</v>
      </c>
      <c r="C4" s="25" t="s">
        <v>75</v>
      </c>
      <c r="D4" s="25" t="s">
        <v>192</v>
      </c>
      <c r="E4" s="25" t="s">
        <v>76</v>
      </c>
      <c r="F4" s="26" t="s">
        <v>193</v>
      </c>
      <c r="G4" s="27">
        <v>18035163638</v>
      </c>
      <c r="H4" s="28"/>
      <c r="I4" s="28"/>
      <c r="J4" s="56"/>
      <c r="K4" s="28"/>
      <c r="L4" s="57">
        <v>11010</v>
      </c>
      <c r="M4" s="58">
        <v>264</v>
      </c>
      <c r="N4" s="58">
        <v>9.9</v>
      </c>
      <c r="O4" s="58">
        <v>66</v>
      </c>
      <c r="P4" s="58">
        <v>180</v>
      </c>
      <c r="Q4" s="74">
        <f t="shared" ref="Q4:Q16" si="0">ROUND(SUM(M4:P4),2)</f>
        <v>519.9</v>
      </c>
      <c r="R4" s="60">
        <v>0</v>
      </c>
      <c r="S4" s="75">
        <f>L4+IFERROR(VLOOKUP($E:$E,'（居民）工资表-3月'!$E:$S,15,0),0)</f>
        <v>36780</v>
      </c>
      <c r="T4" s="76">
        <f>5000+IFERROR(VLOOKUP($E:$E,'（居民）工资表-3月'!$E:$T,16,0),0)</f>
        <v>20000</v>
      </c>
      <c r="U4" s="76">
        <f>Q4+IFERROR(VLOOKUP($E:$E,'（居民）工资表-3月'!$E:$U,17,0),0)</f>
        <v>2079.6</v>
      </c>
      <c r="V4" s="60">
        <v>4000</v>
      </c>
      <c r="W4" s="60"/>
      <c r="X4" s="60">
        <v>4000</v>
      </c>
      <c r="Y4" s="60"/>
      <c r="Z4" s="60"/>
      <c r="AA4" s="60"/>
      <c r="AB4" s="75">
        <f t="shared" ref="AB4:AB16" si="1">ROUND(SUM(V4:AA4),2)</f>
        <v>8000</v>
      </c>
      <c r="AC4" s="75">
        <f>R4+IFERROR(VLOOKUP($E:$E,'（居民）工资表-3月'!$E:$AC,25,0),0)</f>
        <v>0</v>
      </c>
      <c r="AD4" s="77">
        <f t="shared" ref="AD4:AD16" si="2">ROUND(S4-T4-U4-AB4-AC4,2)</f>
        <v>6700.4</v>
      </c>
      <c r="AE4" s="78">
        <f>ROUND(MAX((AD4)*{0.03;0.1;0.2;0.25;0.3;0.35;0.45}-{0;2520;16920;31920;52920;85920;181920},0),2)</f>
        <v>201.01</v>
      </c>
      <c r="AF4" s="79">
        <f>IFERROR(VLOOKUP(E:E,'（居民）工资表-3月'!E:AF,28,0)+VLOOKUP(E:E,'（居民）工资表-3月'!E:AG,29,0),0)</f>
        <v>96.31</v>
      </c>
      <c r="AG4" s="79">
        <f t="shared" ref="AG4:AG16" si="3">IF((AE4-AF4)&lt;0,0,AE4-AF4)</f>
        <v>104.69999999999999</v>
      </c>
      <c r="AH4" s="82">
        <f t="shared" ref="AH4:AH16" si="4">ROUND(IF((L4-Q4-AG4)&lt;0,0,(L4-Q4-AG4)),2)</f>
        <v>10385.4</v>
      </c>
      <c r="AI4" s="83"/>
      <c r="AJ4" s="82">
        <f t="shared" ref="AJ4:AJ16" si="5">AH4+AI4</f>
        <v>10385.4</v>
      </c>
      <c r="AK4" s="84"/>
      <c r="AL4" s="82">
        <f t="shared" ref="AL4:AL16" si="6">AJ4+AG4+AK4</f>
        <v>10490.1</v>
      </c>
      <c r="AM4" s="84"/>
      <c r="AN4" s="84"/>
      <c r="AO4" s="84"/>
      <c r="AP4" s="84"/>
      <c r="AQ4" s="84"/>
      <c r="AR4" s="88" t="str">
        <f t="shared" ref="AR4:AR12"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 t="shared" ref="AS4:AS12" si="8">IF(SUMPRODUCT(N(E$1:E$6=E4))&gt;1,"重复","不")</f>
        <v>不</v>
      </c>
      <c r="AT4" s="88" t="str">
        <f t="shared" ref="AT4:AT12" si="9">IF(SUMPRODUCT(N(AO$1:AO$6=AO4))&gt;1,"重复","不")</f>
        <v>重复</v>
      </c>
    </row>
    <row r="5" spans="1:46" s="10" customFormat="1" ht="18" customHeight="1">
      <c r="A5" s="24">
        <v>2</v>
      </c>
      <c r="B5" s="25" t="s">
        <v>191</v>
      </c>
      <c r="C5" s="25" t="s">
        <v>93</v>
      </c>
      <c r="D5" s="25" t="s">
        <v>192</v>
      </c>
      <c r="E5" s="25" t="s">
        <v>94</v>
      </c>
      <c r="F5" s="26" t="s">
        <v>193</v>
      </c>
      <c r="G5" s="27">
        <v>13944441728</v>
      </c>
      <c r="H5" s="28"/>
      <c r="I5" s="28"/>
      <c r="J5" s="56"/>
      <c r="K5" s="28"/>
      <c r="L5" s="57">
        <v>7000</v>
      </c>
      <c r="M5" s="58">
        <v>268.81</v>
      </c>
      <c r="N5" s="58">
        <v>10.08</v>
      </c>
      <c r="O5" s="58">
        <v>105.06</v>
      </c>
      <c r="P5" s="58">
        <v>91</v>
      </c>
      <c r="Q5" s="74">
        <f t="shared" si="0"/>
        <v>474.95</v>
      </c>
      <c r="R5" s="60">
        <v>0</v>
      </c>
      <c r="S5" s="75">
        <f>L5+IFERROR(VLOOKUP($E:$E,'（居民）工资表-3月'!$E:$S,15,0),0)</f>
        <v>28000</v>
      </c>
      <c r="T5" s="76">
        <f>5000+IFERROR(VLOOKUP($E:$E,'（居民）工资表-3月'!$E:$T,16,0),0)</f>
        <v>20000</v>
      </c>
      <c r="U5" s="76">
        <f>Q5+IFERROR(VLOOKUP($E:$E,'（居民）工资表-3月'!$E:$U,17,0),0)</f>
        <v>1731.8</v>
      </c>
      <c r="V5" s="60"/>
      <c r="W5" s="60"/>
      <c r="X5" s="60">
        <v>4000</v>
      </c>
      <c r="Y5" s="60"/>
      <c r="Z5" s="60"/>
      <c r="AA5" s="60"/>
      <c r="AB5" s="75">
        <f t="shared" si="1"/>
        <v>4000</v>
      </c>
      <c r="AC5" s="75">
        <f>R5+IFERROR(VLOOKUP($E:$E,'（居民）工资表-3月'!$E:$AC,25,0),0)</f>
        <v>0</v>
      </c>
      <c r="AD5" s="77">
        <f t="shared" si="2"/>
        <v>2268.1999999999998</v>
      </c>
      <c r="AE5" s="78">
        <f>ROUND(MAX((AD5)*{0.03;0.1;0.2;0.25;0.3;0.35;0.45}-{0;2520;16920;31920;52920;85920;181920},0),2)</f>
        <v>68.05</v>
      </c>
      <c r="AF5" s="79">
        <f>IFERROR(VLOOKUP(E:E,'（居民）工资表-3月'!E:AF,28,0)+VLOOKUP(E:E,'（居民）工资表-3月'!E:AG,29,0),0)</f>
        <v>52.29</v>
      </c>
      <c r="AG5" s="79">
        <f t="shared" si="3"/>
        <v>15.759999999999998</v>
      </c>
      <c r="AH5" s="82">
        <f t="shared" si="4"/>
        <v>6509.29</v>
      </c>
      <c r="AI5" s="83"/>
      <c r="AJ5" s="82">
        <f t="shared" si="5"/>
        <v>6509.29</v>
      </c>
      <c r="AK5" s="84"/>
      <c r="AL5" s="82">
        <f t="shared" si="6"/>
        <v>6525.05</v>
      </c>
      <c r="AM5" s="84"/>
      <c r="AN5" s="84"/>
      <c r="AO5" s="84"/>
      <c r="AP5" s="84"/>
      <c r="AQ5" s="84"/>
      <c r="AR5" s="88" t="str">
        <f t="shared" si="7"/>
        <v>正确</v>
      </c>
      <c r="AS5" s="88" t="str">
        <f t="shared" si="8"/>
        <v>不</v>
      </c>
      <c r="AT5" s="88" t="str">
        <f t="shared" si="9"/>
        <v>重复</v>
      </c>
    </row>
    <row r="6" spans="1:46" s="10" customFormat="1" ht="18" customHeight="1">
      <c r="A6" s="24">
        <v>3</v>
      </c>
      <c r="B6" s="25" t="s">
        <v>191</v>
      </c>
      <c r="C6" s="25" t="s">
        <v>107</v>
      </c>
      <c r="D6" s="25" t="s">
        <v>192</v>
      </c>
      <c r="E6" s="289" t="s">
        <v>108</v>
      </c>
      <c r="F6" s="26" t="str">
        <f>IF(MOD(MID(E6,17,1),2)=1,"男","女")</f>
        <v>女</v>
      </c>
      <c r="G6" s="27">
        <v>15360550807</v>
      </c>
      <c r="H6" s="28"/>
      <c r="I6" s="28"/>
      <c r="J6" s="56"/>
      <c r="K6" s="28"/>
      <c r="L6" s="57">
        <v>5700</v>
      </c>
      <c r="M6" s="58">
        <v>367.04</v>
      </c>
      <c r="N6" s="58">
        <v>4.5999999999999996</v>
      </c>
      <c r="O6" s="58">
        <v>135.13999999999999</v>
      </c>
      <c r="P6" s="58">
        <v>115</v>
      </c>
      <c r="Q6" s="74">
        <f t="shared" si="0"/>
        <v>621.78</v>
      </c>
      <c r="R6" s="60">
        <v>0</v>
      </c>
      <c r="S6" s="75">
        <f>L6+IFERROR(VLOOKUP($E:$E,'（居民）工资表-3月'!$E:$S,15,0),0)</f>
        <v>22800</v>
      </c>
      <c r="T6" s="76">
        <f>5000+IFERROR(VLOOKUP($E:$E,'（居民）工资表-3月'!$E:$T,16,0),0)</f>
        <v>20000</v>
      </c>
      <c r="U6" s="76">
        <f>Q6+IFERROR(VLOOKUP($E:$E,'（居民）工资表-3月'!$E:$U,17,0),0)</f>
        <v>2516.3999999999996</v>
      </c>
      <c r="V6" s="60"/>
      <c r="W6" s="60"/>
      <c r="X6" s="60"/>
      <c r="Y6" s="60">
        <v>6000</v>
      </c>
      <c r="Z6" s="60"/>
      <c r="AA6" s="60"/>
      <c r="AB6" s="75">
        <f t="shared" si="1"/>
        <v>6000</v>
      </c>
      <c r="AC6" s="75">
        <f>R6+IFERROR(VLOOKUP($E:$E,'（居民）工资表-3月'!$E:$AC,25,0),0)</f>
        <v>0</v>
      </c>
      <c r="AD6" s="77">
        <f t="shared" si="2"/>
        <v>-5716.4</v>
      </c>
      <c r="AE6" s="78">
        <f>ROUND(MAX((AD6)*{0.03;0.1;0.2;0.25;0.3;0.35;0.45}-{0;2520;16920;31920;52920;85920;181920},0),2)</f>
        <v>0</v>
      </c>
      <c r="AF6" s="79">
        <f>IFERROR(VLOOKUP(E:E,'（居民）工资表-3月'!E:AF,28,0)+VLOOKUP(E:E,'（居民）工资表-3月'!E:AG,29,0),0)</f>
        <v>0</v>
      </c>
      <c r="AG6" s="79">
        <f t="shared" si="3"/>
        <v>0</v>
      </c>
      <c r="AH6" s="82">
        <f t="shared" si="4"/>
        <v>5078.22</v>
      </c>
      <c r="AI6" s="83"/>
      <c r="AJ6" s="82">
        <f t="shared" si="5"/>
        <v>5078.22</v>
      </c>
      <c r="AK6" s="84"/>
      <c r="AL6" s="82">
        <f t="shared" si="6"/>
        <v>5078.22</v>
      </c>
      <c r="AM6" s="84"/>
      <c r="AN6" s="84"/>
      <c r="AO6" s="84"/>
      <c r="AP6" s="84"/>
      <c r="AQ6" s="84"/>
      <c r="AR6" s="88" t="str">
        <f t="shared" si="7"/>
        <v>正确</v>
      </c>
      <c r="AS6" s="88" t="str">
        <f t="shared" si="8"/>
        <v>不</v>
      </c>
      <c r="AT6" s="88" t="str">
        <f t="shared" si="9"/>
        <v>重复</v>
      </c>
    </row>
    <row r="7" spans="1:46" s="10" customFormat="1" ht="18" customHeight="1">
      <c r="A7" s="24">
        <v>4</v>
      </c>
      <c r="B7" s="25" t="s">
        <v>191</v>
      </c>
      <c r="C7" s="25" t="s">
        <v>253</v>
      </c>
      <c r="D7" s="25" t="s">
        <v>192</v>
      </c>
      <c r="E7" s="289" t="s">
        <v>254</v>
      </c>
      <c r="F7" s="26" t="s">
        <v>193</v>
      </c>
      <c r="G7" s="27">
        <v>18607383005</v>
      </c>
      <c r="H7" s="28"/>
      <c r="I7" s="28"/>
      <c r="J7" s="56"/>
      <c r="K7" s="28"/>
      <c r="L7" s="57">
        <v>25000</v>
      </c>
      <c r="M7" s="58">
        <v>320</v>
      </c>
      <c r="N7" s="58">
        <v>12</v>
      </c>
      <c r="O7" s="58">
        <v>80</v>
      </c>
      <c r="P7" s="58">
        <v>200</v>
      </c>
      <c r="Q7" s="74">
        <f t="shared" si="0"/>
        <v>612</v>
      </c>
      <c r="R7" s="60">
        <v>0</v>
      </c>
      <c r="S7" s="75">
        <f>L7+IFERROR(VLOOKUP($E:$E,'（居民）工资表-3月'!$E:$S,15,0),0)</f>
        <v>110000</v>
      </c>
      <c r="T7" s="76">
        <f>5000+IFERROR(VLOOKUP($E:$E,'（居民）工资表-3月'!$E:$T,16,0),0)</f>
        <v>20000</v>
      </c>
      <c r="U7" s="76">
        <f>Q7+IFERROR(VLOOKUP($E:$E,'（居民）工资表-3月'!$E:$U,17,0),0)</f>
        <v>2578</v>
      </c>
      <c r="V7" s="60">
        <v>8000</v>
      </c>
      <c r="W7" s="60">
        <v>4000</v>
      </c>
      <c r="X7" s="60"/>
      <c r="Y7" s="60"/>
      <c r="Z7" s="60"/>
      <c r="AA7" s="60"/>
      <c r="AB7" s="75">
        <f t="shared" si="1"/>
        <v>12000</v>
      </c>
      <c r="AC7" s="75">
        <f>R7+IFERROR(VLOOKUP($E:$E,'（居民）工资表-3月'!$E:$AC,25,0),0)</f>
        <v>0</v>
      </c>
      <c r="AD7" s="77">
        <f t="shared" si="2"/>
        <v>75422</v>
      </c>
      <c r="AE7" s="78">
        <f>ROUND(MAX((AD7)*{0.03;0.1;0.2;0.25;0.3;0.35;0.45}-{0;2520;16920;31920;52920;85920;181920},0),2)</f>
        <v>5022.2</v>
      </c>
      <c r="AF7" s="79">
        <f>IFERROR(VLOOKUP(E:E,'（居民）工资表-3月'!E:AF,28,0)+VLOOKUP(E:E,'（居民）工资表-3月'!E:AG,29,0),0)</f>
        <v>3383.3999999999996</v>
      </c>
      <c r="AG7" s="79">
        <f t="shared" si="3"/>
        <v>1638.8000000000002</v>
      </c>
      <c r="AH7" s="82">
        <f t="shared" si="4"/>
        <v>22749.200000000001</v>
      </c>
      <c r="AI7" s="83"/>
      <c r="AJ7" s="82">
        <f t="shared" si="5"/>
        <v>22749.200000000001</v>
      </c>
      <c r="AK7" s="84"/>
      <c r="AL7" s="82">
        <f t="shared" si="6"/>
        <v>24388</v>
      </c>
      <c r="AM7" s="84"/>
      <c r="AN7" s="84"/>
      <c r="AO7" s="84"/>
      <c r="AP7" s="84"/>
      <c r="AQ7" s="84"/>
      <c r="AR7" s="88" t="str">
        <f t="shared" si="7"/>
        <v>正确</v>
      </c>
      <c r="AS7" s="88" t="str">
        <f t="shared" si="8"/>
        <v>不</v>
      </c>
      <c r="AT7" s="88" t="str">
        <f t="shared" si="9"/>
        <v>重复</v>
      </c>
    </row>
    <row r="8" spans="1:46" s="10" customFormat="1" ht="18" customHeight="1">
      <c r="A8" s="24">
        <v>5</v>
      </c>
      <c r="B8" s="25" t="s">
        <v>191</v>
      </c>
      <c r="C8" s="25" t="s">
        <v>255</v>
      </c>
      <c r="D8" s="25" t="s">
        <v>192</v>
      </c>
      <c r="E8" s="25" t="s">
        <v>256</v>
      </c>
      <c r="F8" s="26" t="s">
        <v>193</v>
      </c>
      <c r="G8" s="27">
        <v>13373825180</v>
      </c>
      <c r="H8" s="28"/>
      <c r="I8" s="28"/>
      <c r="J8" s="56"/>
      <c r="K8" s="28"/>
      <c r="L8" s="57">
        <v>28739</v>
      </c>
      <c r="M8" s="58">
        <v>296</v>
      </c>
      <c r="N8" s="58">
        <v>11.1</v>
      </c>
      <c r="O8" s="58">
        <v>74</v>
      </c>
      <c r="P8" s="58">
        <v>85</v>
      </c>
      <c r="Q8" s="74">
        <f t="shared" si="0"/>
        <v>466.1</v>
      </c>
      <c r="R8" s="60">
        <v>0</v>
      </c>
      <c r="S8" s="75">
        <f>L8+IFERROR(VLOOKUP($E:$E,'（居民）工资表-3月'!$E:$S,15,0),0)</f>
        <v>113033.5</v>
      </c>
      <c r="T8" s="76">
        <f>5000+IFERROR(VLOOKUP($E:$E,'（居民）工资表-3月'!$E:$T,16,0),0)</f>
        <v>20000</v>
      </c>
      <c r="U8" s="76">
        <f>Q8+IFERROR(VLOOKUP($E:$E,'（居民）工资表-3月'!$E:$U,17,0),0)</f>
        <v>2101.37</v>
      </c>
      <c r="V8" s="60">
        <v>4000</v>
      </c>
      <c r="W8" s="60">
        <v>4000</v>
      </c>
      <c r="X8" s="60">
        <v>4000</v>
      </c>
      <c r="Y8" s="60"/>
      <c r="Z8" s="60"/>
      <c r="AA8" s="60"/>
      <c r="AB8" s="75">
        <f t="shared" si="1"/>
        <v>12000</v>
      </c>
      <c r="AC8" s="75">
        <f>R8+IFERROR(VLOOKUP($E:$E,'（居民）工资表-3月'!$E:$AC,25,0),0)</f>
        <v>0</v>
      </c>
      <c r="AD8" s="77">
        <f t="shared" si="2"/>
        <v>78932.13</v>
      </c>
      <c r="AE8" s="78">
        <f>ROUND(MAX((AD8)*{0.03;0.1;0.2;0.25;0.3;0.35;0.45}-{0;2520;16920;31920;52920;85920;181920},0),2)</f>
        <v>5373.21</v>
      </c>
      <c r="AF8" s="79">
        <f>IFERROR(VLOOKUP(E:E,'（居民）工资表-3月'!E:AF,28,0)+VLOOKUP(E:E,'（居民）工资表-3月'!E:AG,29,0),0)</f>
        <v>3345.92</v>
      </c>
      <c r="AG8" s="79">
        <f t="shared" si="3"/>
        <v>2027.29</v>
      </c>
      <c r="AH8" s="82">
        <f t="shared" si="4"/>
        <v>26245.61</v>
      </c>
      <c r="AI8" s="83"/>
      <c r="AJ8" s="82">
        <f t="shared" si="5"/>
        <v>26245.61</v>
      </c>
      <c r="AK8" s="84"/>
      <c r="AL8" s="82">
        <f t="shared" si="6"/>
        <v>28272.9</v>
      </c>
      <c r="AM8" s="84"/>
      <c r="AN8" s="84"/>
      <c r="AO8" s="84"/>
      <c r="AP8" s="84"/>
      <c r="AQ8" s="84"/>
      <c r="AR8" s="88" t="str">
        <f t="shared" si="7"/>
        <v>正确</v>
      </c>
      <c r="AS8" s="88" t="str">
        <f t="shared" si="8"/>
        <v>不</v>
      </c>
      <c r="AT8" s="88" t="str">
        <f t="shared" si="9"/>
        <v>重复</v>
      </c>
    </row>
    <row r="9" spans="1:46" s="90" customFormat="1" ht="18" customHeight="1">
      <c r="A9" s="91">
        <v>6</v>
      </c>
      <c r="B9" s="29" t="s">
        <v>191</v>
      </c>
      <c r="C9" s="29" t="s">
        <v>118</v>
      </c>
      <c r="D9" s="29" t="s">
        <v>192</v>
      </c>
      <c r="E9" s="29" t="s">
        <v>119</v>
      </c>
      <c r="F9" s="30" t="s">
        <v>193</v>
      </c>
      <c r="G9" s="31">
        <v>18037463616</v>
      </c>
      <c r="H9" s="32"/>
      <c r="I9" s="32"/>
      <c r="J9" s="59"/>
      <c r="K9" s="32"/>
      <c r="L9" s="92">
        <v>14320</v>
      </c>
      <c r="M9" s="93">
        <v>254.32</v>
      </c>
      <c r="N9" s="93">
        <v>9.5399999999999991</v>
      </c>
      <c r="O9" s="93">
        <v>63.94</v>
      </c>
      <c r="P9" s="93">
        <v>254.32</v>
      </c>
      <c r="Q9" s="94">
        <f t="shared" si="0"/>
        <v>582.12</v>
      </c>
      <c r="R9" s="94">
        <v>0</v>
      </c>
      <c r="S9" s="95">
        <f>L9+IFERROR(VLOOKUP($E:$E,'（居民）工资表-3月'!$E:$S,15,0),0)</f>
        <v>42092.630000000005</v>
      </c>
      <c r="T9" s="96">
        <f>5000+IFERROR(VLOOKUP($E:$E,'（居民）工资表-3月'!$E:$T,16,0),0)</f>
        <v>15000</v>
      </c>
      <c r="U9" s="96">
        <f>Q9+IFERROR(VLOOKUP($E:$E,'（居民）工资表-3月'!$E:$U,17,0),0)</f>
        <v>2228.0100000000002</v>
      </c>
      <c r="V9" s="94"/>
      <c r="W9" s="94"/>
      <c r="X9" s="94">
        <v>3000</v>
      </c>
      <c r="Y9" s="94"/>
      <c r="Z9" s="94"/>
      <c r="AA9" s="94"/>
      <c r="AB9" s="95">
        <f t="shared" si="1"/>
        <v>3000</v>
      </c>
      <c r="AC9" s="95">
        <f>R9+IFERROR(VLOOKUP($E:$E,'（居民）工资表-3月'!$E:$AC,25,0),0)</f>
        <v>0</v>
      </c>
      <c r="AD9" s="97">
        <f t="shared" si="2"/>
        <v>21864.62</v>
      </c>
      <c r="AE9" s="98">
        <f>ROUND(MAX((AD9)*{0.03;0.1;0.2;0.25;0.3;0.35;0.45}-{0;2520;16920;31920;52920;85920;181920},0),2)</f>
        <v>655.94</v>
      </c>
      <c r="AF9" s="99">
        <f>IFERROR(VLOOKUP(E:E,'（居民）工资表-3月'!E:AF,28,0)+VLOOKUP(E:E,'（居民）工资表-3月'!E:AG,29,0),0)</f>
        <v>483.79999999999995</v>
      </c>
      <c r="AG9" s="99">
        <f t="shared" si="3"/>
        <v>172.1400000000001</v>
      </c>
      <c r="AH9" s="100">
        <f t="shared" si="4"/>
        <v>13565.74</v>
      </c>
      <c r="AI9" s="101"/>
      <c r="AJ9" s="100">
        <f t="shared" si="5"/>
        <v>13565.74</v>
      </c>
      <c r="AK9" s="100"/>
      <c r="AL9" s="100">
        <f t="shared" si="6"/>
        <v>13737.88</v>
      </c>
      <c r="AM9" s="100"/>
      <c r="AN9" s="100"/>
      <c r="AO9" s="100"/>
      <c r="AP9" s="100"/>
      <c r="AQ9" s="100"/>
      <c r="AR9" s="103" t="str">
        <f t="shared" si="7"/>
        <v>正确</v>
      </c>
      <c r="AS9" s="103" t="str">
        <f t="shared" si="8"/>
        <v>不</v>
      </c>
      <c r="AT9" s="103" t="str">
        <f t="shared" si="9"/>
        <v>重复</v>
      </c>
    </row>
    <row r="10" spans="1:46" s="10" customFormat="1" ht="18" customHeight="1">
      <c r="A10" s="24">
        <v>7</v>
      </c>
      <c r="B10" s="25" t="s">
        <v>191</v>
      </c>
      <c r="C10" s="25" t="s">
        <v>120</v>
      </c>
      <c r="D10" s="25" t="s">
        <v>192</v>
      </c>
      <c r="E10" s="289" t="s">
        <v>121</v>
      </c>
      <c r="F10" s="26" t="s">
        <v>193</v>
      </c>
      <c r="G10" s="27">
        <v>18500634358</v>
      </c>
      <c r="H10" s="28"/>
      <c r="I10" s="28"/>
      <c r="J10" s="56"/>
      <c r="K10" s="28"/>
      <c r="L10" s="57">
        <v>14920</v>
      </c>
      <c r="M10" s="58">
        <v>254.32</v>
      </c>
      <c r="N10" s="58">
        <v>9.5399999999999991</v>
      </c>
      <c r="O10" s="58">
        <v>63.94</v>
      </c>
      <c r="P10" s="58">
        <v>254.32</v>
      </c>
      <c r="Q10" s="74">
        <f t="shared" si="0"/>
        <v>582.12</v>
      </c>
      <c r="R10" s="60">
        <v>0</v>
      </c>
      <c r="S10" s="75">
        <f>L10+IFERROR(VLOOKUP($E:$E,'（居民）工资表-3月'!$E:$S,15,0),0)</f>
        <v>44040</v>
      </c>
      <c r="T10" s="76">
        <f>5000+IFERROR(VLOOKUP($E:$E,'（居民）工资表-3月'!$E:$T,16,0),0)</f>
        <v>15000</v>
      </c>
      <c r="U10" s="76">
        <f>Q10+IFERROR(VLOOKUP($E:$E,'（居民）工资表-3月'!$E:$U,17,0),0)</f>
        <v>2228.0100000000002</v>
      </c>
      <c r="V10" s="60"/>
      <c r="W10" s="60"/>
      <c r="X10" s="60"/>
      <c r="Y10" s="60"/>
      <c r="Z10" s="60"/>
      <c r="AA10" s="60"/>
      <c r="AB10" s="75">
        <f t="shared" si="1"/>
        <v>0</v>
      </c>
      <c r="AC10" s="75">
        <f>R10+IFERROR(VLOOKUP($E:$E,'（居民）工资表-3月'!$E:$AC,25,0),0)</f>
        <v>0</v>
      </c>
      <c r="AD10" s="77">
        <f t="shared" si="2"/>
        <v>26811.99</v>
      </c>
      <c r="AE10" s="78">
        <f>ROUND(MAX((AD10)*{0.03;0.1;0.2;0.25;0.3;0.35;0.45}-{0;2520;16920;31920;52920;85920;181920},0),2)</f>
        <v>804.36</v>
      </c>
      <c r="AF10" s="79">
        <f>IFERROR(VLOOKUP(E:E,'（居民）工资表-3月'!E:AF,28,0)+VLOOKUP(E:E,'（居民）工资表-3月'!E:AG,29,0),0)</f>
        <v>524.22</v>
      </c>
      <c r="AG10" s="79">
        <f t="shared" si="3"/>
        <v>280.14</v>
      </c>
      <c r="AH10" s="82">
        <f t="shared" si="4"/>
        <v>14057.74</v>
      </c>
      <c r="AI10" s="83"/>
      <c r="AJ10" s="82">
        <f t="shared" si="5"/>
        <v>14057.74</v>
      </c>
      <c r="AK10" s="84"/>
      <c r="AL10" s="82">
        <f t="shared" si="6"/>
        <v>14337.88</v>
      </c>
      <c r="AM10" s="84"/>
      <c r="AN10" s="84"/>
      <c r="AO10" s="84"/>
      <c r="AP10" s="84"/>
      <c r="AQ10" s="84"/>
      <c r="AR10" s="88" t="str">
        <f t="shared" si="7"/>
        <v>正确</v>
      </c>
      <c r="AS10" s="88" t="str">
        <f t="shared" si="8"/>
        <v>不</v>
      </c>
      <c r="AT10" s="88" t="str">
        <f t="shared" si="9"/>
        <v>重复</v>
      </c>
    </row>
    <row r="11" spans="1:46" s="10" customFormat="1" ht="18" customHeight="1">
      <c r="A11" s="24">
        <v>8</v>
      </c>
      <c r="B11" s="25" t="s">
        <v>191</v>
      </c>
      <c r="C11" s="25" t="s">
        <v>113</v>
      </c>
      <c r="D11" s="25" t="s">
        <v>192</v>
      </c>
      <c r="E11" s="25" t="s">
        <v>114</v>
      </c>
      <c r="F11" s="26" t="s">
        <v>193</v>
      </c>
      <c r="G11" s="27">
        <v>18738169923</v>
      </c>
      <c r="H11" s="28"/>
      <c r="I11" s="28"/>
      <c r="J11" s="56"/>
      <c r="K11" s="28"/>
      <c r="L11" s="57">
        <v>12420</v>
      </c>
      <c r="M11" s="58">
        <v>254.32</v>
      </c>
      <c r="N11" s="58">
        <v>9.5399999999999991</v>
      </c>
      <c r="O11" s="58">
        <v>63.94</v>
      </c>
      <c r="P11" s="58">
        <v>254.32</v>
      </c>
      <c r="Q11" s="74">
        <f t="shared" si="0"/>
        <v>582.12</v>
      </c>
      <c r="R11" s="60">
        <v>0</v>
      </c>
      <c r="S11" s="75">
        <f>L11+IFERROR(VLOOKUP($E:$E,'（居民）工资表-3月'!$E:$S,15,0),0)</f>
        <v>36540</v>
      </c>
      <c r="T11" s="76">
        <f>5000+IFERROR(VLOOKUP($E:$E,'（居民）工资表-3月'!$E:$T,16,0),0)</f>
        <v>15000</v>
      </c>
      <c r="U11" s="76">
        <f>Q11+IFERROR(VLOOKUP($E:$E,'（居民）工资表-3月'!$E:$U,17,0),0)</f>
        <v>2328.48</v>
      </c>
      <c r="V11" s="60"/>
      <c r="W11" s="60"/>
      <c r="X11" s="60"/>
      <c r="Y11" s="60"/>
      <c r="Z11" s="60"/>
      <c r="AA11" s="60"/>
      <c r="AB11" s="75">
        <f t="shared" si="1"/>
        <v>0</v>
      </c>
      <c r="AC11" s="75">
        <f>R11+IFERROR(VLOOKUP($E:$E,'（居民）工资表-3月'!$E:$AC,25,0),0)</f>
        <v>0</v>
      </c>
      <c r="AD11" s="77">
        <f t="shared" si="2"/>
        <v>19211.52</v>
      </c>
      <c r="AE11" s="78">
        <f>ROUND(MAX((AD11)*{0.03;0.1;0.2;0.25;0.3;0.35;0.45}-{0;2520;16920;31920;52920;85920;181920},0),2)</f>
        <v>576.35</v>
      </c>
      <c r="AF11" s="79">
        <f>IFERROR(VLOOKUP(E:E,'（居民）工资表-3月'!E:AF,28,0)+VLOOKUP(E:E,'（居民）工资表-3月'!E:AG,29,0),0)</f>
        <v>371.21000000000004</v>
      </c>
      <c r="AG11" s="79">
        <f t="shared" si="3"/>
        <v>205.14</v>
      </c>
      <c r="AH11" s="82">
        <f t="shared" si="4"/>
        <v>11632.74</v>
      </c>
      <c r="AI11" s="83"/>
      <c r="AJ11" s="82">
        <f t="shared" si="5"/>
        <v>11632.74</v>
      </c>
      <c r="AK11" s="84"/>
      <c r="AL11" s="82">
        <f t="shared" si="6"/>
        <v>11837.88</v>
      </c>
      <c r="AM11" s="84"/>
      <c r="AN11" s="84"/>
      <c r="AO11" s="84"/>
      <c r="AP11" s="84"/>
      <c r="AQ11" s="84"/>
      <c r="AR11" s="88" t="str">
        <f t="shared" si="7"/>
        <v>正确</v>
      </c>
      <c r="AS11" s="88" t="str">
        <f t="shared" si="8"/>
        <v>不</v>
      </c>
      <c r="AT11" s="88" t="str">
        <f t="shared" si="9"/>
        <v>重复</v>
      </c>
    </row>
    <row r="12" spans="1:46" s="10" customFormat="1" ht="18" customHeight="1">
      <c r="A12" s="24">
        <v>9</v>
      </c>
      <c r="B12" s="25" t="s">
        <v>191</v>
      </c>
      <c r="C12" s="25" t="s">
        <v>122</v>
      </c>
      <c r="D12" s="25" t="s">
        <v>192</v>
      </c>
      <c r="E12" s="25" t="s">
        <v>123</v>
      </c>
      <c r="F12" s="26" t="s">
        <v>193</v>
      </c>
      <c r="G12" s="27" t="s">
        <v>195</v>
      </c>
      <c r="H12" s="28"/>
      <c r="I12" s="28"/>
      <c r="J12" s="56"/>
      <c r="K12" s="28"/>
      <c r="L12" s="57">
        <v>18014.740000000002</v>
      </c>
      <c r="M12" s="58">
        <v>508.64</v>
      </c>
      <c r="N12" s="58">
        <v>19.079999999999998</v>
      </c>
      <c r="O12" s="58">
        <v>127.88</v>
      </c>
      <c r="P12" s="58">
        <v>508.64</v>
      </c>
      <c r="Q12" s="74">
        <f t="shared" si="0"/>
        <v>1164.24</v>
      </c>
      <c r="R12" s="60">
        <v>0</v>
      </c>
      <c r="S12" s="75">
        <f>L12+IFERROR(VLOOKUP($E:$E,'（居民）工资表-3月'!$E:$S,15,0),0)</f>
        <v>18014.740000000002</v>
      </c>
      <c r="T12" s="76">
        <f>5000+IFERROR(VLOOKUP($E:$E,'（居民）工资表-3月'!$E:$T,16,0),0)</f>
        <v>5000</v>
      </c>
      <c r="U12" s="76">
        <f>Q12+IFERROR(VLOOKUP($E:$E,'（居民）工资表-3月'!$E:$U,17,0),0)</f>
        <v>1164.24</v>
      </c>
      <c r="V12" s="60"/>
      <c r="W12" s="60"/>
      <c r="X12" s="60"/>
      <c r="Y12" s="60"/>
      <c r="Z12" s="60"/>
      <c r="AA12" s="60"/>
      <c r="AB12" s="75">
        <f t="shared" si="1"/>
        <v>0</v>
      </c>
      <c r="AC12" s="75">
        <f>R12+IFERROR(VLOOKUP($E:$E,'（居民）工资表-3月'!$E:$AC,25,0),0)</f>
        <v>0</v>
      </c>
      <c r="AD12" s="77">
        <f t="shared" si="2"/>
        <v>11850.5</v>
      </c>
      <c r="AE12" s="78">
        <f>ROUND(MAX((AD12)*{0.03;0.1;0.2;0.25;0.3;0.35;0.45}-{0;2520;16920;31920;52920;85920;181920},0),2)</f>
        <v>355.52</v>
      </c>
      <c r="AF12" s="79">
        <f>IFERROR(VLOOKUP(E:E,'（居民）工资表-3月'!E:AF,28,0)+VLOOKUP(E:E,'（居民）工资表-3月'!E:AG,29,0),0)</f>
        <v>0</v>
      </c>
      <c r="AG12" s="79">
        <f t="shared" si="3"/>
        <v>355.52</v>
      </c>
      <c r="AH12" s="82">
        <f t="shared" si="4"/>
        <v>16494.98</v>
      </c>
      <c r="AI12" s="83"/>
      <c r="AJ12" s="82">
        <f t="shared" si="5"/>
        <v>16494.98</v>
      </c>
      <c r="AK12" s="84"/>
      <c r="AL12" s="82">
        <f t="shared" si="6"/>
        <v>16850.5</v>
      </c>
      <c r="AM12" s="84"/>
      <c r="AN12" s="84"/>
      <c r="AO12" s="84"/>
      <c r="AP12" s="84"/>
      <c r="AQ12" s="84"/>
      <c r="AR12" s="88" t="str">
        <f t="shared" si="7"/>
        <v>正确</v>
      </c>
      <c r="AS12" s="88" t="str">
        <f t="shared" si="8"/>
        <v>不</v>
      </c>
      <c r="AT12" s="88" t="str">
        <f t="shared" si="9"/>
        <v>重复</v>
      </c>
    </row>
    <row r="13" spans="1:46" s="10" customFormat="1" ht="18" customHeight="1">
      <c r="A13" s="24">
        <v>10</v>
      </c>
      <c r="B13" s="25" t="s">
        <v>191</v>
      </c>
      <c r="C13" s="25" t="s">
        <v>126</v>
      </c>
      <c r="D13" s="25" t="s">
        <v>192</v>
      </c>
      <c r="E13" s="25" t="s">
        <v>127</v>
      </c>
      <c r="F13" s="26" t="s">
        <v>193</v>
      </c>
      <c r="G13" s="27" t="s">
        <v>196</v>
      </c>
      <c r="H13" s="28"/>
      <c r="I13" s="28"/>
      <c r="J13" s="56"/>
      <c r="K13" s="28"/>
      <c r="L13" s="57">
        <v>15117.39</v>
      </c>
      <c r="M13" s="58">
        <v>508.64</v>
      </c>
      <c r="N13" s="58">
        <v>19.079999999999998</v>
      </c>
      <c r="O13" s="58">
        <v>127.88</v>
      </c>
      <c r="P13" s="58">
        <v>508.64</v>
      </c>
      <c r="Q13" s="74">
        <f t="shared" si="0"/>
        <v>1164.24</v>
      </c>
      <c r="R13" s="60">
        <v>0</v>
      </c>
      <c r="S13" s="75">
        <f>L13+IFERROR(VLOOKUP($E:$E,'（居民）工资表-3月'!$E:$S,15,0),0)</f>
        <v>15117.39</v>
      </c>
      <c r="T13" s="76">
        <f>5000+IFERROR(VLOOKUP($E:$E,'（居民）工资表-3月'!$E:$T,16,0),0)</f>
        <v>5000</v>
      </c>
      <c r="U13" s="76">
        <f>Q13+IFERROR(VLOOKUP($E:$E,'（居民）工资表-3月'!$E:$U,17,0),0)</f>
        <v>1164.24</v>
      </c>
      <c r="V13" s="60"/>
      <c r="W13" s="60"/>
      <c r="X13" s="60"/>
      <c r="Y13" s="60"/>
      <c r="Z13" s="60"/>
      <c r="AA13" s="60"/>
      <c r="AB13" s="75">
        <f t="shared" si="1"/>
        <v>0</v>
      </c>
      <c r="AC13" s="75">
        <f>R13+IFERROR(VLOOKUP($E:$E,'（居民）工资表-3月'!$E:$AC,25,0),0)</f>
        <v>0</v>
      </c>
      <c r="AD13" s="77">
        <f t="shared" si="2"/>
        <v>8953.15</v>
      </c>
      <c r="AE13" s="78">
        <f>ROUND(MAX((AD13)*{0.03;0.1;0.2;0.25;0.3;0.35;0.45}-{0;2520;16920;31920;52920;85920;181920},0),2)</f>
        <v>268.58999999999997</v>
      </c>
      <c r="AF13" s="79">
        <f>IFERROR(VLOOKUP(E:E,'（居民）工资表-3月'!E:AF,28,0)+VLOOKUP(E:E,'（居民）工资表-3月'!E:AG,29,0),0)</f>
        <v>0</v>
      </c>
      <c r="AG13" s="79">
        <f t="shared" si="3"/>
        <v>268.58999999999997</v>
      </c>
      <c r="AH13" s="82">
        <f t="shared" si="4"/>
        <v>13684.56</v>
      </c>
      <c r="AI13" s="83"/>
      <c r="AJ13" s="82">
        <f t="shared" si="5"/>
        <v>13684.56</v>
      </c>
      <c r="AK13" s="84"/>
      <c r="AL13" s="82">
        <f t="shared" si="6"/>
        <v>13953.15</v>
      </c>
      <c r="AM13" s="84"/>
      <c r="AN13" s="84"/>
      <c r="AO13" s="84"/>
      <c r="AP13" s="84"/>
      <c r="AQ13" s="84"/>
      <c r="AR13" s="88"/>
      <c r="AS13" s="88"/>
      <c r="AT13" s="88"/>
    </row>
    <row r="14" spans="1:46" s="10" customFormat="1" ht="18" customHeight="1">
      <c r="A14" s="24">
        <v>11</v>
      </c>
      <c r="B14" s="25" t="s">
        <v>191</v>
      </c>
      <c r="C14" s="25" t="s">
        <v>124</v>
      </c>
      <c r="D14" s="25" t="s">
        <v>192</v>
      </c>
      <c r="E14" s="25" t="s">
        <v>125</v>
      </c>
      <c r="F14" s="26" t="s">
        <v>193</v>
      </c>
      <c r="G14" s="27" t="s">
        <v>197</v>
      </c>
      <c r="H14" s="28"/>
      <c r="I14" s="28"/>
      <c r="J14" s="56"/>
      <c r="K14" s="28"/>
      <c r="L14" s="57">
        <v>11152.17</v>
      </c>
      <c r="M14" s="58">
        <v>508.64</v>
      </c>
      <c r="N14" s="58">
        <v>19.079999999999998</v>
      </c>
      <c r="O14" s="58">
        <v>127.88</v>
      </c>
      <c r="P14" s="58">
        <v>508.64</v>
      </c>
      <c r="Q14" s="74">
        <f t="shared" si="0"/>
        <v>1164.24</v>
      </c>
      <c r="R14" s="60">
        <v>0</v>
      </c>
      <c r="S14" s="75">
        <f>L14+IFERROR(VLOOKUP($E:$E,'（居民）工资表-3月'!$E:$S,15,0),0)</f>
        <v>11152.17</v>
      </c>
      <c r="T14" s="76">
        <f>5000+IFERROR(VLOOKUP($E:$E,'（居民）工资表-3月'!$E:$T,16,0),0)</f>
        <v>5000</v>
      </c>
      <c r="U14" s="76">
        <f>Q14+IFERROR(VLOOKUP($E:$E,'（居民）工资表-3月'!$E:$U,17,0),0)</f>
        <v>1164.24</v>
      </c>
      <c r="V14" s="60"/>
      <c r="W14" s="60"/>
      <c r="X14" s="60"/>
      <c r="Y14" s="60"/>
      <c r="Z14" s="60"/>
      <c r="AA14" s="60"/>
      <c r="AB14" s="75">
        <f t="shared" si="1"/>
        <v>0</v>
      </c>
      <c r="AC14" s="75">
        <f>R14+IFERROR(VLOOKUP($E:$E,'（居民）工资表-3月'!$E:$AC,25,0),0)</f>
        <v>0</v>
      </c>
      <c r="AD14" s="77">
        <f t="shared" si="2"/>
        <v>4987.93</v>
      </c>
      <c r="AE14" s="78">
        <f>ROUND(MAX((AD14)*{0.03;0.1;0.2;0.25;0.3;0.35;0.45}-{0;2520;16920;31920;52920;85920;181920},0),2)</f>
        <v>149.63999999999999</v>
      </c>
      <c r="AF14" s="79">
        <f>IFERROR(VLOOKUP(E:E,'（居民）工资表-3月'!E:AF,28,0)+VLOOKUP(E:E,'（居民）工资表-3月'!E:AG,29,0),0)</f>
        <v>0</v>
      </c>
      <c r="AG14" s="79">
        <f t="shared" si="3"/>
        <v>149.63999999999999</v>
      </c>
      <c r="AH14" s="82">
        <f t="shared" si="4"/>
        <v>9838.2900000000009</v>
      </c>
      <c r="AI14" s="83"/>
      <c r="AJ14" s="82">
        <f t="shared" si="5"/>
        <v>9838.2900000000009</v>
      </c>
      <c r="AK14" s="84"/>
      <c r="AL14" s="82">
        <f t="shared" si="6"/>
        <v>9987.93</v>
      </c>
      <c r="AM14" s="84"/>
      <c r="AN14" s="84"/>
      <c r="AO14" s="84"/>
      <c r="AP14" s="84"/>
      <c r="AQ14" s="84"/>
      <c r="AR14" s="88"/>
      <c r="AS14" s="88"/>
      <c r="AT14" s="88"/>
    </row>
    <row r="15" spans="1:46" s="10" customFormat="1" ht="17.100000000000001" customHeight="1">
      <c r="A15" s="24">
        <v>12</v>
      </c>
      <c r="B15" s="25" t="s">
        <v>191</v>
      </c>
      <c r="C15" s="25" t="s">
        <v>116</v>
      </c>
      <c r="D15" s="25" t="s">
        <v>192</v>
      </c>
      <c r="E15" s="25" t="s">
        <v>117</v>
      </c>
      <c r="F15" s="26" t="s">
        <v>193</v>
      </c>
      <c r="G15" s="27">
        <v>15001138812</v>
      </c>
      <c r="H15" s="28"/>
      <c r="I15" s="28"/>
      <c r="J15" s="56"/>
      <c r="K15" s="28"/>
      <c r="L15" s="57">
        <v>10420</v>
      </c>
      <c r="M15" s="58">
        <v>254.32</v>
      </c>
      <c r="N15" s="58">
        <v>9.5399999999999991</v>
      </c>
      <c r="O15" s="58">
        <v>63.94</v>
      </c>
      <c r="P15" s="58">
        <v>254.32</v>
      </c>
      <c r="Q15" s="74">
        <f t="shared" si="0"/>
        <v>582.12</v>
      </c>
      <c r="R15" s="60">
        <v>0</v>
      </c>
      <c r="S15" s="75">
        <f>L15+IFERROR(VLOOKUP($E:$E,'（居民）工资表-3月'!$E:$S,15,0),0)</f>
        <v>30540</v>
      </c>
      <c r="T15" s="76">
        <f>5000+IFERROR(VLOOKUP($E:$E,'（居民）工资表-3月'!$E:$T,16,0),0)</f>
        <v>15000</v>
      </c>
      <c r="U15" s="76">
        <f>Q15+IFERROR(VLOOKUP($E:$E,'（居民）工资表-3月'!$E:$U,17,0),0)</f>
        <v>2328.48</v>
      </c>
      <c r="V15" s="60"/>
      <c r="W15" s="60"/>
      <c r="X15" s="60"/>
      <c r="Y15" s="60"/>
      <c r="Z15" s="60"/>
      <c r="AA15" s="60"/>
      <c r="AB15" s="75">
        <f t="shared" si="1"/>
        <v>0</v>
      </c>
      <c r="AC15" s="75">
        <f>R15+IFERROR(VLOOKUP($E:$E,'（居民）工资表-3月'!$E:$AC,25,0),0)</f>
        <v>0</v>
      </c>
      <c r="AD15" s="77">
        <f t="shared" si="2"/>
        <v>13211.52</v>
      </c>
      <c r="AE15" s="78">
        <f>ROUND(MAX((AD15)*{0.03;0.1;0.2;0.25;0.3;0.35;0.45}-{0;2520;16920;31920;52920;85920;181920},0),2)</f>
        <v>396.35</v>
      </c>
      <c r="AF15" s="79">
        <f>IFERROR(VLOOKUP(E:E,'（居民）工资表-3月'!E:AF,28,0)+VLOOKUP(E:E,'（居民）工资表-3月'!E:AG,29,0),0)</f>
        <v>251.20999999999998</v>
      </c>
      <c r="AG15" s="79">
        <f t="shared" si="3"/>
        <v>145.14000000000004</v>
      </c>
      <c r="AH15" s="82">
        <f t="shared" si="4"/>
        <v>9692.74</v>
      </c>
      <c r="AI15" s="83"/>
      <c r="AJ15" s="82">
        <f t="shared" si="5"/>
        <v>9692.74</v>
      </c>
      <c r="AK15" s="84"/>
      <c r="AL15" s="82">
        <f t="shared" si="6"/>
        <v>9837.8799999999992</v>
      </c>
      <c r="AM15" s="84"/>
      <c r="AN15" s="84"/>
      <c r="AO15" s="84"/>
      <c r="AP15" s="84"/>
      <c r="AQ15" s="84"/>
      <c r="AR15" s="88"/>
      <c r="AS15" s="88"/>
      <c r="AT15" s="88"/>
    </row>
    <row r="16" spans="1:46" s="10" customFormat="1" ht="17.100000000000001" customHeight="1">
      <c r="A16" s="24">
        <v>13</v>
      </c>
      <c r="B16" s="25" t="s">
        <v>191</v>
      </c>
      <c r="C16" s="25" t="s">
        <v>128</v>
      </c>
      <c r="D16" s="25" t="s">
        <v>192</v>
      </c>
      <c r="E16" s="25" t="s">
        <v>129</v>
      </c>
      <c r="F16" s="26" t="s">
        <v>193</v>
      </c>
      <c r="G16" s="27">
        <v>15333903368</v>
      </c>
      <c r="H16" s="28"/>
      <c r="I16" s="28"/>
      <c r="J16" s="56"/>
      <c r="K16" s="28"/>
      <c r="L16" s="57">
        <v>5869.57</v>
      </c>
      <c r="M16" s="58"/>
      <c r="N16" s="58"/>
      <c r="O16" s="58"/>
      <c r="P16" s="58"/>
      <c r="Q16" s="74">
        <f t="shared" si="0"/>
        <v>0</v>
      </c>
      <c r="R16" s="60">
        <v>0</v>
      </c>
      <c r="S16" s="75">
        <f>L16+IFERROR(VLOOKUP($E:$E,'（居民）工资表-3月'!$E:$S,15,0),0)</f>
        <v>5869.57</v>
      </c>
      <c r="T16" s="76">
        <f>5000+IFERROR(VLOOKUP($E:$E,'（居民）工资表-3月'!$E:$T,16,0),0)</f>
        <v>5000</v>
      </c>
      <c r="U16" s="76">
        <f>Q16+IFERROR(VLOOKUP($E:$E,'（居民）工资表-3月'!$E:$U,17,0),0)</f>
        <v>0</v>
      </c>
      <c r="V16" s="60"/>
      <c r="W16" s="60"/>
      <c r="X16" s="60"/>
      <c r="Y16" s="60"/>
      <c r="Z16" s="60"/>
      <c r="AA16" s="60"/>
      <c r="AB16" s="75">
        <f t="shared" si="1"/>
        <v>0</v>
      </c>
      <c r="AC16" s="75">
        <f>R16+IFERROR(VLOOKUP($E:$E,'（居民）工资表-3月'!$E:$AC,25,0),0)</f>
        <v>0</v>
      </c>
      <c r="AD16" s="77">
        <f t="shared" si="2"/>
        <v>869.57</v>
      </c>
      <c r="AE16" s="78">
        <f>ROUND(MAX((AD16)*{0.03;0.1;0.2;0.25;0.3;0.35;0.45}-{0;2520;16920;31920;52920;85920;181920},0),2)</f>
        <v>26.09</v>
      </c>
      <c r="AF16" s="79">
        <f>IFERROR(VLOOKUP(E:E,'（居民）工资表-3月'!E:AF,28,0)+VLOOKUP(E:E,'（居民）工资表-3月'!E:AG,29,0),0)</f>
        <v>0</v>
      </c>
      <c r="AG16" s="79">
        <f t="shared" si="3"/>
        <v>26.09</v>
      </c>
      <c r="AH16" s="82">
        <f t="shared" si="4"/>
        <v>5843.48</v>
      </c>
      <c r="AI16" s="83"/>
      <c r="AJ16" s="82">
        <f t="shared" si="5"/>
        <v>5843.48</v>
      </c>
      <c r="AK16" s="84"/>
      <c r="AL16" s="82">
        <f t="shared" si="6"/>
        <v>5869.57</v>
      </c>
      <c r="AM16" s="84"/>
      <c r="AN16" s="84"/>
      <c r="AO16" s="84"/>
      <c r="AP16" s="84"/>
      <c r="AQ16" s="84"/>
      <c r="AR16" s="88"/>
      <c r="AS16" s="88"/>
      <c r="AT16" s="88"/>
    </row>
    <row r="17" spans="1:46" s="10" customFormat="1" ht="18" customHeight="1">
      <c r="A17" s="24"/>
      <c r="B17" s="25"/>
      <c r="C17" s="25"/>
      <c r="D17" s="25"/>
      <c r="E17" s="25"/>
      <c r="F17" s="26"/>
      <c r="G17" s="33"/>
      <c r="H17" s="28"/>
      <c r="I17" s="28"/>
      <c r="J17" s="56"/>
      <c r="K17" s="28"/>
      <c r="L17" s="60"/>
      <c r="M17" s="58"/>
      <c r="N17" s="58"/>
      <c r="O17" s="58"/>
      <c r="P17" s="58"/>
      <c r="Q17" s="74"/>
      <c r="R17" s="60"/>
      <c r="S17" s="75"/>
      <c r="T17" s="76"/>
      <c r="U17" s="76"/>
      <c r="V17" s="60"/>
      <c r="W17" s="60"/>
      <c r="X17" s="60"/>
      <c r="Y17" s="60"/>
      <c r="Z17" s="60"/>
      <c r="AA17" s="60"/>
      <c r="AB17" s="75"/>
      <c r="AC17" s="75"/>
      <c r="AD17" s="77"/>
      <c r="AE17" s="78"/>
      <c r="AF17" s="79"/>
      <c r="AG17" s="79"/>
      <c r="AH17" s="82"/>
      <c r="AI17" s="83"/>
      <c r="AJ17" s="82"/>
      <c r="AK17" s="84"/>
      <c r="AL17" s="82"/>
      <c r="AM17" s="84"/>
      <c r="AN17" s="84"/>
      <c r="AO17" s="84"/>
      <c r="AP17" s="84"/>
      <c r="AQ17" s="84"/>
      <c r="AR17" s="88"/>
      <c r="AS17" s="88"/>
      <c r="AT17" s="88"/>
    </row>
    <row r="18" spans="1:46" s="11" customFormat="1" ht="18" customHeight="1">
      <c r="A18" s="34"/>
      <c r="B18" s="35" t="s">
        <v>198</v>
      </c>
      <c r="C18" s="35"/>
      <c r="D18" s="36"/>
      <c r="E18" s="37"/>
      <c r="F18" s="38"/>
      <c r="G18" s="39"/>
      <c r="H18" s="38"/>
      <c r="I18" s="61"/>
      <c r="J18" s="62"/>
      <c r="K18" s="61"/>
      <c r="L18" s="63">
        <f>SUM(L4:L17)</f>
        <v>179682.87</v>
      </c>
      <c r="M18" s="63">
        <f t="shared" ref="M18:AL18" si="10">SUM(M4:M17)</f>
        <v>4059.05</v>
      </c>
      <c r="N18" s="63">
        <f t="shared" si="10"/>
        <v>143.08000000000001</v>
      </c>
      <c r="O18" s="63">
        <f t="shared" si="10"/>
        <v>1099.5999999999999</v>
      </c>
      <c r="P18" s="63">
        <f t="shared" si="10"/>
        <v>3214.2</v>
      </c>
      <c r="Q18" s="63">
        <f t="shared" si="10"/>
        <v>8515.93</v>
      </c>
      <c r="R18" s="63">
        <f t="shared" si="10"/>
        <v>0</v>
      </c>
      <c r="S18" s="63">
        <f t="shared" si="10"/>
        <v>513980</v>
      </c>
      <c r="T18" s="63">
        <f t="shared" si="10"/>
        <v>180000</v>
      </c>
      <c r="U18" s="63">
        <f t="shared" si="10"/>
        <v>23612.870000000003</v>
      </c>
      <c r="V18" s="63">
        <f t="shared" si="10"/>
        <v>16000</v>
      </c>
      <c r="W18" s="63">
        <f t="shared" si="10"/>
        <v>8000</v>
      </c>
      <c r="X18" s="63">
        <f t="shared" si="10"/>
        <v>15000</v>
      </c>
      <c r="Y18" s="63">
        <f t="shared" si="10"/>
        <v>6000</v>
      </c>
      <c r="Z18" s="63">
        <f t="shared" si="10"/>
        <v>0</v>
      </c>
      <c r="AA18" s="63">
        <f t="shared" si="10"/>
        <v>0</v>
      </c>
      <c r="AB18" s="63">
        <f t="shared" si="10"/>
        <v>45000</v>
      </c>
      <c r="AC18" s="63">
        <f t="shared" si="10"/>
        <v>0</v>
      </c>
      <c r="AD18" s="63">
        <f t="shared" si="10"/>
        <v>265367.13</v>
      </c>
      <c r="AE18" s="63">
        <f t="shared" si="10"/>
        <v>13897.310000000003</v>
      </c>
      <c r="AF18" s="63">
        <f t="shared" si="10"/>
        <v>8508.36</v>
      </c>
      <c r="AG18" s="63">
        <f t="shared" si="10"/>
        <v>5388.9500000000025</v>
      </c>
      <c r="AH18" s="63">
        <f t="shared" si="10"/>
        <v>165777.99000000002</v>
      </c>
      <c r="AI18" s="63">
        <f t="shared" si="10"/>
        <v>0</v>
      </c>
      <c r="AJ18" s="63">
        <f t="shared" si="10"/>
        <v>165777.99000000002</v>
      </c>
      <c r="AK18" s="63">
        <f t="shared" si="10"/>
        <v>0</v>
      </c>
      <c r="AL18" s="63">
        <f t="shared" si="10"/>
        <v>171166.94000000003</v>
      </c>
      <c r="AM18" s="85"/>
      <c r="AN18" s="85"/>
      <c r="AO18" s="85"/>
      <c r="AP18" s="85"/>
      <c r="AQ18" s="85"/>
      <c r="AR18" s="38"/>
      <c r="AS18" s="38"/>
      <c r="AT18" s="89"/>
    </row>
    <row r="21" spans="1:46">
      <c r="AD21" s="80"/>
    </row>
    <row r="22" spans="1:46" ht="18.75" customHeight="1">
      <c r="B22" s="40" t="s">
        <v>172</v>
      </c>
      <c r="C22" s="40" t="s">
        <v>199</v>
      </c>
      <c r="D22" s="40" t="s">
        <v>57</v>
      </c>
      <c r="E22" s="40" t="s">
        <v>58</v>
      </c>
      <c r="AD22" s="8"/>
      <c r="AG22" s="102"/>
    </row>
    <row r="23" spans="1:46" ht="18.75" customHeight="1">
      <c r="B23" s="41">
        <f>AJ18</f>
        <v>165777.99000000002</v>
      </c>
      <c r="C23" s="41">
        <f>AG18</f>
        <v>5388.9500000000025</v>
      </c>
      <c r="D23" s="41">
        <f>AK18</f>
        <v>0</v>
      </c>
      <c r="E23" s="41">
        <f>B23+C23+D23</f>
        <v>171166.94000000003</v>
      </c>
    </row>
    <row r="24" spans="1:46">
      <c r="B24" s="42"/>
      <c r="C24" s="42"/>
      <c r="D24" s="42"/>
      <c r="E24" s="42">
        <f>社保1!BC14</f>
        <v>9778.82</v>
      </c>
    </row>
    <row r="25" spans="1:46" s="12" customFormat="1">
      <c r="A25" s="43" t="s">
        <v>200</v>
      </c>
      <c r="B25" s="44" t="s">
        <v>201</v>
      </c>
      <c r="C25" s="45"/>
      <c r="D25" s="45"/>
      <c r="E25" s="45"/>
      <c r="G25" s="46"/>
      <c r="J25" s="64"/>
      <c r="M25" s="65"/>
      <c r="AI25" s="86"/>
    </row>
    <row r="26" spans="1:46" s="12" customFormat="1">
      <c r="A26" s="47"/>
      <c r="B26" s="48" t="s">
        <v>202</v>
      </c>
      <c r="C26" s="45"/>
      <c r="D26" s="45"/>
      <c r="E26" s="45"/>
      <c r="G26" s="46"/>
      <c r="J26" s="64"/>
      <c r="M26" s="65"/>
      <c r="AI26" s="86"/>
    </row>
    <row r="27" spans="1:46" s="12" customFormat="1">
      <c r="A27" s="44"/>
      <c r="B27" s="48" t="s">
        <v>203</v>
      </c>
      <c r="C27" s="49"/>
      <c r="D27" s="49"/>
      <c r="E27" s="49"/>
      <c r="F27" s="49"/>
      <c r="G27" s="49"/>
      <c r="H27" s="49"/>
      <c r="I27" s="49"/>
      <c r="J27" s="66"/>
      <c r="K27" s="49"/>
      <c r="L27" s="49"/>
      <c r="M27" s="67"/>
      <c r="N27" s="49"/>
      <c r="O27" s="49"/>
      <c r="P27" s="49"/>
      <c r="AI27" s="86"/>
    </row>
    <row r="28" spans="1:46" s="12" customFormat="1" ht="13.5" customHeight="1">
      <c r="A28" s="48"/>
      <c r="B28" s="48" t="s">
        <v>204</v>
      </c>
      <c r="C28" s="50"/>
      <c r="D28" s="50"/>
      <c r="E28" s="50"/>
      <c r="F28" s="50"/>
      <c r="G28" s="50"/>
      <c r="H28" s="50"/>
      <c r="I28" s="68"/>
      <c r="J28" s="69"/>
      <c r="K28" s="68"/>
      <c r="L28" s="68"/>
      <c r="M28" s="70"/>
      <c r="N28" s="68"/>
      <c r="O28" s="68"/>
      <c r="P28" s="68"/>
      <c r="AI28" s="86"/>
    </row>
    <row r="29" spans="1:46" s="12" customFormat="1" ht="13.5" customHeight="1">
      <c r="A29" s="48"/>
      <c r="B29" s="48" t="s">
        <v>205</v>
      </c>
      <c r="C29" s="50"/>
      <c r="D29" s="50"/>
      <c r="E29" s="50"/>
      <c r="F29" s="50"/>
      <c r="G29" s="50"/>
      <c r="H29" s="50"/>
      <c r="I29" s="50"/>
      <c r="J29" s="71"/>
      <c r="K29" s="50"/>
      <c r="L29" s="68"/>
      <c r="M29" s="70"/>
      <c r="N29" s="68"/>
      <c r="O29" s="68"/>
      <c r="P29" s="68"/>
      <c r="AI29" s="86"/>
    </row>
    <row r="30" spans="1:46" s="12" customFormat="1" ht="13.5" customHeight="1">
      <c r="A30" s="48"/>
      <c r="B30" s="48" t="s">
        <v>206</v>
      </c>
      <c r="C30" s="50"/>
      <c r="D30" s="50"/>
      <c r="E30" s="50"/>
      <c r="F30" s="50"/>
      <c r="G30" s="50"/>
      <c r="H30" s="50"/>
      <c r="I30" s="68"/>
      <c r="J30" s="69"/>
      <c r="K30" s="68"/>
      <c r="L30" s="68"/>
      <c r="M30" s="70"/>
      <c r="N30" s="68"/>
      <c r="O30" s="68"/>
      <c r="P30" s="68"/>
      <c r="AI30" s="86"/>
    </row>
    <row r="32" spans="1:46" ht="11.25" customHeight="1">
      <c r="B32" s="51" t="s">
        <v>207</v>
      </c>
    </row>
    <row r="33" spans="2:2">
      <c r="B33" s="52" t="s">
        <v>208</v>
      </c>
    </row>
    <row r="34" spans="2:2">
      <c r="B34" s="52" t="s">
        <v>209</v>
      </c>
    </row>
  </sheetData>
  <autoFilter ref="A3:AT18"/>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8" type="noConversion"/>
  <conditionalFormatting sqref="B30">
    <cfRule type="duplicateValues" dxfId="13" priority="2" stopIfTrue="1"/>
  </conditionalFormatting>
  <conditionalFormatting sqref="B25:B29">
    <cfRule type="duplicateValues" dxfId="12" priority="3" stopIfTrue="1"/>
  </conditionalFormatting>
  <conditionalFormatting sqref="B33:B34">
    <cfRule type="duplicateValues" dxfId="11" priority="1" stopIfTrue="1"/>
  </conditionalFormatting>
  <conditionalFormatting sqref="C22:C24">
    <cfRule type="duplicateValues" dxfId="10" priority="4" stopIfTrue="1"/>
    <cfRule type="expression" dxfId="9" priority="5" stopIfTrue="1">
      <formula>AND(COUNTIF($B$18:$B$65454,C22)+COUNTIF($B$1:$B$3,C22)&gt;1,NOT(ISBLANK(C22)))</formula>
    </cfRule>
    <cfRule type="expression" dxfId="8" priority="6" stopIfTrue="1">
      <formula>AND(COUNTIF($B$29:$B$65405,C22)+COUNTIF($B$1:$B$28,C22)&gt;1,NOT(ISBLANK(C22)))</formula>
    </cfRule>
    <cfRule type="expression" dxfId="7" priority="7" stopIfTrue="1">
      <formula>AND(COUNTIF($B$18:$B$65443,C22)+COUNTIF($B$1:$B$3,C22)&gt;1,NOT(ISBLANK(C22)))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38"/>
  <sheetViews>
    <sheetView workbookViewId="0">
      <pane xSplit="6" ySplit="3" topLeftCell="U4" activePane="bottomRight" state="frozen"/>
      <selection pane="topRight"/>
      <selection pane="bottomLeft"/>
      <selection pane="bottomRight" activeCell="V8" sqref="V7:W8"/>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75" style="13" customWidth="1" outlineLevel="1"/>
    <col min="14" max="15" width="9" style="13" customWidth="1" outlineLevel="1"/>
    <col min="16" max="16" width="11.125" style="13" customWidth="1" outlineLevel="1"/>
    <col min="17" max="17" width="9.75" style="13" customWidth="1"/>
    <col min="18" max="18" width="9.5" style="13" customWidth="1"/>
    <col min="19" max="19" width="14.12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144</v>
      </c>
      <c r="B1" s="19"/>
      <c r="C1" s="20"/>
      <c r="D1" s="21"/>
      <c r="E1" s="22"/>
      <c r="F1" s="22"/>
      <c r="G1" s="23"/>
      <c r="J1" s="53"/>
      <c r="L1" s="54"/>
      <c r="M1" s="352" t="s">
        <v>145</v>
      </c>
      <c r="N1" s="352"/>
      <c r="O1" s="352"/>
      <c r="P1" s="352"/>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59" t="s">
        <v>18</v>
      </c>
      <c r="B2" s="361" t="s">
        <v>146</v>
      </c>
      <c r="C2" s="363" t="s">
        <v>147</v>
      </c>
      <c r="D2" s="363" t="s">
        <v>148</v>
      </c>
      <c r="E2" s="365" t="s">
        <v>149</v>
      </c>
      <c r="F2" s="367" t="s">
        <v>150</v>
      </c>
      <c r="G2" s="365" t="s">
        <v>151</v>
      </c>
      <c r="H2" s="365" t="s">
        <v>152</v>
      </c>
      <c r="I2" s="365" t="s">
        <v>153</v>
      </c>
      <c r="J2" s="369" t="s">
        <v>154</v>
      </c>
      <c r="K2" s="365" t="s">
        <v>155</v>
      </c>
      <c r="L2" s="365" t="s">
        <v>156</v>
      </c>
      <c r="M2" s="353" t="s">
        <v>157</v>
      </c>
      <c r="N2" s="354"/>
      <c r="O2" s="354"/>
      <c r="P2" s="355"/>
      <c r="Q2" s="367" t="s">
        <v>158</v>
      </c>
      <c r="R2" s="365" t="s">
        <v>159</v>
      </c>
      <c r="S2" s="367" t="s">
        <v>160</v>
      </c>
      <c r="T2" s="371" t="s">
        <v>161</v>
      </c>
      <c r="U2" s="367" t="s">
        <v>162</v>
      </c>
      <c r="V2" s="356" t="s">
        <v>163</v>
      </c>
      <c r="W2" s="357"/>
      <c r="X2" s="357"/>
      <c r="Y2" s="357"/>
      <c r="Z2" s="357"/>
      <c r="AA2" s="358"/>
      <c r="AB2" s="367" t="s">
        <v>164</v>
      </c>
      <c r="AC2" s="367" t="s">
        <v>165</v>
      </c>
      <c r="AD2" s="371" t="s">
        <v>166</v>
      </c>
      <c r="AE2" s="371" t="s">
        <v>167</v>
      </c>
      <c r="AF2" s="371" t="s">
        <v>168</v>
      </c>
      <c r="AG2" s="371" t="s">
        <v>169</v>
      </c>
      <c r="AH2" s="373" t="s">
        <v>170</v>
      </c>
      <c r="AI2" s="375" t="s">
        <v>171</v>
      </c>
      <c r="AJ2" s="373" t="s">
        <v>172</v>
      </c>
      <c r="AK2" s="363" t="s">
        <v>57</v>
      </c>
      <c r="AL2" s="373" t="s">
        <v>173</v>
      </c>
      <c r="AM2" s="365" t="s">
        <v>174</v>
      </c>
      <c r="AN2" s="365" t="s">
        <v>175</v>
      </c>
      <c r="AO2" s="377" t="s">
        <v>176</v>
      </c>
      <c r="AP2" s="365" t="s">
        <v>177</v>
      </c>
      <c r="AQ2" s="365" t="s">
        <v>178</v>
      </c>
      <c r="AR2" s="367" t="s">
        <v>179</v>
      </c>
      <c r="AS2" s="367" t="s">
        <v>180</v>
      </c>
      <c r="AT2" s="367" t="s">
        <v>181</v>
      </c>
    </row>
    <row r="3" spans="1:46" s="9" customFormat="1" ht="27" customHeight="1">
      <c r="A3" s="360"/>
      <c r="B3" s="362"/>
      <c r="C3" s="364"/>
      <c r="D3" s="364"/>
      <c r="E3" s="366"/>
      <c r="F3" s="368"/>
      <c r="G3" s="366"/>
      <c r="H3" s="366"/>
      <c r="I3" s="366"/>
      <c r="J3" s="370"/>
      <c r="K3" s="366"/>
      <c r="L3" s="366"/>
      <c r="M3" s="55" t="s">
        <v>182</v>
      </c>
      <c r="N3" s="55" t="s">
        <v>183</v>
      </c>
      <c r="O3" s="55" t="s">
        <v>184</v>
      </c>
      <c r="P3" s="55" t="s">
        <v>70</v>
      </c>
      <c r="Q3" s="368"/>
      <c r="R3" s="366"/>
      <c r="S3" s="368"/>
      <c r="T3" s="372"/>
      <c r="U3" s="368"/>
      <c r="V3" s="73" t="s">
        <v>185</v>
      </c>
      <c r="W3" s="73" t="s">
        <v>186</v>
      </c>
      <c r="X3" s="73" t="s">
        <v>187</v>
      </c>
      <c r="Y3" s="73" t="s">
        <v>188</v>
      </c>
      <c r="Z3" s="73" t="s">
        <v>189</v>
      </c>
      <c r="AA3" s="73" t="s">
        <v>190</v>
      </c>
      <c r="AB3" s="368"/>
      <c r="AC3" s="368"/>
      <c r="AD3" s="372"/>
      <c r="AE3" s="372"/>
      <c r="AF3" s="372"/>
      <c r="AG3" s="372"/>
      <c r="AH3" s="374"/>
      <c r="AI3" s="376"/>
      <c r="AJ3" s="374"/>
      <c r="AK3" s="364"/>
      <c r="AL3" s="374"/>
      <c r="AM3" s="366"/>
      <c r="AN3" s="366"/>
      <c r="AO3" s="378"/>
      <c r="AP3" s="366"/>
      <c r="AQ3" s="366"/>
      <c r="AR3" s="368"/>
      <c r="AS3" s="368"/>
      <c r="AT3" s="368"/>
    </row>
    <row r="4" spans="1:46" s="10" customFormat="1" ht="18" customHeight="1">
      <c r="A4" s="24">
        <v>1</v>
      </c>
      <c r="B4" s="25" t="s">
        <v>191</v>
      </c>
      <c r="C4" s="25" t="s">
        <v>75</v>
      </c>
      <c r="D4" s="25" t="s">
        <v>192</v>
      </c>
      <c r="E4" s="25" t="s">
        <v>76</v>
      </c>
      <c r="F4" s="26" t="s">
        <v>193</v>
      </c>
      <c r="G4" s="27">
        <v>18035163638</v>
      </c>
      <c r="H4" s="28"/>
      <c r="I4" s="28"/>
      <c r="J4" s="56"/>
      <c r="K4" s="28"/>
      <c r="L4" s="57">
        <v>10870</v>
      </c>
      <c r="M4" s="58">
        <v>264</v>
      </c>
      <c r="N4" s="58">
        <v>66</v>
      </c>
      <c r="O4" s="58">
        <v>9.9</v>
      </c>
      <c r="P4" s="58">
        <v>180</v>
      </c>
      <c r="Q4" s="74">
        <f t="shared" ref="Q4:Q7" si="0">ROUND(SUM(M4:P4),2)</f>
        <v>519.9</v>
      </c>
      <c r="R4" s="60">
        <v>0</v>
      </c>
      <c r="S4" s="75">
        <f>L4+IFERROR(VLOOKUP($E:$E,'（居民）工资表-4月'!$E:$S,15,0),0)</f>
        <v>47650</v>
      </c>
      <c r="T4" s="76">
        <f>5000+IFERROR(VLOOKUP($E:$E,'（居民）工资表-4月'!$E:$T,16,0),0)</f>
        <v>25000</v>
      </c>
      <c r="U4" s="76">
        <f>Q4+IFERROR(VLOOKUP($E:$E,'（居民）工资表-4月'!$E:$U,17,0),0)</f>
        <v>2599.5</v>
      </c>
      <c r="V4" s="60">
        <v>5000</v>
      </c>
      <c r="W4" s="60"/>
      <c r="X4" s="60">
        <v>5000</v>
      </c>
      <c r="Y4" s="60"/>
      <c r="Z4" s="60"/>
      <c r="AA4" s="60"/>
      <c r="AB4" s="75">
        <f t="shared" ref="AB4:AB7" si="1">ROUND(SUM(V4:AA4),2)</f>
        <v>10000</v>
      </c>
      <c r="AC4" s="75">
        <f>R4+IFERROR(VLOOKUP($E:$E,'（居民）工资表-4月'!$E:$AC,25,0),0)</f>
        <v>0</v>
      </c>
      <c r="AD4" s="77">
        <f t="shared" ref="AD4:AD7" si="2">ROUND(S4-T4-U4-AB4-AC4,2)</f>
        <v>10050.5</v>
      </c>
      <c r="AE4" s="78">
        <f>ROUND(MAX((AD4)*{0.03;0.1;0.2;0.25;0.3;0.35;0.45}-{0;2520;16920;31920;52920;85920;181920},0),2)</f>
        <v>301.52</v>
      </c>
      <c r="AF4" s="79">
        <f>IFERROR(VLOOKUP(E:E,'（居民）工资表-4月'!E:AF,28,0)+VLOOKUP(E:E,'（居民）工资表-4月'!E:AG,29,0),0)</f>
        <v>201.01</v>
      </c>
      <c r="AG4" s="79">
        <f t="shared" ref="AG4:AG6" si="3">IF((AE4-AF4)&lt;0,0,AE4-AF4)</f>
        <v>100.50999999999999</v>
      </c>
      <c r="AH4" s="82">
        <f t="shared" ref="AH4:AH6" si="4">ROUND(IF((L4-Q4-AG4)&lt;0,0,(L4-Q4-AG4)),2)</f>
        <v>10249.59</v>
      </c>
      <c r="AI4" s="83"/>
      <c r="AJ4" s="82">
        <f t="shared" ref="AJ4:AJ7" si="5">AH4+AI4</f>
        <v>10249.59</v>
      </c>
      <c r="AK4" s="84"/>
      <c r="AL4" s="82">
        <f t="shared" ref="AL4:AL7" si="6">AJ4+AG4+AK4</f>
        <v>10350.1</v>
      </c>
      <c r="AM4" s="84"/>
      <c r="AN4" s="84"/>
      <c r="AO4" s="84"/>
      <c r="AP4" s="84"/>
      <c r="AQ4" s="84"/>
      <c r="AR4" s="88" t="str">
        <f t="shared" ref="AR4:AR7"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IF(SUMPRODUCT(N(E$1:E$7=E4))&gt;1,"重复","不")</f>
        <v>不</v>
      </c>
      <c r="AT4" s="88" t="str">
        <f>IF(SUMPRODUCT(N(AO$1:AO$7=AO4))&gt;1,"重复","不")</f>
        <v>重复</v>
      </c>
    </row>
    <row r="5" spans="1:46" s="10" customFormat="1" ht="18" customHeight="1">
      <c r="A5" s="24">
        <v>2</v>
      </c>
      <c r="B5" s="25" t="s">
        <v>191</v>
      </c>
      <c r="C5" s="25" t="s">
        <v>93</v>
      </c>
      <c r="D5" s="25" t="s">
        <v>192</v>
      </c>
      <c r="E5" s="25" t="s">
        <v>94</v>
      </c>
      <c r="F5" s="26" t="s">
        <v>193</v>
      </c>
      <c r="G5" s="27">
        <v>13944441728</v>
      </c>
      <c r="H5" s="28"/>
      <c r="I5" s="28"/>
      <c r="J5" s="56"/>
      <c r="K5" s="28"/>
      <c r="L5" s="57">
        <v>7000</v>
      </c>
      <c r="M5" s="58">
        <v>268.81</v>
      </c>
      <c r="N5" s="58">
        <v>72.06</v>
      </c>
      <c r="O5" s="58">
        <v>10.08</v>
      </c>
      <c r="P5" s="58">
        <v>82</v>
      </c>
      <c r="Q5" s="74">
        <f t="shared" si="0"/>
        <v>432.95</v>
      </c>
      <c r="R5" s="60">
        <v>0</v>
      </c>
      <c r="S5" s="75">
        <f>L5+IFERROR(VLOOKUP($E:$E,'（居民）工资表-4月'!$E:$S,15,0),0)</f>
        <v>35000</v>
      </c>
      <c r="T5" s="76">
        <f>5000+IFERROR(VLOOKUP($E:$E,'（居民）工资表-4月'!$E:$T,16,0),0)</f>
        <v>25000</v>
      </c>
      <c r="U5" s="76">
        <f>Q5+IFERROR(VLOOKUP($E:$E,'（居民）工资表-4月'!$E:$U,17,0),0)</f>
        <v>2164.75</v>
      </c>
      <c r="V5" s="60"/>
      <c r="W5" s="60"/>
      <c r="X5" s="60">
        <v>5000</v>
      </c>
      <c r="Y5" s="60"/>
      <c r="Z5" s="60"/>
      <c r="AA5" s="60"/>
      <c r="AB5" s="75">
        <f t="shared" si="1"/>
        <v>5000</v>
      </c>
      <c r="AC5" s="75">
        <f>R5+IFERROR(VLOOKUP($E:$E,'（居民）工资表-4月'!$E:$AC,25,0),0)</f>
        <v>0</v>
      </c>
      <c r="AD5" s="77">
        <f t="shared" si="2"/>
        <v>2835.25</v>
      </c>
      <c r="AE5" s="78">
        <f>ROUND(MAX((AD5)*{0.03;0.1;0.2;0.25;0.3;0.35;0.45}-{0;2520;16920;31920;52920;85920;181920},0),2)</f>
        <v>85.06</v>
      </c>
      <c r="AF5" s="79">
        <f>IFERROR(VLOOKUP(E:E,'（居民）工资表-4月'!E:AF,28,0)+VLOOKUP(E:E,'（居民）工资表-4月'!E:AG,29,0),0)</f>
        <v>68.05</v>
      </c>
      <c r="AG5" s="79">
        <f t="shared" si="3"/>
        <v>17.010000000000005</v>
      </c>
      <c r="AH5" s="82">
        <f t="shared" si="4"/>
        <v>6550.04</v>
      </c>
      <c r="AI5" s="83"/>
      <c r="AJ5" s="82">
        <f t="shared" si="5"/>
        <v>6550.04</v>
      </c>
      <c r="AK5" s="84"/>
      <c r="AL5" s="82">
        <f t="shared" si="6"/>
        <v>6567.05</v>
      </c>
      <c r="AM5" s="84"/>
      <c r="AN5" s="84"/>
      <c r="AO5" s="84"/>
      <c r="AP5" s="84"/>
      <c r="AQ5" s="84"/>
      <c r="AR5" s="88" t="str">
        <f t="shared" si="7"/>
        <v>正确</v>
      </c>
      <c r="AS5" s="88" t="str">
        <f>IF(SUMPRODUCT(N(E$1:E$7=E5))&gt;1,"重复","不")</f>
        <v>不</v>
      </c>
      <c r="AT5" s="88" t="str">
        <f>IF(SUMPRODUCT(N(AO$1:AO$7=AO5))&gt;1,"重复","不")</f>
        <v>重复</v>
      </c>
    </row>
    <row r="6" spans="1:46" s="10" customFormat="1" ht="18" customHeight="1">
      <c r="A6" s="24">
        <v>3</v>
      </c>
      <c r="B6" s="25" t="s">
        <v>191</v>
      </c>
      <c r="C6" s="25" t="s">
        <v>107</v>
      </c>
      <c r="D6" s="25" t="s">
        <v>192</v>
      </c>
      <c r="E6" s="289" t="s">
        <v>108</v>
      </c>
      <c r="F6" s="26" t="str">
        <f>IF(MOD(MID(E6,17,1),2)=1,"男","女")</f>
        <v>女</v>
      </c>
      <c r="G6" s="27">
        <v>15360550807</v>
      </c>
      <c r="H6" s="28"/>
      <c r="I6" s="28"/>
      <c r="J6" s="56"/>
      <c r="K6" s="28"/>
      <c r="L6" s="57">
        <v>5700</v>
      </c>
      <c r="M6" s="58">
        <v>367.04</v>
      </c>
      <c r="N6" s="58">
        <v>135.13999999999999</v>
      </c>
      <c r="O6" s="58">
        <v>4.5999999999999996</v>
      </c>
      <c r="P6" s="58">
        <v>115</v>
      </c>
      <c r="Q6" s="74">
        <f t="shared" si="0"/>
        <v>621.78</v>
      </c>
      <c r="R6" s="60">
        <v>0</v>
      </c>
      <c r="S6" s="75">
        <f>L6+IFERROR(VLOOKUP($E:$E,'（居民）工资表-4月'!$E:$S,15,0),0)</f>
        <v>28500</v>
      </c>
      <c r="T6" s="76">
        <f>5000+IFERROR(VLOOKUP($E:$E,'（居民）工资表-4月'!$E:$T,16,0),0)</f>
        <v>25000</v>
      </c>
      <c r="U6" s="76">
        <f>Q6+IFERROR(VLOOKUP($E:$E,'（居民）工资表-4月'!$E:$U,17,0),0)</f>
        <v>3138.1799999999994</v>
      </c>
      <c r="V6" s="60"/>
      <c r="W6" s="60"/>
      <c r="X6" s="60"/>
      <c r="Y6" s="60">
        <v>7500</v>
      </c>
      <c r="Z6" s="60"/>
      <c r="AA6" s="60"/>
      <c r="AB6" s="75">
        <f t="shared" si="1"/>
        <v>7500</v>
      </c>
      <c r="AC6" s="75">
        <f>R6+IFERROR(VLOOKUP($E:$E,'（居民）工资表-4月'!$E:$AC,25,0),0)</f>
        <v>0</v>
      </c>
      <c r="AD6" s="77">
        <f t="shared" si="2"/>
        <v>-7138.18</v>
      </c>
      <c r="AE6" s="78">
        <f>ROUND(MAX((AD6)*{0.03;0.1;0.2;0.25;0.3;0.35;0.45}-{0;2520;16920;31920;52920;85920;181920},0),2)</f>
        <v>0</v>
      </c>
      <c r="AF6" s="79">
        <f>IFERROR(VLOOKUP(E:E,'（居民）工资表-4月'!E:AF,28,0)+VLOOKUP(E:E,'（居民）工资表-4月'!E:AG,29,0),0)</f>
        <v>0</v>
      </c>
      <c r="AG6" s="79">
        <f t="shared" si="3"/>
        <v>0</v>
      </c>
      <c r="AH6" s="82">
        <f t="shared" si="4"/>
        <v>5078.22</v>
      </c>
      <c r="AI6" s="83"/>
      <c r="AJ6" s="82">
        <f t="shared" si="5"/>
        <v>5078.22</v>
      </c>
      <c r="AK6" s="84"/>
      <c r="AL6" s="82">
        <f t="shared" si="6"/>
        <v>5078.22</v>
      </c>
      <c r="AM6" s="84"/>
      <c r="AN6" s="84"/>
      <c r="AO6" s="84"/>
      <c r="AP6" s="84"/>
      <c r="AQ6" s="84"/>
      <c r="AR6" s="88" t="str">
        <f t="shared" si="7"/>
        <v>正确</v>
      </c>
      <c r="AS6" s="88" t="str">
        <f>IF(SUMPRODUCT(N(E$1:E$7=E6))&gt;1,"重复","不")</f>
        <v>不</v>
      </c>
      <c r="AT6" s="88" t="str">
        <f>IF(SUMPRODUCT(N(AO$1:AO$7=AO6))&gt;1,"重复","不")</f>
        <v>重复</v>
      </c>
    </row>
    <row r="7" spans="1:46" s="10" customFormat="1" ht="18" customHeight="1">
      <c r="A7" s="24">
        <v>4</v>
      </c>
      <c r="B7" s="25" t="s">
        <v>191</v>
      </c>
      <c r="C7" s="25" t="s">
        <v>253</v>
      </c>
      <c r="D7" s="25" t="s">
        <v>192</v>
      </c>
      <c r="E7" s="289" t="s">
        <v>254</v>
      </c>
      <c r="F7" s="26" t="s">
        <v>193</v>
      </c>
      <c r="G7" s="27">
        <v>18607383005</v>
      </c>
      <c r="H7" s="28"/>
      <c r="I7" s="28"/>
      <c r="J7" s="56"/>
      <c r="K7" s="28"/>
      <c r="L7" s="57">
        <v>27000</v>
      </c>
      <c r="M7" s="58">
        <v>320</v>
      </c>
      <c r="N7" s="58">
        <v>80</v>
      </c>
      <c r="O7" s="58">
        <v>12</v>
      </c>
      <c r="P7" s="58">
        <v>200</v>
      </c>
      <c r="Q7" s="74">
        <f t="shared" si="0"/>
        <v>612</v>
      </c>
      <c r="R7" s="60">
        <v>0</v>
      </c>
      <c r="S7" s="75">
        <f>L7+IFERROR(VLOOKUP($E:$E,'（居民）工资表-4月'!$E:$S,15,0),0)</f>
        <v>137000</v>
      </c>
      <c r="T7" s="76">
        <f>5000+IFERROR(VLOOKUP($E:$E,'（居民）工资表-4月'!$E:$T,16,0),0)</f>
        <v>25000</v>
      </c>
      <c r="U7" s="76">
        <f>Q7+IFERROR(VLOOKUP($E:$E,'（居民）工资表-4月'!$E:$U,17,0),0)</f>
        <v>3190</v>
      </c>
      <c r="V7" s="60">
        <v>10000</v>
      </c>
      <c r="W7" s="60">
        <v>5000</v>
      </c>
      <c r="X7" s="60"/>
      <c r="Y7" s="60"/>
      <c r="Z7" s="60"/>
      <c r="AA7" s="60"/>
      <c r="AB7" s="75">
        <f t="shared" si="1"/>
        <v>15000</v>
      </c>
      <c r="AC7" s="75">
        <f>R7+IFERROR(VLOOKUP($E:$E,'（居民）工资表-4月'!$E:$AC,25,0),0)</f>
        <v>0</v>
      </c>
      <c r="AD7" s="77">
        <f t="shared" si="2"/>
        <v>93810</v>
      </c>
      <c r="AE7" s="78">
        <f>ROUND(MAX((AD7)*{0.03;0.1;0.2;0.25;0.3;0.35;0.45}-{0;2520;16920;31920;52920;85920;181920},0),2)</f>
        <v>6861</v>
      </c>
      <c r="AF7" s="79">
        <f>IFERROR(VLOOKUP(E:E,'（居民）工资表-4月'!E:AF,28,0)+VLOOKUP(E:E,'（居民）工资表-4月'!E:AG,29,0),0)</f>
        <v>5022.2</v>
      </c>
      <c r="AG7" s="79">
        <f t="shared" ref="AG7:AG19" si="8">IF((AE7-AF7)&lt;0,0,AE7-AF7)</f>
        <v>1838.8000000000002</v>
      </c>
      <c r="AH7" s="82">
        <f t="shared" ref="AH7:AH19" si="9">ROUND(IF((L7-Q7-AG7)&lt;0,0,(L7-Q7-AG7)),2)</f>
        <v>24549.200000000001</v>
      </c>
      <c r="AI7" s="83"/>
      <c r="AJ7" s="82">
        <f t="shared" si="5"/>
        <v>24549.200000000001</v>
      </c>
      <c r="AK7" s="84"/>
      <c r="AL7" s="82">
        <f t="shared" si="6"/>
        <v>26388</v>
      </c>
      <c r="AM7" s="84"/>
      <c r="AN7" s="84"/>
      <c r="AO7" s="84"/>
      <c r="AP7" s="84"/>
      <c r="AQ7" s="84"/>
      <c r="AR7" s="88" t="str">
        <f t="shared" si="7"/>
        <v>正确</v>
      </c>
      <c r="AS7" s="88" t="str">
        <f>IF(SUMPRODUCT(N(E$1:E$7=E7))&gt;1,"重复","不")</f>
        <v>不</v>
      </c>
      <c r="AT7" s="88" t="str">
        <f>IF(SUMPRODUCT(N(AO$1:AO$7=AO7))&gt;1,"重复","不")</f>
        <v>重复</v>
      </c>
    </row>
    <row r="8" spans="1:46" s="10" customFormat="1" ht="18" customHeight="1">
      <c r="A8" s="24">
        <v>5</v>
      </c>
      <c r="B8" s="25" t="s">
        <v>191</v>
      </c>
      <c r="C8" s="25" t="s">
        <v>255</v>
      </c>
      <c r="D8" s="25" t="s">
        <v>192</v>
      </c>
      <c r="E8" s="25" t="s">
        <v>256</v>
      </c>
      <c r="F8" s="26" t="s">
        <v>193</v>
      </c>
      <c r="G8" s="27">
        <v>13373825180</v>
      </c>
      <c r="H8" s="28"/>
      <c r="I8" s="28"/>
      <c r="J8" s="56"/>
      <c r="K8" s="28"/>
      <c r="L8" s="57">
        <v>30739</v>
      </c>
      <c r="M8" s="58">
        <v>296</v>
      </c>
      <c r="N8" s="58">
        <v>74</v>
      </c>
      <c r="O8" s="58">
        <v>11.1</v>
      </c>
      <c r="P8" s="58">
        <v>85</v>
      </c>
      <c r="Q8" s="74">
        <f t="shared" ref="Q8:Q19" si="10">ROUND(SUM(M8:P8),2)</f>
        <v>466.1</v>
      </c>
      <c r="R8" s="60">
        <v>0</v>
      </c>
      <c r="S8" s="75">
        <f>L8+IFERROR(VLOOKUP($E:$E,'（居民）工资表-4月'!$E:$S,15,0),0)</f>
        <v>143772.5</v>
      </c>
      <c r="T8" s="76">
        <f>5000+IFERROR(VLOOKUP($E:$E,'（居民）工资表-4月'!$E:$T,16,0),0)</f>
        <v>25000</v>
      </c>
      <c r="U8" s="76">
        <f>Q8+IFERROR(VLOOKUP($E:$E,'（居民）工资表-4月'!$E:$U,17,0),0)</f>
        <v>2567.4699999999998</v>
      </c>
      <c r="V8" s="60">
        <v>5000</v>
      </c>
      <c r="W8" s="60">
        <v>5000</v>
      </c>
      <c r="X8" s="60">
        <v>5000</v>
      </c>
      <c r="Y8" s="60"/>
      <c r="Z8" s="60"/>
      <c r="AA8" s="60"/>
      <c r="AB8" s="75">
        <f t="shared" ref="AB8:AB19" si="11">ROUND(SUM(V8:AA8),2)</f>
        <v>15000</v>
      </c>
      <c r="AC8" s="75">
        <f>R8+IFERROR(VLOOKUP($E:$E,'（居民）工资表-4月'!$E:$AC,25,0),0)</f>
        <v>0</v>
      </c>
      <c r="AD8" s="77">
        <f t="shared" ref="AD8:AD19" si="12">ROUND(S8-T8-U8-AB8-AC8,2)</f>
        <v>101205.03</v>
      </c>
      <c r="AE8" s="78">
        <f>ROUND(MAX((AD8)*{0.03;0.1;0.2;0.25;0.3;0.35;0.45}-{0;2520;16920;31920;52920;85920;181920},0),2)</f>
        <v>7600.5</v>
      </c>
      <c r="AF8" s="79">
        <f>IFERROR(VLOOKUP(E:E,'（居民）工资表-4月'!E:AF,28,0)+VLOOKUP(E:E,'（居民）工资表-4月'!E:AG,29,0),0)</f>
        <v>5373.21</v>
      </c>
      <c r="AG8" s="79">
        <f t="shared" si="8"/>
        <v>2227.29</v>
      </c>
      <c r="AH8" s="82">
        <f t="shared" si="9"/>
        <v>28045.61</v>
      </c>
      <c r="AI8" s="83"/>
      <c r="AJ8" s="82">
        <f t="shared" ref="AJ8:AJ19" si="13">AH8+AI8</f>
        <v>28045.61</v>
      </c>
      <c r="AK8" s="84"/>
      <c r="AL8" s="82">
        <f t="shared" ref="AL8:AL19" si="14">AJ8+AG8+AK8</f>
        <v>30272.9</v>
      </c>
      <c r="AM8" s="84"/>
      <c r="AN8" s="84"/>
      <c r="AO8" s="84"/>
      <c r="AP8" s="84"/>
      <c r="AQ8" s="84"/>
      <c r="AR8" s="88" t="str">
        <f t="shared" ref="AR8:AR19" si="15">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88" t="str">
        <f t="shared" ref="AS8:AS16" si="16">IF(SUMPRODUCT(N(E$1:E$7=E8))&gt;1,"重复","不")</f>
        <v>不</v>
      </c>
      <c r="AT8" s="88" t="str">
        <f t="shared" ref="AT8:AT16" si="17">IF(SUMPRODUCT(N(AO$1:AO$7=AO8))&gt;1,"重复","不")</f>
        <v>重复</v>
      </c>
    </row>
    <row r="9" spans="1:46" s="10" customFormat="1" ht="18" customHeight="1">
      <c r="A9" s="24">
        <v>6</v>
      </c>
      <c r="B9" s="29" t="s">
        <v>191</v>
      </c>
      <c r="C9" s="29" t="s">
        <v>118</v>
      </c>
      <c r="D9" s="29" t="s">
        <v>192</v>
      </c>
      <c r="E9" s="29" t="s">
        <v>119</v>
      </c>
      <c r="F9" s="30" t="s">
        <v>193</v>
      </c>
      <c r="G9" s="31">
        <v>18037463616</v>
      </c>
      <c r="H9" s="32"/>
      <c r="I9" s="32"/>
      <c r="J9" s="59"/>
      <c r="K9" s="32"/>
      <c r="L9" s="57">
        <v>14320</v>
      </c>
      <c r="M9" s="58">
        <v>254.32</v>
      </c>
      <c r="N9" s="58">
        <v>63.94</v>
      </c>
      <c r="O9" s="58">
        <v>9.5399999999999991</v>
      </c>
      <c r="P9" s="58">
        <v>254.32</v>
      </c>
      <c r="Q9" s="74">
        <f t="shared" si="10"/>
        <v>582.12</v>
      </c>
      <c r="R9" s="60">
        <v>0</v>
      </c>
      <c r="S9" s="75">
        <f>L9+IFERROR(VLOOKUP($E:$E,'（居民）工资表-4月'!$E:$S,15,0),0)</f>
        <v>56412.630000000005</v>
      </c>
      <c r="T9" s="76">
        <f>5000+IFERROR(VLOOKUP($E:$E,'（居民）工资表-4月'!$E:$T,16,0),0)</f>
        <v>20000</v>
      </c>
      <c r="U9" s="76">
        <f>Q9+IFERROR(VLOOKUP($E:$E,'（居民）工资表-4月'!$E:$U,17,0),0)</f>
        <v>2810.13</v>
      </c>
      <c r="V9" s="60"/>
      <c r="W9" s="60"/>
      <c r="X9" s="60">
        <v>4000</v>
      </c>
      <c r="Y9" s="60"/>
      <c r="Z9" s="60"/>
      <c r="AA9" s="60"/>
      <c r="AB9" s="75">
        <f t="shared" si="11"/>
        <v>4000</v>
      </c>
      <c r="AC9" s="75">
        <f>R9+IFERROR(VLOOKUP($E:$E,'（居民）工资表-4月'!$E:$AC,25,0),0)</f>
        <v>0</v>
      </c>
      <c r="AD9" s="77">
        <f t="shared" si="12"/>
        <v>29602.5</v>
      </c>
      <c r="AE9" s="78">
        <f>ROUND(MAX((AD9)*{0.03;0.1;0.2;0.25;0.3;0.35;0.45}-{0;2520;16920;31920;52920;85920;181920},0),2)</f>
        <v>888.08</v>
      </c>
      <c r="AF9" s="79">
        <f>IFERROR(VLOOKUP(E:E,'（居民）工资表-4月'!E:AF,28,0)+VLOOKUP(E:E,'（居民）工资表-4月'!E:AG,29,0),0)</f>
        <v>655.94</v>
      </c>
      <c r="AG9" s="79">
        <f t="shared" si="8"/>
        <v>232.14</v>
      </c>
      <c r="AH9" s="82">
        <f t="shared" si="9"/>
        <v>13505.74</v>
      </c>
      <c r="AI9" s="83"/>
      <c r="AJ9" s="82">
        <f t="shared" si="13"/>
        <v>13505.74</v>
      </c>
      <c r="AK9" s="84"/>
      <c r="AL9" s="82">
        <f t="shared" si="14"/>
        <v>13737.88</v>
      </c>
      <c r="AM9" s="84"/>
      <c r="AN9" s="84"/>
      <c r="AO9" s="84"/>
      <c r="AP9" s="84"/>
      <c r="AQ9" s="84"/>
      <c r="AR9" s="88" t="str">
        <f t="shared" si="15"/>
        <v>正确</v>
      </c>
      <c r="AS9" s="88" t="str">
        <f t="shared" si="16"/>
        <v>不</v>
      </c>
      <c r="AT9" s="88" t="str">
        <f t="shared" si="17"/>
        <v>重复</v>
      </c>
    </row>
    <row r="10" spans="1:46" s="10" customFormat="1" ht="18" customHeight="1">
      <c r="A10" s="24">
        <v>7</v>
      </c>
      <c r="B10" s="25" t="s">
        <v>191</v>
      </c>
      <c r="C10" s="25" t="s">
        <v>120</v>
      </c>
      <c r="D10" s="25" t="s">
        <v>192</v>
      </c>
      <c r="E10" s="289" t="s">
        <v>121</v>
      </c>
      <c r="F10" s="26" t="s">
        <v>193</v>
      </c>
      <c r="G10" s="27">
        <v>18500634358</v>
      </c>
      <c r="H10" s="28"/>
      <c r="I10" s="28"/>
      <c r="J10" s="56"/>
      <c r="K10" s="28"/>
      <c r="L10" s="57">
        <v>14620</v>
      </c>
      <c r="M10" s="58">
        <v>254.32</v>
      </c>
      <c r="N10" s="58">
        <v>63.94</v>
      </c>
      <c r="O10" s="58">
        <v>9.5399999999999991</v>
      </c>
      <c r="P10" s="58">
        <v>254.32</v>
      </c>
      <c r="Q10" s="74">
        <f t="shared" si="10"/>
        <v>582.12</v>
      </c>
      <c r="R10" s="60">
        <v>0</v>
      </c>
      <c r="S10" s="75">
        <f>L10+IFERROR(VLOOKUP($E:$E,'（居民）工资表-4月'!$E:$S,15,0),0)</f>
        <v>58660</v>
      </c>
      <c r="T10" s="76">
        <f>5000+IFERROR(VLOOKUP($E:$E,'（居民）工资表-4月'!$E:$T,16,0),0)</f>
        <v>20000</v>
      </c>
      <c r="U10" s="76">
        <f>Q10+IFERROR(VLOOKUP($E:$E,'（居民）工资表-4月'!$E:$U,17,0),0)</f>
        <v>2810.13</v>
      </c>
      <c r="V10" s="60"/>
      <c r="W10" s="60"/>
      <c r="X10" s="60"/>
      <c r="Y10" s="60"/>
      <c r="Z10" s="60"/>
      <c r="AA10" s="60"/>
      <c r="AB10" s="75">
        <f t="shared" si="11"/>
        <v>0</v>
      </c>
      <c r="AC10" s="75">
        <f>R10+IFERROR(VLOOKUP($E:$E,'（居民）工资表-4月'!$E:$AC,25,0),0)</f>
        <v>0</v>
      </c>
      <c r="AD10" s="77">
        <f t="shared" si="12"/>
        <v>35849.870000000003</v>
      </c>
      <c r="AE10" s="78">
        <f>ROUND(MAX((AD10)*{0.03;0.1;0.2;0.25;0.3;0.35;0.45}-{0;2520;16920;31920;52920;85920;181920},0),2)</f>
        <v>1075.5</v>
      </c>
      <c r="AF10" s="79">
        <f>IFERROR(VLOOKUP(E:E,'（居民）工资表-4月'!E:AF,28,0)+VLOOKUP(E:E,'（居民）工资表-4月'!E:AG,29,0),0)</f>
        <v>804.36</v>
      </c>
      <c r="AG10" s="79">
        <f t="shared" si="8"/>
        <v>271.14</v>
      </c>
      <c r="AH10" s="82">
        <f t="shared" si="9"/>
        <v>13766.74</v>
      </c>
      <c r="AI10" s="83"/>
      <c r="AJ10" s="82">
        <f t="shared" si="13"/>
        <v>13766.74</v>
      </c>
      <c r="AK10" s="84"/>
      <c r="AL10" s="82">
        <f t="shared" si="14"/>
        <v>14037.88</v>
      </c>
      <c r="AM10" s="84"/>
      <c r="AN10" s="84"/>
      <c r="AO10" s="84"/>
      <c r="AP10" s="84"/>
      <c r="AQ10" s="84"/>
      <c r="AR10" s="88" t="str">
        <f t="shared" si="15"/>
        <v>正确</v>
      </c>
      <c r="AS10" s="88" t="str">
        <f t="shared" si="16"/>
        <v>不</v>
      </c>
      <c r="AT10" s="88" t="str">
        <f t="shared" si="17"/>
        <v>重复</v>
      </c>
    </row>
    <row r="11" spans="1:46" s="10" customFormat="1" ht="18" customHeight="1">
      <c r="A11" s="24">
        <v>8</v>
      </c>
      <c r="B11" s="25" t="s">
        <v>191</v>
      </c>
      <c r="C11" s="25" t="s">
        <v>113</v>
      </c>
      <c r="D11" s="25" t="s">
        <v>192</v>
      </c>
      <c r="E11" s="25" t="s">
        <v>114</v>
      </c>
      <c r="F11" s="26" t="s">
        <v>193</v>
      </c>
      <c r="G11" s="27">
        <v>18738169923</v>
      </c>
      <c r="H11" s="28"/>
      <c r="I11" s="28"/>
      <c r="J11" s="56"/>
      <c r="K11" s="28"/>
      <c r="L11" s="57">
        <v>12120</v>
      </c>
      <c r="M11" s="58">
        <v>254.32</v>
      </c>
      <c r="N11" s="58">
        <v>63.94</v>
      </c>
      <c r="O11" s="58">
        <v>9.5399999999999991</v>
      </c>
      <c r="P11" s="58">
        <v>254.32</v>
      </c>
      <c r="Q11" s="74">
        <f t="shared" si="10"/>
        <v>582.12</v>
      </c>
      <c r="R11" s="60">
        <v>0</v>
      </c>
      <c r="S11" s="75">
        <f>L11+IFERROR(VLOOKUP($E:$E,'（居民）工资表-4月'!$E:$S,15,0),0)</f>
        <v>48660</v>
      </c>
      <c r="T11" s="76">
        <f>5000+IFERROR(VLOOKUP($E:$E,'（居民）工资表-4月'!$E:$T,16,0),0)</f>
        <v>20000</v>
      </c>
      <c r="U11" s="76">
        <f>Q11+IFERROR(VLOOKUP($E:$E,'（居民）工资表-4月'!$E:$U,17,0),0)</f>
        <v>2910.6</v>
      </c>
      <c r="V11" s="60"/>
      <c r="W11" s="60"/>
      <c r="X11" s="60"/>
      <c r="Y11" s="60"/>
      <c r="Z11" s="60"/>
      <c r="AA11" s="60"/>
      <c r="AB11" s="75">
        <f t="shared" si="11"/>
        <v>0</v>
      </c>
      <c r="AC11" s="75">
        <f>R11+IFERROR(VLOOKUP($E:$E,'（居民）工资表-4月'!$E:$AC,25,0),0)</f>
        <v>0</v>
      </c>
      <c r="AD11" s="77">
        <f t="shared" si="12"/>
        <v>25749.4</v>
      </c>
      <c r="AE11" s="78">
        <f>ROUND(MAX((AD11)*{0.03;0.1;0.2;0.25;0.3;0.35;0.45}-{0;2520;16920;31920;52920;85920;181920},0),2)</f>
        <v>772.48</v>
      </c>
      <c r="AF11" s="79">
        <f>IFERROR(VLOOKUP(E:E,'（居民）工资表-4月'!E:AF,28,0)+VLOOKUP(E:E,'（居民）工资表-4月'!E:AG,29,0),0)</f>
        <v>576.35</v>
      </c>
      <c r="AG11" s="79">
        <f t="shared" si="8"/>
        <v>196.13</v>
      </c>
      <c r="AH11" s="82">
        <f t="shared" si="9"/>
        <v>11341.75</v>
      </c>
      <c r="AI11" s="83"/>
      <c r="AJ11" s="82">
        <f t="shared" si="13"/>
        <v>11341.75</v>
      </c>
      <c r="AK11" s="84"/>
      <c r="AL11" s="82">
        <f t="shared" si="14"/>
        <v>11537.88</v>
      </c>
      <c r="AM11" s="84"/>
      <c r="AN11" s="84"/>
      <c r="AO11" s="84"/>
      <c r="AP11" s="84"/>
      <c r="AQ11" s="84"/>
      <c r="AR11" s="88" t="str">
        <f t="shared" si="15"/>
        <v>正确</v>
      </c>
      <c r="AS11" s="88" t="str">
        <f t="shared" si="16"/>
        <v>不</v>
      </c>
      <c r="AT11" s="88" t="str">
        <f t="shared" si="17"/>
        <v>重复</v>
      </c>
    </row>
    <row r="12" spans="1:46" s="10" customFormat="1" ht="18" customHeight="1">
      <c r="A12" s="24">
        <v>9</v>
      </c>
      <c r="B12" s="25" t="s">
        <v>191</v>
      </c>
      <c r="C12" s="25" t="s">
        <v>122</v>
      </c>
      <c r="D12" s="25" t="s">
        <v>192</v>
      </c>
      <c r="E12" s="25" t="s">
        <v>123</v>
      </c>
      <c r="F12" s="26" t="s">
        <v>193</v>
      </c>
      <c r="G12" s="27" t="s">
        <v>195</v>
      </c>
      <c r="H12" s="28"/>
      <c r="I12" s="28"/>
      <c r="J12" s="56"/>
      <c r="K12" s="28"/>
      <c r="L12" s="57">
        <v>17120</v>
      </c>
      <c r="M12" s="58">
        <v>254.32</v>
      </c>
      <c r="N12" s="58">
        <v>63.94</v>
      </c>
      <c r="O12" s="58">
        <v>9.5399999999999991</v>
      </c>
      <c r="P12" s="58">
        <v>254.32</v>
      </c>
      <c r="Q12" s="74">
        <f t="shared" si="10"/>
        <v>582.12</v>
      </c>
      <c r="R12" s="60">
        <v>0</v>
      </c>
      <c r="S12" s="75">
        <f>L12+IFERROR(VLOOKUP($E:$E,'（居民）工资表-4月'!$E:$S,15,0),0)</f>
        <v>35134.740000000005</v>
      </c>
      <c r="T12" s="76">
        <f>5000+IFERROR(VLOOKUP($E:$E,'（居民）工资表-4月'!$E:$T,16,0),0)</f>
        <v>10000</v>
      </c>
      <c r="U12" s="76">
        <f>Q12+IFERROR(VLOOKUP($E:$E,'（居民）工资表-4月'!$E:$U,17,0),0)</f>
        <v>1746.3600000000001</v>
      </c>
      <c r="V12" s="60"/>
      <c r="W12" s="60"/>
      <c r="X12" s="60"/>
      <c r="Y12" s="60"/>
      <c r="Z12" s="60"/>
      <c r="AA12" s="60"/>
      <c r="AB12" s="75">
        <f t="shared" si="11"/>
        <v>0</v>
      </c>
      <c r="AC12" s="75">
        <f>R12+IFERROR(VLOOKUP($E:$E,'（居民）工资表-4月'!$E:$AC,25,0),0)</f>
        <v>0</v>
      </c>
      <c r="AD12" s="77">
        <f t="shared" si="12"/>
        <v>23388.38</v>
      </c>
      <c r="AE12" s="78">
        <f>ROUND(MAX((AD12)*{0.03;0.1;0.2;0.25;0.3;0.35;0.45}-{0;2520;16920;31920;52920;85920;181920},0),2)</f>
        <v>701.65</v>
      </c>
      <c r="AF12" s="79">
        <f>IFERROR(VLOOKUP(E:E,'（居民）工资表-4月'!E:AF,28,0)+VLOOKUP(E:E,'（居民）工资表-4月'!E:AG,29,0),0)</f>
        <v>355.52</v>
      </c>
      <c r="AG12" s="79">
        <f t="shared" si="8"/>
        <v>346.13</v>
      </c>
      <c r="AH12" s="82">
        <f t="shared" si="9"/>
        <v>16191.75</v>
      </c>
      <c r="AI12" s="83"/>
      <c r="AJ12" s="82">
        <f t="shared" si="13"/>
        <v>16191.75</v>
      </c>
      <c r="AK12" s="84"/>
      <c r="AL12" s="82">
        <f t="shared" si="14"/>
        <v>16537.88</v>
      </c>
      <c r="AM12" s="84"/>
      <c r="AN12" s="84"/>
      <c r="AO12" s="84"/>
      <c r="AP12" s="84"/>
      <c r="AQ12" s="84"/>
      <c r="AR12" s="88" t="str">
        <f t="shared" si="15"/>
        <v>正确</v>
      </c>
      <c r="AS12" s="88" t="str">
        <f t="shared" si="16"/>
        <v>不</v>
      </c>
      <c r="AT12" s="88" t="str">
        <f t="shared" si="17"/>
        <v>重复</v>
      </c>
    </row>
    <row r="13" spans="1:46" s="10" customFormat="1" ht="18" customHeight="1">
      <c r="A13" s="24">
        <v>10</v>
      </c>
      <c r="B13" s="25" t="s">
        <v>191</v>
      </c>
      <c r="C13" s="25" t="s">
        <v>126</v>
      </c>
      <c r="D13" s="25" t="s">
        <v>192</v>
      </c>
      <c r="E13" s="25" t="s">
        <v>127</v>
      </c>
      <c r="F13" s="26" t="s">
        <v>193</v>
      </c>
      <c r="G13" s="27" t="s">
        <v>196</v>
      </c>
      <c r="H13" s="28"/>
      <c r="I13" s="28"/>
      <c r="J13" s="56"/>
      <c r="K13" s="28"/>
      <c r="L13" s="57">
        <v>18420</v>
      </c>
      <c r="M13" s="58">
        <v>254.32</v>
      </c>
      <c r="N13" s="58">
        <v>63.94</v>
      </c>
      <c r="O13" s="58">
        <v>9.5399999999999991</v>
      </c>
      <c r="P13" s="58">
        <v>254.32</v>
      </c>
      <c r="Q13" s="74">
        <f t="shared" si="10"/>
        <v>582.12</v>
      </c>
      <c r="R13" s="60">
        <v>0</v>
      </c>
      <c r="S13" s="75">
        <f>L13+IFERROR(VLOOKUP($E:$E,'（居民）工资表-4月'!$E:$S,15,0),0)</f>
        <v>33537.39</v>
      </c>
      <c r="T13" s="76">
        <f>5000+IFERROR(VLOOKUP($E:$E,'（居民）工资表-4月'!$E:$T,16,0),0)</f>
        <v>10000</v>
      </c>
      <c r="U13" s="76">
        <f>Q13+IFERROR(VLOOKUP($E:$E,'（居民）工资表-4月'!$E:$U,17,0),0)</f>
        <v>1746.3600000000001</v>
      </c>
      <c r="V13" s="60"/>
      <c r="W13" s="60"/>
      <c r="X13" s="60"/>
      <c r="Y13" s="60"/>
      <c r="Z13" s="60"/>
      <c r="AA13" s="60"/>
      <c r="AB13" s="75">
        <f t="shared" si="11"/>
        <v>0</v>
      </c>
      <c r="AC13" s="75">
        <f>R13+IFERROR(VLOOKUP($E:$E,'（居民）工资表-4月'!$E:$AC,25,0),0)</f>
        <v>0</v>
      </c>
      <c r="AD13" s="77">
        <f t="shared" si="12"/>
        <v>21791.03</v>
      </c>
      <c r="AE13" s="78">
        <f>ROUND(MAX((AD13)*{0.03;0.1;0.2;0.25;0.3;0.35;0.45}-{0;2520;16920;31920;52920;85920;181920},0),2)</f>
        <v>653.73</v>
      </c>
      <c r="AF13" s="79">
        <f>IFERROR(VLOOKUP(E:E,'（居民）工资表-4月'!E:AF,28,0)+VLOOKUP(E:E,'（居民）工资表-4月'!E:AG,29,0),0)</f>
        <v>268.58999999999997</v>
      </c>
      <c r="AG13" s="79">
        <f t="shared" si="8"/>
        <v>385.14000000000004</v>
      </c>
      <c r="AH13" s="82">
        <f t="shared" si="9"/>
        <v>17452.740000000002</v>
      </c>
      <c r="AI13" s="83"/>
      <c r="AJ13" s="82">
        <f t="shared" si="13"/>
        <v>17452.740000000002</v>
      </c>
      <c r="AK13" s="84"/>
      <c r="AL13" s="82">
        <f t="shared" si="14"/>
        <v>17837.88</v>
      </c>
      <c r="AM13" s="84"/>
      <c r="AN13" s="84"/>
      <c r="AO13" s="84"/>
      <c r="AP13" s="84"/>
      <c r="AQ13" s="84"/>
      <c r="AR13" s="88" t="str">
        <f t="shared" si="15"/>
        <v>正确</v>
      </c>
      <c r="AS13" s="88" t="str">
        <f t="shared" si="16"/>
        <v>不</v>
      </c>
      <c r="AT13" s="88" t="str">
        <f t="shared" si="17"/>
        <v>重复</v>
      </c>
    </row>
    <row r="14" spans="1:46" s="10" customFormat="1" ht="18" customHeight="1">
      <c r="A14" s="24">
        <v>11</v>
      </c>
      <c r="B14" s="25" t="s">
        <v>191</v>
      </c>
      <c r="C14" s="25" t="s">
        <v>124</v>
      </c>
      <c r="D14" s="25" t="s">
        <v>192</v>
      </c>
      <c r="E14" s="25" t="s">
        <v>125</v>
      </c>
      <c r="F14" s="26" t="s">
        <v>193</v>
      </c>
      <c r="G14" s="27" t="s">
        <v>197</v>
      </c>
      <c r="H14" s="28"/>
      <c r="I14" s="28"/>
      <c r="J14" s="56"/>
      <c r="K14" s="28"/>
      <c r="L14" s="57">
        <v>13620</v>
      </c>
      <c r="M14" s="58">
        <v>254.32</v>
      </c>
      <c r="N14" s="58">
        <v>63.94</v>
      </c>
      <c r="O14" s="58">
        <v>9.5399999999999991</v>
      </c>
      <c r="P14" s="58">
        <v>254.32</v>
      </c>
      <c r="Q14" s="74">
        <f t="shared" si="10"/>
        <v>582.12</v>
      </c>
      <c r="R14" s="60">
        <v>0</v>
      </c>
      <c r="S14" s="75">
        <f>L14+IFERROR(VLOOKUP($E:$E,'（居民）工资表-4月'!$E:$S,15,0),0)</f>
        <v>24772.17</v>
      </c>
      <c r="T14" s="76">
        <f>5000+IFERROR(VLOOKUP($E:$E,'（居民）工资表-4月'!$E:$T,16,0),0)</f>
        <v>10000</v>
      </c>
      <c r="U14" s="76">
        <f>Q14+IFERROR(VLOOKUP($E:$E,'（居民）工资表-4月'!$E:$U,17,0),0)</f>
        <v>1746.3600000000001</v>
      </c>
      <c r="V14" s="60"/>
      <c r="W14" s="60"/>
      <c r="X14" s="60"/>
      <c r="Y14" s="60"/>
      <c r="Z14" s="60"/>
      <c r="AA14" s="60"/>
      <c r="AB14" s="75">
        <f t="shared" si="11"/>
        <v>0</v>
      </c>
      <c r="AC14" s="75">
        <f>R14+IFERROR(VLOOKUP($E:$E,'（居民）工资表-4月'!$E:$AC,25,0),0)</f>
        <v>0</v>
      </c>
      <c r="AD14" s="77">
        <f t="shared" si="12"/>
        <v>13025.81</v>
      </c>
      <c r="AE14" s="78">
        <f>ROUND(MAX((AD14)*{0.03;0.1;0.2;0.25;0.3;0.35;0.45}-{0;2520;16920;31920;52920;85920;181920},0),2)</f>
        <v>390.77</v>
      </c>
      <c r="AF14" s="79">
        <f>IFERROR(VLOOKUP(E:E,'（居民）工资表-4月'!E:AF,28,0)+VLOOKUP(E:E,'（居民）工资表-4月'!E:AG,29,0),0)</f>
        <v>149.63999999999999</v>
      </c>
      <c r="AG14" s="79">
        <f t="shared" si="8"/>
        <v>241.13</v>
      </c>
      <c r="AH14" s="82">
        <f t="shared" si="9"/>
        <v>12796.75</v>
      </c>
      <c r="AI14" s="83"/>
      <c r="AJ14" s="82">
        <f t="shared" si="13"/>
        <v>12796.75</v>
      </c>
      <c r="AK14" s="84"/>
      <c r="AL14" s="82">
        <f t="shared" si="14"/>
        <v>13037.88</v>
      </c>
      <c r="AM14" s="84"/>
      <c r="AN14" s="84"/>
      <c r="AO14" s="84"/>
      <c r="AP14" s="84"/>
      <c r="AQ14" s="84"/>
      <c r="AR14" s="88" t="str">
        <f t="shared" si="15"/>
        <v>正确</v>
      </c>
      <c r="AS14" s="88" t="str">
        <f t="shared" si="16"/>
        <v>不</v>
      </c>
      <c r="AT14" s="88" t="str">
        <f t="shared" si="17"/>
        <v>重复</v>
      </c>
    </row>
    <row r="15" spans="1:46" s="10" customFormat="1" ht="18" customHeight="1">
      <c r="A15" s="24">
        <v>12</v>
      </c>
      <c r="B15" s="25" t="s">
        <v>191</v>
      </c>
      <c r="C15" s="25" t="s">
        <v>116</v>
      </c>
      <c r="D15" s="25" t="s">
        <v>192</v>
      </c>
      <c r="E15" s="25" t="s">
        <v>117</v>
      </c>
      <c r="F15" s="26" t="s">
        <v>193</v>
      </c>
      <c r="G15" s="27">
        <v>15001138812</v>
      </c>
      <c r="H15" s="28"/>
      <c r="I15" s="28"/>
      <c r="J15" s="56"/>
      <c r="K15" s="28"/>
      <c r="L15" s="57">
        <v>10120</v>
      </c>
      <c r="M15" s="58">
        <v>254.32</v>
      </c>
      <c r="N15" s="58">
        <v>63.94</v>
      </c>
      <c r="O15" s="58">
        <v>9.5399999999999991</v>
      </c>
      <c r="P15" s="58">
        <v>254.32</v>
      </c>
      <c r="Q15" s="74">
        <f t="shared" si="10"/>
        <v>582.12</v>
      </c>
      <c r="R15" s="60">
        <v>0</v>
      </c>
      <c r="S15" s="75">
        <f>L15+IFERROR(VLOOKUP($E:$E,'（居民）工资表-4月'!$E:$S,15,0),0)</f>
        <v>40660</v>
      </c>
      <c r="T15" s="76">
        <f>5000+IFERROR(VLOOKUP($E:$E,'（居民）工资表-4月'!$E:$T,16,0),0)</f>
        <v>20000</v>
      </c>
      <c r="U15" s="76">
        <f>Q15+IFERROR(VLOOKUP($E:$E,'（居民）工资表-4月'!$E:$U,17,0),0)</f>
        <v>2910.6</v>
      </c>
      <c r="V15" s="60"/>
      <c r="W15" s="60"/>
      <c r="X15" s="60"/>
      <c r="Y15" s="60"/>
      <c r="Z15" s="60"/>
      <c r="AA15" s="60"/>
      <c r="AB15" s="75">
        <f t="shared" si="11"/>
        <v>0</v>
      </c>
      <c r="AC15" s="75">
        <f>R15+IFERROR(VLOOKUP($E:$E,'（居民）工资表-4月'!$E:$AC,25,0),0)</f>
        <v>0</v>
      </c>
      <c r="AD15" s="77">
        <f t="shared" si="12"/>
        <v>17749.400000000001</v>
      </c>
      <c r="AE15" s="78">
        <f>ROUND(MAX((AD15)*{0.03;0.1;0.2;0.25;0.3;0.35;0.45}-{0;2520;16920;31920;52920;85920;181920},0),2)</f>
        <v>532.48</v>
      </c>
      <c r="AF15" s="79">
        <f>IFERROR(VLOOKUP(E:E,'（居民）工资表-4月'!E:AF,28,0)+VLOOKUP(E:E,'（居民）工资表-4月'!E:AG,29,0),0)</f>
        <v>396.35</v>
      </c>
      <c r="AG15" s="79">
        <f t="shared" si="8"/>
        <v>136.13</v>
      </c>
      <c r="AH15" s="82">
        <f t="shared" si="9"/>
        <v>9401.75</v>
      </c>
      <c r="AI15" s="83"/>
      <c r="AJ15" s="82">
        <f t="shared" si="13"/>
        <v>9401.75</v>
      </c>
      <c r="AK15" s="84"/>
      <c r="AL15" s="82">
        <f t="shared" si="14"/>
        <v>9537.8799999999992</v>
      </c>
      <c r="AM15" s="84"/>
      <c r="AN15" s="84"/>
      <c r="AO15" s="84"/>
      <c r="AP15" s="84"/>
      <c r="AQ15" s="84"/>
      <c r="AR15" s="88" t="str">
        <f t="shared" si="15"/>
        <v>正确</v>
      </c>
      <c r="AS15" s="88" t="str">
        <f t="shared" si="16"/>
        <v>不</v>
      </c>
      <c r="AT15" s="88" t="str">
        <f t="shared" si="17"/>
        <v>重复</v>
      </c>
    </row>
    <row r="16" spans="1:46" s="10" customFormat="1" ht="18" customHeight="1">
      <c r="A16" s="24">
        <v>13</v>
      </c>
      <c r="B16" s="25" t="s">
        <v>191</v>
      </c>
      <c r="C16" s="25" t="s">
        <v>128</v>
      </c>
      <c r="D16" s="25" t="s">
        <v>192</v>
      </c>
      <c r="E16" s="25" t="s">
        <v>129</v>
      </c>
      <c r="F16" s="26" t="s">
        <v>193</v>
      </c>
      <c r="G16" s="27">
        <v>15333903368</v>
      </c>
      <c r="H16" s="28"/>
      <c r="I16" s="28"/>
      <c r="J16" s="56"/>
      <c r="K16" s="28"/>
      <c r="L16" s="57">
        <v>15120</v>
      </c>
      <c r="M16" s="58">
        <v>508.64</v>
      </c>
      <c r="N16" s="58">
        <v>127.88</v>
      </c>
      <c r="O16" s="58">
        <v>19.079999999999998</v>
      </c>
      <c r="P16" s="58">
        <v>508.64</v>
      </c>
      <c r="Q16" s="74">
        <f t="shared" si="10"/>
        <v>1164.24</v>
      </c>
      <c r="R16" s="60">
        <v>0</v>
      </c>
      <c r="S16" s="75">
        <f>L16+IFERROR(VLOOKUP($E:$E,'（居民）工资表-4月'!$E:$S,15,0),0)</f>
        <v>20989.57</v>
      </c>
      <c r="T16" s="76">
        <f>5000+IFERROR(VLOOKUP($E:$E,'（居民）工资表-4月'!$E:$T,16,0),0)</f>
        <v>10000</v>
      </c>
      <c r="U16" s="76">
        <f>Q16+IFERROR(VLOOKUP($E:$E,'（居民）工资表-4月'!$E:$U,17,0),0)</f>
        <v>1164.24</v>
      </c>
      <c r="V16" s="60"/>
      <c r="W16" s="60"/>
      <c r="X16" s="60"/>
      <c r="Y16" s="60"/>
      <c r="Z16" s="60"/>
      <c r="AA16" s="60"/>
      <c r="AB16" s="75">
        <f t="shared" si="11"/>
        <v>0</v>
      </c>
      <c r="AC16" s="75">
        <f>R16+IFERROR(VLOOKUP($E:$E,'（居民）工资表-4月'!$E:$AC,25,0),0)</f>
        <v>0</v>
      </c>
      <c r="AD16" s="77">
        <f t="shared" si="12"/>
        <v>9825.33</v>
      </c>
      <c r="AE16" s="78">
        <f>ROUND(MAX((AD16)*{0.03;0.1;0.2;0.25;0.3;0.35;0.45}-{0;2520;16920;31920;52920;85920;181920},0),2)</f>
        <v>294.76</v>
      </c>
      <c r="AF16" s="79">
        <f>IFERROR(VLOOKUP(E:E,'（居民）工资表-4月'!E:AF,28,0)+VLOOKUP(E:E,'（居民）工资表-4月'!E:AG,29,0),0)</f>
        <v>26.09</v>
      </c>
      <c r="AG16" s="79">
        <f t="shared" si="8"/>
        <v>268.67</v>
      </c>
      <c r="AH16" s="82">
        <f t="shared" si="9"/>
        <v>13687.09</v>
      </c>
      <c r="AI16" s="83"/>
      <c r="AJ16" s="82">
        <f t="shared" si="13"/>
        <v>13687.09</v>
      </c>
      <c r="AK16" s="84"/>
      <c r="AL16" s="82">
        <f t="shared" si="14"/>
        <v>13955.76</v>
      </c>
      <c r="AM16" s="84"/>
      <c r="AN16" s="84"/>
      <c r="AO16" s="84"/>
      <c r="AP16" s="84"/>
      <c r="AQ16" s="84"/>
      <c r="AR16" s="88" t="str">
        <f t="shared" si="15"/>
        <v>正确</v>
      </c>
      <c r="AS16" s="88" t="str">
        <f t="shared" si="16"/>
        <v>不</v>
      </c>
      <c r="AT16" s="88" t="str">
        <f t="shared" si="17"/>
        <v>重复</v>
      </c>
    </row>
    <row r="17" spans="1:46" s="10" customFormat="1" ht="18" customHeight="1">
      <c r="A17" s="24">
        <v>14</v>
      </c>
      <c r="B17" s="25" t="s">
        <v>191</v>
      </c>
      <c r="C17" s="25" t="s">
        <v>134</v>
      </c>
      <c r="D17" s="25" t="s">
        <v>192</v>
      </c>
      <c r="E17" s="25" t="s">
        <v>135</v>
      </c>
      <c r="F17" s="26" t="s">
        <v>193</v>
      </c>
      <c r="G17" s="27">
        <v>18009593554</v>
      </c>
      <c r="H17" s="28"/>
      <c r="I17" s="28"/>
      <c r="J17" s="56"/>
      <c r="K17" s="28"/>
      <c r="L17" s="57">
        <v>6913.64</v>
      </c>
      <c r="M17" s="58">
        <v>561.91999999999996</v>
      </c>
      <c r="N17" s="58">
        <v>166.48</v>
      </c>
      <c r="O17" s="58">
        <v>35.119999999999997</v>
      </c>
      <c r="P17" s="58">
        <v>390</v>
      </c>
      <c r="Q17" s="74">
        <f t="shared" si="10"/>
        <v>1153.52</v>
      </c>
      <c r="R17" s="60">
        <v>0</v>
      </c>
      <c r="S17" s="75">
        <f>L17+IFERROR(VLOOKUP($E:$E,'（居民）工资表-4月'!$E:$S,15,0),0)</f>
        <v>6913.64</v>
      </c>
      <c r="T17" s="76">
        <f>5000+IFERROR(VLOOKUP($E:$E,'（居民）工资表-4月'!$E:$T,16,0),0)</f>
        <v>5000</v>
      </c>
      <c r="U17" s="76">
        <f>Q17+IFERROR(VLOOKUP($E:$E,'（居民）工资表-4月'!$E:$U,17,0),0)</f>
        <v>1153.52</v>
      </c>
      <c r="V17" s="60"/>
      <c r="W17" s="60"/>
      <c r="X17" s="60"/>
      <c r="Y17" s="60"/>
      <c r="Z17" s="60"/>
      <c r="AA17" s="60"/>
      <c r="AB17" s="75">
        <f t="shared" si="11"/>
        <v>0</v>
      </c>
      <c r="AC17" s="75">
        <f>R17+IFERROR(VLOOKUP($E:$E,'（居民）工资表-4月'!$E:$AC,25,0),0)</f>
        <v>0</v>
      </c>
      <c r="AD17" s="77">
        <f t="shared" si="12"/>
        <v>760.12</v>
      </c>
      <c r="AE17" s="78">
        <f>ROUND(MAX((AD17)*{0.03;0.1;0.2;0.25;0.3;0.35;0.45}-{0;2520;16920;31920;52920;85920;181920},0),2)</f>
        <v>22.8</v>
      </c>
      <c r="AF17" s="79">
        <f>IFERROR(VLOOKUP(E:E,'（居民）工资表-4月'!E:AF,28,0)+VLOOKUP(E:E,'（居民）工资表-4月'!E:AG,29,0),0)</f>
        <v>0</v>
      </c>
      <c r="AG17" s="79">
        <f t="shared" si="8"/>
        <v>22.8</v>
      </c>
      <c r="AH17" s="82">
        <f t="shared" si="9"/>
        <v>5737.32</v>
      </c>
      <c r="AI17" s="83"/>
      <c r="AJ17" s="82">
        <f t="shared" si="13"/>
        <v>5737.32</v>
      </c>
      <c r="AK17" s="84"/>
      <c r="AL17" s="82">
        <f t="shared" si="14"/>
        <v>5760.12</v>
      </c>
      <c r="AM17" s="84"/>
      <c r="AN17" s="84"/>
      <c r="AO17" s="84"/>
      <c r="AP17" s="84"/>
      <c r="AQ17" s="84"/>
      <c r="AR17" s="88" t="str">
        <f t="shared" si="15"/>
        <v>正确</v>
      </c>
      <c r="AS17" s="88" t="str">
        <f>IF(SUMPRODUCT(N(E$1:E$7=E17))&gt;1,"重复","不")</f>
        <v>不</v>
      </c>
      <c r="AT17" s="88" t="str">
        <f>IF(SUMPRODUCT(N(AO$1:AO$7=AO17))&gt;1,"重复","不")</f>
        <v>重复</v>
      </c>
    </row>
    <row r="18" spans="1:46" s="10" customFormat="1" ht="18" customHeight="1">
      <c r="A18" s="24">
        <v>15</v>
      </c>
      <c r="B18" s="25" t="s">
        <v>191</v>
      </c>
      <c r="C18" s="25" t="s">
        <v>130</v>
      </c>
      <c r="D18" s="25" t="s">
        <v>192</v>
      </c>
      <c r="E18" s="25" t="s">
        <v>131</v>
      </c>
      <c r="F18" s="26" t="s">
        <v>193</v>
      </c>
      <c r="G18" s="27">
        <v>17795512929</v>
      </c>
      <c r="H18" s="28"/>
      <c r="I18" s="28"/>
      <c r="J18" s="56"/>
      <c r="K18" s="28"/>
      <c r="L18" s="57">
        <v>6500</v>
      </c>
      <c r="M18" s="58">
        <v>561.91999999999996</v>
      </c>
      <c r="N18" s="58">
        <v>166.48</v>
      </c>
      <c r="O18" s="58">
        <v>35.119999999999997</v>
      </c>
      <c r="P18" s="58">
        <v>390</v>
      </c>
      <c r="Q18" s="74">
        <f t="shared" si="10"/>
        <v>1153.52</v>
      </c>
      <c r="R18" s="60">
        <v>0</v>
      </c>
      <c r="S18" s="75">
        <f>L18+IFERROR(VLOOKUP($E:$E,'（居民）工资表-4月'!$E:$S,15,0),0)</f>
        <v>6500</v>
      </c>
      <c r="T18" s="76">
        <f>5000+IFERROR(VLOOKUP($E:$E,'（居民）工资表-4月'!$E:$T,16,0),0)</f>
        <v>5000</v>
      </c>
      <c r="U18" s="76">
        <f>Q18+IFERROR(VLOOKUP($E:$E,'（居民）工资表-4月'!$E:$U,17,0),0)</f>
        <v>1153.52</v>
      </c>
      <c r="V18" s="60"/>
      <c r="W18" s="60"/>
      <c r="X18" s="60"/>
      <c r="Y18" s="60"/>
      <c r="Z18" s="60"/>
      <c r="AA18" s="60"/>
      <c r="AB18" s="75">
        <f t="shared" si="11"/>
        <v>0</v>
      </c>
      <c r="AC18" s="75">
        <f>R18+IFERROR(VLOOKUP($E:$E,'（居民）工资表-4月'!$E:$AC,25,0),0)</f>
        <v>0</v>
      </c>
      <c r="AD18" s="77">
        <f t="shared" si="12"/>
        <v>346.48</v>
      </c>
      <c r="AE18" s="78">
        <f>ROUND(MAX((AD18)*{0.03;0.1;0.2;0.25;0.3;0.35;0.45}-{0;2520;16920;31920;52920;85920;181920},0),2)</f>
        <v>10.39</v>
      </c>
      <c r="AF18" s="79">
        <f>IFERROR(VLOOKUP(E:E,'（居民）工资表-4月'!E:AF,28,0)+VLOOKUP(E:E,'（居民）工资表-4月'!E:AG,29,0),0)</f>
        <v>0</v>
      </c>
      <c r="AG18" s="79">
        <f t="shared" si="8"/>
        <v>10.39</v>
      </c>
      <c r="AH18" s="82">
        <f t="shared" si="9"/>
        <v>5336.09</v>
      </c>
      <c r="AI18" s="83"/>
      <c r="AJ18" s="82">
        <f t="shared" si="13"/>
        <v>5336.09</v>
      </c>
      <c r="AK18" s="84"/>
      <c r="AL18" s="82">
        <f t="shared" si="14"/>
        <v>5346.4800000000005</v>
      </c>
      <c r="AM18" s="84"/>
      <c r="AN18" s="84"/>
      <c r="AO18" s="84"/>
      <c r="AP18" s="84"/>
      <c r="AQ18" s="84"/>
      <c r="AR18" s="88" t="str">
        <f t="shared" si="15"/>
        <v>正确</v>
      </c>
      <c r="AS18" s="88" t="str">
        <f>IF(SUMPRODUCT(N(E$1:E$7=E18))&gt;1,"重复","不")</f>
        <v>不</v>
      </c>
      <c r="AT18" s="88" t="str">
        <f>IF(SUMPRODUCT(N(AO$1:AO$7=AO18))&gt;1,"重复","不")</f>
        <v>重复</v>
      </c>
    </row>
    <row r="19" spans="1:46" s="10" customFormat="1" ht="18" customHeight="1">
      <c r="A19" s="24">
        <v>16</v>
      </c>
      <c r="B19" s="25" t="s">
        <v>191</v>
      </c>
      <c r="C19" s="25" t="s">
        <v>132</v>
      </c>
      <c r="D19" s="25" t="s">
        <v>192</v>
      </c>
      <c r="E19" s="25" t="s">
        <v>133</v>
      </c>
      <c r="F19" s="26" t="s">
        <v>193</v>
      </c>
      <c r="G19" s="27">
        <v>18995128068</v>
      </c>
      <c r="H19" s="28"/>
      <c r="I19" s="28"/>
      <c r="J19" s="56"/>
      <c r="K19" s="28"/>
      <c r="L19" s="57">
        <v>6500</v>
      </c>
      <c r="M19" s="58">
        <v>561.91999999999996</v>
      </c>
      <c r="N19" s="58">
        <v>166.48</v>
      </c>
      <c r="O19" s="58">
        <v>35.119999999999997</v>
      </c>
      <c r="P19" s="58">
        <v>390</v>
      </c>
      <c r="Q19" s="74">
        <f t="shared" si="10"/>
        <v>1153.52</v>
      </c>
      <c r="R19" s="60">
        <v>0</v>
      </c>
      <c r="S19" s="75">
        <f>L19+IFERROR(VLOOKUP($E:$E,'（居民）工资表-4月'!$E:$S,15,0),0)</f>
        <v>6500</v>
      </c>
      <c r="T19" s="76">
        <f>5000+IFERROR(VLOOKUP($E:$E,'（居民）工资表-4月'!$E:$T,16,0),0)</f>
        <v>5000</v>
      </c>
      <c r="U19" s="76">
        <f>Q19+IFERROR(VLOOKUP($E:$E,'（居民）工资表-4月'!$E:$U,17,0),0)</f>
        <v>1153.52</v>
      </c>
      <c r="V19" s="60"/>
      <c r="W19" s="60"/>
      <c r="X19" s="60"/>
      <c r="Y19" s="60"/>
      <c r="Z19" s="60"/>
      <c r="AA19" s="60"/>
      <c r="AB19" s="75">
        <f t="shared" si="11"/>
        <v>0</v>
      </c>
      <c r="AC19" s="75">
        <f>R19+IFERROR(VLOOKUP($E:$E,'（居民）工资表-4月'!$E:$AC,25,0),0)</f>
        <v>0</v>
      </c>
      <c r="AD19" s="77">
        <f t="shared" si="12"/>
        <v>346.48</v>
      </c>
      <c r="AE19" s="78">
        <f>ROUND(MAX((AD19)*{0.03;0.1;0.2;0.25;0.3;0.35;0.45}-{0;2520;16920;31920;52920;85920;181920},0),2)</f>
        <v>10.39</v>
      </c>
      <c r="AF19" s="79">
        <f>IFERROR(VLOOKUP(E:E,'（居民）工资表-4月'!E:AF,28,0)+VLOOKUP(E:E,'（居民）工资表-4月'!E:AG,29,0),0)</f>
        <v>0</v>
      </c>
      <c r="AG19" s="79">
        <f t="shared" si="8"/>
        <v>10.39</v>
      </c>
      <c r="AH19" s="82">
        <f t="shared" si="9"/>
        <v>5336.09</v>
      </c>
      <c r="AI19" s="83"/>
      <c r="AJ19" s="82">
        <f t="shared" si="13"/>
        <v>5336.09</v>
      </c>
      <c r="AK19" s="84"/>
      <c r="AL19" s="82">
        <f t="shared" si="14"/>
        <v>5346.4800000000005</v>
      </c>
      <c r="AM19" s="84"/>
      <c r="AN19" s="84"/>
      <c r="AO19" s="84"/>
      <c r="AP19" s="84"/>
      <c r="AQ19" s="84"/>
      <c r="AR19" s="88" t="str">
        <f t="shared" si="15"/>
        <v>正确</v>
      </c>
      <c r="AS19" s="88" t="str">
        <f>IF(SUMPRODUCT(N(E$1:E$7=E19))&gt;1,"重复","不")</f>
        <v>不</v>
      </c>
      <c r="AT19" s="88" t="str">
        <f>IF(SUMPRODUCT(N(AO$1:AO$7=AO19))&gt;1,"重复","不")</f>
        <v>重复</v>
      </c>
    </row>
    <row r="20" spans="1:46" s="10" customFormat="1" ht="18" customHeight="1">
      <c r="A20" s="24"/>
      <c r="B20" s="25"/>
      <c r="C20" s="25"/>
      <c r="D20" s="25"/>
      <c r="E20" s="25"/>
      <c r="F20" s="26"/>
      <c r="G20" s="33"/>
      <c r="H20" s="28"/>
      <c r="I20" s="28"/>
      <c r="J20" s="56"/>
      <c r="K20" s="28"/>
      <c r="L20" s="60"/>
      <c r="M20" s="58"/>
      <c r="N20" s="58"/>
      <c r="O20" s="58"/>
      <c r="P20" s="58"/>
      <c r="Q20" s="74"/>
      <c r="R20" s="60"/>
      <c r="S20" s="75"/>
      <c r="T20" s="76"/>
      <c r="U20" s="76"/>
      <c r="V20" s="60"/>
      <c r="W20" s="60"/>
      <c r="X20" s="60"/>
      <c r="Y20" s="60"/>
      <c r="Z20" s="60"/>
      <c r="AA20" s="60"/>
      <c r="AB20" s="75"/>
      <c r="AC20" s="75"/>
      <c r="AD20" s="77"/>
      <c r="AE20" s="78"/>
      <c r="AF20" s="79"/>
      <c r="AG20" s="79"/>
      <c r="AH20" s="82"/>
      <c r="AI20" s="83"/>
      <c r="AJ20" s="82"/>
      <c r="AK20" s="84"/>
      <c r="AL20" s="82"/>
      <c r="AM20" s="84"/>
      <c r="AN20" s="84"/>
      <c r="AO20" s="84"/>
      <c r="AP20" s="84"/>
      <c r="AQ20" s="84"/>
      <c r="AR20" s="88"/>
      <c r="AS20" s="88"/>
      <c r="AT20" s="88"/>
    </row>
    <row r="21" spans="1:46" s="10" customFormat="1" ht="18" customHeight="1">
      <c r="A21" s="24"/>
      <c r="B21" s="25"/>
      <c r="C21" s="25"/>
      <c r="D21" s="25"/>
      <c r="E21" s="25"/>
      <c r="F21" s="26"/>
      <c r="G21" s="33"/>
      <c r="H21" s="28"/>
      <c r="I21" s="28"/>
      <c r="J21" s="56"/>
      <c r="K21" s="28"/>
      <c r="L21" s="60"/>
      <c r="M21" s="58"/>
      <c r="N21" s="58"/>
      <c r="O21" s="58"/>
      <c r="P21" s="58"/>
      <c r="Q21" s="74"/>
      <c r="R21" s="60"/>
      <c r="S21" s="75"/>
      <c r="T21" s="76"/>
      <c r="U21" s="76"/>
      <c r="V21" s="60"/>
      <c r="W21" s="60"/>
      <c r="X21" s="60"/>
      <c r="Y21" s="60"/>
      <c r="Z21" s="60"/>
      <c r="AA21" s="60"/>
      <c r="AB21" s="75"/>
      <c r="AC21" s="75"/>
      <c r="AD21" s="77"/>
      <c r="AE21" s="78"/>
      <c r="AF21" s="79"/>
      <c r="AG21" s="79"/>
      <c r="AH21" s="82"/>
      <c r="AI21" s="83"/>
      <c r="AJ21" s="82"/>
      <c r="AK21" s="84"/>
      <c r="AL21" s="82"/>
      <c r="AM21" s="84"/>
      <c r="AN21" s="84"/>
      <c r="AO21" s="84"/>
      <c r="AP21" s="84"/>
      <c r="AQ21" s="84"/>
      <c r="AR21" s="88"/>
      <c r="AS21" s="88"/>
      <c r="AT21" s="88"/>
    </row>
    <row r="22" spans="1:46" s="11" customFormat="1" ht="18" customHeight="1">
      <c r="A22" s="34"/>
      <c r="B22" s="35" t="s">
        <v>198</v>
      </c>
      <c r="C22" s="35"/>
      <c r="D22" s="36"/>
      <c r="E22" s="37"/>
      <c r="F22" s="38"/>
      <c r="G22" s="39"/>
      <c r="H22" s="38"/>
      <c r="I22" s="61"/>
      <c r="J22" s="62"/>
      <c r="K22" s="61"/>
      <c r="L22" s="63">
        <f t="shared" ref="L22:Q22" si="18">SUM(L4:L20)</f>
        <v>216682.64</v>
      </c>
      <c r="M22" s="63">
        <f t="shared" si="18"/>
        <v>5490.49</v>
      </c>
      <c r="N22" s="63">
        <f t="shared" si="18"/>
        <v>1502.1</v>
      </c>
      <c r="O22" s="63">
        <f t="shared" si="18"/>
        <v>238.9</v>
      </c>
      <c r="P22" s="63">
        <f t="shared" si="18"/>
        <v>4120.88</v>
      </c>
      <c r="Q22" s="63">
        <f t="shared" si="18"/>
        <v>11352.37</v>
      </c>
      <c r="R22" s="63">
        <f t="shared" ref="R22:AL22" si="19">SUM(R4:R20)</f>
        <v>0</v>
      </c>
      <c r="S22" s="63">
        <f t="shared" si="19"/>
        <v>730662.64</v>
      </c>
      <c r="T22" s="63">
        <f t="shared" si="19"/>
        <v>260000</v>
      </c>
      <c r="U22" s="63">
        <f t="shared" si="19"/>
        <v>34965.24</v>
      </c>
      <c r="V22" s="63">
        <f t="shared" si="19"/>
        <v>20000</v>
      </c>
      <c r="W22" s="63">
        <f t="shared" si="19"/>
        <v>10000</v>
      </c>
      <c r="X22" s="63">
        <f t="shared" si="19"/>
        <v>19000</v>
      </c>
      <c r="Y22" s="63">
        <f t="shared" si="19"/>
        <v>7500</v>
      </c>
      <c r="Z22" s="63">
        <f t="shared" si="19"/>
        <v>0</v>
      </c>
      <c r="AA22" s="63">
        <f t="shared" si="19"/>
        <v>0</v>
      </c>
      <c r="AB22" s="63">
        <f t="shared" si="19"/>
        <v>56500</v>
      </c>
      <c r="AC22" s="63">
        <f t="shared" si="19"/>
        <v>0</v>
      </c>
      <c r="AD22" s="63">
        <f t="shared" si="19"/>
        <v>379197.4</v>
      </c>
      <c r="AE22" s="63">
        <f t="shared" si="19"/>
        <v>20201.109999999997</v>
      </c>
      <c r="AF22" s="63">
        <f t="shared" si="19"/>
        <v>13897.310000000003</v>
      </c>
      <c r="AG22" s="63">
        <f t="shared" si="19"/>
        <v>6303.8000000000029</v>
      </c>
      <c r="AH22" s="63">
        <f t="shared" si="19"/>
        <v>199026.47</v>
      </c>
      <c r="AI22" s="63">
        <f t="shared" si="19"/>
        <v>0</v>
      </c>
      <c r="AJ22" s="63">
        <f t="shared" si="19"/>
        <v>199026.47</v>
      </c>
      <c r="AK22" s="63">
        <f t="shared" si="19"/>
        <v>0</v>
      </c>
      <c r="AL22" s="63">
        <f t="shared" si="19"/>
        <v>205330.27000000005</v>
      </c>
      <c r="AM22" s="85"/>
      <c r="AN22" s="85"/>
      <c r="AO22" s="85"/>
      <c r="AP22" s="85"/>
      <c r="AQ22" s="85"/>
      <c r="AR22" s="38"/>
      <c r="AS22" s="38"/>
      <c r="AT22" s="89"/>
    </row>
    <row r="25" spans="1:46">
      <c r="AD25" s="80"/>
    </row>
    <row r="26" spans="1:46" ht="18.75" customHeight="1">
      <c r="B26" s="40" t="s">
        <v>172</v>
      </c>
      <c r="C26" s="40" t="s">
        <v>199</v>
      </c>
      <c r="D26" s="40" t="s">
        <v>57</v>
      </c>
      <c r="E26" s="40" t="s">
        <v>58</v>
      </c>
      <c r="AD26" s="8"/>
      <c r="AG26" s="17"/>
    </row>
    <row r="27" spans="1:46" ht="18.75" customHeight="1">
      <c r="B27" s="41">
        <f>AJ22</f>
        <v>199026.47</v>
      </c>
      <c r="C27" s="41">
        <f>AG22</f>
        <v>6303.8000000000029</v>
      </c>
      <c r="D27" s="41">
        <f>AK22</f>
        <v>0</v>
      </c>
      <c r="E27" s="41">
        <f>B27+C27</f>
        <v>205330.27000000002</v>
      </c>
    </row>
    <row r="28" spans="1:46">
      <c r="B28" s="42"/>
      <c r="C28" s="42"/>
      <c r="D28" s="42"/>
      <c r="E28" s="42"/>
    </row>
    <row r="29" spans="1:46" s="12" customFormat="1">
      <c r="A29" s="43" t="s">
        <v>200</v>
      </c>
      <c r="B29" s="44" t="s">
        <v>201</v>
      </c>
      <c r="C29" s="45"/>
      <c r="D29" s="45"/>
      <c r="E29" s="45"/>
      <c r="G29" s="46"/>
      <c r="J29" s="64"/>
      <c r="M29" s="65"/>
      <c r="AI29" s="86"/>
    </row>
    <row r="30" spans="1:46" s="12" customFormat="1">
      <c r="A30" s="47"/>
      <c r="B30" s="48" t="s">
        <v>202</v>
      </c>
      <c r="C30" s="45"/>
      <c r="D30" s="45"/>
      <c r="E30" s="45"/>
      <c r="G30" s="46"/>
      <c r="J30" s="64"/>
      <c r="M30" s="65"/>
      <c r="AI30" s="86"/>
    </row>
    <row r="31" spans="1:46" s="12" customFormat="1">
      <c r="A31" s="44"/>
      <c r="B31" s="48" t="s">
        <v>203</v>
      </c>
      <c r="C31" s="49"/>
      <c r="D31" s="49"/>
      <c r="E31" s="49"/>
      <c r="F31" s="49"/>
      <c r="G31" s="49"/>
      <c r="H31" s="49"/>
      <c r="I31" s="49"/>
      <c r="J31" s="66"/>
      <c r="K31" s="49"/>
      <c r="L31" s="49"/>
      <c r="M31" s="67"/>
      <c r="N31" s="49"/>
      <c r="O31" s="49"/>
      <c r="P31" s="49"/>
      <c r="AI31" s="86"/>
    </row>
    <row r="32" spans="1:46" s="12" customFormat="1" ht="13.5" customHeight="1">
      <c r="A32" s="48"/>
      <c r="B32" s="48" t="s">
        <v>204</v>
      </c>
      <c r="C32" s="50"/>
      <c r="D32" s="50"/>
      <c r="E32" s="50"/>
      <c r="F32" s="50"/>
      <c r="G32" s="50"/>
      <c r="H32" s="50"/>
      <c r="I32" s="68"/>
      <c r="J32" s="69"/>
      <c r="K32" s="68"/>
      <c r="L32" s="68"/>
      <c r="M32" s="70"/>
      <c r="N32" s="68"/>
      <c r="O32" s="68"/>
      <c r="P32" s="68"/>
      <c r="AI32" s="86"/>
    </row>
    <row r="33" spans="1:35" s="12" customFormat="1" ht="13.5" customHeight="1">
      <c r="A33" s="48"/>
      <c r="B33" s="48" t="s">
        <v>205</v>
      </c>
      <c r="C33" s="50"/>
      <c r="D33" s="50"/>
      <c r="E33" s="50"/>
      <c r="F33" s="50"/>
      <c r="G33" s="50"/>
      <c r="H33" s="50"/>
      <c r="I33" s="50"/>
      <c r="J33" s="71"/>
      <c r="K33" s="50"/>
      <c r="L33" s="68"/>
      <c r="M33" s="70"/>
      <c r="N33" s="68"/>
      <c r="O33" s="68"/>
      <c r="P33" s="68"/>
      <c r="AI33" s="86"/>
    </row>
    <row r="34" spans="1:35" s="12" customFormat="1" ht="13.5" customHeight="1">
      <c r="A34" s="48"/>
      <c r="B34" s="48" t="s">
        <v>206</v>
      </c>
      <c r="C34" s="50"/>
      <c r="D34" s="50"/>
      <c r="E34" s="50"/>
      <c r="F34" s="50"/>
      <c r="G34" s="50"/>
      <c r="H34" s="50"/>
      <c r="I34" s="68"/>
      <c r="J34" s="69"/>
      <c r="K34" s="68"/>
      <c r="L34" s="68"/>
      <c r="M34" s="70"/>
      <c r="N34" s="68"/>
      <c r="O34" s="68"/>
      <c r="P34" s="68"/>
      <c r="AI34" s="86"/>
    </row>
    <row r="36" spans="1:35" ht="11.25" customHeight="1">
      <c r="B36" s="51" t="s">
        <v>207</v>
      </c>
    </row>
    <row r="37" spans="1:35">
      <c r="B37" s="52" t="s">
        <v>208</v>
      </c>
    </row>
    <row r="38" spans="1:35">
      <c r="B38" s="52" t="s">
        <v>209</v>
      </c>
    </row>
  </sheetData>
  <autoFilter ref="A3:AT22"/>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8" type="noConversion"/>
  <conditionalFormatting sqref="B34">
    <cfRule type="duplicateValues" dxfId="6" priority="2" stopIfTrue="1"/>
  </conditionalFormatting>
  <conditionalFormatting sqref="B29:B33">
    <cfRule type="duplicateValues" dxfId="5" priority="3" stopIfTrue="1"/>
  </conditionalFormatting>
  <conditionalFormatting sqref="B37:B38">
    <cfRule type="duplicateValues" dxfId="4" priority="1" stopIfTrue="1"/>
  </conditionalFormatting>
  <conditionalFormatting sqref="C26:C28">
    <cfRule type="duplicateValues" dxfId="3" priority="4" stopIfTrue="1"/>
    <cfRule type="expression" dxfId="2" priority="5" stopIfTrue="1">
      <formula>AND(COUNTIF($B$22:$B$65458,C26)+COUNTIF($B$1:$B$3,C26)&gt;1,NOT(ISBLANK(C26)))</formula>
    </cfRule>
    <cfRule type="expression" dxfId="1" priority="6" stopIfTrue="1">
      <formula>AND(COUNTIF($B$33:$B$65409,C26)+COUNTIF($B$1:$B$32,C26)&gt;1,NOT(ISBLANK(C26)))</formula>
    </cfRule>
    <cfRule type="expression" dxfId="0" priority="7" stopIfTrue="1">
      <formula>AND(COUNTIF($B$22:$B$65447,C26)+COUNTIF($B$1:$B$3,C26)&gt;1,NOT(ISBLANK(C26)))</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4"/>
  <sheetViews>
    <sheetView workbookViewId="0">
      <selection activeCell="D4" sqref="D4"/>
    </sheetView>
  </sheetViews>
  <sheetFormatPr defaultColWidth="9" defaultRowHeight="13.5"/>
  <cols>
    <col min="3" max="3" width="32" customWidth="1"/>
    <col min="4" max="4" width="13.75" customWidth="1"/>
    <col min="5" max="5" width="16.125" customWidth="1"/>
  </cols>
  <sheetData>
    <row r="1" spans="2:5" ht="57" customHeight="1">
      <c r="B1" s="395" t="s">
        <v>260</v>
      </c>
      <c r="C1" s="395"/>
      <c r="D1" s="395"/>
      <c r="E1" s="395"/>
    </row>
    <row r="2" spans="2:5" ht="20.25">
      <c r="B2" s="1"/>
    </row>
    <row r="3" spans="2:5" ht="27.75" customHeight="1">
      <c r="B3" s="2" t="s">
        <v>261</v>
      </c>
      <c r="C3" s="3" t="s">
        <v>262</v>
      </c>
      <c r="D3" s="3" t="s">
        <v>263</v>
      </c>
      <c r="E3" s="3" t="s">
        <v>264</v>
      </c>
    </row>
    <row r="4" spans="2:5" ht="29.25" customHeight="1">
      <c r="B4" s="4">
        <v>1</v>
      </c>
      <c r="C4" s="5" t="s">
        <v>265</v>
      </c>
      <c r="D4" s="6">
        <v>0.03</v>
      </c>
      <c r="E4" s="7">
        <v>0</v>
      </c>
    </row>
    <row r="5" spans="2:5" ht="29.25" customHeight="1">
      <c r="B5" s="4">
        <v>2</v>
      </c>
      <c r="C5" s="5" t="s">
        <v>266</v>
      </c>
      <c r="D5" s="6">
        <v>0.1</v>
      </c>
      <c r="E5" s="7">
        <v>2520</v>
      </c>
    </row>
    <row r="6" spans="2:5" ht="29.25" customHeight="1">
      <c r="B6" s="4">
        <v>3</v>
      </c>
      <c r="C6" s="5" t="s">
        <v>267</v>
      </c>
      <c r="D6" s="6">
        <v>0.2</v>
      </c>
      <c r="E6" s="7">
        <v>16920</v>
      </c>
    </row>
    <row r="7" spans="2:5" ht="29.25" customHeight="1">
      <c r="B7" s="4">
        <v>4</v>
      </c>
      <c r="C7" s="5" t="s">
        <v>268</v>
      </c>
      <c r="D7" s="6">
        <v>0.25</v>
      </c>
      <c r="E7" s="7">
        <v>31920</v>
      </c>
    </row>
    <row r="8" spans="2:5" ht="29.25" customHeight="1">
      <c r="B8" s="4">
        <v>5</v>
      </c>
      <c r="C8" s="5" t="s">
        <v>269</v>
      </c>
      <c r="D8" s="6">
        <v>0.3</v>
      </c>
      <c r="E8" s="7">
        <v>52920</v>
      </c>
    </row>
    <row r="9" spans="2:5" ht="29.25" customHeight="1">
      <c r="B9" s="4">
        <v>6</v>
      </c>
      <c r="C9" s="5" t="s">
        <v>270</v>
      </c>
      <c r="D9" s="6">
        <v>0.35</v>
      </c>
      <c r="E9" s="7">
        <v>85920</v>
      </c>
    </row>
    <row r="10" spans="2:5" ht="29.25" customHeight="1">
      <c r="B10" s="4">
        <v>7</v>
      </c>
      <c r="C10" s="5" t="s">
        <v>271</v>
      </c>
      <c r="D10" s="6">
        <v>0.45</v>
      </c>
      <c r="E10" s="7">
        <v>181920</v>
      </c>
    </row>
    <row r="13" spans="2:5" ht="57" customHeight="1">
      <c r="B13" s="395" t="s">
        <v>272</v>
      </c>
      <c r="C13" s="395"/>
      <c r="D13" s="395"/>
      <c r="E13" s="395"/>
    </row>
    <row r="14" spans="2:5" ht="20.25">
      <c r="B14" s="1"/>
    </row>
    <row r="15" spans="2:5" ht="27.75" customHeight="1">
      <c r="B15" s="2" t="s">
        <v>261</v>
      </c>
      <c r="C15" s="3" t="s">
        <v>273</v>
      </c>
      <c r="D15" s="3" t="s">
        <v>263</v>
      </c>
      <c r="E15" s="3" t="s">
        <v>264</v>
      </c>
    </row>
    <row r="16" spans="2:5" ht="29.25" customHeight="1">
      <c r="B16" s="4">
        <v>1</v>
      </c>
      <c r="C16" s="5" t="s">
        <v>274</v>
      </c>
      <c r="D16" s="6">
        <v>0.2</v>
      </c>
      <c r="E16" s="7">
        <v>0</v>
      </c>
    </row>
    <row r="17" spans="2:5" ht="29.25" customHeight="1">
      <c r="B17" s="4">
        <v>2</v>
      </c>
      <c r="C17" s="5" t="s">
        <v>275</v>
      </c>
      <c r="D17" s="6">
        <v>0.3</v>
      </c>
      <c r="E17" s="7">
        <v>2000</v>
      </c>
    </row>
    <row r="18" spans="2:5" ht="29.25" customHeight="1">
      <c r="B18" s="4">
        <v>3</v>
      </c>
      <c r="C18" s="5" t="s">
        <v>276</v>
      </c>
      <c r="D18" s="6">
        <v>0.4</v>
      </c>
      <c r="E18" s="7">
        <v>7000</v>
      </c>
    </row>
    <row r="21" spans="2:5" ht="47.25" customHeight="1">
      <c r="B21" s="395" t="s">
        <v>277</v>
      </c>
      <c r="C21" s="395"/>
      <c r="D21" s="395"/>
      <c r="E21" s="395"/>
    </row>
    <row r="22" spans="2:5" ht="20.25">
      <c r="B22" s="1"/>
    </row>
    <row r="23" spans="2:5" ht="27.75" customHeight="1">
      <c r="B23" s="2" t="s">
        <v>261</v>
      </c>
      <c r="C23" s="3" t="s">
        <v>278</v>
      </c>
      <c r="D23" s="3" t="s">
        <v>263</v>
      </c>
      <c r="E23" s="3" t="s">
        <v>264</v>
      </c>
    </row>
    <row r="24" spans="2:5" ht="29.25" customHeight="1">
      <c r="B24" s="4">
        <v>1</v>
      </c>
      <c r="C24" s="5" t="s">
        <v>279</v>
      </c>
      <c r="D24" s="6">
        <v>0.03</v>
      </c>
      <c r="E24" s="7">
        <v>0</v>
      </c>
    </row>
    <row r="25" spans="2:5" ht="29.25" customHeight="1">
      <c r="B25" s="4">
        <v>2</v>
      </c>
      <c r="C25" s="5" t="s">
        <v>280</v>
      </c>
      <c r="D25" s="6">
        <v>0.1</v>
      </c>
      <c r="E25" s="7">
        <v>210</v>
      </c>
    </row>
    <row r="26" spans="2:5" ht="29.25" customHeight="1">
      <c r="B26" s="4">
        <v>3</v>
      </c>
      <c r="C26" s="5" t="s">
        <v>281</v>
      </c>
      <c r="D26" s="6">
        <v>0.2</v>
      </c>
      <c r="E26" s="7">
        <v>1410</v>
      </c>
    </row>
    <row r="27" spans="2:5" ht="29.25" customHeight="1">
      <c r="B27" s="4">
        <v>4</v>
      </c>
      <c r="C27" s="5" t="s">
        <v>282</v>
      </c>
      <c r="D27" s="6">
        <v>0.25</v>
      </c>
      <c r="E27" s="7">
        <v>2660</v>
      </c>
    </row>
    <row r="28" spans="2:5" ht="29.25" customHeight="1">
      <c r="B28" s="4">
        <v>5</v>
      </c>
      <c r="C28" s="5" t="s">
        <v>283</v>
      </c>
      <c r="D28" s="6">
        <v>0.3</v>
      </c>
      <c r="E28" s="7">
        <v>4410</v>
      </c>
    </row>
    <row r="29" spans="2:5" ht="29.25" customHeight="1">
      <c r="B29" s="4">
        <v>6</v>
      </c>
      <c r="C29" s="5" t="s">
        <v>284</v>
      </c>
      <c r="D29" s="6">
        <v>0.35</v>
      </c>
      <c r="E29" s="7">
        <v>7160</v>
      </c>
    </row>
    <row r="30" spans="2:5" ht="29.25" customHeight="1">
      <c r="B30" s="4">
        <v>7</v>
      </c>
      <c r="C30" s="5" t="s">
        <v>285</v>
      </c>
      <c r="D30" s="6">
        <v>0.45</v>
      </c>
      <c r="E30" s="7">
        <v>15160</v>
      </c>
    </row>
    <row r="35" spans="2:5" ht="57" customHeight="1">
      <c r="B35" s="396" t="s">
        <v>286</v>
      </c>
      <c r="C35" s="396"/>
      <c r="D35" s="396"/>
      <c r="E35" s="396"/>
    </row>
    <row r="37" spans="2:5" ht="21.75" customHeight="1">
      <c r="B37" s="2" t="s">
        <v>261</v>
      </c>
      <c r="C37" s="3" t="s">
        <v>287</v>
      </c>
      <c r="D37" s="3" t="s">
        <v>288</v>
      </c>
      <c r="E37" s="3" t="s">
        <v>264</v>
      </c>
    </row>
    <row r="38" spans="2:5" ht="21.75" customHeight="1">
      <c r="B38" s="4">
        <v>1</v>
      </c>
      <c r="C38" s="5" t="s">
        <v>279</v>
      </c>
      <c r="D38" s="6">
        <v>0.03</v>
      </c>
      <c r="E38" s="7">
        <v>0</v>
      </c>
    </row>
    <row r="39" spans="2:5" ht="21.75" customHeight="1">
      <c r="B39" s="4">
        <v>2</v>
      </c>
      <c r="C39" s="5" t="s">
        <v>280</v>
      </c>
      <c r="D39" s="6">
        <v>0.1</v>
      </c>
      <c r="E39" s="7">
        <v>210</v>
      </c>
    </row>
    <row r="40" spans="2:5" ht="21.75" customHeight="1">
      <c r="B40" s="4">
        <v>3</v>
      </c>
      <c r="C40" s="5" t="s">
        <v>281</v>
      </c>
      <c r="D40" s="6">
        <v>0.2</v>
      </c>
      <c r="E40" s="7">
        <v>1410</v>
      </c>
    </row>
    <row r="41" spans="2:5" ht="21.75" customHeight="1">
      <c r="B41" s="4">
        <v>4</v>
      </c>
      <c r="C41" s="5" t="s">
        <v>282</v>
      </c>
      <c r="D41" s="6">
        <v>0.25</v>
      </c>
      <c r="E41" s="7">
        <v>2660</v>
      </c>
    </row>
    <row r="42" spans="2:5" ht="21.75" customHeight="1">
      <c r="B42" s="4">
        <v>5</v>
      </c>
      <c r="C42" s="5" t="s">
        <v>283</v>
      </c>
      <c r="D42" s="6">
        <v>0.3</v>
      </c>
      <c r="E42" s="7">
        <v>4410</v>
      </c>
    </row>
    <row r="43" spans="2:5" ht="21.75" customHeight="1">
      <c r="B43" s="4">
        <v>6</v>
      </c>
      <c r="C43" s="5" t="s">
        <v>284</v>
      </c>
      <c r="D43" s="6">
        <v>0.35</v>
      </c>
      <c r="E43" s="7">
        <v>7160</v>
      </c>
    </row>
    <row r="44" spans="2:5" ht="21.75" customHeight="1">
      <c r="B44" s="4">
        <v>7</v>
      </c>
      <c r="C44" s="5" t="s">
        <v>285</v>
      </c>
      <c r="D44" s="6">
        <v>0.45</v>
      </c>
      <c r="E44" s="7">
        <v>15160</v>
      </c>
    </row>
  </sheetData>
  <mergeCells count="4">
    <mergeCell ref="B1:E1"/>
    <mergeCell ref="B13:E13"/>
    <mergeCell ref="B21:E21"/>
    <mergeCell ref="B35:E35"/>
  </mergeCells>
  <phoneticPr fontId="108"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2"/>
  <sheetViews>
    <sheetView workbookViewId="0">
      <selection activeCell="C27" sqref="C27"/>
    </sheetView>
  </sheetViews>
  <sheetFormatPr defaultColWidth="9" defaultRowHeight="16.5"/>
  <cols>
    <col min="1" max="1" width="5" style="122" customWidth="1"/>
    <col min="2" max="2" width="25" style="122" customWidth="1"/>
    <col min="3" max="3" width="7.375" style="122" customWidth="1"/>
    <col min="4" max="4" width="9.5" style="122" customWidth="1"/>
    <col min="5" max="5" width="8.25" style="122" customWidth="1"/>
    <col min="6" max="6" width="11.875" style="122" customWidth="1"/>
    <col min="7" max="7" width="16.375" style="122" customWidth="1"/>
    <col min="8" max="11" width="8.5" style="122" customWidth="1"/>
    <col min="12" max="12" width="9.125" style="122" customWidth="1"/>
    <col min="13" max="14" width="9.25" style="122" customWidth="1"/>
    <col min="15" max="15" width="7.5" style="122" customWidth="1"/>
    <col min="16" max="16" width="11.25" style="122" customWidth="1"/>
    <col min="17" max="17" width="9.125" style="122" customWidth="1"/>
    <col min="18" max="21" width="9.25" style="122" customWidth="1"/>
    <col min="22" max="22" width="9.125" style="122" customWidth="1"/>
    <col min="23" max="26" width="9.25" style="122" customWidth="1"/>
    <col min="27" max="28" width="9.125" style="122" customWidth="1"/>
    <col min="29" max="29" width="9" style="122" customWidth="1"/>
    <col min="30" max="30" width="9.125" style="122" customWidth="1"/>
    <col min="31" max="31" width="9.25" style="122" customWidth="1"/>
    <col min="32" max="32" width="8.875" style="122" customWidth="1"/>
    <col min="33" max="33" width="9.125" style="122" customWidth="1"/>
    <col min="34" max="34" width="9.25" style="122" customWidth="1"/>
    <col min="35" max="35" width="11.125" style="122" customWidth="1"/>
    <col min="36" max="36" width="9.25" style="122" customWidth="1"/>
    <col min="37" max="37" width="8.5" style="122" customWidth="1"/>
    <col min="38" max="38" width="9.125" style="122" hidden="1" customWidth="1"/>
    <col min="39" max="42" width="9.25" style="122" hidden="1" customWidth="1"/>
    <col min="43" max="43" width="9.875" style="122" customWidth="1"/>
    <col min="44" max="44" width="9.375" style="122" customWidth="1"/>
    <col min="45" max="45" width="10.25" style="128" customWidth="1"/>
    <col min="46" max="46" width="10" style="128" customWidth="1"/>
    <col min="47" max="49" width="9.25" style="128" customWidth="1"/>
    <col min="50" max="50" width="9.25" style="122" customWidth="1"/>
    <col min="51" max="51" width="5.875" style="122" customWidth="1"/>
    <col min="52" max="52" width="8.375" style="122" customWidth="1"/>
    <col min="53" max="53" width="5.875" style="122" customWidth="1"/>
    <col min="54" max="54" width="8.875" style="122" customWidth="1"/>
    <col min="55" max="55" width="10.875" style="122" customWidth="1"/>
    <col min="56" max="56" width="40.25" style="129" customWidth="1"/>
    <col min="57" max="57" width="10.625" style="122" customWidth="1"/>
    <col min="58" max="16384" width="9" style="122"/>
  </cols>
  <sheetData>
    <row r="1" spans="1:60" s="121" customFormat="1" ht="22.5" customHeight="1">
      <c r="A1" s="341" t="s">
        <v>18</v>
      </c>
      <c r="B1" s="347" t="s">
        <v>36</v>
      </c>
      <c r="C1" s="347" t="s">
        <v>37</v>
      </c>
      <c r="D1" s="341" t="s">
        <v>38</v>
      </c>
      <c r="E1" s="347" t="s">
        <v>39</v>
      </c>
      <c r="F1" s="347" t="s">
        <v>40</v>
      </c>
      <c r="G1" s="347" t="s">
        <v>41</v>
      </c>
      <c r="H1" s="347" t="s">
        <v>42</v>
      </c>
      <c r="I1" s="347" t="s">
        <v>43</v>
      </c>
      <c r="J1" s="347" t="s">
        <v>44</v>
      </c>
      <c r="K1" s="347" t="s">
        <v>45</v>
      </c>
      <c r="L1" s="340" t="s">
        <v>46</v>
      </c>
      <c r="M1" s="340"/>
      <c r="N1" s="340"/>
      <c r="O1" s="340"/>
      <c r="P1" s="340"/>
      <c r="Q1" s="340" t="s">
        <v>47</v>
      </c>
      <c r="R1" s="340"/>
      <c r="S1" s="340"/>
      <c r="T1" s="340"/>
      <c r="U1" s="340"/>
      <c r="V1" s="340" t="s">
        <v>48</v>
      </c>
      <c r="W1" s="340"/>
      <c r="X1" s="340"/>
      <c r="Y1" s="340"/>
      <c r="Z1" s="340"/>
      <c r="AA1" s="341" t="s">
        <v>49</v>
      </c>
      <c r="AB1" s="341"/>
      <c r="AC1" s="341"/>
      <c r="AD1" s="341" t="s">
        <v>50</v>
      </c>
      <c r="AE1" s="341"/>
      <c r="AF1" s="341"/>
      <c r="AG1" s="340" t="s">
        <v>51</v>
      </c>
      <c r="AH1" s="340"/>
      <c r="AI1" s="340"/>
      <c r="AJ1" s="340"/>
      <c r="AK1" s="340"/>
      <c r="AL1" s="341" t="s">
        <v>52</v>
      </c>
      <c r="AM1" s="341"/>
      <c r="AN1" s="341"/>
      <c r="AO1" s="341"/>
      <c r="AP1" s="341"/>
      <c r="AQ1" s="341" t="s">
        <v>53</v>
      </c>
      <c r="AR1" s="341"/>
      <c r="AS1" s="342" t="s">
        <v>54</v>
      </c>
      <c r="AT1" s="342"/>
      <c r="AU1" s="342"/>
      <c r="AV1" s="342"/>
      <c r="AW1" s="342"/>
      <c r="AX1" s="341" t="s">
        <v>55</v>
      </c>
      <c r="AY1" s="341"/>
      <c r="AZ1" s="341" t="s">
        <v>56</v>
      </c>
      <c r="BA1" s="341"/>
      <c r="BB1" s="341" t="s">
        <v>57</v>
      </c>
      <c r="BC1" s="341" t="s">
        <v>58</v>
      </c>
      <c r="BD1" s="350" t="s">
        <v>23</v>
      </c>
    </row>
    <row r="2" spans="1:60" ht="22.5" customHeight="1">
      <c r="A2" s="341"/>
      <c r="B2" s="348"/>
      <c r="C2" s="347"/>
      <c r="D2" s="341"/>
      <c r="E2" s="347"/>
      <c r="F2" s="349"/>
      <c r="G2" s="349"/>
      <c r="H2" s="347"/>
      <c r="I2" s="347"/>
      <c r="J2" s="347"/>
      <c r="K2" s="347"/>
      <c r="L2" s="162" t="s">
        <v>59</v>
      </c>
      <c r="M2" s="162" t="s">
        <v>60</v>
      </c>
      <c r="N2" s="162" t="s">
        <v>61</v>
      </c>
      <c r="O2" s="162" t="s">
        <v>62</v>
      </c>
      <c r="P2" s="162" t="s">
        <v>63</v>
      </c>
      <c r="Q2" s="162" t="s">
        <v>59</v>
      </c>
      <c r="R2" s="162" t="s">
        <v>60</v>
      </c>
      <c r="S2" s="162" t="s">
        <v>61</v>
      </c>
      <c r="T2" s="162" t="s">
        <v>62</v>
      </c>
      <c r="U2" s="162" t="s">
        <v>63</v>
      </c>
      <c r="V2" s="162" t="s">
        <v>59</v>
      </c>
      <c r="W2" s="162" t="s">
        <v>60</v>
      </c>
      <c r="X2" s="162" t="s">
        <v>61</v>
      </c>
      <c r="Y2" s="162" t="s">
        <v>62</v>
      </c>
      <c r="Z2" s="162" t="s">
        <v>63</v>
      </c>
      <c r="AA2" s="162" t="s">
        <v>59</v>
      </c>
      <c r="AB2" s="162" t="s">
        <v>64</v>
      </c>
      <c r="AC2" s="162" t="s">
        <v>22</v>
      </c>
      <c r="AD2" s="162" t="s">
        <v>59</v>
      </c>
      <c r="AE2" s="162" t="s">
        <v>64</v>
      </c>
      <c r="AF2" s="162" t="s">
        <v>22</v>
      </c>
      <c r="AG2" s="162" t="s">
        <v>59</v>
      </c>
      <c r="AH2" s="162" t="s">
        <v>60</v>
      </c>
      <c r="AI2" s="162" t="s">
        <v>61</v>
      </c>
      <c r="AJ2" s="162" t="s">
        <v>62</v>
      </c>
      <c r="AK2" s="162" t="s">
        <v>63</v>
      </c>
      <c r="AL2" s="162" t="s">
        <v>59</v>
      </c>
      <c r="AM2" s="162" t="s">
        <v>60</v>
      </c>
      <c r="AN2" s="162" t="s">
        <v>61</v>
      </c>
      <c r="AO2" s="162" t="s">
        <v>62</v>
      </c>
      <c r="AP2" s="162" t="s">
        <v>63</v>
      </c>
      <c r="AQ2" s="162" t="s">
        <v>65</v>
      </c>
      <c r="AR2" s="162" t="s">
        <v>66</v>
      </c>
      <c r="AS2" s="171" t="s">
        <v>67</v>
      </c>
      <c r="AT2" s="171" t="s">
        <v>68</v>
      </c>
      <c r="AU2" s="171" t="s">
        <v>69</v>
      </c>
      <c r="AV2" s="171" t="s">
        <v>70</v>
      </c>
      <c r="AW2" s="171" t="s">
        <v>30</v>
      </c>
      <c r="AX2" s="341"/>
      <c r="AY2" s="341"/>
      <c r="AZ2" s="341"/>
      <c r="BA2" s="341"/>
      <c r="BB2" s="341"/>
      <c r="BC2" s="341"/>
      <c r="BD2" s="350"/>
    </row>
    <row r="3" spans="1:60" s="123" customFormat="1" ht="18" customHeight="1">
      <c r="A3" s="130">
        <v>1</v>
      </c>
      <c r="B3" s="131" t="s">
        <v>71</v>
      </c>
      <c r="C3" s="132" t="s">
        <v>72</v>
      </c>
      <c r="D3" s="133" t="s">
        <v>73</v>
      </c>
      <c r="E3" s="131" t="s">
        <v>74</v>
      </c>
      <c r="F3" s="134" t="s">
        <v>75</v>
      </c>
      <c r="G3" s="135" t="s">
        <v>76</v>
      </c>
      <c r="H3" s="133" t="s">
        <v>77</v>
      </c>
      <c r="I3" s="133" t="s">
        <v>77</v>
      </c>
      <c r="J3" s="133" t="s">
        <v>78</v>
      </c>
      <c r="K3" s="133" t="s">
        <v>78</v>
      </c>
      <c r="L3" s="130">
        <v>3300</v>
      </c>
      <c r="M3" s="130">
        <v>0.16</v>
      </c>
      <c r="N3" s="130">
        <f t="shared" ref="N3:N8" si="0">ROUND(L3*M3,2)</f>
        <v>528</v>
      </c>
      <c r="O3" s="130">
        <v>0.08</v>
      </c>
      <c r="P3" s="130">
        <f t="shared" ref="P3:P8" si="1">ROUND(L3*O3,2)</f>
        <v>264</v>
      </c>
      <c r="Q3" s="130">
        <v>3300</v>
      </c>
      <c r="R3" s="130">
        <v>0.08</v>
      </c>
      <c r="S3" s="130">
        <f t="shared" ref="S3:S8" si="2">ROUND(Q3*R3,2)</f>
        <v>264</v>
      </c>
      <c r="T3" s="130">
        <v>0.02</v>
      </c>
      <c r="U3" s="130">
        <f t="shared" ref="U3:U8" si="3">ROUND(Q3*T3,2)</f>
        <v>66</v>
      </c>
      <c r="V3" s="130">
        <v>3300</v>
      </c>
      <c r="W3" s="130">
        <v>7.0000000000000001E-3</v>
      </c>
      <c r="X3" s="130">
        <f t="shared" ref="X3:X8" si="4">ROUND(V3*W3,2)</f>
        <v>23.1</v>
      </c>
      <c r="Y3" s="130">
        <v>3.0000000000000001E-3</v>
      </c>
      <c r="Z3" s="130">
        <f t="shared" ref="Z3:Z8" si="5">ROUND(V3*Y3,2)</f>
        <v>9.9</v>
      </c>
      <c r="AA3" s="130"/>
      <c r="AB3" s="130"/>
      <c r="AC3" s="130"/>
      <c r="AD3" s="130">
        <v>3300</v>
      </c>
      <c r="AE3" s="130">
        <v>2E-3</v>
      </c>
      <c r="AF3" s="130">
        <f t="shared" ref="AF3:AF15" si="6">ROUND(AD3*AE3,2)</f>
        <v>6.6</v>
      </c>
      <c r="AG3" s="130">
        <v>3000</v>
      </c>
      <c r="AH3" s="130">
        <v>0.1</v>
      </c>
      <c r="AI3" s="130">
        <f>ROUND(AG3*AH3,2)</f>
        <v>300</v>
      </c>
      <c r="AJ3" s="130">
        <v>0.06</v>
      </c>
      <c r="AK3" s="130">
        <f>ROUND(AG3*AJ3,2)</f>
        <v>180</v>
      </c>
      <c r="AL3" s="168"/>
      <c r="AM3" s="130"/>
      <c r="AN3" s="130"/>
      <c r="AO3" s="130"/>
      <c r="AP3" s="131" t="s">
        <v>79</v>
      </c>
      <c r="AQ3" s="172">
        <v>5</v>
      </c>
      <c r="AR3" s="130"/>
      <c r="AS3" s="173">
        <f t="shared" ref="AS3:AS15" si="7">N3+S3+X3+AC3+AF3+AN3+AQ3</f>
        <v>826.7</v>
      </c>
      <c r="AT3" s="173">
        <f t="shared" ref="AT3:AT15" si="8">P3+U3+Z3</f>
        <v>339.9</v>
      </c>
      <c r="AU3" s="173">
        <f t="shared" ref="AU3:AU15" si="9">AI3</f>
        <v>300</v>
      </c>
      <c r="AV3" s="173">
        <f t="shared" ref="AV3:AV15" si="10">AK3</f>
        <v>180</v>
      </c>
      <c r="AW3" s="173">
        <f t="shared" ref="AW3:AW15" si="11">AV3+AS3+AT3+AU3</f>
        <v>1646.6</v>
      </c>
      <c r="AX3" s="343">
        <f t="shared" ref="AX3:AX15" si="12">AS3+AT3</f>
        <v>1166.5999999999999</v>
      </c>
      <c r="AY3" s="343"/>
      <c r="AZ3" s="343">
        <f t="shared" ref="AZ3:AZ8" si="13">AU3+AV3</f>
        <v>480</v>
      </c>
      <c r="BA3" s="343"/>
      <c r="BB3" s="182">
        <v>80</v>
      </c>
      <c r="BC3" s="181">
        <f t="shared" ref="BC3:BC15" si="14">AX3+AZ3+BB3</f>
        <v>1726.6</v>
      </c>
      <c r="BD3" s="189"/>
      <c r="BE3" s="225"/>
      <c r="BF3" s="203"/>
      <c r="BG3" s="203"/>
      <c r="BH3" s="204" t="s">
        <v>79</v>
      </c>
    </row>
    <row r="4" spans="1:60" s="123" customFormat="1" ht="18" customHeight="1">
      <c r="A4" s="130"/>
      <c r="B4" s="131" t="s">
        <v>71</v>
      </c>
      <c r="C4" s="132" t="s">
        <v>72</v>
      </c>
      <c r="D4" s="133" t="s">
        <v>73</v>
      </c>
      <c r="E4" s="131" t="s">
        <v>74</v>
      </c>
      <c r="F4" s="134" t="s">
        <v>75</v>
      </c>
      <c r="G4" s="135" t="s">
        <v>76</v>
      </c>
      <c r="H4" s="133" t="s">
        <v>77</v>
      </c>
      <c r="I4" s="133" t="s">
        <v>77</v>
      </c>
      <c r="J4" s="133" t="s">
        <v>80</v>
      </c>
      <c r="K4" s="133" t="s">
        <v>80</v>
      </c>
      <c r="L4" s="130">
        <v>3300</v>
      </c>
      <c r="M4" s="130">
        <v>0.16</v>
      </c>
      <c r="N4" s="130">
        <f t="shared" si="0"/>
        <v>528</v>
      </c>
      <c r="O4" s="130">
        <v>0.08</v>
      </c>
      <c r="P4" s="130">
        <f t="shared" si="1"/>
        <v>264</v>
      </c>
      <c r="Q4" s="130">
        <v>3300</v>
      </c>
      <c r="R4" s="130">
        <v>0.08</v>
      </c>
      <c r="S4" s="130">
        <f t="shared" si="2"/>
        <v>264</v>
      </c>
      <c r="T4" s="130">
        <v>0.02</v>
      </c>
      <c r="U4" s="130">
        <f t="shared" si="3"/>
        <v>66</v>
      </c>
      <c r="V4" s="130">
        <v>3300</v>
      </c>
      <c r="W4" s="130">
        <v>7.0000000000000001E-3</v>
      </c>
      <c r="X4" s="130">
        <f t="shared" si="4"/>
        <v>23.1</v>
      </c>
      <c r="Y4" s="130">
        <v>3.0000000000000001E-3</v>
      </c>
      <c r="Z4" s="130">
        <f t="shared" si="5"/>
        <v>9.9</v>
      </c>
      <c r="AA4" s="130"/>
      <c r="AB4" s="130"/>
      <c r="AC4" s="130"/>
      <c r="AD4" s="130">
        <v>3300</v>
      </c>
      <c r="AE4" s="130">
        <v>2E-3</v>
      </c>
      <c r="AF4" s="130">
        <f t="shared" si="6"/>
        <v>6.6</v>
      </c>
      <c r="AG4" s="130">
        <v>3000</v>
      </c>
      <c r="AH4" s="130">
        <v>0.1</v>
      </c>
      <c r="AI4" s="130">
        <f>ROUND(AG4*AH4,2)</f>
        <v>300</v>
      </c>
      <c r="AJ4" s="130">
        <v>0.06</v>
      </c>
      <c r="AK4" s="130">
        <f>ROUND(AG4*AJ4,2)</f>
        <v>180</v>
      </c>
      <c r="AL4" s="168"/>
      <c r="AM4" s="130"/>
      <c r="AN4" s="130"/>
      <c r="AO4" s="130"/>
      <c r="AP4" s="131" t="s">
        <v>79</v>
      </c>
      <c r="AQ4" s="172">
        <v>5</v>
      </c>
      <c r="AR4" s="130"/>
      <c r="AS4" s="173">
        <f t="shared" si="7"/>
        <v>826.7</v>
      </c>
      <c r="AT4" s="173">
        <f t="shared" si="8"/>
        <v>339.9</v>
      </c>
      <c r="AU4" s="173">
        <f t="shared" si="9"/>
        <v>300</v>
      </c>
      <c r="AV4" s="173">
        <f t="shared" si="10"/>
        <v>180</v>
      </c>
      <c r="AW4" s="173">
        <f t="shared" si="11"/>
        <v>1646.6</v>
      </c>
      <c r="AX4" s="343">
        <f t="shared" si="12"/>
        <v>1166.5999999999999</v>
      </c>
      <c r="AY4" s="343"/>
      <c r="AZ4" s="343">
        <f t="shared" si="13"/>
        <v>480</v>
      </c>
      <c r="BA4" s="343"/>
      <c r="BB4" s="182">
        <v>80</v>
      </c>
      <c r="BC4" s="181">
        <f t="shared" si="14"/>
        <v>1726.6</v>
      </c>
      <c r="BD4" s="189"/>
      <c r="BE4" s="225"/>
      <c r="BF4" s="203"/>
      <c r="BG4" s="203"/>
      <c r="BH4" s="204" t="s">
        <v>79</v>
      </c>
    </row>
    <row r="5" spans="1:60" s="123" customFormat="1" ht="18" customHeight="1">
      <c r="A5" s="130"/>
      <c r="B5" s="131" t="s">
        <v>71</v>
      </c>
      <c r="C5" s="132" t="s">
        <v>72</v>
      </c>
      <c r="D5" s="133" t="s">
        <v>73</v>
      </c>
      <c r="E5" s="131" t="s">
        <v>74</v>
      </c>
      <c r="F5" s="134" t="s">
        <v>75</v>
      </c>
      <c r="G5" s="135" t="s">
        <v>76</v>
      </c>
      <c r="H5" s="133" t="s">
        <v>77</v>
      </c>
      <c r="I5" s="133" t="s">
        <v>77</v>
      </c>
      <c r="J5" s="133" t="s">
        <v>81</v>
      </c>
      <c r="K5" s="133" t="s">
        <v>81</v>
      </c>
      <c r="L5" s="130">
        <v>3300</v>
      </c>
      <c r="M5" s="130">
        <v>0.16</v>
      </c>
      <c r="N5" s="130">
        <f t="shared" si="0"/>
        <v>528</v>
      </c>
      <c r="O5" s="130">
        <v>0.08</v>
      </c>
      <c r="P5" s="130">
        <f t="shared" si="1"/>
        <v>264</v>
      </c>
      <c r="Q5" s="130">
        <v>3300</v>
      </c>
      <c r="R5" s="130">
        <v>0.08</v>
      </c>
      <c r="S5" s="130">
        <f t="shared" si="2"/>
        <v>264</v>
      </c>
      <c r="T5" s="130">
        <v>0.02</v>
      </c>
      <c r="U5" s="130">
        <f t="shared" si="3"/>
        <v>66</v>
      </c>
      <c r="V5" s="130">
        <v>3300</v>
      </c>
      <c r="W5" s="130">
        <v>7.0000000000000001E-3</v>
      </c>
      <c r="X5" s="130">
        <f t="shared" si="4"/>
        <v>23.1</v>
      </c>
      <c r="Y5" s="130">
        <v>3.0000000000000001E-3</v>
      </c>
      <c r="Z5" s="130">
        <f t="shared" si="5"/>
        <v>9.9</v>
      </c>
      <c r="AA5" s="130"/>
      <c r="AB5" s="130"/>
      <c r="AC5" s="130"/>
      <c r="AD5" s="130">
        <v>3300</v>
      </c>
      <c r="AE5" s="130">
        <v>2E-3</v>
      </c>
      <c r="AF5" s="130">
        <f t="shared" si="6"/>
        <v>6.6</v>
      </c>
      <c r="AG5" s="130">
        <v>3000</v>
      </c>
      <c r="AH5" s="130">
        <v>0.1</v>
      </c>
      <c r="AI5" s="130">
        <f>ROUND(AG5*AH5,2)</f>
        <v>300</v>
      </c>
      <c r="AJ5" s="130">
        <v>0.06</v>
      </c>
      <c r="AK5" s="130">
        <f>ROUND(AG5*AJ5,2)</f>
        <v>180</v>
      </c>
      <c r="AL5" s="168"/>
      <c r="AM5" s="130"/>
      <c r="AN5" s="130"/>
      <c r="AO5" s="130"/>
      <c r="AP5" s="131" t="s">
        <v>79</v>
      </c>
      <c r="AQ5" s="172">
        <v>5</v>
      </c>
      <c r="AR5" s="130"/>
      <c r="AS5" s="173">
        <f t="shared" si="7"/>
        <v>826.7</v>
      </c>
      <c r="AT5" s="173">
        <f t="shared" si="8"/>
        <v>339.9</v>
      </c>
      <c r="AU5" s="173">
        <f t="shared" si="9"/>
        <v>300</v>
      </c>
      <c r="AV5" s="173">
        <f t="shared" si="10"/>
        <v>180</v>
      </c>
      <c r="AW5" s="173">
        <f t="shared" si="11"/>
        <v>1646.6</v>
      </c>
      <c r="AX5" s="343">
        <f t="shared" si="12"/>
        <v>1166.5999999999999</v>
      </c>
      <c r="AY5" s="343"/>
      <c r="AZ5" s="343">
        <f t="shared" si="13"/>
        <v>480</v>
      </c>
      <c r="BA5" s="343"/>
      <c r="BB5" s="182">
        <v>80</v>
      </c>
      <c r="BC5" s="181">
        <f t="shared" si="14"/>
        <v>1726.6</v>
      </c>
      <c r="BD5" s="189"/>
      <c r="BE5" s="225"/>
      <c r="BF5" s="203"/>
      <c r="BG5" s="203"/>
      <c r="BH5" s="204" t="s">
        <v>79</v>
      </c>
    </row>
    <row r="6" spans="1:60" s="123" customFormat="1" ht="18" customHeight="1">
      <c r="A6" s="130">
        <v>2</v>
      </c>
      <c r="B6" s="131" t="s">
        <v>71</v>
      </c>
      <c r="C6" s="132" t="s">
        <v>82</v>
      </c>
      <c r="D6" s="133" t="s">
        <v>73</v>
      </c>
      <c r="E6" s="131" t="s">
        <v>83</v>
      </c>
      <c r="F6" s="134" t="s">
        <v>84</v>
      </c>
      <c r="G6" s="286" t="s">
        <v>85</v>
      </c>
      <c r="H6" s="133" t="s">
        <v>77</v>
      </c>
      <c r="I6" s="133" t="s">
        <v>86</v>
      </c>
      <c r="J6" s="133" t="s">
        <v>78</v>
      </c>
      <c r="K6" s="133" t="s">
        <v>86</v>
      </c>
      <c r="L6" s="130">
        <v>3803</v>
      </c>
      <c r="M6" s="130">
        <v>0.14000000000000001</v>
      </c>
      <c r="N6" s="130">
        <f t="shared" si="0"/>
        <v>532.41999999999996</v>
      </c>
      <c r="O6" s="130">
        <v>0.08</v>
      </c>
      <c r="P6" s="130">
        <f t="shared" si="1"/>
        <v>304.24</v>
      </c>
      <c r="Q6" s="130">
        <v>6175</v>
      </c>
      <c r="R6" s="130">
        <v>5.5E-2</v>
      </c>
      <c r="S6" s="130">
        <f t="shared" si="2"/>
        <v>339.63</v>
      </c>
      <c r="T6" s="130">
        <v>0.02</v>
      </c>
      <c r="U6" s="130">
        <f t="shared" si="3"/>
        <v>123.5</v>
      </c>
      <c r="V6" s="130">
        <v>3803</v>
      </c>
      <c r="W6" s="130">
        <v>3.2000000000000002E-3</v>
      </c>
      <c r="X6" s="130">
        <f t="shared" si="4"/>
        <v>12.17</v>
      </c>
      <c r="Y6" s="130">
        <v>2E-3</v>
      </c>
      <c r="Z6" s="130">
        <f t="shared" si="5"/>
        <v>7.61</v>
      </c>
      <c r="AA6" s="130">
        <v>6175</v>
      </c>
      <c r="AB6" s="130">
        <v>8.5000000000000006E-3</v>
      </c>
      <c r="AC6" s="130">
        <f t="shared" ref="AC6:AC8" si="15">ROUND(AA6*AB6,2)</f>
        <v>52.49</v>
      </c>
      <c r="AD6" s="130">
        <v>3803</v>
      </c>
      <c r="AE6" s="130">
        <v>1.6000000000000001E-3</v>
      </c>
      <c r="AF6" s="130">
        <f t="shared" si="6"/>
        <v>6.08</v>
      </c>
      <c r="AG6" s="130"/>
      <c r="AH6" s="130"/>
      <c r="AI6" s="130"/>
      <c r="AJ6" s="130"/>
      <c r="AK6" s="130"/>
      <c r="AL6" s="168"/>
      <c r="AM6" s="130"/>
      <c r="AN6" s="130"/>
      <c r="AO6" s="130"/>
      <c r="AP6" s="131"/>
      <c r="AQ6" s="172">
        <v>26.76</v>
      </c>
      <c r="AR6" s="130"/>
      <c r="AS6" s="173">
        <f t="shared" si="7"/>
        <v>969.55</v>
      </c>
      <c r="AT6" s="173">
        <f t="shared" si="8"/>
        <v>435.35</v>
      </c>
      <c r="AU6" s="173">
        <f t="shared" si="9"/>
        <v>0</v>
      </c>
      <c r="AV6" s="173">
        <f t="shared" si="10"/>
        <v>0</v>
      </c>
      <c r="AW6" s="173">
        <f t="shared" si="11"/>
        <v>1404.9</v>
      </c>
      <c r="AX6" s="343">
        <f t="shared" si="12"/>
        <v>1404.9</v>
      </c>
      <c r="AY6" s="343"/>
      <c r="AZ6" s="343">
        <f t="shared" si="13"/>
        <v>0</v>
      </c>
      <c r="BA6" s="343"/>
      <c r="BB6" s="182">
        <v>80</v>
      </c>
      <c r="BC6" s="181">
        <f t="shared" si="14"/>
        <v>1484.9</v>
      </c>
      <c r="BD6" s="189"/>
      <c r="BE6" s="209"/>
      <c r="BF6" s="209"/>
      <c r="BG6" s="209"/>
      <c r="BH6" s="209"/>
    </row>
    <row r="7" spans="1:60" s="123" customFormat="1" ht="18" customHeight="1">
      <c r="A7" s="130"/>
      <c r="B7" s="131" t="s">
        <v>71</v>
      </c>
      <c r="C7" s="132" t="s">
        <v>82</v>
      </c>
      <c r="D7" s="133" t="s">
        <v>73</v>
      </c>
      <c r="E7" s="131" t="s">
        <v>83</v>
      </c>
      <c r="F7" s="134" t="s">
        <v>84</v>
      </c>
      <c r="G7" s="286" t="s">
        <v>85</v>
      </c>
      <c r="H7" s="133" t="s">
        <v>77</v>
      </c>
      <c r="I7" s="133" t="s">
        <v>86</v>
      </c>
      <c r="J7" s="133" t="s">
        <v>80</v>
      </c>
      <c r="K7" s="133" t="s">
        <v>86</v>
      </c>
      <c r="L7" s="130">
        <v>3803</v>
      </c>
      <c r="M7" s="130">
        <v>0.14000000000000001</v>
      </c>
      <c r="N7" s="130">
        <f t="shared" si="0"/>
        <v>532.41999999999996</v>
      </c>
      <c r="O7" s="130">
        <v>0.08</v>
      </c>
      <c r="P7" s="130">
        <f t="shared" si="1"/>
        <v>304.24</v>
      </c>
      <c r="Q7" s="130">
        <v>6175</v>
      </c>
      <c r="R7" s="130">
        <v>5.5E-2</v>
      </c>
      <c r="S7" s="130">
        <f t="shared" si="2"/>
        <v>339.63</v>
      </c>
      <c r="T7" s="130">
        <v>0.02</v>
      </c>
      <c r="U7" s="130">
        <f t="shared" si="3"/>
        <v>123.5</v>
      </c>
      <c r="V7" s="130">
        <v>3803</v>
      </c>
      <c r="W7" s="130">
        <v>3.2000000000000002E-3</v>
      </c>
      <c r="X7" s="130">
        <f t="shared" si="4"/>
        <v>12.17</v>
      </c>
      <c r="Y7" s="130">
        <v>2E-3</v>
      </c>
      <c r="Z7" s="130">
        <f t="shared" si="5"/>
        <v>7.61</v>
      </c>
      <c r="AA7" s="130">
        <v>6175</v>
      </c>
      <c r="AB7" s="130">
        <v>8.5000000000000006E-3</v>
      </c>
      <c r="AC7" s="130">
        <f t="shared" si="15"/>
        <v>52.49</v>
      </c>
      <c r="AD7" s="130">
        <v>3803</v>
      </c>
      <c r="AE7" s="130">
        <v>1.6000000000000001E-3</v>
      </c>
      <c r="AF7" s="130">
        <f t="shared" si="6"/>
        <v>6.08</v>
      </c>
      <c r="AG7" s="130"/>
      <c r="AH7" s="130"/>
      <c r="AI7" s="130"/>
      <c r="AJ7" s="130"/>
      <c r="AK7" s="130"/>
      <c r="AL7" s="168"/>
      <c r="AM7" s="130"/>
      <c r="AN7" s="130"/>
      <c r="AO7" s="130"/>
      <c r="AP7" s="131"/>
      <c r="AQ7" s="172">
        <v>26.76</v>
      </c>
      <c r="AR7" s="130"/>
      <c r="AS7" s="173">
        <f t="shared" si="7"/>
        <v>969.55</v>
      </c>
      <c r="AT7" s="173">
        <f t="shared" si="8"/>
        <v>435.35</v>
      </c>
      <c r="AU7" s="173">
        <f t="shared" si="9"/>
        <v>0</v>
      </c>
      <c r="AV7" s="173">
        <f t="shared" si="10"/>
        <v>0</v>
      </c>
      <c r="AW7" s="173">
        <f t="shared" si="11"/>
        <v>1404.9</v>
      </c>
      <c r="AX7" s="343">
        <f t="shared" si="12"/>
        <v>1404.9</v>
      </c>
      <c r="AY7" s="343"/>
      <c r="AZ7" s="343">
        <f t="shared" si="13"/>
        <v>0</v>
      </c>
      <c r="BA7" s="343"/>
      <c r="BB7" s="182">
        <v>80</v>
      </c>
      <c r="BC7" s="181">
        <f t="shared" si="14"/>
        <v>1484.9</v>
      </c>
      <c r="BD7" s="189"/>
      <c r="BE7" s="209"/>
      <c r="BF7" s="209"/>
      <c r="BG7" s="209"/>
      <c r="BH7" s="209"/>
    </row>
    <row r="8" spans="1:60" s="123" customFormat="1" ht="18" customHeight="1">
      <c r="A8" s="130"/>
      <c r="B8" s="131" t="s">
        <v>71</v>
      </c>
      <c r="C8" s="132" t="s">
        <v>82</v>
      </c>
      <c r="D8" s="133" t="s">
        <v>73</v>
      </c>
      <c r="E8" s="131" t="s">
        <v>83</v>
      </c>
      <c r="F8" s="134" t="s">
        <v>84</v>
      </c>
      <c r="G8" s="286" t="s">
        <v>85</v>
      </c>
      <c r="H8" s="133" t="s">
        <v>77</v>
      </c>
      <c r="I8" s="133" t="s">
        <v>86</v>
      </c>
      <c r="J8" s="133" t="s">
        <v>81</v>
      </c>
      <c r="K8" s="133" t="s">
        <v>86</v>
      </c>
      <c r="L8" s="130">
        <v>3803</v>
      </c>
      <c r="M8" s="130">
        <v>0.14000000000000001</v>
      </c>
      <c r="N8" s="130">
        <f t="shared" si="0"/>
        <v>532.41999999999996</v>
      </c>
      <c r="O8" s="130">
        <v>0.08</v>
      </c>
      <c r="P8" s="130">
        <f t="shared" si="1"/>
        <v>304.24</v>
      </c>
      <c r="Q8" s="130">
        <v>6175</v>
      </c>
      <c r="R8" s="130">
        <v>5.5E-2</v>
      </c>
      <c r="S8" s="130">
        <f t="shared" si="2"/>
        <v>339.63</v>
      </c>
      <c r="T8" s="130">
        <v>0.02</v>
      </c>
      <c r="U8" s="130">
        <f t="shared" si="3"/>
        <v>123.5</v>
      </c>
      <c r="V8" s="130">
        <v>3803</v>
      </c>
      <c r="W8" s="130">
        <v>3.2000000000000002E-3</v>
      </c>
      <c r="X8" s="130">
        <f t="shared" si="4"/>
        <v>12.17</v>
      </c>
      <c r="Y8" s="130">
        <v>2E-3</v>
      </c>
      <c r="Z8" s="130">
        <f t="shared" si="5"/>
        <v>7.61</v>
      </c>
      <c r="AA8" s="130">
        <v>6175</v>
      </c>
      <c r="AB8" s="130">
        <v>8.5000000000000006E-3</v>
      </c>
      <c r="AC8" s="130">
        <f t="shared" si="15"/>
        <v>52.49</v>
      </c>
      <c r="AD8" s="130">
        <v>3803</v>
      </c>
      <c r="AE8" s="130">
        <v>1.6000000000000001E-3</v>
      </c>
      <c r="AF8" s="130">
        <f t="shared" si="6"/>
        <v>6.08</v>
      </c>
      <c r="AG8" s="130"/>
      <c r="AH8" s="130"/>
      <c r="AI8" s="130"/>
      <c r="AJ8" s="130"/>
      <c r="AK8" s="130"/>
      <c r="AL8" s="168"/>
      <c r="AM8" s="130"/>
      <c r="AN8" s="130"/>
      <c r="AO8" s="130"/>
      <c r="AP8" s="131"/>
      <c r="AQ8" s="172">
        <v>26.76</v>
      </c>
      <c r="AR8" s="130"/>
      <c r="AS8" s="173">
        <f t="shared" si="7"/>
        <v>969.55</v>
      </c>
      <c r="AT8" s="173">
        <f t="shared" si="8"/>
        <v>435.35</v>
      </c>
      <c r="AU8" s="173">
        <f t="shared" si="9"/>
        <v>0</v>
      </c>
      <c r="AV8" s="173">
        <f t="shared" si="10"/>
        <v>0</v>
      </c>
      <c r="AW8" s="173">
        <f t="shared" si="11"/>
        <v>1404.9</v>
      </c>
      <c r="AX8" s="343">
        <f t="shared" si="12"/>
        <v>1404.9</v>
      </c>
      <c r="AY8" s="343"/>
      <c r="AZ8" s="343">
        <f t="shared" si="13"/>
        <v>0</v>
      </c>
      <c r="BA8" s="343"/>
      <c r="BB8" s="182">
        <v>80</v>
      </c>
      <c r="BC8" s="181">
        <f t="shared" si="14"/>
        <v>1484.9</v>
      </c>
      <c r="BD8" s="189"/>
      <c r="BE8" s="209"/>
      <c r="BF8" s="209"/>
      <c r="BG8" s="209"/>
      <c r="BH8" s="209"/>
    </row>
    <row r="9" spans="1:60" s="211" customFormat="1" ht="18" customHeight="1">
      <c r="A9" s="212" t="s">
        <v>87</v>
      </c>
      <c r="B9" s="213" t="s">
        <v>71</v>
      </c>
      <c r="C9" s="214" t="s">
        <v>82</v>
      </c>
      <c r="D9" s="215" t="s">
        <v>73</v>
      </c>
      <c r="E9" s="213" t="s">
        <v>83</v>
      </c>
      <c r="F9" s="216" t="s">
        <v>84</v>
      </c>
      <c r="G9" s="287" t="s">
        <v>85</v>
      </c>
      <c r="H9" s="215" t="s">
        <v>77</v>
      </c>
      <c r="I9" s="215" t="s">
        <v>86</v>
      </c>
      <c r="J9" s="215" t="s">
        <v>88</v>
      </c>
      <c r="K9" s="215" t="s">
        <v>86</v>
      </c>
      <c r="L9" s="212"/>
      <c r="M9" s="212"/>
      <c r="N9" s="212"/>
      <c r="O9" s="212"/>
      <c r="P9" s="212"/>
      <c r="Q9" s="212"/>
      <c r="R9" s="212"/>
      <c r="S9" s="212"/>
      <c r="T9" s="212"/>
      <c r="U9" s="212"/>
      <c r="V9" s="212"/>
      <c r="W9" s="212"/>
      <c r="X9" s="212"/>
      <c r="Y9" s="212"/>
      <c r="Z9" s="212"/>
      <c r="AA9" s="212"/>
      <c r="AB9" s="212"/>
      <c r="AC9" s="212"/>
      <c r="AD9" s="218">
        <f t="shared" ref="AD9:AD11" si="16">3803-3000</f>
        <v>803</v>
      </c>
      <c r="AE9" s="218">
        <v>1.6000000000000001E-3</v>
      </c>
      <c r="AF9" s="218">
        <f t="shared" si="6"/>
        <v>1.28</v>
      </c>
      <c r="AG9" s="212"/>
      <c r="AH9" s="212"/>
      <c r="AI9" s="212"/>
      <c r="AJ9" s="212"/>
      <c r="AK9" s="212"/>
      <c r="AL9" s="219"/>
      <c r="AM9" s="212"/>
      <c r="AN9" s="212"/>
      <c r="AO9" s="212"/>
      <c r="AP9" s="213"/>
      <c r="AQ9" s="220"/>
      <c r="AR9" s="212"/>
      <c r="AS9" s="221">
        <f t="shared" si="7"/>
        <v>1.28</v>
      </c>
      <c r="AT9" s="221">
        <f t="shared" si="8"/>
        <v>0</v>
      </c>
      <c r="AU9" s="221">
        <f t="shared" si="9"/>
        <v>0</v>
      </c>
      <c r="AV9" s="221">
        <f t="shared" si="10"/>
        <v>0</v>
      </c>
      <c r="AW9" s="221">
        <f t="shared" si="11"/>
        <v>1.28</v>
      </c>
      <c r="AX9" s="344">
        <f t="shared" si="12"/>
        <v>1.28</v>
      </c>
      <c r="AY9" s="344"/>
      <c r="AZ9" s="344"/>
      <c r="BA9" s="344"/>
      <c r="BB9" s="223"/>
      <c r="BC9" s="222">
        <f t="shared" si="14"/>
        <v>1.28</v>
      </c>
      <c r="BD9" s="224" t="s">
        <v>89</v>
      </c>
      <c r="BE9" s="226"/>
      <c r="BF9" s="226"/>
      <c r="BG9" s="226"/>
      <c r="BH9" s="226"/>
    </row>
    <row r="10" spans="1:60" s="211" customFormat="1" ht="18" customHeight="1">
      <c r="A10" s="212" t="s">
        <v>87</v>
      </c>
      <c r="B10" s="213" t="s">
        <v>71</v>
      </c>
      <c r="C10" s="214" t="s">
        <v>82</v>
      </c>
      <c r="D10" s="215" t="s">
        <v>73</v>
      </c>
      <c r="E10" s="213" t="s">
        <v>83</v>
      </c>
      <c r="F10" s="216" t="s">
        <v>84</v>
      </c>
      <c r="G10" s="287" t="s">
        <v>85</v>
      </c>
      <c r="H10" s="215" t="s">
        <v>77</v>
      </c>
      <c r="I10" s="215" t="s">
        <v>86</v>
      </c>
      <c r="J10" s="215" t="s">
        <v>90</v>
      </c>
      <c r="K10" s="215" t="s">
        <v>86</v>
      </c>
      <c r="L10" s="212"/>
      <c r="M10" s="212"/>
      <c r="N10" s="212"/>
      <c r="O10" s="212"/>
      <c r="P10" s="212"/>
      <c r="Q10" s="212"/>
      <c r="R10" s="212"/>
      <c r="S10" s="212"/>
      <c r="T10" s="212"/>
      <c r="U10" s="212"/>
      <c r="V10" s="212"/>
      <c r="W10" s="212"/>
      <c r="X10" s="212"/>
      <c r="Y10" s="212"/>
      <c r="Z10" s="212"/>
      <c r="AA10" s="212"/>
      <c r="AB10" s="212"/>
      <c r="AC10" s="212"/>
      <c r="AD10" s="218">
        <f t="shared" si="16"/>
        <v>803</v>
      </c>
      <c r="AE10" s="218">
        <v>1.6000000000000001E-3</v>
      </c>
      <c r="AF10" s="218">
        <f t="shared" si="6"/>
        <v>1.28</v>
      </c>
      <c r="AG10" s="212"/>
      <c r="AH10" s="212"/>
      <c r="AI10" s="212"/>
      <c r="AJ10" s="212"/>
      <c r="AK10" s="212"/>
      <c r="AL10" s="219"/>
      <c r="AM10" s="212"/>
      <c r="AN10" s="212"/>
      <c r="AO10" s="212"/>
      <c r="AP10" s="213"/>
      <c r="AQ10" s="220"/>
      <c r="AR10" s="212"/>
      <c r="AS10" s="221">
        <f t="shared" si="7"/>
        <v>1.28</v>
      </c>
      <c r="AT10" s="221">
        <f t="shared" si="8"/>
        <v>0</v>
      </c>
      <c r="AU10" s="221">
        <f t="shared" si="9"/>
        <v>0</v>
      </c>
      <c r="AV10" s="221">
        <f t="shared" si="10"/>
        <v>0</v>
      </c>
      <c r="AW10" s="221">
        <f t="shared" si="11"/>
        <v>1.28</v>
      </c>
      <c r="AX10" s="344">
        <f t="shared" si="12"/>
        <v>1.28</v>
      </c>
      <c r="AY10" s="344"/>
      <c r="AZ10" s="344"/>
      <c r="BA10" s="344"/>
      <c r="BB10" s="223"/>
      <c r="BC10" s="222">
        <f t="shared" si="14"/>
        <v>1.28</v>
      </c>
      <c r="BD10" s="224" t="s">
        <v>89</v>
      </c>
      <c r="BE10" s="226"/>
      <c r="BF10" s="226"/>
      <c r="BG10" s="226"/>
      <c r="BH10" s="226"/>
    </row>
    <row r="11" spans="1:60" s="211" customFormat="1" ht="18" customHeight="1">
      <c r="A11" s="212" t="s">
        <v>87</v>
      </c>
      <c r="B11" s="213" t="s">
        <v>71</v>
      </c>
      <c r="C11" s="214" t="s">
        <v>82</v>
      </c>
      <c r="D11" s="215" t="s">
        <v>73</v>
      </c>
      <c r="E11" s="213" t="s">
        <v>83</v>
      </c>
      <c r="F11" s="216" t="s">
        <v>84</v>
      </c>
      <c r="G11" s="287" t="s">
        <v>85</v>
      </c>
      <c r="H11" s="215" t="s">
        <v>77</v>
      </c>
      <c r="I11" s="215" t="s">
        <v>86</v>
      </c>
      <c r="J11" s="215" t="s">
        <v>91</v>
      </c>
      <c r="K11" s="215" t="s">
        <v>86</v>
      </c>
      <c r="L11" s="212"/>
      <c r="M11" s="212"/>
      <c r="N11" s="212"/>
      <c r="O11" s="212"/>
      <c r="P11" s="212"/>
      <c r="Q11" s="212"/>
      <c r="R11" s="212"/>
      <c r="S11" s="212"/>
      <c r="T11" s="212"/>
      <c r="U11" s="212"/>
      <c r="V11" s="212"/>
      <c r="W11" s="212"/>
      <c r="X11" s="212"/>
      <c r="Y11" s="212"/>
      <c r="Z11" s="212"/>
      <c r="AA11" s="212"/>
      <c r="AB11" s="212"/>
      <c r="AC11" s="212"/>
      <c r="AD11" s="218">
        <f t="shared" si="16"/>
        <v>803</v>
      </c>
      <c r="AE11" s="218">
        <v>1.6000000000000001E-3</v>
      </c>
      <c r="AF11" s="218">
        <f t="shared" si="6"/>
        <v>1.28</v>
      </c>
      <c r="AG11" s="212"/>
      <c r="AH11" s="212"/>
      <c r="AI11" s="212"/>
      <c r="AJ11" s="212"/>
      <c r="AK11" s="212"/>
      <c r="AL11" s="219"/>
      <c r="AM11" s="212"/>
      <c r="AN11" s="212"/>
      <c r="AO11" s="212"/>
      <c r="AP11" s="213"/>
      <c r="AQ11" s="220"/>
      <c r="AR11" s="212"/>
      <c r="AS11" s="221">
        <f t="shared" si="7"/>
        <v>1.28</v>
      </c>
      <c r="AT11" s="221">
        <f t="shared" si="8"/>
        <v>0</v>
      </c>
      <c r="AU11" s="221">
        <f t="shared" si="9"/>
        <v>0</v>
      </c>
      <c r="AV11" s="221">
        <f t="shared" si="10"/>
        <v>0</v>
      </c>
      <c r="AW11" s="221">
        <f t="shared" si="11"/>
        <v>1.28</v>
      </c>
      <c r="AX11" s="344">
        <f t="shared" si="12"/>
        <v>1.28</v>
      </c>
      <c r="AY11" s="344"/>
      <c r="AZ11" s="344"/>
      <c r="BA11" s="344"/>
      <c r="BB11" s="223"/>
      <c r="BC11" s="222">
        <f t="shared" si="14"/>
        <v>1.28</v>
      </c>
      <c r="BD11" s="224" t="s">
        <v>89</v>
      </c>
      <c r="BE11" s="226"/>
      <c r="BF11" s="226"/>
      <c r="BG11" s="226"/>
      <c r="BH11" s="226"/>
    </row>
    <row r="12" spans="1:60" s="123" customFormat="1" ht="18" customHeight="1">
      <c r="A12" s="130">
        <v>3</v>
      </c>
      <c r="B12" s="131" t="s">
        <v>71</v>
      </c>
      <c r="C12" s="132" t="s">
        <v>92</v>
      </c>
      <c r="D12" s="133" t="s">
        <v>73</v>
      </c>
      <c r="E12" s="131" t="s">
        <v>83</v>
      </c>
      <c r="F12" s="134" t="s">
        <v>93</v>
      </c>
      <c r="G12" s="135" t="s">
        <v>94</v>
      </c>
      <c r="H12" s="133" t="s">
        <v>95</v>
      </c>
      <c r="I12" s="133" t="s">
        <v>95</v>
      </c>
      <c r="J12" s="133" t="s">
        <v>80</v>
      </c>
      <c r="K12" s="133" t="s">
        <v>80</v>
      </c>
      <c r="L12" s="130">
        <v>3053.05</v>
      </c>
      <c r="M12" s="130">
        <v>0.16</v>
      </c>
      <c r="N12" s="130">
        <f t="shared" ref="N12:N15" si="17">ROUND(L12*M12,2)</f>
        <v>488.49</v>
      </c>
      <c r="O12" s="130">
        <v>0.08</v>
      </c>
      <c r="P12" s="130">
        <f t="shared" ref="P12:P15" si="18">ROUND(L12*O12,2)</f>
        <v>244.24</v>
      </c>
      <c r="Q12" s="130">
        <v>3053.05</v>
      </c>
      <c r="R12" s="130">
        <v>0.06</v>
      </c>
      <c r="S12" s="130">
        <f t="shared" ref="S12:S15" si="19">ROUND(Q12*R12,2)</f>
        <v>183.18</v>
      </c>
      <c r="T12" s="130">
        <v>0.02</v>
      </c>
      <c r="U12" s="130">
        <f t="shared" ref="U12:U15" si="20">ROUND(Q12*T12,2)</f>
        <v>61.06</v>
      </c>
      <c r="V12" s="130">
        <v>3053.05</v>
      </c>
      <c r="W12" s="130">
        <v>7.0000000000000001E-3</v>
      </c>
      <c r="X12" s="130">
        <f t="shared" ref="X12:X15" si="21">ROUND(V12*W12,2)</f>
        <v>21.37</v>
      </c>
      <c r="Y12" s="130">
        <v>3.0000000000000001E-3</v>
      </c>
      <c r="Z12" s="130">
        <f t="shared" ref="Z12:Z15" si="22">ROUND(V12*Y12,2)</f>
        <v>9.16</v>
      </c>
      <c r="AA12" s="130">
        <v>3053.05</v>
      </c>
      <c r="AB12" s="130">
        <v>7.0000000000000001E-3</v>
      </c>
      <c r="AC12" s="130">
        <f t="shared" ref="AC12:AC15" si="23">ROUND(AA12*AB12,2)</f>
        <v>21.37</v>
      </c>
      <c r="AD12" s="130">
        <v>3053.05</v>
      </c>
      <c r="AE12" s="130">
        <v>2E-3</v>
      </c>
      <c r="AF12" s="130">
        <f t="shared" si="6"/>
        <v>6.11</v>
      </c>
      <c r="AG12" s="130" t="s">
        <v>96</v>
      </c>
      <c r="AH12" s="130">
        <v>0.05</v>
      </c>
      <c r="AI12" s="130">
        <f t="shared" ref="AI12:AI15" si="24">ROUND(AG12*AH12,2)</f>
        <v>79</v>
      </c>
      <c r="AJ12" s="130">
        <v>0.05</v>
      </c>
      <c r="AK12" s="130">
        <f t="shared" ref="AK12:AK15" si="25">ROUND(AG12*AJ12,2)</f>
        <v>79</v>
      </c>
      <c r="AL12" s="168"/>
      <c r="AM12" s="130"/>
      <c r="AN12" s="130"/>
      <c r="AO12" s="130"/>
      <c r="AP12" s="131"/>
      <c r="AQ12" s="172"/>
      <c r="AR12" s="130">
        <v>96</v>
      </c>
      <c r="AS12" s="173">
        <f t="shared" si="7"/>
        <v>720.52</v>
      </c>
      <c r="AT12" s="173">
        <f t="shared" si="8"/>
        <v>314.45999999999998</v>
      </c>
      <c r="AU12" s="173">
        <f t="shared" si="9"/>
        <v>79</v>
      </c>
      <c r="AV12" s="173">
        <f t="shared" si="10"/>
        <v>79</v>
      </c>
      <c r="AW12" s="173">
        <f t="shared" si="11"/>
        <v>1192.98</v>
      </c>
      <c r="AX12" s="343">
        <f t="shared" si="12"/>
        <v>1034.98</v>
      </c>
      <c r="AY12" s="343"/>
      <c r="AZ12" s="343">
        <f t="shared" ref="AZ12:AZ15" si="26">AU12+AV12</f>
        <v>158</v>
      </c>
      <c r="BA12" s="343"/>
      <c r="BB12" s="182">
        <v>80</v>
      </c>
      <c r="BC12" s="181">
        <f t="shared" si="14"/>
        <v>1272.98</v>
      </c>
      <c r="BD12" s="189"/>
      <c r="BE12" s="209"/>
      <c r="BF12" s="209"/>
      <c r="BG12" s="209"/>
      <c r="BH12" s="209"/>
    </row>
    <row r="13" spans="1:60" s="123" customFormat="1" ht="18" customHeight="1">
      <c r="A13" s="130"/>
      <c r="B13" s="131" t="s">
        <v>71</v>
      </c>
      <c r="C13" s="132" t="s">
        <v>92</v>
      </c>
      <c r="D13" s="133" t="s">
        <v>73</v>
      </c>
      <c r="E13" s="131" t="s">
        <v>83</v>
      </c>
      <c r="F13" s="134" t="s">
        <v>93</v>
      </c>
      <c r="G13" s="135" t="s">
        <v>94</v>
      </c>
      <c r="H13" s="133" t="s">
        <v>95</v>
      </c>
      <c r="I13" s="133" t="s">
        <v>95</v>
      </c>
      <c r="J13" s="133" t="s">
        <v>81</v>
      </c>
      <c r="K13" s="133" t="s">
        <v>81</v>
      </c>
      <c r="L13" s="130">
        <v>3053.05</v>
      </c>
      <c r="M13" s="130">
        <v>0.16</v>
      </c>
      <c r="N13" s="130">
        <f t="shared" si="17"/>
        <v>488.49</v>
      </c>
      <c r="O13" s="130">
        <v>0.08</v>
      </c>
      <c r="P13" s="130">
        <f t="shared" si="18"/>
        <v>244.24</v>
      </c>
      <c r="Q13" s="130">
        <v>3053.05</v>
      </c>
      <c r="R13" s="130">
        <v>0.06</v>
      </c>
      <c r="S13" s="130">
        <f t="shared" si="19"/>
        <v>183.18</v>
      </c>
      <c r="T13" s="130">
        <v>0.02</v>
      </c>
      <c r="U13" s="130">
        <f t="shared" si="20"/>
        <v>61.06</v>
      </c>
      <c r="V13" s="130">
        <v>3053.05</v>
      </c>
      <c r="W13" s="130">
        <v>7.0000000000000001E-3</v>
      </c>
      <c r="X13" s="130">
        <f t="shared" si="21"/>
        <v>21.37</v>
      </c>
      <c r="Y13" s="130">
        <v>3.0000000000000001E-3</v>
      </c>
      <c r="Z13" s="130">
        <f t="shared" si="22"/>
        <v>9.16</v>
      </c>
      <c r="AA13" s="130">
        <v>3053.05</v>
      </c>
      <c r="AB13" s="130">
        <v>7.0000000000000001E-3</v>
      </c>
      <c r="AC13" s="130">
        <f t="shared" si="23"/>
        <v>21.37</v>
      </c>
      <c r="AD13" s="130">
        <v>3053.05</v>
      </c>
      <c r="AE13" s="130">
        <v>2E-3</v>
      </c>
      <c r="AF13" s="130">
        <f t="shared" si="6"/>
        <v>6.11</v>
      </c>
      <c r="AG13" s="130" t="s">
        <v>96</v>
      </c>
      <c r="AH13" s="130">
        <v>0.05</v>
      </c>
      <c r="AI13" s="130">
        <f t="shared" si="24"/>
        <v>79</v>
      </c>
      <c r="AJ13" s="130">
        <v>0.05</v>
      </c>
      <c r="AK13" s="130">
        <f t="shared" si="25"/>
        <v>79</v>
      </c>
      <c r="AL13" s="168"/>
      <c r="AM13" s="130"/>
      <c r="AN13" s="130"/>
      <c r="AO13" s="130"/>
      <c r="AP13" s="131"/>
      <c r="AQ13" s="172"/>
      <c r="AR13" s="172"/>
      <c r="AS13" s="173">
        <f t="shared" si="7"/>
        <v>720.52</v>
      </c>
      <c r="AT13" s="173">
        <f t="shared" si="8"/>
        <v>314.45999999999998</v>
      </c>
      <c r="AU13" s="173">
        <f t="shared" si="9"/>
        <v>79</v>
      </c>
      <c r="AV13" s="173">
        <f t="shared" si="10"/>
        <v>79</v>
      </c>
      <c r="AW13" s="173">
        <f t="shared" si="11"/>
        <v>1192.98</v>
      </c>
      <c r="AX13" s="343">
        <f t="shared" si="12"/>
        <v>1034.98</v>
      </c>
      <c r="AY13" s="343"/>
      <c r="AZ13" s="343">
        <f t="shared" si="26"/>
        <v>158</v>
      </c>
      <c r="BA13" s="343"/>
      <c r="BB13" s="182">
        <v>80</v>
      </c>
      <c r="BC13" s="181">
        <f t="shared" si="14"/>
        <v>1272.98</v>
      </c>
      <c r="BD13" s="189"/>
      <c r="BE13" s="209"/>
      <c r="BF13" s="209"/>
      <c r="BG13" s="209"/>
      <c r="BH13" s="209"/>
    </row>
    <row r="14" spans="1:60" s="123" customFormat="1" ht="18" customHeight="1">
      <c r="A14" s="130"/>
      <c r="B14" s="131" t="s">
        <v>71</v>
      </c>
      <c r="C14" s="132" t="s">
        <v>92</v>
      </c>
      <c r="D14" s="133" t="s">
        <v>73</v>
      </c>
      <c r="E14" s="131" t="s">
        <v>83</v>
      </c>
      <c r="F14" s="134" t="s">
        <v>93</v>
      </c>
      <c r="G14" s="135" t="s">
        <v>94</v>
      </c>
      <c r="H14" s="133" t="s">
        <v>95</v>
      </c>
      <c r="I14" s="133" t="s">
        <v>95</v>
      </c>
      <c r="J14" s="133" t="s">
        <v>97</v>
      </c>
      <c r="K14" s="133" t="s">
        <v>97</v>
      </c>
      <c r="L14" s="130">
        <v>3053.05</v>
      </c>
      <c r="M14" s="130">
        <v>0.16</v>
      </c>
      <c r="N14" s="130">
        <f t="shared" si="17"/>
        <v>488.49</v>
      </c>
      <c r="O14" s="130">
        <v>0.08</v>
      </c>
      <c r="P14" s="130">
        <f t="shared" si="18"/>
        <v>244.24</v>
      </c>
      <c r="Q14" s="130">
        <v>3053.05</v>
      </c>
      <c r="R14" s="130">
        <v>0.06</v>
      </c>
      <c r="S14" s="130">
        <f t="shared" si="19"/>
        <v>183.18</v>
      </c>
      <c r="T14" s="130">
        <v>0.02</v>
      </c>
      <c r="U14" s="130">
        <f t="shared" si="20"/>
        <v>61.06</v>
      </c>
      <c r="V14" s="130">
        <v>3053.05</v>
      </c>
      <c r="W14" s="130">
        <v>7.0000000000000001E-3</v>
      </c>
      <c r="X14" s="130">
        <f t="shared" si="21"/>
        <v>21.37</v>
      </c>
      <c r="Y14" s="130">
        <v>3.0000000000000001E-3</v>
      </c>
      <c r="Z14" s="130">
        <f t="shared" si="22"/>
        <v>9.16</v>
      </c>
      <c r="AA14" s="130">
        <v>3053.05</v>
      </c>
      <c r="AB14" s="130">
        <v>7.0000000000000001E-3</v>
      </c>
      <c r="AC14" s="130">
        <f t="shared" si="23"/>
        <v>21.37</v>
      </c>
      <c r="AD14" s="130">
        <v>3053.05</v>
      </c>
      <c r="AE14" s="130">
        <v>2E-3</v>
      </c>
      <c r="AF14" s="130">
        <f t="shared" si="6"/>
        <v>6.11</v>
      </c>
      <c r="AG14" s="130" t="s">
        <v>96</v>
      </c>
      <c r="AH14" s="130">
        <v>0.05</v>
      </c>
      <c r="AI14" s="130">
        <f t="shared" si="24"/>
        <v>79</v>
      </c>
      <c r="AJ14" s="130">
        <v>0.05</v>
      </c>
      <c r="AK14" s="130">
        <f t="shared" si="25"/>
        <v>79</v>
      </c>
      <c r="AL14" s="168"/>
      <c r="AM14" s="130"/>
      <c r="AN14" s="130"/>
      <c r="AO14" s="130"/>
      <c r="AP14" s="131"/>
      <c r="AQ14" s="172"/>
      <c r="AR14" s="172"/>
      <c r="AS14" s="173">
        <f t="shared" si="7"/>
        <v>720.52</v>
      </c>
      <c r="AT14" s="173">
        <f t="shared" si="8"/>
        <v>314.45999999999998</v>
      </c>
      <c r="AU14" s="173">
        <f t="shared" si="9"/>
        <v>79</v>
      </c>
      <c r="AV14" s="173">
        <f t="shared" si="10"/>
        <v>79</v>
      </c>
      <c r="AW14" s="173">
        <f t="shared" si="11"/>
        <v>1192.98</v>
      </c>
      <c r="AX14" s="343">
        <f t="shared" si="12"/>
        <v>1034.98</v>
      </c>
      <c r="AY14" s="343"/>
      <c r="AZ14" s="343">
        <f t="shared" si="26"/>
        <v>158</v>
      </c>
      <c r="BA14" s="343"/>
      <c r="BB14" s="182">
        <v>80</v>
      </c>
      <c r="BC14" s="181">
        <f t="shared" si="14"/>
        <v>1272.98</v>
      </c>
      <c r="BD14" s="189"/>
      <c r="BE14" s="209"/>
      <c r="BF14" s="209"/>
      <c r="BG14" s="209"/>
      <c r="BH14" s="209"/>
    </row>
    <row r="15" spans="1:60" s="211" customFormat="1" ht="18" customHeight="1">
      <c r="A15" s="212" t="s">
        <v>87</v>
      </c>
      <c r="B15" s="213" t="s">
        <v>71</v>
      </c>
      <c r="C15" s="214" t="s">
        <v>92</v>
      </c>
      <c r="D15" s="215" t="s">
        <v>73</v>
      </c>
      <c r="E15" s="213" t="s">
        <v>83</v>
      </c>
      <c r="F15" s="216" t="s">
        <v>93</v>
      </c>
      <c r="G15" s="217" t="s">
        <v>94</v>
      </c>
      <c r="H15" s="215" t="s">
        <v>95</v>
      </c>
      <c r="I15" s="215" t="s">
        <v>95</v>
      </c>
      <c r="J15" s="215" t="s">
        <v>95</v>
      </c>
      <c r="K15" s="215" t="s">
        <v>95</v>
      </c>
      <c r="L15" s="212">
        <v>3053.05</v>
      </c>
      <c r="M15" s="212">
        <v>0.16</v>
      </c>
      <c r="N15" s="212">
        <f t="shared" si="17"/>
        <v>488.49</v>
      </c>
      <c r="O15" s="212">
        <v>0.08</v>
      </c>
      <c r="P15" s="212">
        <f t="shared" si="18"/>
        <v>244.24</v>
      </c>
      <c r="Q15" s="212">
        <v>3053.05</v>
      </c>
      <c r="R15" s="212">
        <v>0.06</v>
      </c>
      <c r="S15" s="212">
        <f t="shared" si="19"/>
        <v>183.18</v>
      </c>
      <c r="T15" s="212">
        <v>0.02</v>
      </c>
      <c r="U15" s="212">
        <f t="shared" si="20"/>
        <v>61.06</v>
      </c>
      <c r="V15" s="212">
        <v>3053.05</v>
      </c>
      <c r="W15" s="212">
        <v>7.0000000000000001E-3</v>
      </c>
      <c r="X15" s="212">
        <f t="shared" si="21"/>
        <v>21.37</v>
      </c>
      <c r="Y15" s="212">
        <v>3.0000000000000001E-3</v>
      </c>
      <c r="Z15" s="212">
        <f t="shared" si="22"/>
        <v>9.16</v>
      </c>
      <c r="AA15" s="212">
        <v>3053.05</v>
      </c>
      <c r="AB15" s="212">
        <v>7.0000000000000001E-3</v>
      </c>
      <c r="AC15" s="212">
        <f t="shared" si="23"/>
        <v>21.37</v>
      </c>
      <c r="AD15" s="212">
        <v>3053.05</v>
      </c>
      <c r="AE15" s="212">
        <v>2E-3</v>
      </c>
      <c r="AF15" s="212">
        <f t="shared" si="6"/>
        <v>6.11</v>
      </c>
      <c r="AG15" s="212" t="s">
        <v>96</v>
      </c>
      <c r="AH15" s="212">
        <v>0.05</v>
      </c>
      <c r="AI15" s="212">
        <f t="shared" si="24"/>
        <v>79</v>
      </c>
      <c r="AJ15" s="212">
        <v>0.05</v>
      </c>
      <c r="AK15" s="212">
        <f t="shared" si="25"/>
        <v>79</v>
      </c>
      <c r="AL15" s="219"/>
      <c r="AM15" s="212"/>
      <c r="AN15" s="212"/>
      <c r="AO15" s="212"/>
      <c r="AP15" s="213"/>
      <c r="AQ15" s="220"/>
      <c r="AR15" s="220"/>
      <c r="AS15" s="221">
        <f t="shared" si="7"/>
        <v>720.52</v>
      </c>
      <c r="AT15" s="221">
        <f t="shared" si="8"/>
        <v>314.45999999999998</v>
      </c>
      <c r="AU15" s="221">
        <f t="shared" si="9"/>
        <v>79</v>
      </c>
      <c r="AV15" s="221">
        <f t="shared" si="10"/>
        <v>79</v>
      </c>
      <c r="AW15" s="221">
        <f t="shared" si="11"/>
        <v>1192.98</v>
      </c>
      <c r="AX15" s="344">
        <f t="shared" si="12"/>
        <v>1034.98</v>
      </c>
      <c r="AY15" s="344"/>
      <c r="AZ15" s="344">
        <f t="shared" si="26"/>
        <v>158</v>
      </c>
      <c r="BA15" s="344"/>
      <c r="BB15" s="223">
        <v>80</v>
      </c>
      <c r="BC15" s="222">
        <f t="shared" si="14"/>
        <v>1272.98</v>
      </c>
      <c r="BD15" s="224"/>
      <c r="BE15" s="226"/>
      <c r="BF15" s="226"/>
      <c r="BG15" s="226"/>
      <c r="BH15" s="226"/>
    </row>
    <row r="16" spans="1:60" s="125" customFormat="1" ht="18" customHeight="1">
      <c r="A16" s="144"/>
      <c r="B16" s="145"/>
      <c r="C16" s="146"/>
      <c r="D16" s="147"/>
      <c r="E16" s="148"/>
      <c r="F16" s="149"/>
      <c r="G16" s="150"/>
      <c r="H16" s="151"/>
      <c r="I16" s="147"/>
      <c r="J16" s="151"/>
      <c r="K16" s="151"/>
      <c r="L16" s="163"/>
      <c r="M16" s="163"/>
      <c r="N16" s="164"/>
      <c r="O16" s="163"/>
      <c r="P16" s="163"/>
      <c r="Q16" s="163"/>
      <c r="R16" s="163"/>
      <c r="S16" s="163"/>
      <c r="T16" s="163"/>
      <c r="U16" s="163"/>
      <c r="V16" s="166"/>
      <c r="W16" s="166"/>
      <c r="X16" s="167"/>
      <c r="Y16" s="166"/>
      <c r="Z16" s="163"/>
      <c r="AA16" s="163"/>
      <c r="AB16" s="163"/>
      <c r="AC16" s="163"/>
      <c r="AD16" s="163"/>
      <c r="AE16" s="163"/>
      <c r="AF16" s="164"/>
      <c r="AG16" s="163"/>
      <c r="AH16" s="163"/>
      <c r="AI16" s="163"/>
      <c r="AJ16" s="163"/>
      <c r="AK16" s="163"/>
      <c r="AL16" s="170"/>
      <c r="AM16" s="163"/>
      <c r="AN16" s="163"/>
      <c r="AO16" s="163"/>
      <c r="AP16" s="176"/>
      <c r="AQ16" s="177"/>
      <c r="AR16" s="163"/>
      <c r="AS16" s="178"/>
      <c r="AT16" s="178"/>
      <c r="AU16" s="178"/>
      <c r="AV16" s="178"/>
      <c r="AW16" s="178"/>
      <c r="AX16" s="192"/>
      <c r="AY16" s="193"/>
      <c r="AZ16" s="192"/>
      <c r="BA16" s="193"/>
      <c r="BB16" s="194"/>
      <c r="BC16" s="192"/>
      <c r="BD16" s="196"/>
      <c r="BE16" s="122"/>
      <c r="BF16" s="122"/>
      <c r="BG16" s="122"/>
      <c r="BH16" s="122"/>
    </row>
    <row r="17" spans="1:56" ht="14.25">
      <c r="A17" s="152" t="s">
        <v>98</v>
      </c>
      <c r="B17" s="153"/>
      <c r="C17" s="154"/>
      <c r="D17" s="154"/>
      <c r="E17" s="155"/>
      <c r="F17" s="154"/>
      <c r="G17" s="154"/>
      <c r="H17" s="154"/>
      <c r="I17" s="154"/>
      <c r="J17" s="154"/>
      <c r="K17" s="154"/>
      <c r="L17" s="155">
        <f t="shared" ref="L17:BC17" si="27">SUM(L3:L15)</f>
        <v>33521.199999999997</v>
      </c>
      <c r="M17" s="155">
        <f t="shared" si="27"/>
        <v>1.54</v>
      </c>
      <c r="N17" s="155">
        <f t="shared" si="27"/>
        <v>5135.22</v>
      </c>
      <c r="O17" s="155">
        <f t="shared" si="27"/>
        <v>0.8</v>
      </c>
      <c r="P17" s="155">
        <f t="shared" si="27"/>
        <v>2681.68</v>
      </c>
      <c r="Q17" s="155">
        <f t="shared" si="27"/>
        <v>40637.199999999997</v>
      </c>
      <c r="R17" s="155">
        <f t="shared" si="27"/>
        <v>0.64500000000000002</v>
      </c>
      <c r="S17" s="155">
        <f t="shared" si="27"/>
        <v>2543.61</v>
      </c>
      <c r="T17" s="155">
        <f t="shared" si="27"/>
        <v>0.2</v>
      </c>
      <c r="U17" s="155">
        <f t="shared" si="27"/>
        <v>812.74</v>
      </c>
      <c r="V17" s="155">
        <f t="shared" si="27"/>
        <v>33521.199999999997</v>
      </c>
      <c r="W17" s="155">
        <f t="shared" si="27"/>
        <v>5.8599999999999999E-2</v>
      </c>
      <c r="X17" s="155">
        <f t="shared" si="27"/>
        <v>191.29</v>
      </c>
      <c r="Y17" s="155">
        <f t="shared" si="27"/>
        <v>2.7E-2</v>
      </c>
      <c r="Z17" s="155">
        <f t="shared" si="27"/>
        <v>89.17</v>
      </c>
      <c r="AA17" s="155">
        <f t="shared" si="27"/>
        <v>30737.200000000001</v>
      </c>
      <c r="AB17" s="155">
        <f t="shared" si="27"/>
        <v>5.3499999999999999E-2</v>
      </c>
      <c r="AC17" s="155">
        <f t="shared" si="27"/>
        <v>242.95</v>
      </c>
      <c r="AD17" s="155">
        <f t="shared" si="27"/>
        <v>35930.199999999997</v>
      </c>
      <c r="AE17" s="155">
        <f t="shared" si="27"/>
        <v>2.3599999999999999E-2</v>
      </c>
      <c r="AF17" s="155">
        <f t="shared" si="27"/>
        <v>66.319999999999993</v>
      </c>
      <c r="AG17" s="155">
        <f t="shared" si="27"/>
        <v>9000</v>
      </c>
      <c r="AH17" s="155">
        <f t="shared" si="27"/>
        <v>0.5</v>
      </c>
      <c r="AI17" s="155">
        <f t="shared" si="27"/>
        <v>1216</v>
      </c>
      <c r="AJ17" s="155">
        <f t="shared" si="27"/>
        <v>0.38</v>
      </c>
      <c r="AK17" s="155">
        <f t="shared" si="27"/>
        <v>856</v>
      </c>
      <c r="AL17" s="155">
        <f t="shared" si="27"/>
        <v>0</v>
      </c>
      <c r="AM17" s="155">
        <f t="shared" si="27"/>
        <v>0</v>
      </c>
      <c r="AN17" s="155">
        <f t="shared" si="27"/>
        <v>0</v>
      </c>
      <c r="AO17" s="155">
        <f t="shared" si="27"/>
        <v>0</v>
      </c>
      <c r="AP17" s="155">
        <f t="shared" si="27"/>
        <v>0</v>
      </c>
      <c r="AQ17" s="155">
        <f t="shared" si="27"/>
        <v>95.28</v>
      </c>
      <c r="AR17" s="155">
        <f t="shared" si="27"/>
        <v>96</v>
      </c>
      <c r="AS17" s="155">
        <f t="shared" si="27"/>
        <v>8274.67</v>
      </c>
      <c r="AT17" s="155">
        <f t="shared" si="27"/>
        <v>3583.59</v>
      </c>
      <c r="AU17" s="155">
        <f t="shared" si="27"/>
        <v>1216</v>
      </c>
      <c r="AV17" s="155">
        <f t="shared" si="27"/>
        <v>856</v>
      </c>
      <c r="AW17" s="155">
        <f t="shared" si="27"/>
        <v>13930.26</v>
      </c>
      <c r="AX17" s="155">
        <f t="shared" si="27"/>
        <v>11858.26</v>
      </c>
      <c r="AY17" s="155">
        <f t="shared" si="27"/>
        <v>0</v>
      </c>
      <c r="AZ17" s="155">
        <f t="shared" si="27"/>
        <v>2072</v>
      </c>
      <c r="BA17" s="155">
        <f t="shared" si="27"/>
        <v>0</v>
      </c>
      <c r="BB17" s="155">
        <f t="shared" si="27"/>
        <v>800</v>
      </c>
      <c r="BC17" s="155">
        <f t="shared" si="27"/>
        <v>14730.26</v>
      </c>
      <c r="BD17" s="197"/>
    </row>
    <row r="18" spans="1:56" ht="14.25">
      <c r="A18" s="156" t="s">
        <v>58</v>
      </c>
      <c r="B18" s="157"/>
      <c r="C18" s="158"/>
      <c r="D18" s="158"/>
      <c r="E18" s="159"/>
      <c r="F18" s="159"/>
      <c r="G18" s="159"/>
      <c r="H18" s="159"/>
      <c r="I18" s="159"/>
      <c r="J18" s="159"/>
      <c r="K18" s="159"/>
      <c r="L18" s="165">
        <f t="shared" ref="L18:AX18" si="28">SUM(L17:L17)</f>
        <v>33521.199999999997</v>
      </c>
      <c r="M18" s="165">
        <f t="shared" si="28"/>
        <v>1.54</v>
      </c>
      <c r="N18" s="165">
        <f t="shared" si="28"/>
        <v>5135.22</v>
      </c>
      <c r="O18" s="165">
        <f t="shared" si="28"/>
        <v>0.8</v>
      </c>
      <c r="P18" s="165">
        <f t="shared" si="28"/>
        <v>2681.68</v>
      </c>
      <c r="Q18" s="165">
        <f t="shared" si="28"/>
        <v>40637.199999999997</v>
      </c>
      <c r="R18" s="165">
        <f t="shared" si="28"/>
        <v>0.64500000000000002</v>
      </c>
      <c r="S18" s="165">
        <f t="shared" si="28"/>
        <v>2543.61</v>
      </c>
      <c r="T18" s="165">
        <f t="shared" si="28"/>
        <v>0.2</v>
      </c>
      <c r="U18" s="165">
        <f t="shared" si="28"/>
        <v>812.74</v>
      </c>
      <c r="V18" s="165">
        <f t="shared" si="28"/>
        <v>33521.199999999997</v>
      </c>
      <c r="W18" s="165">
        <f t="shared" si="28"/>
        <v>5.8599999999999999E-2</v>
      </c>
      <c r="X18" s="165">
        <f t="shared" si="28"/>
        <v>191.29</v>
      </c>
      <c r="Y18" s="165">
        <f t="shared" si="28"/>
        <v>2.7E-2</v>
      </c>
      <c r="Z18" s="165">
        <f t="shared" si="28"/>
        <v>89.17</v>
      </c>
      <c r="AA18" s="165">
        <f t="shared" si="28"/>
        <v>30737.200000000001</v>
      </c>
      <c r="AB18" s="165">
        <f t="shared" si="28"/>
        <v>5.3499999999999999E-2</v>
      </c>
      <c r="AC18" s="165">
        <f t="shared" si="28"/>
        <v>242.95</v>
      </c>
      <c r="AD18" s="165">
        <f t="shared" si="28"/>
        <v>35930.199999999997</v>
      </c>
      <c r="AE18" s="165">
        <f t="shared" si="28"/>
        <v>2.3599999999999999E-2</v>
      </c>
      <c r="AF18" s="165">
        <f t="shared" si="28"/>
        <v>66.319999999999993</v>
      </c>
      <c r="AG18" s="165">
        <f t="shared" si="28"/>
        <v>9000</v>
      </c>
      <c r="AH18" s="165">
        <f t="shared" si="28"/>
        <v>0.5</v>
      </c>
      <c r="AI18" s="165">
        <f t="shared" si="28"/>
        <v>1216</v>
      </c>
      <c r="AJ18" s="165">
        <f t="shared" si="28"/>
        <v>0.38</v>
      </c>
      <c r="AK18" s="165">
        <f t="shared" si="28"/>
        <v>856</v>
      </c>
      <c r="AL18" s="165">
        <f t="shared" si="28"/>
        <v>0</v>
      </c>
      <c r="AM18" s="165">
        <f t="shared" si="28"/>
        <v>0</v>
      </c>
      <c r="AN18" s="165">
        <f t="shared" si="28"/>
        <v>0</v>
      </c>
      <c r="AO18" s="165">
        <f t="shared" si="28"/>
        <v>0</v>
      </c>
      <c r="AP18" s="165">
        <f t="shared" si="28"/>
        <v>0</v>
      </c>
      <c r="AQ18" s="165">
        <f t="shared" si="28"/>
        <v>95.28</v>
      </c>
      <c r="AR18" s="165">
        <f t="shared" si="28"/>
        <v>96</v>
      </c>
      <c r="AS18" s="179">
        <f t="shared" si="28"/>
        <v>8274.67</v>
      </c>
      <c r="AT18" s="179">
        <f t="shared" si="28"/>
        <v>3583.59</v>
      </c>
      <c r="AU18" s="179">
        <f t="shared" si="28"/>
        <v>1216</v>
      </c>
      <c r="AV18" s="179">
        <f t="shared" si="28"/>
        <v>856</v>
      </c>
      <c r="AW18" s="179">
        <f t="shared" si="28"/>
        <v>13930.26</v>
      </c>
      <c r="AX18" s="345">
        <f t="shared" si="28"/>
        <v>11858.26</v>
      </c>
      <c r="AY18" s="345"/>
      <c r="AZ18" s="345">
        <f t="shared" ref="AZ18:BC18" si="29">SUM(AZ17:AZ17)</f>
        <v>2072</v>
      </c>
      <c r="BA18" s="345"/>
      <c r="BB18" s="165">
        <f t="shared" si="29"/>
        <v>800</v>
      </c>
      <c r="BC18" s="165">
        <f t="shared" si="29"/>
        <v>14730.26</v>
      </c>
      <c r="BD18" s="198"/>
    </row>
    <row r="19" spans="1:56" s="126" customFormat="1">
      <c r="A19" s="160"/>
      <c r="B19" s="160"/>
      <c r="C19" s="160"/>
      <c r="D19" s="160"/>
      <c r="E19" s="160"/>
      <c r="F19" s="161"/>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80"/>
      <c r="AT19" s="180"/>
      <c r="AU19" s="180"/>
      <c r="AV19" s="180"/>
      <c r="AW19" s="180"/>
      <c r="AX19" s="160"/>
      <c r="AY19" s="160"/>
      <c r="AZ19" s="160"/>
      <c r="BA19" s="160"/>
      <c r="BB19" s="160"/>
      <c r="BC19" s="160"/>
      <c r="BD19" s="199"/>
    </row>
    <row r="20" spans="1:56" s="127" customFormat="1">
      <c r="A20" s="122"/>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60"/>
      <c r="AA20" s="160"/>
      <c r="AB20" s="160"/>
      <c r="AC20" s="160"/>
      <c r="AD20" s="160"/>
      <c r="AE20" s="160"/>
      <c r="AF20" s="160"/>
      <c r="AG20" s="160"/>
      <c r="AH20" s="160"/>
      <c r="AI20" s="160"/>
      <c r="AJ20" s="122"/>
      <c r="AK20" s="122"/>
      <c r="AL20" s="122"/>
      <c r="AM20" s="122"/>
      <c r="AN20" s="122"/>
      <c r="AO20" s="122"/>
      <c r="AP20" s="122"/>
      <c r="AQ20" s="122"/>
      <c r="AR20" s="122"/>
      <c r="AS20" s="128"/>
      <c r="AT20" s="128"/>
      <c r="AU20" s="128"/>
      <c r="AV20" s="128"/>
      <c r="AW20" s="128"/>
      <c r="AX20" s="122"/>
      <c r="AY20" s="122"/>
      <c r="AZ20" s="122"/>
      <c r="BA20" s="122"/>
      <c r="BB20" s="122"/>
      <c r="BC20" s="122"/>
      <c r="BD20" s="129"/>
    </row>
    <row r="22" spans="1:56">
      <c r="AX22" s="346"/>
      <c r="AY22" s="346"/>
      <c r="BC22" s="200"/>
    </row>
  </sheetData>
  <mergeCells count="54">
    <mergeCell ref="K1:K2"/>
    <mergeCell ref="BB1:BB2"/>
    <mergeCell ref="BC1:BC2"/>
    <mergeCell ref="BD1:BD2"/>
    <mergeCell ref="AX1:AY2"/>
    <mergeCell ref="AZ1:BA2"/>
    <mergeCell ref="F1:F2"/>
    <mergeCell ref="G1:G2"/>
    <mergeCell ref="H1:H2"/>
    <mergeCell ref="I1:I2"/>
    <mergeCell ref="J1:J2"/>
    <mergeCell ref="A1:A2"/>
    <mergeCell ref="B1:B2"/>
    <mergeCell ref="C1:C2"/>
    <mergeCell ref="D1:D2"/>
    <mergeCell ref="E1:E2"/>
    <mergeCell ref="AX15:AY15"/>
    <mergeCell ref="AZ15:BA15"/>
    <mergeCell ref="AX18:AY18"/>
    <mergeCell ref="AZ18:BA18"/>
    <mergeCell ref="AX22:AY22"/>
    <mergeCell ref="AX12:AY12"/>
    <mergeCell ref="AZ12:BA12"/>
    <mergeCell ref="AX13:AY13"/>
    <mergeCell ref="AZ13:BA13"/>
    <mergeCell ref="AX14:AY14"/>
    <mergeCell ref="AZ14:BA14"/>
    <mergeCell ref="AX9:AY9"/>
    <mergeCell ref="AZ9:BA9"/>
    <mergeCell ref="AX10:AY10"/>
    <mergeCell ref="AZ10:BA10"/>
    <mergeCell ref="AX11:AY11"/>
    <mergeCell ref="AZ11:BA11"/>
    <mergeCell ref="AX6:AY6"/>
    <mergeCell ref="AZ6:BA6"/>
    <mergeCell ref="AX7:AY7"/>
    <mergeCell ref="AZ7:BA7"/>
    <mergeCell ref="AX8:AY8"/>
    <mergeCell ref="AZ8:BA8"/>
    <mergeCell ref="AZ3:BA3"/>
    <mergeCell ref="AX4:AY4"/>
    <mergeCell ref="AZ4:BA4"/>
    <mergeCell ref="AX5:AY5"/>
    <mergeCell ref="AZ5:BA5"/>
    <mergeCell ref="AG1:AK1"/>
    <mergeCell ref="AL1:AP1"/>
    <mergeCell ref="AQ1:AR1"/>
    <mergeCell ref="AS1:AW1"/>
    <mergeCell ref="AX3:AY3"/>
    <mergeCell ref="L1:P1"/>
    <mergeCell ref="Q1:U1"/>
    <mergeCell ref="V1:Z1"/>
    <mergeCell ref="AA1:AC1"/>
    <mergeCell ref="AD1:AF1"/>
  </mergeCells>
  <phoneticPr fontId="108" type="noConversion"/>
  <conditionalFormatting sqref="H1:I1">
    <cfRule type="expression" dxfId="95" priority="1" stopIfTrue="1">
      <formula>AND(COUNTIF($J$1:$J$1,H1)&gt;1,NOT(ISBLANK(H1)))</formula>
    </cfRule>
  </conditionalFormatting>
  <conditionalFormatting sqref="J1">
    <cfRule type="duplicateValues" dxfId="94" priority="2" stopIfTrue="1"/>
  </conditionalFormatting>
  <conditionalFormatting sqref="K1:L1">
    <cfRule type="duplicateValues" dxfId="93" priority="3" stopIfTrue="1"/>
  </conditionalFormatting>
  <conditionalFormatting sqref="Q1">
    <cfRule type="duplicateValues" dxfId="92" priority="4" stopIfTrue="1"/>
  </conditionalFormatting>
  <conditionalFormatting sqref="V1">
    <cfRule type="duplicateValues" dxfId="91" priority="5" stopIfTrue="1"/>
  </conditionalFormatting>
  <conditionalFormatting sqref="AG1">
    <cfRule type="duplicateValues" dxfId="90" priority="6" stopIfTrue="1"/>
  </conditionalFormatting>
  <pageMargins left="0.75" right="0.75" top="1" bottom="1" header="0.5" footer="0.5"/>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8"/>
  <sheetViews>
    <sheetView workbookViewId="0">
      <pane xSplit="11" ySplit="2" topLeftCell="AX14" activePane="bottomRight" state="frozen"/>
      <selection pane="topRight"/>
      <selection pane="bottomLeft"/>
      <selection pane="bottomRight" activeCell="F21" sqref="F21"/>
    </sheetView>
  </sheetViews>
  <sheetFormatPr defaultColWidth="9" defaultRowHeight="16.5"/>
  <cols>
    <col min="1" max="1" width="3.25" style="122" customWidth="1"/>
    <col min="2" max="2" width="19.25" style="122" customWidth="1"/>
    <col min="3" max="3" width="6" style="122" customWidth="1"/>
    <col min="4" max="4" width="8.5" style="122" hidden="1" customWidth="1"/>
    <col min="5" max="5" width="8.25" style="122" hidden="1" customWidth="1"/>
    <col min="6" max="6" width="11.875" style="122" customWidth="1"/>
    <col min="7" max="7" width="16.375" style="122" customWidth="1"/>
    <col min="8" max="11" width="8.5" style="122" customWidth="1"/>
    <col min="12" max="12" width="9.125" style="122" customWidth="1"/>
    <col min="13" max="14" width="9.25" style="122" customWidth="1"/>
    <col min="15" max="15" width="7.5" style="122" customWidth="1"/>
    <col min="16" max="16" width="11.25" style="122" customWidth="1"/>
    <col min="17" max="17" width="9.125" style="122" customWidth="1"/>
    <col min="18" max="21" width="9.25" style="122" customWidth="1"/>
    <col min="22" max="22" width="9.125" style="122" customWidth="1"/>
    <col min="23" max="26" width="9.25" style="122" customWidth="1"/>
    <col min="27" max="28" width="9.125" style="122" customWidth="1"/>
    <col min="29" max="29" width="9" style="122" customWidth="1"/>
    <col min="30" max="30" width="9.125" style="122" customWidth="1"/>
    <col min="31" max="31" width="9.25" style="122" customWidth="1"/>
    <col min="32" max="32" width="8.875" style="122" customWidth="1"/>
    <col min="33" max="33" width="9.125" style="122" customWidth="1"/>
    <col min="34" max="34" width="9.25" style="122" customWidth="1"/>
    <col min="35" max="35" width="11.125" style="122" customWidth="1"/>
    <col min="36" max="36" width="9.25" style="122" customWidth="1"/>
    <col min="37" max="37" width="8.25" style="122" customWidth="1"/>
    <col min="38" max="38" width="9.125" style="122" hidden="1" customWidth="1"/>
    <col min="39" max="39" width="9.25" style="122" hidden="1" customWidth="1"/>
    <col min="40" max="40" width="9.25" style="122" customWidth="1"/>
    <col min="41" max="42" width="9.25" style="122" hidden="1" customWidth="1"/>
    <col min="43" max="43" width="9.875" style="122" customWidth="1"/>
    <col min="44" max="44" width="9.375" style="122" customWidth="1"/>
    <col min="45" max="45" width="10.25" style="128" customWidth="1"/>
    <col min="46" max="46" width="10" style="128" customWidth="1"/>
    <col min="47" max="49" width="9.25" style="128" customWidth="1"/>
    <col min="50" max="50" width="9.25" style="122" customWidth="1"/>
    <col min="51" max="51" width="5.875" style="122" customWidth="1"/>
    <col min="52" max="52" width="8.375" style="122" customWidth="1"/>
    <col min="53" max="53" width="5.875" style="122" customWidth="1"/>
    <col min="54" max="54" width="8.875" style="122" customWidth="1"/>
    <col min="55" max="55" width="10.875" style="122" customWidth="1"/>
    <col min="56" max="56" width="40.25" style="129" customWidth="1"/>
    <col min="57" max="57" width="10.625" style="122" customWidth="1"/>
    <col min="58" max="16384" width="9" style="122"/>
  </cols>
  <sheetData>
    <row r="1" spans="1:60" s="121" customFormat="1" ht="22.5" customHeight="1">
      <c r="A1" s="341" t="s">
        <v>18</v>
      </c>
      <c r="B1" s="347" t="s">
        <v>36</v>
      </c>
      <c r="C1" s="347" t="s">
        <v>37</v>
      </c>
      <c r="D1" s="341" t="s">
        <v>38</v>
      </c>
      <c r="E1" s="347" t="s">
        <v>39</v>
      </c>
      <c r="F1" s="347" t="s">
        <v>40</v>
      </c>
      <c r="G1" s="347" t="s">
        <v>41</v>
      </c>
      <c r="H1" s="347" t="s">
        <v>42</v>
      </c>
      <c r="I1" s="347" t="s">
        <v>43</v>
      </c>
      <c r="J1" s="347" t="s">
        <v>44</v>
      </c>
      <c r="K1" s="347" t="s">
        <v>45</v>
      </c>
      <c r="L1" s="340" t="s">
        <v>46</v>
      </c>
      <c r="M1" s="340"/>
      <c r="N1" s="340"/>
      <c r="O1" s="340"/>
      <c r="P1" s="340"/>
      <c r="Q1" s="340" t="s">
        <v>47</v>
      </c>
      <c r="R1" s="340"/>
      <c r="S1" s="340"/>
      <c r="T1" s="340"/>
      <c r="U1" s="340"/>
      <c r="V1" s="340" t="s">
        <v>48</v>
      </c>
      <c r="W1" s="340"/>
      <c r="X1" s="340"/>
      <c r="Y1" s="340"/>
      <c r="Z1" s="340"/>
      <c r="AA1" s="341" t="s">
        <v>49</v>
      </c>
      <c r="AB1" s="341"/>
      <c r="AC1" s="341"/>
      <c r="AD1" s="341" t="s">
        <v>50</v>
      </c>
      <c r="AE1" s="341"/>
      <c r="AF1" s="341"/>
      <c r="AG1" s="340" t="s">
        <v>51</v>
      </c>
      <c r="AH1" s="340"/>
      <c r="AI1" s="340"/>
      <c r="AJ1" s="340"/>
      <c r="AK1" s="340"/>
      <c r="AL1" s="341" t="s">
        <v>52</v>
      </c>
      <c r="AM1" s="341"/>
      <c r="AN1" s="341"/>
      <c r="AO1" s="341"/>
      <c r="AP1" s="341"/>
      <c r="AQ1" s="341" t="s">
        <v>53</v>
      </c>
      <c r="AR1" s="341"/>
      <c r="AS1" s="342" t="s">
        <v>54</v>
      </c>
      <c r="AT1" s="342"/>
      <c r="AU1" s="342"/>
      <c r="AV1" s="342"/>
      <c r="AW1" s="342"/>
      <c r="AX1" s="341" t="s">
        <v>55</v>
      </c>
      <c r="AY1" s="341"/>
      <c r="AZ1" s="341" t="s">
        <v>56</v>
      </c>
      <c r="BA1" s="341"/>
      <c r="BB1" s="341" t="s">
        <v>57</v>
      </c>
      <c r="BC1" s="341" t="s">
        <v>58</v>
      </c>
      <c r="BD1" s="350" t="s">
        <v>23</v>
      </c>
    </row>
    <row r="2" spans="1:60" ht="22.5" customHeight="1">
      <c r="A2" s="341"/>
      <c r="B2" s="348"/>
      <c r="C2" s="347"/>
      <c r="D2" s="341"/>
      <c r="E2" s="347"/>
      <c r="F2" s="349"/>
      <c r="G2" s="349"/>
      <c r="H2" s="347"/>
      <c r="I2" s="347"/>
      <c r="J2" s="347"/>
      <c r="K2" s="347"/>
      <c r="L2" s="162" t="s">
        <v>59</v>
      </c>
      <c r="M2" s="162" t="s">
        <v>60</v>
      </c>
      <c r="N2" s="162" t="s">
        <v>61</v>
      </c>
      <c r="O2" s="162" t="s">
        <v>62</v>
      </c>
      <c r="P2" s="162" t="s">
        <v>63</v>
      </c>
      <c r="Q2" s="162" t="s">
        <v>59</v>
      </c>
      <c r="R2" s="162" t="s">
        <v>60</v>
      </c>
      <c r="S2" s="162" t="s">
        <v>61</v>
      </c>
      <c r="T2" s="162" t="s">
        <v>62</v>
      </c>
      <c r="U2" s="162" t="s">
        <v>63</v>
      </c>
      <c r="V2" s="162" t="s">
        <v>59</v>
      </c>
      <c r="W2" s="162" t="s">
        <v>60</v>
      </c>
      <c r="X2" s="162" t="s">
        <v>61</v>
      </c>
      <c r="Y2" s="162" t="s">
        <v>62</v>
      </c>
      <c r="Z2" s="162" t="s">
        <v>63</v>
      </c>
      <c r="AA2" s="162" t="s">
        <v>59</v>
      </c>
      <c r="AB2" s="162" t="s">
        <v>64</v>
      </c>
      <c r="AC2" s="162" t="s">
        <v>22</v>
      </c>
      <c r="AD2" s="162" t="s">
        <v>59</v>
      </c>
      <c r="AE2" s="162" t="s">
        <v>64</v>
      </c>
      <c r="AF2" s="162" t="s">
        <v>22</v>
      </c>
      <c r="AG2" s="162" t="s">
        <v>59</v>
      </c>
      <c r="AH2" s="162" t="s">
        <v>60</v>
      </c>
      <c r="AI2" s="162" t="s">
        <v>61</v>
      </c>
      <c r="AJ2" s="162" t="s">
        <v>62</v>
      </c>
      <c r="AK2" s="162" t="s">
        <v>63</v>
      </c>
      <c r="AL2" s="162" t="s">
        <v>59</v>
      </c>
      <c r="AM2" s="162" t="s">
        <v>60</v>
      </c>
      <c r="AN2" s="162" t="s">
        <v>61</v>
      </c>
      <c r="AO2" s="162" t="s">
        <v>62</v>
      </c>
      <c r="AP2" s="162" t="s">
        <v>63</v>
      </c>
      <c r="AQ2" s="162" t="s">
        <v>65</v>
      </c>
      <c r="AR2" s="162" t="s">
        <v>66</v>
      </c>
      <c r="AS2" s="171" t="s">
        <v>67</v>
      </c>
      <c r="AT2" s="171" t="s">
        <v>68</v>
      </c>
      <c r="AU2" s="171" t="s">
        <v>69</v>
      </c>
      <c r="AV2" s="171" t="s">
        <v>70</v>
      </c>
      <c r="AW2" s="171" t="s">
        <v>30</v>
      </c>
      <c r="AX2" s="341"/>
      <c r="AY2" s="341"/>
      <c r="AZ2" s="341"/>
      <c r="BA2" s="341"/>
      <c r="BB2" s="341"/>
      <c r="BC2" s="341"/>
      <c r="BD2" s="350"/>
    </row>
    <row r="3" spans="1:60" s="123" customFormat="1" ht="18" customHeight="1">
      <c r="A3" s="130">
        <v>1</v>
      </c>
      <c r="B3" s="131" t="s">
        <v>71</v>
      </c>
      <c r="C3" s="132" t="s">
        <v>72</v>
      </c>
      <c r="D3" s="133" t="s">
        <v>73</v>
      </c>
      <c r="E3" s="131" t="s">
        <v>74</v>
      </c>
      <c r="F3" s="134" t="s">
        <v>75</v>
      </c>
      <c r="G3" s="135" t="s">
        <v>76</v>
      </c>
      <c r="H3" s="133" t="s">
        <v>77</v>
      </c>
      <c r="I3" s="133" t="s">
        <v>77</v>
      </c>
      <c r="J3" s="133" t="s">
        <v>99</v>
      </c>
      <c r="K3" s="133" t="s">
        <v>99</v>
      </c>
      <c r="L3" s="130">
        <v>3548</v>
      </c>
      <c r="M3" s="130">
        <v>0.16</v>
      </c>
      <c r="N3" s="130">
        <f>ROUND(L3*M3,2)</f>
        <v>567.67999999999995</v>
      </c>
      <c r="O3" s="130">
        <v>0.08</v>
      </c>
      <c r="P3" s="130">
        <f>ROUND(L3*O3,2)</f>
        <v>283.83999999999997</v>
      </c>
      <c r="Q3" s="130">
        <v>3300</v>
      </c>
      <c r="R3" s="130">
        <v>0.08</v>
      </c>
      <c r="S3" s="130">
        <f>ROUND(Q3*R3,2)</f>
        <v>264</v>
      </c>
      <c r="T3" s="130">
        <v>0.02</v>
      </c>
      <c r="U3" s="130">
        <f>ROUND(Q3*T3,2)</f>
        <v>66</v>
      </c>
      <c r="V3" s="130">
        <v>3548</v>
      </c>
      <c r="W3" s="130">
        <v>7.0000000000000001E-3</v>
      </c>
      <c r="X3" s="130">
        <f>ROUND(V3*W3,2)</f>
        <v>24.84</v>
      </c>
      <c r="Y3" s="130">
        <v>3.0000000000000001E-3</v>
      </c>
      <c r="Z3" s="130">
        <f>ROUND(V3*Y3,2)</f>
        <v>10.64</v>
      </c>
      <c r="AA3" s="130"/>
      <c r="AB3" s="130"/>
      <c r="AC3" s="130"/>
      <c r="AD3" s="130">
        <v>3548</v>
      </c>
      <c r="AE3" s="130">
        <v>4.0000000000000001E-3</v>
      </c>
      <c r="AF3" s="130">
        <f>ROUND(AD3*AE3,2)</f>
        <v>14.19</v>
      </c>
      <c r="AG3" s="130">
        <v>3000</v>
      </c>
      <c r="AH3" s="130">
        <v>0.1</v>
      </c>
      <c r="AI3" s="130">
        <f>ROUND(AG3*AH3,2)</f>
        <v>300</v>
      </c>
      <c r="AJ3" s="130">
        <v>0.06</v>
      </c>
      <c r="AK3" s="130">
        <f>ROUND(AG3*AJ3,2)</f>
        <v>180</v>
      </c>
      <c r="AL3" s="168"/>
      <c r="AM3" s="130"/>
      <c r="AN3" s="130"/>
      <c r="AO3" s="130"/>
      <c r="AP3" s="131" t="s">
        <v>79</v>
      </c>
      <c r="AQ3" s="172">
        <v>9</v>
      </c>
      <c r="AR3" s="130"/>
      <c r="AS3" s="173">
        <f t="shared" ref="AS3:AS8" si="0">N3+S3+X3+AC3+AF3+AN3+AQ3</f>
        <v>879.71</v>
      </c>
      <c r="AT3" s="173">
        <f t="shared" ref="AT3:AT8" si="1">P3+U3+Z3</f>
        <v>360.47999999999996</v>
      </c>
      <c r="AU3" s="173">
        <f t="shared" ref="AU3:AU8" si="2">AI3</f>
        <v>300</v>
      </c>
      <c r="AV3" s="173">
        <f t="shared" ref="AV3:AV8" si="3">AK3</f>
        <v>180</v>
      </c>
      <c r="AW3" s="173">
        <f t="shared" ref="AW3:AW8" si="4">AV3+AS3+AT3+AU3</f>
        <v>1720.19</v>
      </c>
      <c r="AX3" s="343">
        <f t="shared" ref="AX3:AX8" si="5">AS3+AT3</f>
        <v>1240.19</v>
      </c>
      <c r="AY3" s="343"/>
      <c r="AZ3" s="343">
        <f t="shared" ref="AZ3:AZ8" si="6">AU3+AV3</f>
        <v>480</v>
      </c>
      <c r="BA3" s="343"/>
      <c r="BB3" s="182">
        <v>80</v>
      </c>
      <c r="BC3" s="181">
        <f t="shared" ref="BC3:BC8" si="7">AX3+AZ3+BB3</f>
        <v>1800.19</v>
      </c>
      <c r="BD3" s="183" t="s">
        <v>100</v>
      </c>
      <c r="BE3" s="201"/>
      <c r="BF3" s="202"/>
      <c r="BG3" s="203"/>
      <c r="BH3" s="204" t="s">
        <v>79</v>
      </c>
    </row>
    <row r="4" spans="1:60" s="124" customFormat="1" ht="18" customHeight="1">
      <c r="A4" s="136" t="s">
        <v>87</v>
      </c>
      <c r="B4" s="137" t="s">
        <v>71</v>
      </c>
      <c r="C4" s="138" t="s">
        <v>72</v>
      </c>
      <c r="D4" s="139" t="s">
        <v>73</v>
      </c>
      <c r="E4" s="137" t="s">
        <v>74</v>
      </c>
      <c r="F4" s="140" t="s">
        <v>75</v>
      </c>
      <c r="G4" s="141" t="s">
        <v>76</v>
      </c>
      <c r="H4" s="139" t="s">
        <v>77</v>
      </c>
      <c r="I4" s="139" t="s">
        <v>77</v>
      </c>
      <c r="J4" s="139" t="s">
        <v>101</v>
      </c>
      <c r="K4" s="139"/>
      <c r="L4" s="136">
        <f>3548-3300</f>
        <v>248</v>
      </c>
      <c r="M4" s="136">
        <v>0.16</v>
      </c>
      <c r="N4" s="136">
        <f>ROUND(L4*M4,2)*7</f>
        <v>277.76</v>
      </c>
      <c r="O4" s="136">
        <v>0.08</v>
      </c>
      <c r="P4" s="136">
        <f>ROUND(L4*O4,2)*7</f>
        <v>138.88</v>
      </c>
      <c r="Q4" s="136"/>
      <c r="R4" s="136"/>
      <c r="S4" s="136"/>
      <c r="T4" s="136"/>
      <c r="U4" s="136"/>
      <c r="V4" s="136">
        <f>3548-3300</f>
        <v>248</v>
      </c>
      <c r="W4" s="136">
        <v>7.0000000000000001E-3</v>
      </c>
      <c r="X4" s="136">
        <f>ROUND(V4*W4,2)*7</f>
        <v>12.18</v>
      </c>
      <c r="Y4" s="136">
        <v>3.0000000000000001E-3</v>
      </c>
      <c r="Z4" s="136">
        <f>ROUND(V4*Y4,2)*7</f>
        <v>5.18</v>
      </c>
      <c r="AA4" s="136"/>
      <c r="AB4" s="136"/>
      <c r="AC4" s="136"/>
      <c r="AD4" s="136">
        <f>3548-3300</f>
        <v>248</v>
      </c>
      <c r="AE4" s="136">
        <v>4.0000000000000001E-3</v>
      </c>
      <c r="AF4" s="136">
        <f>ROUND(AD4*AE4,2)*7</f>
        <v>6.93</v>
      </c>
      <c r="AG4" s="136"/>
      <c r="AH4" s="136"/>
      <c r="AI4" s="136"/>
      <c r="AJ4" s="136"/>
      <c r="AK4" s="136"/>
      <c r="AL4" s="169"/>
      <c r="AM4" s="136"/>
      <c r="AN4" s="136"/>
      <c r="AO4" s="136"/>
      <c r="AP4" s="137"/>
      <c r="AQ4" s="174"/>
      <c r="AR4" s="136"/>
      <c r="AS4" s="175">
        <f t="shared" si="0"/>
        <v>296.87</v>
      </c>
      <c r="AT4" s="175">
        <f t="shared" si="1"/>
        <v>144.06</v>
      </c>
      <c r="AU4" s="175">
        <f t="shared" si="2"/>
        <v>0</v>
      </c>
      <c r="AV4" s="175">
        <f t="shared" si="3"/>
        <v>0</v>
      </c>
      <c r="AW4" s="175">
        <f t="shared" si="4"/>
        <v>440.93</v>
      </c>
      <c r="AX4" s="351">
        <f t="shared" si="5"/>
        <v>440.93</v>
      </c>
      <c r="AY4" s="351"/>
      <c r="AZ4" s="351">
        <f t="shared" si="6"/>
        <v>0</v>
      </c>
      <c r="BA4" s="351"/>
      <c r="BB4" s="185"/>
      <c r="BC4" s="184">
        <f t="shared" si="7"/>
        <v>440.93</v>
      </c>
      <c r="BD4" s="186" t="s">
        <v>102</v>
      </c>
      <c r="BE4" s="205"/>
      <c r="BF4" s="206"/>
      <c r="BG4" s="207"/>
      <c r="BH4" s="208" t="s">
        <v>79</v>
      </c>
    </row>
    <row r="5" spans="1:60" s="123" customFormat="1" ht="18" customHeight="1">
      <c r="A5" s="130">
        <v>2</v>
      </c>
      <c r="B5" s="131" t="s">
        <v>71</v>
      </c>
      <c r="C5" s="132" t="s">
        <v>92</v>
      </c>
      <c r="D5" s="133" t="s">
        <v>73</v>
      </c>
      <c r="E5" s="131" t="s">
        <v>83</v>
      </c>
      <c r="F5" s="134" t="s">
        <v>93</v>
      </c>
      <c r="G5" s="135" t="s">
        <v>94</v>
      </c>
      <c r="H5" s="133" t="s">
        <v>95</v>
      </c>
      <c r="I5" s="133" t="s">
        <v>95</v>
      </c>
      <c r="J5" s="133" t="s">
        <v>99</v>
      </c>
      <c r="K5" s="133" t="s">
        <v>99</v>
      </c>
      <c r="L5" s="130">
        <v>3360.15</v>
      </c>
      <c r="M5" s="130">
        <v>0.16</v>
      </c>
      <c r="N5" s="130">
        <f>ROUND(L5*M5,2)</f>
        <v>537.62</v>
      </c>
      <c r="O5" s="130">
        <v>0.08</v>
      </c>
      <c r="P5" s="130">
        <f>ROUND(L5*O5,2)</f>
        <v>268.81</v>
      </c>
      <c r="Q5" s="130">
        <v>3602.85</v>
      </c>
      <c r="R5" s="130">
        <v>3.6999999999999998E-2</v>
      </c>
      <c r="S5" s="130">
        <f>ROUND(Q5*R5,2)</f>
        <v>133.31</v>
      </c>
      <c r="T5" s="130">
        <v>0.02</v>
      </c>
      <c r="U5" s="130">
        <f>ROUND(Q5*T5,2)</f>
        <v>72.06</v>
      </c>
      <c r="V5" s="130">
        <v>3360.15</v>
      </c>
      <c r="W5" s="130">
        <v>7.0000000000000001E-3</v>
      </c>
      <c r="X5" s="130">
        <f>ROUND(V5*W5,2)</f>
        <v>23.52</v>
      </c>
      <c r="Y5" s="130">
        <v>3.0000000000000001E-3</v>
      </c>
      <c r="Z5" s="130">
        <f>ROUND(V5*Y5,2)</f>
        <v>10.08</v>
      </c>
      <c r="AA5" s="130">
        <v>3602.85</v>
      </c>
      <c r="AB5" s="130">
        <v>7.0000000000000001E-3</v>
      </c>
      <c r="AC5" s="130">
        <f>ROUND(AA5*AB5,2)</f>
        <v>25.22</v>
      </c>
      <c r="AD5" s="130">
        <v>3602.85</v>
      </c>
      <c r="AE5" s="130">
        <v>2E-3</v>
      </c>
      <c r="AF5" s="130">
        <f>ROUND(AD5*AE5,2)</f>
        <v>7.21</v>
      </c>
      <c r="AG5" s="130">
        <v>1640</v>
      </c>
      <c r="AH5" s="130">
        <v>0.05</v>
      </c>
      <c r="AI5" s="130">
        <f>ROUND(AG5*AH5,2)</f>
        <v>82</v>
      </c>
      <c r="AJ5" s="130">
        <v>0.05</v>
      </c>
      <c r="AK5" s="130">
        <f>ROUND(AG5*AJ5,2)</f>
        <v>82</v>
      </c>
      <c r="AL5" s="168"/>
      <c r="AM5" s="130"/>
      <c r="AN5" s="130"/>
      <c r="AO5" s="130"/>
      <c r="AP5" s="131"/>
      <c r="AQ5" s="172"/>
      <c r="AR5" s="130"/>
      <c r="AS5" s="173">
        <f t="shared" si="0"/>
        <v>726.88000000000011</v>
      </c>
      <c r="AT5" s="173">
        <f t="shared" si="1"/>
        <v>350.95</v>
      </c>
      <c r="AU5" s="173">
        <f t="shared" si="2"/>
        <v>82</v>
      </c>
      <c r="AV5" s="173">
        <f t="shared" si="3"/>
        <v>82</v>
      </c>
      <c r="AW5" s="173">
        <f t="shared" si="4"/>
        <v>1241.8300000000002</v>
      </c>
      <c r="AX5" s="343">
        <f t="shared" si="5"/>
        <v>1077.8300000000002</v>
      </c>
      <c r="AY5" s="343"/>
      <c r="AZ5" s="343">
        <f t="shared" si="6"/>
        <v>164</v>
      </c>
      <c r="BA5" s="343"/>
      <c r="BB5" s="182">
        <v>80</v>
      </c>
      <c r="BC5" s="181">
        <f t="shared" si="7"/>
        <v>1321.8300000000002</v>
      </c>
      <c r="BD5" s="183" t="s">
        <v>103</v>
      </c>
      <c r="BE5" s="201"/>
      <c r="BF5" s="209"/>
      <c r="BG5" s="209"/>
      <c r="BH5" s="209"/>
    </row>
    <row r="6" spans="1:60" s="124" customFormat="1" ht="18" customHeight="1">
      <c r="A6" s="136" t="s">
        <v>104</v>
      </c>
      <c r="B6" s="137" t="s">
        <v>71</v>
      </c>
      <c r="C6" s="138" t="s">
        <v>92</v>
      </c>
      <c r="D6" s="139" t="s">
        <v>73</v>
      </c>
      <c r="E6" s="137" t="s">
        <v>83</v>
      </c>
      <c r="F6" s="140" t="s">
        <v>93</v>
      </c>
      <c r="G6" s="141" t="s">
        <v>94</v>
      </c>
      <c r="H6" s="139" t="s">
        <v>95</v>
      </c>
      <c r="I6" s="139" t="s">
        <v>95</v>
      </c>
      <c r="J6" s="139" t="s">
        <v>105</v>
      </c>
      <c r="K6" s="139"/>
      <c r="L6" s="136"/>
      <c r="M6" s="136"/>
      <c r="N6" s="136"/>
      <c r="O6" s="136"/>
      <c r="P6" s="136"/>
      <c r="Q6" s="136">
        <v>3602.85</v>
      </c>
      <c r="R6" s="136">
        <f>0.037-0.06</f>
        <v>-2.3E-2</v>
      </c>
      <c r="S6" s="136">
        <f>ROUND(Q6*R6,2)*2</f>
        <v>-165.74</v>
      </c>
      <c r="T6" s="136"/>
      <c r="U6" s="136"/>
      <c r="V6" s="136"/>
      <c r="W6" s="136"/>
      <c r="X6" s="136"/>
      <c r="Y6" s="136"/>
      <c r="Z6" s="136"/>
      <c r="AA6" s="136"/>
      <c r="AB6" s="136"/>
      <c r="AC6" s="136"/>
      <c r="AD6" s="136"/>
      <c r="AE6" s="136"/>
      <c r="AF6" s="136"/>
      <c r="AG6" s="136"/>
      <c r="AH6" s="136"/>
      <c r="AI6" s="136"/>
      <c r="AJ6" s="136"/>
      <c r="AK6" s="136"/>
      <c r="AL6" s="169"/>
      <c r="AM6" s="136"/>
      <c r="AN6" s="136"/>
      <c r="AO6" s="136"/>
      <c r="AP6" s="137"/>
      <c r="AQ6" s="174"/>
      <c r="AR6" s="136"/>
      <c r="AS6" s="175">
        <f t="shared" si="0"/>
        <v>-165.74</v>
      </c>
      <c r="AT6" s="175">
        <f t="shared" si="1"/>
        <v>0</v>
      </c>
      <c r="AU6" s="175">
        <f t="shared" si="2"/>
        <v>0</v>
      </c>
      <c r="AV6" s="175">
        <f t="shared" si="3"/>
        <v>0</v>
      </c>
      <c r="AW6" s="175">
        <f t="shared" si="4"/>
        <v>-165.74</v>
      </c>
      <c r="AX6" s="351">
        <f t="shared" si="5"/>
        <v>-165.74</v>
      </c>
      <c r="AY6" s="351"/>
      <c r="AZ6" s="351">
        <f t="shared" si="6"/>
        <v>0</v>
      </c>
      <c r="BA6" s="351"/>
      <c r="BB6" s="185"/>
      <c r="BC6" s="184">
        <f t="shared" si="7"/>
        <v>-165.74</v>
      </c>
      <c r="BD6" s="186" t="s">
        <v>106</v>
      </c>
      <c r="BE6" s="205"/>
      <c r="BF6" s="210"/>
      <c r="BG6" s="210"/>
      <c r="BH6" s="210"/>
    </row>
    <row r="7" spans="1:60" s="123" customFormat="1" ht="18" customHeight="1">
      <c r="A7" s="130">
        <v>3</v>
      </c>
      <c r="B7" s="131" t="s">
        <v>71</v>
      </c>
      <c r="C7" s="132" t="s">
        <v>82</v>
      </c>
      <c r="D7" s="133" t="s">
        <v>73</v>
      </c>
      <c r="E7" s="131" t="s">
        <v>83</v>
      </c>
      <c r="F7" s="134" t="s">
        <v>107</v>
      </c>
      <c r="G7" s="135" t="s">
        <v>108</v>
      </c>
      <c r="H7" s="133" t="s">
        <v>109</v>
      </c>
      <c r="I7" s="133" t="s">
        <v>109</v>
      </c>
      <c r="J7" s="133" t="s">
        <v>99</v>
      </c>
      <c r="K7" s="133" t="s">
        <v>99</v>
      </c>
      <c r="L7" s="130">
        <v>4588</v>
      </c>
      <c r="M7" s="130">
        <v>0.15</v>
      </c>
      <c r="N7" s="130">
        <f>ROUND(L7*M7,2)</f>
        <v>688.2</v>
      </c>
      <c r="O7" s="130">
        <v>0.08</v>
      </c>
      <c r="P7" s="130">
        <f>ROUND(L7*O7,2)</f>
        <v>367.04</v>
      </c>
      <c r="Q7" s="130">
        <v>7214</v>
      </c>
      <c r="R7" s="130">
        <v>5.45E-2</v>
      </c>
      <c r="S7" s="130">
        <f>ROUND(Q7*R7,2)</f>
        <v>393.16</v>
      </c>
      <c r="T7" s="130">
        <v>0.02</v>
      </c>
      <c r="U7" s="130">
        <f>ROUND(Q7*T7,2)</f>
        <v>144.28</v>
      </c>
      <c r="V7" s="130">
        <v>2300</v>
      </c>
      <c r="W7" s="130">
        <v>4.7999999999999996E-3</v>
      </c>
      <c r="X7" s="130">
        <f>ROUND(V7*W7,2)</f>
        <v>11.04</v>
      </c>
      <c r="Y7" s="130">
        <v>2E-3</v>
      </c>
      <c r="Z7" s="130">
        <f>ROUND(V7*Y7,2)</f>
        <v>4.5999999999999996</v>
      </c>
      <c r="AA7" s="130"/>
      <c r="AB7" s="130"/>
      <c r="AC7" s="130"/>
      <c r="AD7" s="130">
        <v>2300</v>
      </c>
      <c r="AE7" s="130">
        <v>1.6000000000000001E-3</v>
      </c>
      <c r="AF7" s="130">
        <f>ROUND(AD7*AE7,2)</f>
        <v>3.68</v>
      </c>
      <c r="AG7" s="130">
        <v>2300</v>
      </c>
      <c r="AH7" s="130">
        <v>0.05</v>
      </c>
      <c r="AI7" s="130">
        <f>ROUND(AG7*AH7,2)</f>
        <v>115</v>
      </c>
      <c r="AJ7" s="130">
        <v>0.05</v>
      </c>
      <c r="AK7" s="130">
        <f>ROUND(AG7*AJ7,2)</f>
        <v>115</v>
      </c>
      <c r="AL7" s="168"/>
      <c r="AM7" s="130"/>
      <c r="AN7" s="130"/>
      <c r="AO7" s="130"/>
      <c r="AP7" s="131"/>
      <c r="AQ7" s="172">
        <f>ROUND(12024*0.0026,2)</f>
        <v>31.26</v>
      </c>
      <c r="AR7" s="172"/>
      <c r="AS7" s="173">
        <f t="shared" si="0"/>
        <v>1127.3400000000001</v>
      </c>
      <c r="AT7" s="173">
        <f t="shared" si="1"/>
        <v>515.92000000000007</v>
      </c>
      <c r="AU7" s="173">
        <f t="shared" si="2"/>
        <v>115</v>
      </c>
      <c r="AV7" s="173">
        <f t="shared" si="3"/>
        <v>115</v>
      </c>
      <c r="AW7" s="173">
        <f t="shared" si="4"/>
        <v>1873.2600000000002</v>
      </c>
      <c r="AX7" s="343">
        <f t="shared" si="5"/>
        <v>1643.2600000000002</v>
      </c>
      <c r="AY7" s="343"/>
      <c r="AZ7" s="343">
        <f t="shared" si="6"/>
        <v>230</v>
      </c>
      <c r="BA7" s="343"/>
      <c r="BB7" s="182">
        <v>80</v>
      </c>
      <c r="BC7" s="181">
        <f t="shared" si="7"/>
        <v>1953.2600000000002</v>
      </c>
      <c r="BD7" s="187" t="s">
        <v>110</v>
      </c>
      <c r="BE7" s="209"/>
      <c r="BF7" s="209"/>
      <c r="BG7" s="209"/>
      <c r="BH7" s="209"/>
    </row>
    <row r="8" spans="1:60" s="124" customFormat="1" ht="18" customHeight="1">
      <c r="A8" s="136" t="s">
        <v>87</v>
      </c>
      <c r="B8" s="137" t="s">
        <v>71</v>
      </c>
      <c r="C8" s="138" t="s">
        <v>82</v>
      </c>
      <c r="D8" s="139" t="s">
        <v>73</v>
      </c>
      <c r="E8" s="137" t="s">
        <v>83</v>
      </c>
      <c r="F8" s="140" t="s">
        <v>107</v>
      </c>
      <c r="G8" s="141" t="s">
        <v>108</v>
      </c>
      <c r="H8" s="139" t="s">
        <v>109</v>
      </c>
      <c r="I8" s="139" t="s">
        <v>109</v>
      </c>
      <c r="J8" s="139" t="s">
        <v>111</v>
      </c>
      <c r="K8" s="139" t="s">
        <v>111</v>
      </c>
      <c r="L8" s="136"/>
      <c r="M8" s="136"/>
      <c r="N8" s="136"/>
      <c r="O8" s="136"/>
      <c r="P8" s="136"/>
      <c r="Q8" s="136">
        <f>7214-6757</f>
        <v>457</v>
      </c>
      <c r="R8" s="136">
        <v>5.45E-2</v>
      </c>
      <c r="S8" s="136">
        <f>ROUND(Q8*R8,2)</f>
        <v>24.91</v>
      </c>
      <c r="T8" s="136">
        <v>0.02</v>
      </c>
      <c r="U8" s="136">
        <f>ROUND(Q8*T8,2)</f>
        <v>9.14</v>
      </c>
      <c r="V8" s="136"/>
      <c r="W8" s="136"/>
      <c r="X8" s="136"/>
      <c r="Y8" s="136"/>
      <c r="Z8" s="136"/>
      <c r="AA8" s="136"/>
      <c r="AB8" s="136"/>
      <c r="AC8" s="136"/>
      <c r="AD8" s="136"/>
      <c r="AE8" s="136"/>
      <c r="AF8" s="136"/>
      <c r="AG8" s="136"/>
      <c r="AH8" s="136"/>
      <c r="AI8" s="136"/>
      <c r="AJ8" s="136"/>
      <c r="AK8" s="136"/>
      <c r="AL8" s="169"/>
      <c r="AM8" s="136"/>
      <c r="AN8" s="136"/>
      <c r="AO8" s="136"/>
      <c r="AP8" s="137"/>
      <c r="AQ8" s="174">
        <f>31.26-29.28</f>
        <v>1.9800000000000004</v>
      </c>
      <c r="AR8" s="174"/>
      <c r="AS8" s="175">
        <f t="shared" si="0"/>
        <v>26.89</v>
      </c>
      <c r="AT8" s="175">
        <f t="shared" si="1"/>
        <v>9.14</v>
      </c>
      <c r="AU8" s="175">
        <f t="shared" si="2"/>
        <v>0</v>
      </c>
      <c r="AV8" s="175">
        <f t="shared" si="3"/>
        <v>0</v>
      </c>
      <c r="AW8" s="175">
        <f t="shared" si="4"/>
        <v>36.03</v>
      </c>
      <c r="AX8" s="351">
        <f t="shared" si="5"/>
        <v>36.03</v>
      </c>
      <c r="AY8" s="351"/>
      <c r="AZ8" s="351">
        <f t="shared" si="6"/>
        <v>0</v>
      </c>
      <c r="BA8" s="351"/>
      <c r="BB8" s="185"/>
      <c r="BC8" s="184">
        <f t="shared" si="7"/>
        <v>36.03</v>
      </c>
      <c r="BD8" s="188" t="s">
        <v>112</v>
      </c>
      <c r="BE8" s="210"/>
      <c r="BF8" s="210"/>
      <c r="BG8" s="210"/>
      <c r="BH8" s="210"/>
    </row>
    <row r="9" spans="1:60" s="123" customFormat="1" ht="18" customHeight="1">
      <c r="A9" s="130">
        <v>15</v>
      </c>
      <c r="B9" s="142" t="s">
        <v>136</v>
      </c>
      <c r="C9" s="132" t="s">
        <v>137</v>
      </c>
      <c r="D9" s="133" t="s">
        <v>73</v>
      </c>
      <c r="E9" s="131" t="s">
        <v>83</v>
      </c>
      <c r="F9" s="134" t="s">
        <v>138</v>
      </c>
      <c r="G9" s="286" t="s">
        <v>139</v>
      </c>
      <c r="H9" s="133">
        <v>202207</v>
      </c>
      <c r="I9" s="133">
        <v>202207</v>
      </c>
      <c r="J9" s="133" t="s">
        <v>115</v>
      </c>
      <c r="K9" s="133" t="s">
        <v>115</v>
      </c>
      <c r="L9" s="130">
        <v>3430</v>
      </c>
      <c r="M9" s="130">
        <v>0.16</v>
      </c>
      <c r="N9" s="130">
        <f t="shared" ref="N9:N11" si="8">ROUND(L9*M9,2)</f>
        <v>548.79999999999995</v>
      </c>
      <c r="O9" s="130">
        <v>0.08</v>
      </c>
      <c r="P9" s="130">
        <f t="shared" ref="P9:P11" si="9">ROUND(L9*O9,2)</f>
        <v>274.39999999999998</v>
      </c>
      <c r="Q9" s="130">
        <v>3430</v>
      </c>
      <c r="R9" s="130">
        <v>6.4000000000000001E-2</v>
      </c>
      <c r="S9" s="130">
        <f t="shared" ref="S9:S11" si="10">ROUND(Q9*R9,2)</f>
        <v>219.52</v>
      </c>
      <c r="T9" s="130">
        <v>0.02</v>
      </c>
      <c r="U9" s="130">
        <f t="shared" ref="U9:U11" si="11">ROUND(Q9*T9,2)</f>
        <v>68.599999999999994</v>
      </c>
      <c r="V9" s="130">
        <v>3430</v>
      </c>
      <c r="W9" s="130">
        <v>5.0000000000000001E-3</v>
      </c>
      <c r="X9" s="130">
        <f t="shared" ref="X9:X11" si="12">ROUND(V9*W9,2)</f>
        <v>17.149999999999999</v>
      </c>
      <c r="Y9" s="130">
        <v>5.0000000000000001E-3</v>
      </c>
      <c r="Z9" s="130">
        <f t="shared" ref="Z9:Z11" si="13">ROUND(V9*Y9,2)</f>
        <v>17.149999999999999</v>
      </c>
      <c r="AA9" s="130"/>
      <c r="AB9" s="130"/>
      <c r="AC9" s="130"/>
      <c r="AD9" s="130">
        <v>3430</v>
      </c>
      <c r="AE9" s="130">
        <v>2E-3</v>
      </c>
      <c r="AF9" s="130">
        <f t="shared" ref="AF9:AF11" si="14">ROUND(AD9*AE9,2)</f>
        <v>6.86</v>
      </c>
      <c r="AG9" s="130">
        <v>1650</v>
      </c>
      <c r="AH9" s="130">
        <v>0.05</v>
      </c>
      <c r="AI9" s="130">
        <f t="shared" ref="AI9:AI11" si="15">ROUND(AG9*AH9,2)</f>
        <v>82.5</v>
      </c>
      <c r="AJ9" s="130">
        <v>0.05</v>
      </c>
      <c r="AK9" s="130">
        <f t="shared" ref="AK9:AK11" si="16">ROUND(AG9*AJ9,2)</f>
        <v>82.5</v>
      </c>
      <c r="AL9" s="168"/>
      <c r="AM9" s="130"/>
      <c r="AN9" s="130"/>
      <c r="AO9" s="130"/>
      <c r="AP9" s="131"/>
      <c r="AQ9" s="172">
        <v>15</v>
      </c>
      <c r="AR9" s="172"/>
      <c r="AS9" s="173">
        <f t="shared" ref="AS9:AS11" si="17">N9+S9+X9+AC9+AF9+AN9+AQ9</f>
        <v>807.32999999999993</v>
      </c>
      <c r="AT9" s="173">
        <f t="shared" ref="AT9:AT11" si="18">P9+U9+Z9+AR9</f>
        <v>360.15</v>
      </c>
      <c r="AU9" s="173">
        <f t="shared" ref="AU9:AU11" si="19">AI9</f>
        <v>82.5</v>
      </c>
      <c r="AV9" s="173">
        <f t="shared" ref="AV9:AV11" si="20">AK9</f>
        <v>82.5</v>
      </c>
      <c r="AW9" s="173">
        <f t="shared" ref="AW9:AW11" si="21">AV9+AS9+AT9+AU9</f>
        <v>1332.48</v>
      </c>
      <c r="AX9" s="343">
        <f t="shared" ref="AX9:AX11" si="22">AS9+AT9</f>
        <v>1167.48</v>
      </c>
      <c r="AY9" s="343"/>
      <c r="AZ9" s="343">
        <f t="shared" ref="AZ9:AZ11" si="23">AU9+AV9</f>
        <v>165</v>
      </c>
      <c r="BA9" s="343"/>
      <c r="BB9" s="182">
        <v>80</v>
      </c>
      <c r="BC9" s="181">
        <f t="shared" ref="BC9:BC11" si="24">AX9+AZ9+BB9</f>
        <v>1412.48</v>
      </c>
      <c r="BD9" s="190"/>
      <c r="BE9" s="209"/>
      <c r="BF9" s="209"/>
      <c r="BG9" s="209"/>
      <c r="BH9" s="209"/>
    </row>
    <row r="10" spans="1:60" s="124" customFormat="1" ht="18" customHeight="1">
      <c r="A10" s="136">
        <v>16</v>
      </c>
      <c r="B10" s="143" t="s">
        <v>136</v>
      </c>
      <c r="C10" s="138" t="s">
        <v>140</v>
      </c>
      <c r="D10" s="139" t="s">
        <v>73</v>
      </c>
      <c r="E10" s="137" t="s">
        <v>83</v>
      </c>
      <c r="F10" s="140" t="s">
        <v>141</v>
      </c>
      <c r="G10" s="288" t="s">
        <v>142</v>
      </c>
      <c r="H10" s="139">
        <v>202208</v>
      </c>
      <c r="I10" s="139">
        <v>202208</v>
      </c>
      <c r="J10" s="139" t="s">
        <v>115</v>
      </c>
      <c r="K10" s="139" t="s">
        <v>115</v>
      </c>
      <c r="L10" s="136">
        <v>3430</v>
      </c>
      <c r="M10" s="136">
        <v>0.16</v>
      </c>
      <c r="N10" s="136">
        <f t="shared" si="8"/>
        <v>548.79999999999995</v>
      </c>
      <c r="O10" s="136">
        <v>0.08</v>
      </c>
      <c r="P10" s="136">
        <f t="shared" si="9"/>
        <v>274.39999999999998</v>
      </c>
      <c r="Q10" s="136">
        <v>3430</v>
      </c>
      <c r="R10" s="136">
        <v>8.7999999999999995E-2</v>
      </c>
      <c r="S10" s="136">
        <f t="shared" si="10"/>
        <v>301.83999999999997</v>
      </c>
      <c r="T10" s="136">
        <v>0.02</v>
      </c>
      <c r="U10" s="136">
        <f t="shared" si="11"/>
        <v>68.599999999999994</v>
      </c>
      <c r="V10" s="136">
        <v>3430</v>
      </c>
      <c r="W10" s="136">
        <v>5.0000000000000001E-3</v>
      </c>
      <c r="X10" s="136">
        <f t="shared" si="12"/>
        <v>17.149999999999999</v>
      </c>
      <c r="Y10" s="136">
        <v>5.0000000000000001E-3</v>
      </c>
      <c r="Z10" s="136">
        <f t="shared" si="13"/>
        <v>17.149999999999999</v>
      </c>
      <c r="AA10" s="136"/>
      <c r="AB10" s="136"/>
      <c r="AC10" s="136"/>
      <c r="AD10" s="136">
        <v>3430</v>
      </c>
      <c r="AE10" s="136">
        <v>3.2000000000000002E-3</v>
      </c>
      <c r="AF10" s="136">
        <f t="shared" si="14"/>
        <v>10.98</v>
      </c>
      <c r="AG10" s="136">
        <v>1500</v>
      </c>
      <c r="AH10" s="136">
        <v>0.05</v>
      </c>
      <c r="AI10" s="136">
        <f t="shared" si="15"/>
        <v>75</v>
      </c>
      <c r="AJ10" s="136">
        <v>0.05</v>
      </c>
      <c r="AK10" s="136">
        <f t="shared" si="16"/>
        <v>75</v>
      </c>
      <c r="AL10" s="169"/>
      <c r="AM10" s="136"/>
      <c r="AN10" s="136"/>
      <c r="AO10" s="136"/>
      <c r="AP10" s="137"/>
      <c r="AQ10" s="174">
        <v>13</v>
      </c>
      <c r="AR10" s="174">
        <v>8</v>
      </c>
      <c r="AS10" s="175">
        <f t="shared" si="17"/>
        <v>891.76999999999987</v>
      </c>
      <c r="AT10" s="175">
        <f t="shared" si="18"/>
        <v>368.15</v>
      </c>
      <c r="AU10" s="175">
        <f t="shared" si="19"/>
        <v>75</v>
      </c>
      <c r="AV10" s="175">
        <f t="shared" si="20"/>
        <v>75</v>
      </c>
      <c r="AW10" s="175">
        <f t="shared" si="21"/>
        <v>1409.9199999999998</v>
      </c>
      <c r="AX10" s="351">
        <f t="shared" si="22"/>
        <v>1259.9199999999998</v>
      </c>
      <c r="AY10" s="351"/>
      <c r="AZ10" s="351">
        <f t="shared" si="23"/>
        <v>150</v>
      </c>
      <c r="BA10" s="351"/>
      <c r="BB10" s="185">
        <v>80</v>
      </c>
      <c r="BC10" s="184">
        <f t="shared" si="24"/>
        <v>1489.9199999999998</v>
      </c>
      <c r="BD10" s="191"/>
      <c r="BE10" s="210"/>
      <c r="BF10" s="210"/>
      <c r="BG10" s="210"/>
      <c r="BH10" s="210"/>
    </row>
    <row r="11" spans="1:60" s="124" customFormat="1" ht="18" customHeight="1">
      <c r="A11" s="136" t="s">
        <v>143</v>
      </c>
      <c r="B11" s="143" t="s">
        <v>136</v>
      </c>
      <c r="C11" s="138" t="s">
        <v>140</v>
      </c>
      <c r="D11" s="139" t="s">
        <v>73</v>
      </c>
      <c r="E11" s="137" t="s">
        <v>83</v>
      </c>
      <c r="F11" s="140" t="s">
        <v>141</v>
      </c>
      <c r="G11" s="288" t="s">
        <v>142</v>
      </c>
      <c r="H11" s="139">
        <v>202208</v>
      </c>
      <c r="I11" s="139">
        <v>202208</v>
      </c>
      <c r="J11" s="139">
        <v>202208</v>
      </c>
      <c r="K11" s="139">
        <v>202208</v>
      </c>
      <c r="L11" s="136">
        <v>3430</v>
      </c>
      <c r="M11" s="136">
        <v>0.16</v>
      </c>
      <c r="N11" s="136">
        <f t="shared" si="8"/>
        <v>548.79999999999995</v>
      </c>
      <c r="O11" s="136">
        <v>0.08</v>
      </c>
      <c r="P11" s="136">
        <f t="shared" si="9"/>
        <v>274.39999999999998</v>
      </c>
      <c r="Q11" s="136">
        <v>3430</v>
      </c>
      <c r="R11" s="136">
        <v>8.7999999999999995E-2</v>
      </c>
      <c r="S11" s="136">
        <f t="shared" si="10"/>
        <v>301.83999999999997</v>
      </c>
      <c r="T11" s="136">
        <v>0.02</v>
      </c>
      <c r="U11" s="136">
        <f t="shared" si="11"/>
        <v>68.599999999999994</v>
      </c>
      <c r="V11" s="136">
        <v>3430</v>
      </c>
      <c r="W11" s="136">
        <v>5.0000000000000001E-3</v>
      </c>
      <c r="X11" s="136">
        <f t="shared" si="12"/>
        <v>17.149999999999999</v>
      </c>
      <c r="Y11" s="136">
        <v>5.0000000000000001E-3</v>
      </c>
      <c r="Z11" s="136">
        <f t="shared" si="13"/>
        <v>17.149999999999999</v>
      </c>
      <c r="AA11" s="136"/>
      <c r="AB11" s="136"/>
      <c r="AC11" s="136"/>
      <c r="AD11" s="136">
        <v>3430</v>
      </c>
      <c r="AE11" s="136">
        <v>3.2000000000000002E-3</v>
      </c>
      <c r="AF11" s="136">
        <f t="shared" si="14"/>
        <v>10.98</v>
      </c>
      <c r="AG11" s="136">
        <v>1500</v>
      </c>
      <c r="AH11" s="136">
        <v>0.05</v>
      </c>
      <c r="AI11" s="136">
        <f t="shared" si="15"/>
        <v>75</v>
      </c>
      <c r="AJ11" s="136">
        <v>0.05</v>
      </c>
      <c r="AK11" s="136">
        <f t="shared" si="16"/>
        <v>75</v>
      </c>
      <c r="AL11" s="169"/>
      <c r="AM11" s="136"/>
      <c r="AN11" s="136"/>
      <c r="AO11" s="136"/>
      <c r="AP11" s="137"/>
      <c r="AQ11" s="174">
        <v>13</v>
      </c>
      <c r="AR11" s="174">
        <v>8</v>
      </c>
      <c r="AS11" s="175">
        <f t="shared" si="17"/>
        <v>891.76999999999987</v>
      </c>
      <c r="AT11" s="175">
        <f t="shared" si="18"/>
        <v>368.15</v>
      </c>
      <c r="AU11" s="175">
        <f t="shared" si="19"/>
        <v>75</v>
      </c>
      <c r="AV11" s="175">
        <f t="shared" si="20"/>
        <v>75</v>
      </c>
      <c r="AW11" s="175">
        <f t="shared" si="21"/>
        <v>1409.9199999999998</v>
      </c>
      <c r="AX11" s="351">
        <f t="shared" si="22"/>
        <v>1259.9199999999998</v>
      </c>
      <c r="AY11" s="351"/>
      <c r="AZ11" s="351">
        <f t="shared" si="23"/>
        <v>150</v>
      </c>
      <c r="BA11" s="351"/>
      <c r="BB11" s="185">
        <v>80</v>
      </c>
      <c r="BC11" s="184">
        <f t="shared" si="24"/>
        <v>1489.9199999999998</v>
      </c>
      <c r="BD11" s="191"/>
      <c r="BE11" s="210"/>
      <c r="BF11" s="210"/>
      <c r="BG11" s="210"/>
      <c r="BH11" s="210"/>
    </row>
    <row r="12" spans="1:60" s="125" customFormat="1" ht="18" customHeight="1">
      <c r="A12" s="144"/>
      <c r="B12" s="145"/>
      <c r="C12" s="146"/>
      <c r="D12" s="147"/>
      <c r="E12" s="148"/>
      <c r="F12" s="149"/>
      <c r="G12" s="150"/>
      <c r="H12" s="151"/>
      <c r="I12" s="147"/>
      <c r="J12" s="151"/>
      <c r="K12" s="151"/>
      <c r="L12" s="163"/>
      <c r="M12" s="163"/>
      <c r="N12" s="164"/>
      <c r="O12" s="163"/>
      <c r="P12" s="163"/>
      <c r="Q12" s="163"/>
      <c r="R12" s="163"/>
      <c r="S12" s="163"/>
      <c r="T12" s="163"/>
      <c r="U12" s="163"/>
      <c r="V12" s="166"/>
      <c r="W12" s="166"/>
      <c r="X12" s="167"/>
      <c r="Y12" s="166"/>
      <c r="Z12" s="163"/>
      <c r="AA12" s="163"/>
      <c r="AB12" s="163"/>
      <c r="AC12" s="163"/>
      <c r="AD12" s="163"/>
      <c r="AE12" s="163"/>
      <c r="AF12" s="164"/>
      <c r="AG12" s="163"/>
      <c r="AH12" s="163"/>
      <c r="AI12" s="163"/>
      <c r="AJ12" s="163"/>
      <c r="AK12" s="163"/>
      <c r="AL12" s="170"/>
      <c r="AM12" s="163"/>
      <c r="AN12" s="163"/>
      <c r="AO12" s="163"/>
      <c r="AP12" s="176"/>
      <c r="AQ12" s="177"/>
      <c r="AR12" s="163"/>
      <c r="AS12" s="178"/>
      <c r="AT12" s="178"/>
      <c r="AU12" s="178"/>
      <c r="AV12" s="178"/>
      <c r="AW12" s="178"/>
      <c r="AX12" s="192"/>
      <c r="AY12" s="193"/>
      <c r="AZ12" s="192"/>
      <c r="BA12" s="193"/>
      <c r="BB12" s="194"/>
      <c r="BC12" s="195"/>
      <c r="BD12" s="196"/>
      <c r="BE12" s="122"/>
      <c r="BF12" s="122"/>
      <c r="BG12" s="122"/>
      <c r="BH12" s="122"/>
    </row>
    <row r="13" spans="1:60" ht="14.25">
      <c r="A13" s="152" t="s">
        <v>98</v>
      </c>
      <c r="B13" s="153"/>
      <c r="C13" s="154"/>
      <c r="D13" s="154"/>
      <c r="E13" s="155"/>
      <c r="F13" s="154"/>
      <c r="G13" s="154"/>
      <c r="H13" s="154"/>
      <c r="I13" s="154"/>
      <c r="J13" s="154"/>
      <c r="K13" s="154"/>
      <c r="L13" s="155">
        <f>SUM(L3:L12)</f>
        <v>22034.15</v>
      </c>
      <c r="M13" s="155">
        <f>SUM(M3:M12)</f>
        <v>1.1100000000000001</v>
      </c>
      <c r="N13" s="155">
        <f>SUM(N3:N12)</f>
        <v>3717.6600000000008</v>
      </c>
      <c r="O13" s="155">
        <f>SUM(O3:O12)</f>
        <v>0.56000000000000005</v>
      </c>
      <c r="P13" s="155">
        <f>SUM(P3:P12)</f>
        <v>1881.77</v>
      </c>
      <c r="Q13" s="155">
        <f>SUM(Q3:Q12)</f>
        <v>28466.7</v>
      </c>
      <c r="R13" s="155">
        <f>SUM(R3:R12)</f>
        <v>0.44299999999999995</v>
      </c>
      <c r="S13" s="155">
        <f>SUM(S3:S12)</f>
        <v>1472.84</v>
      </c>
      <c r="T13" s="155">
        <f>SUM(T3:T12)</f>
        <v>0.14000000000000001</v>
      </c>
      <c r="U13" s="155">
        <f>SUM(U3:U12)</f>
        <v>497.28000000000009</v>
      </c>
      <c r="V13" s="155">
        <f>SUM(V3:V12)</f>
        <v>19746.150000000001</v>
      </c>
      <c r="W13" s="155">
        <f>SUM(W3:W12)</f>
        <v>4.0799999999999996E-2</v>
      </c>
      <c r="X13" s="155">
        <f>SUM(X3:X12)</f>
        <v>123.03</v>
      </c>
      <c r="Y13" s="155">
        <f>SUM(Y3:Y12)</f>
        <v>2.6000000000000002E-2</v>
      </c>
      <c r="Z13" s="155">
        <f>SUM(Z3:Z12)</f>
        <v>81.949999999999989</v>
      </c>
      <c r="AA13" s="155">
        <f>SUM(AA3:AA12)</f>
        <v>3602.85</v>
      </c>
      <c r="AB13" s="155">
        <f>SUM(AB3:AB12)</f>
        <v>7.0000000000000001E-3</v>
      </c>
      <c r="AC13" s="155">
        <f>SUM(AC3:AC12)</f>
        <v>25.22</v>
      </c>
      <c r="AD13" s="155">
        <f>SUM(AD3:AD12)</f>
        <v>19988.849999999999</v>
      </c>
      <c r="AE13" s="155">
        <f>SUM(AE3:AE12)</f>
        <v>2.0000000000000004E-2</v>
      </c>
      <c r="AF13" s="155">
        <f>SUM(AF3:AF12)</f>
        <v>60.83</v>
      </c>
      <c r="AG13" s="155">
        <f>SUM(AG3:AG12)</f>
        <v>11590</v>
      </c>
      <c r="AH13" s="155">
        <f>SUM(AH3:AH12)</f>
        <v>0.35</v>
      </c>
      <c r="AI13" s="155">
        <f>SUM(AI3:AI12)</f>
        <v>729.5</v>
      </c>
      <c r="AJ13" s="155">
        <f>SUM(AJ3:AJ12)</f>
        <v>0.31</v>
      </c>
      <c r="AK13" s="155">
        <f>SUM(AK3:AK12)</f>
        <v>609.5</v>
      </c>
      <c r="AL13" s="155">
        <f>SUM(AL3:AL12)</f>
        <v>0</v>
      </c>
      <c r="AM13" s="155">
        <f>SUM(AM3:AM12)</f>
        <v>0</v>
      </c>
      <c r="AN13" s="155">
        <f>SUM(AN3:AN12)</f>
        <v>0</v>
      </c>
      <c r="AO13" s="155">
        <f>SUM(AO3:AO12)</f>
        <v>0</v>
      </c>
      <c r="AP13" s="155">
        <f>SUM(AP3:AP12)</f>
        <v>0</v>
      </c>
      <c r="AQ13" s="155">
        <f>SUM(AQ3:AQ12)</f>
        <v>83.240000000000009</v>
      </c>
      <c r="AR13" s="155">
        <f>SUM(AR3:AR12)</f>
        <v>16</v>
      </c>
      <c r="AS13" s="155">
        <f>SUM(AS3:AS12)</f>
        <v>5482.82</v>
      </c>
      <c r="AT13" s="155">
        <f>SUM(AT3:AT12)</f>
        <v>2477.0000000000005</v>
      </c>
      <c r="AU13" s="155">
        <f>SUM(AU3:AU12)</f>
        <v>729.5</v>
      </c>
      <c r="AV13" s="155">
        <f>SUM(AV3:AV12)</f>
        <v>609.5</v>
      </c>
      <c r="AW13" s="155">
        <f>SUM(AW3:AW12)</f>
        <v>9298.82</v>
      </c>
      <c r="AX13" s="155">
        <f>SUM(AX3:AX12)</f>
        <v>7959.82</v>
      </c>
      <c r="AY13" s="155">
        <f>SUM(AY3:AY12)</f>
        <v>0</v>
      </c>
      <c r="AZ13" s="155">
        <f>SUM(AZ3:AZ12)</f>
        <v>1339</v>
      </c>
      <c r="BA13" s="155">
        <f>SUM(BA3:BA12)</f>
        <v>0</v>
      </c>
      <c r="BB13" s="155">
        <f>SUM(BB3:BB12)</f>
        <v>480</v>
      </c>
      <c r="BC13" s="155">
        <f>SUM(BC3:BC12)</f>
        <v>9778.82</v>
      </c>
      <c r="BD13" s="197"/>
    </row>
    <row r="14" spans="1:60" ht="14.25">
      <c r="A14" s="156" t="s">
        <v>58</v>
      </c>
      <c r="B14" s="157"/>
      <c r="C14" s="158"/>
      <c r="D14" s="158"/>
      <c r="E14" s="159"/>
      <c r="F14" s="159"/>
      <c r="G14" s="159"/>
      <c r="H14" s="159"/>
      <c r="I14" s="159"/>
      <c r="J14" s="159"/>
      <c r="K14" s="159"/>
      <c r="L14" s="165">
        <f t="shared" ref="L14:AX14" si="25">SUM(L13:L13)</f>
        <v>22034.15</v>
      </c>
      <c r="M14" s="165">
        <f t="shared" si="25"/>
        <v>1.1100000000000001</v>
      </c>
      <c r="N14" s="165">
        <f t="shared" si="25"/>
        <v>3717.6600000000008</v>
      </c>
      <c r="O14" s="165">
        <f t="shared" si="25"/>
        <v>0.56000000000000005</v>
      </c>
      <c r="P14" s="165">
        <f t="shared" si="25"/>
        <v>1881.77</v>
      </c>
      <c r="Q14" s="165">
        <f t="shared" si="25"/>
        <v>28466.7</v>
      </c>
      <c r="R14" s="165">
        <f t="shared" si="25"/>
        <v>0.44299999999999995</v>
      </c>
      <c r="S14" s="165">
        <f t="shared" si="25"/>
        <v>1472.84</v>
      </c>
      <c r="T14" s="165">
        <f t="shared" si="25"/>
        <v>0.14000000000000001</v>
      </c>
      <c r="U14" s="165">
        <f t="shared" si="25"/>
        <v>497.28000000000009</v>
      </c>
      <c r="V14" s="165">
        <f t="shared" si="25"/>
        <v>19746.150000000001</v>
      </c>
      <c r="W14" s="165">
        <f t="shared" si="25"/>
        <v>4.0799999999999996E-2</v>
      </c>
      <c r="X14" s="165">
        <f t="shared" si="25"/>
        <v>123.03</v>
      </c>
      <c r="Y14" s="165">
        <f t="shared" si="25"/>
        <v>2.6000000000000002E-2</v>
      </c>
      <c r="Z14" s="165">
        <f t="shared" si="25"/>
        <v>81.949999999999989</v>
      </c>
      <c r="AA14" s="165">
        <f t="shared" si="25"/>
        <v>3602.85</v>
      </c>
      <c r="AB14" s="165">
        <f t="shared" si="25"/>
        <v>7.0000000000000001E-3</v>
      </c>
      <c r="AC14" s="165">
        <f t="shared" si="25"/>
        <v>25.22</v>
      </c>
      <c r="AD14" s="165">
        <f t="shared" si="25"/>
        <v>19988.849999999999</v>
      </c>
      <c r="AE14" s="165">
        <f t="shared" si="25"/>
        <v>2.0000000000000004E-2</v>
      </c>
      <c r="AF14" s="165">
        <f t="shared" si="25"/>
        <v>60.83</v>
      </c>
      <c r="AG14" s="165">
        <f t="shared" si="25"/>
        <v>11590</v>
      </c>
      <c r="AH14" s="165">
        <f t="shared" si="25"/>
        <v>0.35</v>
      </c>
      <c r="AI14" s="165">
        <f t="shared" si="25"/>
        <v>729.5</v>
      </c>
      <c r="AJ14" s="165">
        <f t="shared" si="25"/>
        <v>0.31</v>
      </c>
      <c r="AK14" s="165">
        <f t="shared" si="25"/>
        <v>609.5</v>
      </c>
      <c r="AL14" s="165">
        <f t="shared" si="25"/>
        <v>0</v>
      </c>
      <c r="AM14" s="165">
        <f t="shared" si="25"/>
        <v>0</v>
      </c>
      <c r="AN14" s="165">
        <f t="shared" si="25"/>
        <v>0</v>
      </c>
      <c r="AO14" s="165">
        <f t="shared" si="25"/>
        <v>0</v>
      </c>
      <c r="AP14" s="165">
        <f t="shared" si="25"/>
        <v>0</v>
      </c>
      <c r="AQ14" s="165">
        <f t="shared" si="25"/>
        <v>83.240000000000009</v>
      </c>
      <c r="AR14" s="165">
        <f t="shared" si="25"/>
        <v>16</v>
      </c>
      <c r="AS14" s="179">
        <f t="shared" si="25"/>
        <v>5482.82</v>
      </c>
      <c r="AT14" s="179">
        <f t="shared" si="25"/>
        <v>2477.0000000000005</v>
      </c>
      <c r="AU14" s="179">
        <f t="shared" si="25"/>
        <v>729.5</v>
      </c>
      <c r="AV14" s="179">
        <f t="shared" si="25"/>
        <v>609.5</v>
      </c>
      <c r="AW14" s="179">
        <f t="shared" si="25"/>
        <v>9298.82</v>
      </c>
      <c r="AX14" s="345">
        <f t="shared" si="25"/>
        <v>7959.82</v>
      </c>
      <c r="AY14" s="345"/>
      <c r="AZ14" s="345">
        <f t="shared" ref="AZ14:BC14" si="26">SUM(AZ13:AZ13)</f>
        <v>1339</v>
      </c>
      <c r="BA14" s="345"/>
      <c r="BB14" s="165">
        <f t="shared" si="26"/>
        <v>480</v>
      </c>
      <c r="BC14" s="165">
        <f t="shared" si="26"/>
        <v>9778.82</v>
      </c>
      <c r="BD14" s="198"/>
    </row>
    <row r="15" spans="1:60" s="126" customFormat="1">
      <c r="A15" s="160"/>
      <c r="B15" s="160"/>
      <c r="C15" s="160"/>
      <c r="D15" s="160"/>
      <c r="E15" s="160"/>
      <c r="F15" s="161"/>
      <c r="G15" s="135"/>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80"/>
      <c r="AT15" s="180"/>
      <c r="AU15" s="180"/>
      <c r="AV15" s="180"/>
      <c r="AW15" s="180"/>
      <c r="AX15" s="160"/>
      <c r="AY15" s="160"/>
      <c r="AZ15" s="160"/>
      <c r="BA15" s="160"/>
      <c r="BB15" s="160"/>
      <c r="BC15" s="160">
        <f>'（居民）工资表-7月'!E24</f>
        <v>168366.46</v>
      </c>
      <c r="BD15" s="199"/>
    </row>
    <row r="16" spans="1:60" s="127" customFormat="1">
      <c r="A16" s="122"/>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60"/>
      <c r="AA16" s="160"/>
      <c r="AB16" s="160"/>
      <c r="AC16" s="160"/>
      <c r="AD16" s="160"/>
      <c r="AE16" s="160"/>
      <c r="AF16" s="160"/>
      <c r="AG16" s="160"/>
      <c r="AH16" s="160"/>
      <c r="AI16" s="160"/>
      <c r="AJ16" s="122"/>
      <c r="AK16" s="122"/>
      <c r="AL16" s="122"/>
      <c r="AM16" s="122"/>
      <c r="AN16" s="122"/>
      <c r="AO16" s="122"/>
      <c r="AP16" s="122"/>
      <c r="AQ16" s="122"/>
      <c r="AR16" s="122"/>
      <c r="AS16" s="128"/>
      <c r="AT16" s="128"/>
      <c r="AU16" s="128"/>
      <c r="AV16" s="128"/>
      <c r="AW16" s="128"/>
      <c r="AX16" s="122"/>
      <c r="AY16" s="122"/>
      <c r="AZ16" s="122"/>
      <c r="BA16" s="122"/>
      <c r="BB16" s="122"/>
      <c r="BC16" s="122"/>
      <c r="BD16" s="129"/>
    </row>
    <row r="18" spans="50:55">
      <c r="AX18" s="346"/>
      <c r="AY18" s="346"/>
      <c r="BC18" s="200"/>
    </row>
  </sheetData>
  <autoFilter ref="A2:BH11"/>
  <mergeCells count="46">
    <mergeCell ref="K1:K2"/>
    <mergeCell ref="BB1:BB2"/>
    <mergeCell ref="BC1:BC2"/>
    <mergeCell ref="BD1:BD2"/>
    <mergeCell ref="AX1:AY2"/>
    <mergeCell ref="AZ1:BA2"/>
    <mergeCell ref="F1:F2"/>
    <mergeCell ref="G1:G2"/>
    <mergeCell ref="H1:H2"/>
    <mergeCell ref="I1:I2"/>
    <mergeCell ref="J1:J2"/>
    <mergeCell ref="A1:A2"/>
    <mergeCell ref="B1:B2"/>
    <mergeCell ref="C1:C2"/>
    <mergeCell ref="D1:D2"/>
    <mergeCell ref="E1:E2"/>
    <mergeCell ref="AX11:AY11"/>
    <mergeCell ref="AZ11:BA11"/>
    <mergeCell ref="AX14:AY14"/>
    <mergeCell ref="AZ14:BA14"/>
    <mergeCell ref="AX18:AY18"/>
    <mergeCell ref="AX9:AY9"/>
    <mergeCell ref="AZ9:BA9"/>
    <mergeCell ref="AX10:AY10"/>
    <mergeCell ref="AZ10:BA10"/>
    <mergeCell ref="AX6:AY6"/>
    <mergeCell ref="AZ6:BA6"/>
    <mergeCell ref="AX7:AY7"/>
    <mergeCell ref="AZ7:BA7"/>
    <mergeCell ref="AX8:AY8"/>
    <mergeCell ref="AZ8:BA8"/>
    <mergeCell ref="AZ3:BA3"/>
    <mergeCell ref="AX4:AY4"/>
    <mergeCell ref="AZ4:BA4"/>
    <mergeCell ref="AX5:AY5"/>
    <mergeCell ref="AZ5:BA5"/>
    <mergeCell ref="AG1:AK1"/>
    <mergeCell ref="AL1:AP1"/>
    <mergeCell ref="AQ1:AR1"/>
    <mergeCell ref="AS1:AW1"/>
    <mergeCell ref="AX3:AY3"/>
    <mergeCell ref="L1:P1"/>
    <mergeCell ref="Q1:U1"/>
    <mergeCell ref="V1:Z1"/>
    <mergeCell ref="AA1:AC1"/>
    <mergeCell ref="AD1:AF1"/>
  </mergeCells>
  <phoneticPr fontId="108" type="noConversion"/>
  <conditionalFormatting sqref="H1:I1">
    <cfRule type="expression" dxfId="89" priority="1" stopIfTrue="1">
      <formula>AND(COUNTIF($J$1:$J$1,H1)&gt;1,NOT(ISBLANK(H1)))</formula>
    </cfRule>
  </conditionalFormatting>
  <conditionalFormatting sqref="J1">
    <cfRule type="duplicateValues" dxfId="88" priority="2" stopIfTrue="1"/>
  </conditionalFormatting>
  <conditionalFormatting sqref="K1:L1">
    <cfRule type="duplicateValues" dxfId="87" priority="3" stopIfTrue="1"/>
  </conditionalFormatting>
  <conditionalFormatting sqref="Q1">
    <cfRule type="duplicateValues" dxfId="86" priority="4" stopIfTrue="1"/>
  </conditionalFormatting>
  <conditionalFormatting sqref="V1">
    <cfRule type="duplicateValues" dxfId="85" priority="5" stopIfTrue="1"/>
  </conditionalFormatting>
  <conditionalFormatting sqref="AG1">
    <cfRule type="duplicateValues" dxfId="84" priority="6" stopIfTrue="1"/>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35"/>
  <sheetViews>
    <sheetView workbookViewId="0">
      <pane xSplit="6" ySplit="3" topLeftCell="U4" activePane="bottomRight" state="frozen"/>
      <selection pane="topRight"/>
      <selection pane="bottomLeft"/>
      <selection pane="bottomRight" activeCell="V34" sqref="U34:V34"/>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144</v>
      </c>
      <c r="B1" s="19"/>
      <c r="C1" s="20"/>
      <c r="D1" s="21"/>
      <c r="E1" s="22"/>
      <c r="F1" s="22"/>
      <c r="G1" s="23"/>
      <c r="J1" s="53"/>
      <c r="L1" s="54"/>
      <c r="M1" s="352" t="s">
        <v>145</v>
      </c>
      <c r="N1" s="352"/>
      <c r="O1" s="352"/>
      <c r="P1" s="352"/>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59" t="s">
        <v>18</v>
      </c>
      <c r="B2" s="361" t="s">
        <v>146</v>
      </c>
      <c r="C2" s="363" t="s">
        <v>147</v>
      </c>
      <c r="D2" s="363" t="s">
        <v>148</v>
      </c>
      <c r="E2" s="365" t="s">
        <v>149</v>
      </c>
      <c r="F2" s="367" t="s">
        <v>150</v>
      </c>
      <c r="G2" s="365" t="s">
        <v>151</v>
      </c>
      <c r="H2" s="365" t="s">
        <v>152</v>
      </c>
      <c r="I2" s="365" t="s">
        <v>153</v>
      </c>
      <c r="J2" s="369" t="s">
        <v>154</v>
      </c>
      <c r="K2" s="365" t="s">
        <v>155</v>
      </c>
      <c r="L2" s="365" t="s">
        <v>156</v>
      </c>
      <c r="M2" s="353" t="s">
        <v>157</v>
      </c>
      <c r="N2" s="354"/>
      <c r="O2" s="354"/>
      <c r="P2" s="355"/>
      <c r="Q2" s="367" t="s">
        <v>158</v>
      </c>
      <c r="R2" s="365" t="s">
        <v>159</v>
      </c>
      <c r="S2" s="367" t="s">
        <v>160</v>
      </c>
      <c r="T2" s="371" t="s">
        <v>161</v>
      </c>
      <c r="U2" s="367" t="s">
        <v>162</v>
      </c>
      <c r="V2" s="356" t="s">
        <v>163</v>
      </c>
      <c r="W2" s="357"/>
      <c r="X2" s="357"/>
      <c r="Y2" s="357"/>
      <c r="Z2" s="357"/>
      <c r="AA2" s="358"/>
      <c r="AB2" s="367" t="s">
        <v>164</v>
      </c>
      <c r="AC2" s="367" t="s">
        <v>165</v>
      </c>
      <c r="AD2" s="371" t="s">
        <v>166</v>
      </c>
      <c r="AE2" s="371" t="s">
        <v>167</v>
      </c>
      <c r="AF2" s="371" t="s">
        <v>168</v>
      </c>
      <c r="AG2" s="371" t="s">
        <v>169</v>
      </c>
      <c r="AH2" s="373" t="s">
        <v>170</v>
      </c>
      <c r="AI2" s="375" t="s">
        <v>171</v>
      </c>
      <c r="AJ2" s="373" t="s">
        <v>172</v>
      </c>
      <c r="AK2" s="363" t="s">
        <v>57</v>
      </c>
      <c r="AL2" s="373" t="s">
        <v>173</v>
      </c>
      <c r="AM2" s="365" t="s">
        <v>174</v>
      </c>
      <c r="AN2" s="365" t="s">
        <v>175</v>
      </c>
      <c r="AO2" s="377" t="s">
        <v>176</v>
      </c>
      <c r="AP2" s="365" t="s">
        <v>177</v>
      </c>
      <c r="AQ2" s="365" t="s">
        <v>178</v>
      </c>
      <c r="AR2" s="367" t="s">
        <v>179</v>
      </c>
      <c r="AS2" s="367" t="s">
        <v>180</v>
      </c>
      <c r="AT2" s="367" t="s">
        <v>181</v>
      </c>
    </row>
    <row r="3" spans="1:46" s="9" customFormat="1" ht="27" customHeight="1">
      <c r="A3" s="360"/>
      <c r="B3" s="362"/>
      <c r="C3" s="364"/>
      <c r="D3" s="364"/>
      <c r="E3" s="366"/>
      <c r="F3" s="368"/>
      <c r="G3" s="366"/>
      <c r="H3" s="366"/>
      <c r="I3" s="366"/>
      <c r="J3" s="370"/>
      <c r="K3" s="366"/>
      <c r="L3" s="366"/>
      <c r="M3" s="55" t="s">
        <v>182</v>
      </c>
      <c r="N3" s="55" t="s">
        <v>183</v>
      </c>
      <c r="O3" s="55" t="s">
        <v>184</v>
      </c>
      <c r="P3" s="55" t="s">
        <v>70</v>
      </c>
      <c r="Q3" s="368"/>
      <c r="R3" s="366"/>
      <c r="S3" s="368"/>
      <c r="T3" s="372"/>
      <c r="U3" s="368"/>
      <c r="V3" s="73" t="s">
        <v>185</v>
      </c>
      <c r="W3" s="73" t="s">
        <v>186</v>
      </c>
      <c r="X3" s="73" t="s">
        <v>187</v>
      </c>
      <c r="Y3" s="73" t="s">
        <v>188</v>
      </c>
      <c r="Z3" s="73" t="s">
        <v>189</v>
      </c>
      <c r="AA3" s="73" t="s">
        <v>190</v>
      </c>
      <c r="AB3" s="368"/>
      <c r="AC3" s="368"/>
      <c r="AD3" s="372"/>
      <c r="AE3" s="372"/>
      <c r="AF3" s="372"/>
      <c r="AG3" s="372"/>
      <c r="AH3" s="374"/>
      <c r="AI3" s="376"/>
      <c r="AJ3" s="374"/>
      <c r="AK3" s="364"/>
      <c r="AL3" s="374"/>
      <c r="AM3" s="366"/>
      <c r="AN3" s="366"/>
      <c r="AO3" s="378"/>
      <c r="AP3" s="366"/>
      <c r="AQ3" s="366"/>
      <c r="AR3" s="368"/>
      <c r="AS3" s="368"/>
      <c r="AT3" s="368"/>
    </row>
    <row r="4" spans="1:46" s="10" customFormat="1" ht="18" customHeight="1">
      <c r="A4" s="24">
        <v>1</v>
      </c>
      <c r="B4" s="25" t="s">
        <v>191</v>
      </c>
      <c r="C4" s="25" t="s">
        <v>75</v>
      </c>
      <c r="D4" s="25" t="s">
        <v>192</v>
      </c>
      <c r="E4" s="25" t="s">
        <v>76</v>
      </c>
      <c r="F4" s="26" t="s">
        <v>193</v>
      </c>
      <c r="G4" s="33">
        <v>18035163638</v>
      </c>
      <c r="H4" s="28"/>
      <c r="I4" s="28"/>
      <c r="J4" s="56"/>
      <c r="K4" s="28"/>
      <c r="L4" s="60">
        <v>10160</v>
      </c>
      <c r="M4" s="58">
        <v>264</v>
      </c>
      <c r="N4" s="58">
        <v>66</v>
      </c>
      <c r="O4" s="58">
        <v>9.9</v>
      </c>
      <c r="P4" s="58">
        <v>180</v>
      </c>
      <c r="Q4" s="74">
        <f>ROUND(SUM(M4:P4),2)</f>
        <v>519.9</v>
      </c>
      <c r="R4" s="60">
        <v>0</v>
      </c>
      <c r="S4" s="75">
        <f>L4+IFERROR(VLOOKUP($E:$E,'（居民）工资表-5月'!$E:$S,15,0),0)</f>
        <v>57810</v>
      </c>
      <c r="T4" s="76">
        <f>5000+IFERROR(VLOOKUP($E:$E,'（居民）工资表-5月'!$E:$T,16,0),0)</f>
        <v>30000</v>
      </c>
      <c r="U4" s="76">
        <f>Q4+IFERROR(VLOOKUP($E:$E,'（居民）工资表-5月'!$E:$U,17,0),0)</f>
        <v>3119.4</v>
      </c>
      <c r="V4" s="60">
        <v>6000</v>
      </c>
      <c r="W4" s="60"/>
      <c r="X4" s="60">
        <v>6000</v>
      </c>
      <c r="Y4" s="60"/>
      <c r="Z4" s="60">
        <v>2400</v>
      </c>
      <c r="AA4" s="60"/>
      <c r="AB4" s="75">
        <f>ROUND(SUM(V4:AA4),2)</f>
        <v>14400</v>
      </c>
      <c r="AC4" s="75">
        <f>R4+IFERROR(VLOOKUP($E:$E,'（居民）工资表-5月'!$E:$AC,25,0),0)</f>
        <v>0</v>
      </c>
      <c r="AD4" s="77">
        <f>ROUND(S4-T4-U4-AB4-AC4,2)</f>
        <v>10290.6</v>
      </c>
      <c r="AE4" s="78">
        <f>ROUND(MAX((AD4)*{0.03;0.1;0.2;0.25;0.3;0.35;0.45}-{0;2520;16920;31920;52920;85920;181920},0),2)</f>
        <v>308.72000000000003</v>
      </c>
      <c r="AF4" s="79">
        <f>IFERROR(VLOOKUP(E:E,'（居民）工资表-5月'!E:AF,28,0)+VLOOKUP(E:E,'（居民）工资表-5月'!E:AG,29,0),0)</f>
        <v>301.52</v>
      </c>
      <c r="AG4" s="79">
        <f>IF((AE4-AF4)&lt;0,0,AE4-AF4)</f>
        <v>7.2000000000000455</v>
      </c>
      <c r="AH4" s="82">
        <f>ROUND(IF((L4-Q4-AG4)&lt;0,0,(L4-Q4-AG4)),2)</f>
        <v>9632.9</v>
      </c>
      <c r="AI4" s="83"/>
      <c r="AJ4" s="82">
        <f>AH4+AI4</f>
        <v>9632.9</v>
      </c>
      <c r="AK4" s="84"/>
      <c r="AL4" s="82">
        <f>AJ4+AG4+AK4</f>
        <v>9640.1</v>
      </c>
      <c r="AM4" s="84"/>
      <c r="AN4" s="84"/>
      <c r="AO4" s="84"/>
      <c r="AP4" s="84"/>
      <c r="AQ4" s="84"/>
      <c r="AR4" s="8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IF(SUMPRODUCT(N(E$1:E$18=E4))&gt;1,"重复","不")</f>
        <v>不</v>
      </c>
      <c r="AT4" s="88" t="str">
        <f>IF(SUMPRODUCT(N(AO$1:AO$18=AO4))&gt;1,"重复","不")</f>
        <v>重复</v>
      </c>
    </row>
    <row r="5" spans="1:46" s="10" customFormat="1" ht="18" customHeight="1">
      <c r="A5" s="24">
        <v>2</v>
      </c>
      <c r="B5" s="25" t="s">
        <v>191</v>
      </c>
      <c r="C5" s="25" t="s">
        <v>93</v>
      </c>
      <c r="D5" s="25" t="s">
        <v>192</v>
      </c>
      <c r="E5" s="25" t="s">
        <v>94</v>
      </c>
      <c r="F5" s="26" t="s">
        <v>193</v>
      </c>
      <c r="G5" s="33">
        <v>13944441728</v>
      </c>
      <c r="H5" s="28"/>
      <c r="I5" s="28"/>
      <c r="J5" s="56"/>
      <c r="K5" s="28"/>
      <c r="L5" s="60">
        <v>7000</v>
      </c>
      <c r="M5" s="58">
        <v>268.81</v>
      </c>
      <c r="N5" s="58">
        <v>72.06</v>
      </c>
      <c r="O5" s="58">
        <v>10.08</v>
      </c>
      <c r="P5" s="58">
        <v>82</v>
      </c>
      <c r="Q5" s="74">
        <f>ROUND(SUM(M5:P5),2)</f>
        <v>432.95</v>
      </c>
      <c r="R5" s="60">
        <v>0</v>
      </c>
      <c r="S5" s="75">
        <f>L5+IFERROR(VLOOKUP($E:$E,'（居民）工资表-5月'!$E:$S,15,0),0)</f>
        <v>42000</v>
      </c>
      <c r="T5" s="76">
        <f>5000+IFERROR(VLOOKUP($E:$E,'（居民）工资表-5月'!$E:$T,16,0),0)</f>
        <v>30000</v>
      </c>
      <c r="U5" s="76">
        <f>Q5+IFERROR(VLOOKUP($E:$E,'（居民）工资表-5月'!$E:$U,17,0),0)</f>
        <v>2597.6999999999998</v>
      </c>
      <c r="V5" s="60"/>
      <c r="W5" s="60"/>
      <c r="X5" s="60">
        <v>6000</v>
      </c>
      <c r="Y5" s="60"/>
      <c r="Z5" s="60"/>
      <c r="AA5" s="60"/>
      <c r="AB5" s="75">
        <f>ROUND(SUM(V5:AA5),2)</f>
        <v>6000</v>
      </c>
      <c r="AC5" s="75">
        <f>R5+IFERROR(VLOOKUP($E:$E,'（居民）工资表-5月'!$E:$AC,25,0),0)</f>
        <v>0</v>
      </c>
      <c r="AD5" s="77">
        <f>ROUND(S5-T5-U5-AB5-AC5,2)</f>
        <v>3402.3</v>
      </c>
      <c r="AE5" s="78">
        <f>ROUND(MAX((AD5)*{0.03;0.1;0.2;0.25;0.3;0.35;0.45}-{0;2520;16920;31920;52920;85920;181920},0),2)</f>
        <v>102.07</v>
      </c>
      <c r="AF5" s="79">
        <f>IFERROR(VLOOKUP(E:E,'（居民）工资表-5月'!E:AF,28,0)+VLOOKUP(E:E,'（居民）工资表-5月'!E:AG,29,0),0)</f>
        <v>85.06</v>
      </c>
      <c r="AG5" s="79">
        <f>IF((AE5-AF5)&lt;0,0,AE5-AF5)</f>
        <v>17.009999999999991</v>
      </c>
      <c r="AH5" s="82">
        <f>ROUND(IF((L5-Q5-AG5)&lt;0,0,(L5-Q5-AG5)),2)</f>
        <v>6550.04</v>
      </c>
      <c r="AI5" s="83"/>
      <c r="AJ5" s="82">
        <f>AH5+AI5</f>
        <v>6550.04</v>
      </c>
      <c r="AK5" s="84"/>
      <c r="AL5" s="82">
        <f>AJ5+AG5+AK5</f>
        <v>6567.05</v>
      </c>
      <c r="AM5" s="84"/>
      <c r="AN5" s="84"/>
      <c r="AO5" s="84"/>
      <c r="AP5" s="84"/>
      <c r="AQ5" s="84"/>
      <c r="AR5" s="8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8" t="str">
        <f>IF(SUMPRODUCT(N(E$1:E$18=E5))&gt;1,"重复","不")</f>
        <v>不</v>
      </c>
      <c r="AT5" s="88" t="str">
        <f>IF(SUMPRODUCT(N(AO$1:AO$18=AO5))&gt;1,"重复","不")</f>
        <v>重复</v>
      </c>
    </row>
    <row r="6" spans="1:46" s="10" customFormat="1" ht="18" customHeight="1">
      <c r="A6" s="24">
        <v>3</v>
      </c>
      <c r="B6" s="25" t="s">
        <v>191</v>
      </c>
      <c r="C6" s="25" t="s">
        <v>107</v>
      </c>
      <c r="D6" s="25" t="s">
        <v>192</v>
      </c>
      <c r="E6" s="289" t="s">
        <v>108</v>
      </c>
      <c r="F6" s="26" t="s">
        <v>194</v>
      </c>
      <c r="G6" s="33">
        <v>15360550807</v>
      </c>
      <c r="H6" s="28"/>
      <c r="I6" s="28"/>
      <c r="J6" s="56"/>
      <c r="K6" s="28"/>
      <c r="L6" s="60">
        <v>5700</v>
      </c>
      <c r="M6" s="58">
        <v>367.04</v>
      </c>
      <c r="N6" s="58">
        <v>135.13999999999999</v>
      </c>
      <c r="O6" s="58">
        <v>4.5999999999999996</v>
      </c>
      <c r="P6" s="58">
        <v>115</v>
      </c>
      <c r="Q6" s="74">
        <f>ROUND(SUM(M6:P6),2)</f>
        <v>621.78</v>
      </c>
      <c r="R6" s="60">
        <v>0</v>
      </c>
      <c r="S6" s="75">
        <f>L6+IFERROR(VLOOKUP($E:$E,'（居民）工资表-5月'!$E:$S,15,0),0)</f>
        <v>34200</v>
      </c>
      <c r="T6" s="76">
        <f>5000+IFERROR(VLOOKUP($E:$E,'（居民）工资表-5月'!$E:$T,16,0),0)</f>
        <v>30000</v>
      </c>
      <c r="U6" s="76">
        <f>Q6+IFERROR(VLOOKUP($E:$E,'（居民）工资表-5月'!$E:$U,17,0),0)</f>
        <v>3759.9599999999991</v>
      </c>
      <c r="V6" s="60"/>
      <c r="W6" s="60"/>
      <c r="X6" s="60"/>
      <c r="Y6" s="60">
        <v>9000</v>
      </c>
      <c r="Z6" s="60"/>
      <c r="AA6" s="60"/>
      <c r="AB6" s="75">
        <f>ROUND(SUM(V6:AA6),2)</f>
        <v>9000</v>
      </c>
      <c r="AC6" s="75">
        <f>R6+IFERROR(VLOOKUP($E:$E,'（居民）工资表-5月'!$E:$AC,25,0),0)</f>
        <v>0</v>
      </c>
      <c r="AD6" s="77">
        <f>ROUND(S6-T6-U6-AB6-AC6,2)</f>
        <v>-8559.9599999999991</v>
      </c>
      <c r="AE6" s="78">
        <f>ROUND(MAX((AD6)*{0.03;0.1;0.2;0.25;0.3;0.35;0.45}-{0;2520;16920;31920;52920;85920;181920},0),2)</f>
        <v>0</v>
      </c>
      <c r="AF6" s="79">
        <f>IFERROR(VLOOKUP(E:E,'（居民）工资表-5月'!E:AF,28,0)+VLOOKUP(E:E,'（居民）工资表-5月'!E:AG,29,0),0)</f>
        <v>0</v>
      </c>
      <c r="AG6" s="79">
        <f>IF((AE6-AF6)&lt;0,0,AE6-AF6)</f>
        <v>0</v>
      </c>
      <c r="AH6" s="82">
        <f>ROUND(IF((L6-Q6-AG6)&lt;0,0,(L6-Q6-AG6)),2)</f>
        <v>5078.22</v>
      </c>
      <c r="AI6" s="83"/>
      <c r="AJ6" s="82">
        <f>AH6+AI6</f>
        <v>5078.22</v>
      </c>
      <c r="AK6" s="84"/>
      <c r="AL6" s="82">
        <f>AJ6+AG6+AK6</f>
        <v>5078.22</v>
      </c>
      <c r="AM6" s="84"/>
      <c r="AN6" s="84"/>
      <c r="AO6" s="84"/>
      <c r="AP6" s="84"/>
      <c r="AQ6" s="84"/>
      <c r="AR6" s="88"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8" t="str">
        <f>IF(SUMPRODUCT(N(E$1:E$18=E6))&gt;1,"重复","不")</f>
        <v>不</v>
      </c>
      <c r="AT6" s="88" t="str">
        <f>IF(SUMPRODUCT(N(AO$1:AO$18=AO6))&gt;1,"重复","不")</f>
        <v>重复</v>
      </c>
    </row>
    <row r="7" spans="1:46" s="10" customFormat="1" ht="18" customHeight="1">
      <c r="A7" s="24">
        <v>4</v>
      </c>
      <c r="B7" s="25" t="s">
        <v>191</v>
      </c>
      <c r="C7" s="25" t="s">
        <v>118</v>
      </c>
      <c r="D7" s="25" t="s">
        <v>192</v>
      </c>
      <c r="E7" s="25" t="s">
        <v>119</v>
      </c>
      <c r="F7" s="26" t="s">
        <v>193</v>
      </c>
      <c r="G7" s="33">
        <v>18037463616</v>
      </c>
      <c r="H7" s="28"/>
      <c r="I7" s="28"/>
      <c r="J7" s="56"/>
      <c r="K7" s="28"/>
      <c r="L7" s="60">
        <v>14320</v>
      </c>
      <c r="M7" s="58">
        <v>254.32</v>
      </c>
      <c r="N7" s="58">
        <v>63.94</v>
      </c>
      <c r="O7" s="58">
        <v>9.5399999999999991</v>
      </c>
      <c r="P7" s="58">
        <v>254.32</v>
      </c>
      <c r="Q7" s="74">
        <f t="shared" ref="Q7:Q17" si="0">ROUND(SUM(M7:P7),2)</f>
        <v>582.12</v>
      </c>
      <c r="R7" s="60">
        <v>0</v>
      </c>
      <c r="S7" s="75">
        <f>L7+IFERROR(VLOOKUP($E:$E,'（居民）工资表-5月'!$E:$S,15,0),0)</f>
        <v>70732.63</v>
      </c>
      <c r="T7" s="76">
        <f>5000+IFERROR(VLOOKUP($E:$E,'（居民）工资表-5月'!$E:$T,16,0),0)</f>
        <v>25000</v>
      </c>
      <c r="U7" s="76">
        <f>Q7+IFERROR(VLOOKUP($E:$E,'（居民）工资表-5月'!$E:$U,17,0),0)</f>
        <v>3392.25</v>
      </c>
      <c r="V7" s="60"/>
      <c r="W7" s="60"/>
      <c r="X7" s="60">
        <v>5000</v>
      </c>
      <c r="Y7" s="60"/>
      <c r="Z7" s="60"/>
      <c r="AA7" s="60"/>
      <c r="AB7" s="75">
        <f t="shared" ref="AB7:AB17" si="1">ROUND(SUM(V7:AA7),2)</f>
        <v>5000</v>
      </c>
      <c r="AC7" s="75">
        <f>R7+IFERROR(VLOOKUP($E:$E,'（居民）工资表-5月'!$E:$AC,25,0),0)</f>
        <v>0</v>
      </c>
      <c r="AD7" s="77">
        <f t="shared" ref="AD7:AD17" si="2">ROUND(S7-T7-U7-AB7-AC7,2)</f>
        <v>37340.379999999997</v>
      </c>
      <c r="AE7" s="78">
        <f>ROUND(MAX((AD7)*{0.03;0.1;0.2;0.25;0.3;0.35;0.45}-{0;2520;16920;31920;52920;85920;181920},0),2)</f>
        <v>1214.04</v>
      </c>
      <c r="AF7" s="79">
        <f>IFERROR(VLOOKUP(E:E,'（居民）工资表-5月'!E:AF,28,0)+VLOOKUP(E:E,'（居民）工资表-5月'!E:AG,29,0),0)</f>
        <v>888.08</v>
      </c>
      <c r="AG7" s="79">
        <f t="shared" ref="AG7:AG17" si="3">IF((AE7-AF7)&lt;0,0,AE7-AF7)</f>
        <v>325.95999999999992</v>
      </c>
      <c r="AH7" s="82">
        <f t="shared" ref="AH7:AH17" si="4">ROUND(IF((L7-Q7-AG7)&lt;0,0,(L7-Q7-AG7)),2)</f>
        <v>13411.92</v>
      </c>
      <c r="AI7" s="83"/>
      <c r="AJ7" s="82">
        <f t="shared" ref="AJ7:AJ17" si="5">AH7+AI7</f>
        <v>13411.92</v>
      </c>
      <c r="AK7" s="84"/>
      <c r="AL7" s="82">
        <f t="shared" ref="AL7:AL17" si="6">AJ7+AG7+AK7</f>
        <v>13737.88</v>
      </c>
      <c r="AM7" s="84"/>
      <c r="AN7" s="84"/>
      <c r="AO7" s="84"/>
      <c r="AP7" s="84"/>
      <c r="AQ7" s="84"/>
      <c r="AR7" s="88" t="str">
        <f t="shared" ref="AR7:AR17" si="7">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8" t="str">
        <f t="shared" ref="AS7:AS17" si="8">IF(SUMPRODUCT(N(E$1:E$18=E7))&gt;1,"重复","不")</f>
        <v>不</v>
      </c>
      <c r="AT7" s="88" t="str">
        <f t="shared" ref="AT7:AT17" si="9">IF(SUMPRODUCT(N(AO$1:AO$18=AO7))&gt;1,"重复","不")</f>
        <v>重复</v>
      </c>
    </row>
    <row r="8" spans="1:46" s="10" customFormat="1" ht="18" customHeight="1">
      <c r="A8" s="24">
        <v>5</v>
      </c>
      <c r="B8" s="25" t="s">
        <v>191</v>
      </c>
      <c r="C8" s="25" t="s">
        <v>120</v>
      </c>
      <c r="D8" s="25" t="s">
        <v>192</v>
      </c>
      <c r="E8" s="289" t="s">
        <v>121</v>
      </c>
      <c r="F8" s="26" t="s">
        <v>193</v>
      </c>
      <c r="G8" s="33">
        <v>18500634358</v>
      </c>
      <c r="H8" s="28"/>
      <c r="I8" s="28"/>
      <c r="J8" s="56"/>
      <c r="K8" s="28"/>
      <c r="L8" s="60">
        <v>14620</v>
      </c>
      <c r="M8" s="58">
        <v>254.32</v>
      </c>
      <c r="N8" s="58">
        <v>63.94</v>
      </c>
      <c r="O8" s="58">
        <v>9.5399999999999991</v>
      </c>
      <c r="P8" s="58">
        <v>254.32</v>
      </c>
      <c r="Q8" s="74">
        <f t="shared" si="0"/>
        <v>582.12</v>
      </c>
      <c r="R8" s="60">
        <v>0</v>
      </c>
      <c r="S8" s="75">
        <f>L8+IFERROR(VLOOKUP($E:$E,'（居民）工资表-5月'!$E:$S,15,0),0)</f>
        <v>73280</v>
      </c>
      <c r="T8" s="76">
        <f>5000+IFERROR(VLOOKUP($E:$E,'（居民）工资表-5月'!$E:$T,16,0),0)</f>
        <v>25000</v>
      </c>
      <c r="U8" s="76">
        <f>Q8+IFERROR(VLOOKUP($E:$E,'（居民）工资表-5月'!$E:$U,17,0),0)</f>
        <v>3392.25</v>
      </c>
      <c r="V8" s="60"/>
      <c r="W8" s="60"/>
      <c r="X8" s="60"/>
      <c r="Y8" s="60"/>
      <c r="Z8" s="60"/>
      <c r="AA8" s="60"/>
      <c r="AB8" s="75">
        <f t="shared" si="1"/>
        <v>0</v>
      </c>
      <c r="AC8" s="75">
        <f>R8+IFERROR(VLOOKUP($E:$E,'（居民）工资表-5月'!$E:$AC,25,0),0)</f>
        <v>0</v>
      </c>
      <c r="AD8" s="77">
        <f t="shared" si="2"/>
        <v>44887.75</v>
      </c>
      <c r="AE8" s="78">
        <f>ROUND(MAX((AD8)*{0.03;0.1;0.2;0.25;0.3;0.35;0.45}-{0;2520;16920;31920;52920;85920;181920},0),2)</f>
        <v>1968.78</v>
      </c>
      <c r="AF8" s="79">
        <f>IFERROR(VLOOKUP(E:E,'（居民）工资表-5月'!E:AF,28,0)+VLOOKUP(E:E,'（居民）工资表-5月'!E:AG,29,0),0)</f>
        <v>1075.5</v>
      </c>
      <c r="AG8" s="79">
        <f t="shared" si="3"/>
        <v>893.28</v>
      </c>
      <c r="AH8" s="82">
        <f t="shared" si="4"/>
        <v>13144.6</v>
      </c>
      <c r="AI8" s="83"/>
      <c r="AJ8" s="82">
        <f t="shared" si="5"/>
        <v>13144.6</v>
      </c>
      <c r="AK8" s="84"/>
      <c r="AL8" s="82">
        <f t="shared" si="6"/>
        <v>14037.880000000001</v>
      </c>
      <c r="AM8" s="84"/>
      <c r="AN8" s="84"/>
      <c r="AO8" s="84"/>
      <c r="AP8" s="84"/>
      <c r="AQ8" s="84"/>
      <c r="AR8" s="88" t="str">
        <f t="shared" si="7"/>
        <v>正确</v>
      </c>
      <c r="AS8" s="88" t="str">
        <f t="shared" si="8"/>
        <v>不</v>
      </c>
      <c r="AT8" s="88" t="str">
        <f t="shared" si="9"/>
        <v>重复</v>
      </c>
    </row>
    <row r="9" spans="1:46" s="10" customFormat="1" ht="18" customHeight="1">
      <c r="A9" s="24">
        <v>6</v>
      </c>
      <c r="B9" s="25" t="s">
        <v>191</v>
      </c>
      <c r="C9" s="25" t="s">
        <v>113</v>
      </c>
      <c r="D9" s="25" t="s">
        <v>192</v>
      </c>
      <c r="E9" s="25" t="s">
        <v>114</v>
      </c>
      <c r="F9" s="26" t="s">
        <v>193</v>
      </c>
      <c r="G9" s="33">
        <v>18738169923</v>
      </c>
      <c r="H9" s="28"/>
      <c r="I9" s="28"/>
      <c r="J9" s="56"/>
      <c r="K9" s="28"/>
      <c r="L9" s="60">
        <v>12120</v>
      </c>
      <c r="M9" s="58">
        <v>254.32</v>
      </c>
      <c r="N9" s="58">
        <v>63.94</v>
      </c>
      <c r="O9" s="58">
        <v>9.5399999999999991</v>
      </c>
      <c r="P9" s="58">
        <v>254.32</v>
      </c>
      <c r="Q9" s="74">
        <f t="shared" si="0"/>
        <v>582.12</v>
      </c>
      <c r="R9" s="60">
        <v>0</v>
      </c>
      <c r="S9" s="75">
        <f>L9+IFERROR(VLOOKUP($E:$E,'（居民）工资表-5月'!$E:$S,15,0),0)</f>
        <v>60780</v>
      </c>
      <c r="T9" s="76">
        <f>5000+IFERROR(VLOOKUP($E:$E,'（居民）工资表-5月'!$E:$T,16,0),0)</f>
        <v>25000</v>
      </c>
      <c r="U9" s="76">
        <f>Q9+IFERROR(VLOOKUP($E:$E,'（居民）工资表-5月'!$E:$U,17,0),0)</f>
        <v>3492.72</v>
      </c>
      <c r="V9" s="60"/>
      <c r="W9" s="60"/>
      <c r="X9" s="60"/>
      <c r="Y9" s="60"/>
      <c r="Z9" s="60"/>
      <c r="AA9" s="60"/>
      <c r="AB9" s="75">
        <f t="shared" si="1"/>
        <v>0</v>
      </c>
      <c r="AC9" s="75">
        <f>R9+IFERROR(VLOOKUP($E:$E,'（居民）工资表-5月'!$E:$AC,25,0),0)</f>
        <v>0</v>
      </c>
      <c r="AD9" s="77">
        <f t="shared" si="2"/>
        <v>32287.279999999999</v>
      </c>
      <c r="AE9" s="78">
        <f>ROUND(MAX((AD9)*{0.03;0.1;0.2;0.25;0.3;0.35;0.45}-{0;2520;16920;31920;52920;85920;181920},0),2)</f>
        <v>968.62</v>
      </c>
      <c r="AF9" s="79">
        <f>IFERROR(VLOOKUP(E:E,'（居民）工资表-5月'!E:AF,28,0)+VLOOKUP(E:E,'（居民）工资表-5月'!E:AG,29,0),0)</f>
        <v>772.48</v>
      </c>
      <c r="AG9" s="79">
        <f t="shared" si="3"/>
        <v>196.14</v>
      </c>
      <c r="AH9" s="82">
        <f t="shared" si="4"/>
        <v>11341.74</v>
      </c>
      <c r="AI9" s="83"/>
      <c r="AJ9" s="82">
        <f t="shared" si="5"/>
        <v>11341.74</v>
      </c>
      <c r="AK9" s="84"/>
      <c r="AL9" s="82">
        <f t="shared" si="6"/>
        <v>11537.88</v>
      </c>
      <c r="AM9" s="84"/>
      <c r="AN9" s="84"/>
      <c r="AO9" s="84"/>
      <c r="AP9" s="84"/>
      <c r="AQ9" s="84"/>
      <c r="AR9" s="88" t="str">
        <f t="shared" si="7"/>
        <v>正确</v>
      </c>
      <c r="AS9" s="88" t="str">
        <f t="shared" si="8"/>
        <v>不</v>
      </c>
      <c r="AT9" s="88" t="str">
        <f t="shared" si="9"/>
        <v>重复</v>
      </c>
    </row>
    <row r="10" spans="1:46" s="10" customFormat="1" ht="18" customHeight="1">
      <c r="A10" s="24">
        <v>7</v>
      </c>
      <c r="B10" s="25" t="s">
        <v>191</v>
      </c>
      <c r="C10" s="25" t="s">
        <v>122</v>
      </c>
      <c r="D10" s="25" t="s">
        <v>192</v>
      </c>
      <c r="E10" s="25" t="s">
        <v>123</v>
      </c>
      <c r="F10" s="26" t="s">
        <v>193</v>
      </c>
      <c r="G10" s="33" t="s">
        <v>195</v>
      </c>
      <c r="H10" s="28"/>
      <c r="I10" s="28"/>
      <c r="J10" s="56"/>
      <c r="K10" s="28"/>
      <c r="L10" s="60">
        <v>17120</v>
      </c>
      <c r="M10" s="58">
        <v>254.32</v>
      </c>
      <c r="N10" s="58">
        <v>63.94</v>
      </c>
      <c r="O10" s="58">
        <v>9.5399999999999991</v>
      </c>
      <c r="P10" s="58">
        <v>254.32</v>
      </c>
      <c r="Q10" s="74">
        <f t="shared" si="0"/>
        <v>582.12</v>
      </c>
      <c r="R10" s="60">
        <v>0</v>
      </c>
      <c r="S10" s="75">
        <f>L10+IFERROR(VLOOKUP($E:$E,'（居民）工资表-5月'!$E:$S,15,0),0)</f>
        <v>52254.740000000005</v>
      </c>
      <c r="T10" s="76">
        <f>5000+IFERROR(VLOOKUP($E:$E,'（居民）工资表-5月'!$E:$T,16,0),0)</f>
        <v>15000</v>
      </c>
      <c r="U10" s="76">
        <f>Q10+IFERROR(VLOOKUP($E:$E,'（居民）工资表-5月'!$E:$U,17,0),0)</f>
        <v>2328.48</v>
      </c>
      <c r="V10" s="60"/>
      <c r="W10" s="60"/>
      <c r="X10" s="60"/>
      <c r="Y10" s="60"/>
      <c r="Z10" s="60"/>
      <c r="AA10" s="60"/>
      <c r="AB10" s="75">
        <f t="shared" si="1"/>
        <v>0</v>
      </c>
      <c r="AC10" s="75">
        <f>R10+IFERROR(VLOOKUP($E:$E,'（居民）工资表-5月'!$E:$AC,25,0),0)</f>
        <v>0</v>
      </c>
      <c r="AD10" s="77">
        <f t="shared" si="2"/>
        <v>34926.26</v>
      </c>
      <c r="AE10" s="78">
        <f>ROUND(MAX((AD10)*{0.03;0.1;0.2;0.25;0.3;0.35;0.45}-{0;2520;16920;31920;52920;85920;181920},0),2)</f>
        <v>1047.79</v>
      </c>
      <c r="AF10" s="79">
        <f>IFERROR(VLOOKUP(E:E,'（居民）工资表-5月'!E:AF,28,0)+VLOOKUP(E:E,'（居民）工资表-5月'!E:AG,29,0),0)</f>
        <v>701.65</v>
      </c>
      <c r="AG10" s="79">
        <f t="shared" si="3"/>
        <v>346.14</v>
      </c>
      <c r="AH10" s="82">
        <f t="shared" si="4"/>
        <v>16191.74</v>
      </c>
      <c r="AI10" s="83"/>
      <c r="AJ10" s="82">
        <f t="shared" si="5"/>
        <v>16191.74</v>
      </c>
      <c r="AK10" s="84"/>
      <c r="AL10" s="82">
        <f t="shared" si="6"/>
        <v>16537.88</v>
      </c>
      <c r="AM10" s="84"/>
      <c r="AN10" s="84"/>
      <c r="AO10" s="84"/>
      <c r="AP10" s="84"/>
      <c r="AQ10" s="84"/>
      <c r="AR10" s="88" t="str">
        <f t="shared" si="7"/>
        <v>正确</v>
      </c>
      <c r="AS10" s="88" t="str">
        <f t="shared" si="8"/>
        <v>不</v>
      </c>
      <c r="AT10" s="88" t="str">
        <f t="shared" si="9"/>
        <v>重复</v>
      </c>
    </row>
    <row r="11" spans="1:46" s="10" customFormat="1" ht="18" customHeight="1">
      <c r="A11" s="24">
        <v>8</v>
      </c>
      <c r="B11" s="25" t="s">
        <v>191</v>
      </c>
      <c r="C11" s="25" t="s">
        <v>126</v>
      </c>
      <c r="D11" s="25" t="s">
        <v>192</v>
      </c>
      <c r="E11" s="25" t="s">
        <v>127</v>
      </c>
      <c r="F11" s="26" t="s">
        <v>193</v>
      </c>
      <c r="G11" s="33" t="s">
        <v>196</v>
      </c>
      <c r="H11" s="28"/>
      <c r="I11" s="28"/>
      <c r="J11" s="56"/>
      <c r="K11" s="28"/>
      <c r="L11" s="60">
        <v>18420</v>
      </c>
      <c r="M11" s="58">
        <v>254.32</v>
      </c>
      <c r="N11" s="58">
        <v>63.94</v>
      </c>
      <c r="O11" s="58">
        <v>9.5399999999999991</v>
      </c>
      <c r="P11" s="58">
        <v>254.32</v>
      </c>
      <c r="Q11" s="74">
        <f t="shared" si="0"/>
        <v>582.12</v>
      </c>
      <c r="R11" s="60">
        <v>0</v>
      </c>
      <c r="S11" s="75">
        <f>L11+IFERROR(VLOOKUP($E:$E,'（居民）工资表-5月'!$E:$S,15,0),0)</f>
        <v>51957.39</v>
      </c>
      <c r="T11" s="76">
        <f>5000+IFERROR(VLOOKUP($E:$E,'（居民）工资表-5月'!$E:$T,16,0),0)</f>
        <v>15000</v>
      </c>
      <c r="U11" s="76">
        <f>Q11+IFERROR(VLOOKUP($E:$E,'（居民）工资表-5月'!$E:$U,17,0),0)</f>
        <v>2328.48</v>
      </c>
      <c r="V11" s="60"/>
      <c r="W11" s="60">
        <v>3000</v>
      </c>
      <c r="X11" s="60"/>
      <c r="Y11" s="60">
        <v>4500</v>
      </c>
      <c r="Z11" s="60">
        <v>1200</v>
      </c>
      <c r="AA11" s="60"/>
      <c r="AB11" s="75">
        <f t="shared" si="1"/>
        <v>8700</v>
      </c>
      <c r="AC11" s="75">
        <f>R11+IFERROR(VLOOKUP($E:$E,'（居民）工资表-5月'!$E:$AC,25,0),0)</f>
        <v>0</v>
      </c>
      <c r="AD11" s="77">
        <f t="shared" si="2"/>
        <v>25928.91</v>
      </c>
      <c r="AE11" s="78">
        <f>ROUND(MAX((AD11)*{0.03;0.1;0.2;0.25;0.3;0.35;0.45}-{0;2520;16920;31920;52920;85920;181920},0),2)</f>
        <v>777.87</v>
      </c>
      <c r="AF11" s="79">
        <f>IFERROR(VLOOKUP(E:E,'（居民）工资表-5月'!E:AF,28,0)+VLOOKUP(E:E,'（居民）工资表-5月'!E:AG,29,0),0)</f>
        <v>653.73</v>
      </c>
      <c r="AG11" s="79">
        <f t="shared" si="3"/>
        <v>124.13999999999999</v>
      </c>
      <c r="AH11" s="82">
        <f t="shared" si="4"/>
        <v>17713.740000000002</v>
      </c>
      <c r="AI11" s="83"/>
      <c r="AJ11" s="82">
        <f t="shared" si="5"/>
        <v>17713.740000000002</v>
      </c>
      <c r="AK11" s="84"/>
      <c r="AL11" s="82">
        <f t="shared" si="6"/>
        <v>17837.88</v>
      </c>
      <c r="AM11" s="84"/>
      <c r="AN11" s="84"/>
      <c r="AO11" s="84"/>
      <c r="AP11" s="84"/>
      <c r="AQ11" s="84"/>
      <c r="AR11" s="88" t="str">
        <f t="shared" si="7"/>
        <v>正确</v>
      </c>
      <c r="AS11" s="88" t="str">
        <f t="shared" si="8"/>
        <v>不</v>
      </c>
      <c r="AT11" s="88" t="str">
        <f t="shared" si="9"/>
        <v>重复</v>
      </c>
    </row>
    <row r="12" spans="1:46" s="10" customFormat="1" ht="18" customHeight="1">
      <c r="A12" s="24">
        <v>9</v>
      </c>
      <c r="B12" s="25" t="s">
        <v>191</v>
      </c>
      <c r="C12" s="25" t="s">
        <v>124</v>
      </c>
      <c r="D12" s="25" t="s">
        <v>192</v>
      </c>
      <c r="E12" s="25" t="s">
        <v>125</v>
      </c>
      <c r="F12" s="26" t="s">
        <v>193</v>
      </c>
      <c r="G12" s="33" t="s">
        <v>197</v>
      </c>
      <c r="H12" s="28"/>
      <c r="I12" s="28"/>
      <c r="J12" s="56"/>
      <c r="K12" s="28"/>
      <c r="L12" s="60">
        <v>13620</v>
      </c>
      <c r="M12" s="58">
        <v>254.32</v>
      </c>
      <c r="N12" s="58">
        <v>63.94</v>
      </c>
      <c r="O12" s="58">
        <v>9.5399999999999991</v>
      </c>
      <c r="P12" s="58">
        <v>254.32</v>
      </c>
      <c r="Q12" s="74">
        <f t="shared" si="0"/>
        <v>582.12</v>
      </c>
      <c r="R12" s="60">
        <v>0</v>
      </c>
      <c r="S12" s="75">
        <f>L12+IFERROR(VLOOKUP($E:$E,'（居民）工资表-5月'!$E:$S,15,0),0)</f>
        <v>38392.17</v>
      </c>
      <c r="T12" s="76">
        <f>5000+IFERROR(VLOOKUP($E:$E,'（居民）工资表-5月'!$E:$T,16,0),0)</f>
        <v>15000</v>
      </c>
      <c r="U12" s="76">
        <f>Q12+IFERROR(VLOOKUP($E:$E,'（居民）工资表-5月'!$E:$U,17,0),0)</f>
        <v>2328.48</v>
      </c>
      <c r="V12" s="60"/>
      <c r="W12" s="60"/>
      <c r="X12" s="60"/>
      <c r="Y12" s="60"/>
      <c r="Z12" s="60"/>
      <c r="AA12" s="60"/>
      <c r="AB12" s="75">
        <f t="shared" si="1"/>
        <v>0</v>
      </c>
      <c r="AC12" s="75">
        <f>R12+IFERROR(VLOOKUP($E:$E,'（居民）工资表-5月'!$E:$AC,25,0),0)</f>
        <v>0</v>
      </c>
      <c r="AD12" s="77">
        <f t="shared" si="2"/>
        <v>21063.69</v>
      </c>
      <c r="AE12" s="78">
        <f>ROUND(MAX((AD12)*{0.03;0.1;0.2;0.25;0.3;0.35;0.45}-{0;2520;16920;31920;52920;85920;181920},0),2)</f>
        <v>631.91</v>
      </c>
      <c r="AF12" s="79">
        <f>IFERROR(VLOOKUP(E:E,'（居民）工资表-5月'!E:AF,28,0)+VLOOKUP(E:E,'（居民）工资表-5月'!E:AG,29,0),0)</f>
        <v>390.77</v>
      </c>
      <c r="AG12" s="79">
        <f t="shared" si="3"/>
        <v>241.14</v>
      </c>
      <c r="AH12" s="82">
        <f t="shared" si="4"/>
        <v>12796.74</v>
      </c>
      <c r="AI12" s="83"/>
      <c r="AJ12" s="82">
        <f t="shared" si="5"/>
        <v>12796.74</v>
      </c>
      <c r="AK12" s="84"/>
      <c r="AL12" s="82">
        <f t="shared" si="6"/>
        <v>13037.88</v>
      </c>
      <c r="AM12" s="84"/>
      <c r="AN12" s="84"/>
      <c r="AO12" s="84"/>
      <c r="AP12" s="84"/>
      <c r="AQ12" s="84"/>
      <c r="AR12" s="88" t="str">
        <f t="shared" si="7"/>
        <v>正确</v>
      </c>
      <c r="AS12" s="88" t="str">
        <f t="shared" si="8"/>
        <v>不</v>
      </c>
      <c r="AT12" s="88" t="str">
        <f t="shared" si="9"/>
        <v>重复</v>
      </c>
    </row>
    <row r="13" spans="1:46" s="10" customFormat="1" ht="18" customHeight="1">
      <c r="A13" s="24">
        <v>10</v>
      </c>
      <c r="B13" s="25" t="s">
        <v>191</v>
      </c>
      <c r="C13" s="25" t="s">
        <v>116</v>
      </c>
      <c r="D13" s="25" t="s">
        <v>192</v>
      </c>
      <c r="E13" s="25" t="s">
        <v>117</v>
      </c>
      <c r="F13" s="26" t="s">
        <v>193</v>
      </c>
      <c r="G13" s="33">
        <v>15001138812</v>
      </c>
      <c r="H13" s="28"/>
      <c r="I13" s="28"/>
      <c r="J13" s="56"/>
      <c r="K13" s="28"/>
      <c r="L13" s="60">
        <v>10120</v>
      </c>
      <c r="M13" s="58">
        <v>254.32</v>
      </c>
      <c r="N13" s="58">
        <v>63.94</v>
      </c>
      <c r="O13" s="58">
        <v>9.5399999999999991</v>
      </c>
      <c r="P13" s="58">
        <v>254.32</v>
      </c>
      <c r="Q13" s="74">
        <f t="shared" si="0"/>
        <v>582.12</v>
      </c>
      <c r="R13" s="60">
        <v>0</v>
      </c>
      <c r="S13" s="75">
        <f>L13+IFERROR(VLOOKUP($E:$E,'（居民）工资表-5月'!$E:$S,15,0),0)</f>
        <v>50780</v>
      </c>
      <c r="T13" s="76">
        <f>5000+IFERROR(VLOOKUP($E:$E,'（居民）工资表-5月'!$E:$T,16,0),0)</f>
        <v>25000</v>
      </c>
      <c r="U13" s="76">
        <f>Q13+IFERROR(VLOOKUP($E:$E,'（居民）工资表-5月'!$E:$U,17,0),0)</f>
        <v>3492.72</v>
      </c>
      <c r="V13" s="60"/>
      <c r="W13" s="60"/>
      <c r="X13" s="60"/>
      <c r="Y13" s="60"/>
      <c r="Z13" s="60"/>
      <c r="AA13" s="60"/>
      <c r="AB13" s="75">
        <f t="shared" si="1"/>
        <v>0</v>
      </c>
      <c r="AC13" s="75">
        <f>R13+IFERROR(VLOOKUP($E:$E,'（居民）工资表-5月'!$E:$AC,25,0),0)</f>
        <v>0</v>
      </c>
      <c r="AD13" s="77">
        <f t="shared" si="2"/>
        <v>22287.279999999999</v>
      </c>
      <c r="AE13" s="78">
        <f>ROUND(MAX((AD13)*{0.03;0.1;0.2;0.25;0.3;0.35;0.45}-{0;2520;16920;31920;52920;85920;181920},0),2)</f>
        <v>668.62</v>
      </c>
      <c r="AF13" s="79">
        <f>IFERROR(VLOOKUP(E:E,'（居民）工资表-5月'!E:AF,28,0)+VLOOKUP(E:E,'（居民）工资表-5月'!E:AG,29,0),0)</f>
        <v>532.48</v>
      </c>
      <c r="AG13" s="79">
        <f t="shared" si="3"/>
        <v>136.13999999999999</v>
      </c>
      <c r="AH13" s="82">
        <f t="shared" si="4"/>
        <v>9401.74</v>
      </c>
      <c r="AI13" s="83"/>
      <c r="AJ13" s="82">
        <f t="shared" si="5"/>
        <v>9401.74</v>
      </c>
      <c r="AK13" s="84"/>
      <c r="AL13" s="82">
        <f t="shared" si="6"/>
        <v>9537.8799999999992</v>
      </c>
      <c r="AM13" s="84"/>
      <c r="AN13" s="84"/>
      <c r="AO13" s="84"/>
      <c r="AP13" s="84"/>
      <c r="AQ13" s="84"/>
      <c r="AR13" s="88" t="str">
        <f t="shared" si="7"/>
        <v>正确</v>
      </c>
      <c r="AS13" s="88" t="str">
        <f t="shared" si="8"/>
        <v>不</v>
      </c>
      <c r="AT13" s="88" t="str">
        <f t="shared" si="9"/>
        <v>重复</v>
      </c>
    </row>
    <row r="14" spans="1:46" s="10" customFormat="1" ht="18" customHeight="1">
      <c r="A14" s="24">
        <v>11</v>
      </c>
      <c r="B14" s="25" t="s">
        <v>191</v>
      </c>
      <c r="C14" s="25" t="s">
        <v>128</v>
      </c>
      <c r="D14" s="25" t="s">
        <v>192</v>
      </c>
      <c r="E14" s="25" t="s">
        <v>129</v>
      </c>
      <c r="F14" s="26" t="s">
        <v>193</v>
      </c>
      <c r="G14" s="33">
        <v>15333903368</v>
      </c>
      <c r="H14" s="28"/>
      <c r="I14" s="28"/>
      <c r="J14" s="56"/>
      <c r="K14" s="28"/>
      <c r="L14" s="60">
        <v>15120</v>
      </c>
      <c r="M14" s="58">
        <v>254.32</v>
      </c>
      <c r="N14" s="58">
        <v>63.94</v>
      </c>
      <c r="O14" s="58">
        <v>9.5399999999999991</v>
      </c>
      <c r="P14" s="58">
        <v>254.32</v>
      </c>
      <c r="Q14" s="74">
        <f t="shared" si="0"/>
        <v>582.12</v>
      </c>
      <c r="R14" s="60">
        <v>0</v>
      </c>
      <c r="S14" s="75">
        <f>L14+IFERROR(VLOOKUP($E:$E,'（居民）工资表-5月'!$E:$S,15,0),0)</f>
        <v>36109.57</v>
      </c>
      <c r="T14" s="76">
        <f>5000+IFERROR(VLOOKUP($E:$E,'（居民）工资表-5月'!$E:$T,16,0),0)</f>
        <v>15000</v>
      </c>
      <c r="U14" s="76">
        <f>Q14+IFERROR(VLOOKUP($E:$E,'（居民）工资表-5月'!$E:$U,17,0),0)</f>
        <v>1746.3600000000001</v>
      </c>
      <c r="V14" s="60"/>
      <c r="W14" s="60"/>
      <c r="X14" s="60"/>
      <c r="Y14" s="60"/>
      <c r="Z14" s="60"/>
      <c r="AA14" s="60"/>
      <c r="AB14" s="75">
        <f t="shared" si="1"/>
        <v>0</v>
      </c>
      <c r="AC14" s="75">
        <f>R14+IFERROR(VLOOKUP($E:$E,'（居民）工资表-5月'!$E:$AC,25,0),0)</f>
        <v>0</v>
      </c>
      <c r="AD14" s="77">
        <f t="shared" si="2"/>
        <v>19363.21</v>
      </c>
      <c r="AE14" s="78">
        <f>ROUND(MAX((AD14)*{0.03;0.1;0.2;0.25;0.3;0.35;0.45}-{0;2520;16920;31920;52920;85920;181920},0),2)</f>
        <v>580.9</v>
      </c>
      <c r="AF14" s="79">
        <f>IFERROR(VLOOKUP(E:E,'（居民）工资表-5月'!E:AF,28,0)+VLOOKUP(E:E,'（居民）工资表-5月'!E:AG,29,0),0)</f>
        <v>294.76</v>
      </c>
      <c r="AG14" s="79">
        <f t="shared" si="3"/>
        <v>286.14</v>
      </c>
      <c r="AH14" s="82">
        <f t="shared" si="4"/>
        <v>14251.74</v>
      </c>
      <c r="AI14" s="83"/>
      <c r="AJ14" s="82">
        <f t="shared" si="5"/>
        <v>14251.74</v>
      </c>
      <c r="AK14" s="84"/>
      <c r="AL14" s="82">
        <f t="shared" si="6"/>
        <v>14537.88</v>
      </c>
      <c r="AM14" s="84"/>
      <c r="AN14" s="84"/>
      <c r="AO14" s="84"/>
      <c r="AP14" s="84"/>
      <c r="AQ14" s="84"/>
      <c r="AR14" s="88" t="str">
        <f t="shared" si="7"/>
        <v>正确</v>
      </c>
      <c r="AS14" s="88" t="str">
        <f t="shared" si="8"/>
        <v>不</v>
      </c>
      <c r="AT14" s="88" t="str">
        <f t="shared" si="9"/>
        <v>重复</v>
      </c>
    </row>
    <row r="15" spans="1:46" s="10" customFormat="1" ht="18" customHeight="1">
      <c r="A15" s="24">
        <v>12</v>
      </c>
      <c r="B15" s="25" t="s">
        <v>191</v>
      </c>
      <c r="C15" s="25" t="s">
        <v>134</v>
      </c>
      <c r="D15" s="25" t="s">
        <v>192</v>
      </c>
      <c r="E15" s="25" t="s">
        <v>135</v>
      </c>
      <c r="F15" s="26" t="s">
        <v>193</v>
      </c>
      <c r="G15" s="33">
        <v>18009593554</v>
      </c>
      <c r="H15" s="28"/>
      <c r="I15" s="28"/>
      <c r="J15" s="56"/>
      <c r="K15" s="28"/>
      <c r="L15" s="60">
        <v>11820</v>
      </c>
      <c r="M15" s="58">
        <v>280.95999999999998</v>
      </c>
      <c r="N15" s="58">
        <v>83.24</v>
      </c>
      <c r="O15" s="58">
        <v>17.559999999999999</v>
      </c>
      <c r="P15" s="58">
        <v>195</v>
      </c>
      <c r="Q15" s="74">
        <f t="shared" si="0"/>
        <v>576.76</v>
      </c>
      <c r="R15" s="60">
        <v>0</v>
      </c>
      <c r="S15" s="75">
        <f>L15+IFERROR(VLOOKUP($E:$E,'（居民）工资表-5月'!$E:$S,15,0),0)</f>
        <v>18733.64</v>
      </c>
      <c r="T15" s="76">
        <f>5000+IFERROR(VLOOKUP($E:$E,'（居民）工资表-5月'!$E:$T,16,0),0)</f>
        <v>10000</v>
      </c>
      <c r="U15" s="76">
        <f>Q15+IFERROR(VLOOKUP($E:$E,'（居民）工资表-5月'!$E:$U,17,0),0)</f>
        <v>1730.28</v>
      </c>
      <c r="V15" s="60"/>
      <c r="W15" s="60"/>
      <c r="X15" s="60"/>
      <c r="Y15" s="60"/>
      <c r="Z15" s="60"/>
      <c r="AA15" s="60"/>
      <c r="AB15" s="75">
        <f t="shared" si="1"/>
        <v>0</v>
      </c>
      <c r="AC15" s="75">
        <f>R15+IFERROR(VLOOKUP($E:$E,'（居民）工资表-5月'!$E:$AC,25,0),0)</f>
        <v>0</v>
      </c>
      <c r="AD15" s="77">
        <f t="shared" si="2"/>
        <v>7003.36</v>
      </c>
      <c r="AE15" s="78">
        <f>ROUND(MAX((AD15)*{0.03;0.1;0.2;0.25;0.3;0.35;0.45}-{0;2520;16920;31920;52920;85920;181920},0),2)</f>
        <v>210.1</v>
      </c>
      <c r="AF15" s="79">
        <f>IFERROR(VLOOKUP(E:E,'（居民）工资表-5月'!E:AF,28,0)+VLOOKUP(E:E,'（居民）工资表-5月'!E:AG,29,0),0)</f>
        <v>22.8</v>
      </c>
      <c r="AG15" s="79">
        <f t="shared" si="3"/>
        <v>187.29999999999998</v>
      </c>
      <c r="AH15" s="82">
        <f t="shared" si="4"/>
        <v>11055.94</v>
      </c>
      <c r="AI15" s="83"/>
      <c r="AJ15" s="82">
        <f t="shared" si="5"/>
        <v>11055.94</v>
      </c>
      <c r="AK15" s="84"/>
      <c r="AL15" s="82">
        <f t="shared" si="6"/>
        <v>11243.24</v>
      </c>
      <c r="AM15" s="84"/>
      <c r="AN15" s="84"/>
      <c r="AO15" s="84"/>
      <c r="AP15" s="84"/>
      <c r="AQ15" s="84"/>
      <c r="AR15" s="88" t="str">
        <f t="shared" si="7"/>
        <v>正确</v>
      </c>
      <c r="AS15" s="88" t="str">
        <f t="shared" si="8"/>
        <v>不</v>
      </c>
      <c r="AT15" s="88" t="str">
        <f t="shared" si="9"/>
        <v>重复</v>
      </c>
    </row>
    <row r="16" spans="1:46" s="10" customFormat="1" ht="18" customHeight="1">
      <c r="A16" s="24">
        <v>13</v>
      </c>
      <c r="B16" s="25" t="s">
        <v>191</v>
      </c>
      <c r="C16" s="25" t="s">
        <v>130</v>
      </c>
      <c r="D16" s="25" t="s">
        <v>192</v>
      </c>
      <c r="E16" s="25" t="s">
        <v>131</v>
      </c>
      <c r="F16" s="26" t="s">
        <v>193</v>
      </c>
      <c r="G16" s="33">
        <v>17795512929</v>
      </c>
      <c r="H16" s="28"/>
      <c r="I16" s="28"/>
      <c r="J16" s="56"/>
      <c r="K16" s="28"/>
      <c r="L16" s="60">
        <v>11120</v>
      </c>
      <c r="M16" s="58">
        <v>280.95999999999998</v>
      </c>
      <c r="N16" s="58">
        <v>83.24</v>
      </c>
      <c r="O16" s="58">
        <v>17.559999999999999</v>
      </c>
      <c r="P16" s="58">
        <v>195</v>
      </c>
      <c r="Q16" s="74">
        <f t="shared" si="0"/>
        <v>576.76</v>
      </c>
      <c r="R16" s="60">
        <v>0</v>
      </c>
      <c r="S16" s="75">
        <f>L16+IFERROR(VLOOKUP($E:$E,'（居民）工资表-5月'!$E:$S,15,0),0)</f>
        <v>17620</v>
      </c>
      <c r="T16" s="76">
        <f>5000+IFERROR(VLOOKUP($E:$E,'（居民）工资表-5月'!$E:$T,16,0),0)</f>
        <v>10000</v>
      </c>
      <c r="U16" s="76">
        <f>Q16+IFERROR(VLOOKUP($E:$E,'（居民）工资表-5月'!$E:$U,17,0),0)</f>
        <v>1730.28</v>
      </c>
      <c r="V16" s="60"/>
      <c r="W16" s="60"/>
      <c r="X16" s="60"/>
      <c r="Y16" s="60"/>
      <c r="Z16" s="60"/>
      <c r="AA16" s="60"/>
      <c r="AB16" s="75">
        <f t="shared" si="1"/>
        <v>0</v>
      </c>
      <c r="AC16" s="75">
        <f>R16+IFERROR(VLOOKUP($E:$E,'（居民）工资表-5月'!$E:$AC,25,0),0)</f>
        <v>0</v>
      </c>
      <c r="AD16" s="77">
        <f t="shared" si="2"/>
        <v>5889.72</v>
      </c>
      <c r="AE16" s="78">
        <f>ROUND(MAX((AD16)*{0.03;0.1;0.2;0.25;0.3;0.35;0.45}-{0;2520;16920;31920;52920;85920;181920},0),2)</f>
        <v>176.69</v>
      </c>
      <c r="AF16" s="79">
        <f>IFERROR(VLOOKUP(E:E,'（居民）工资表-5月'!E:AF,28,0)+VLOOKUP(E:E,'（居民）工资表-5月'!E:AG,29,0),0)</f>
        <v>10.39</v>
      </c>
      <c r="AG16" s="79">
        <f t="shared" si="3"/>
        <v>166.3</v>
      </c>
      <c r="AH16" s="82">
        <f t="shared" si="4"/>
        <v>10376.94</v>
      </c>
      <c r="AI16" s="83"/>
      <c r="AJ16" s="82">
        <f t="shared" si="5"/>
        <v>10376.94</v>
      </c>
      <c r="AK16" s="84"/>
      <c r="AL16" s="82">
        <f t="shared" si="6"/>
        <v>10543.24</v>
      </c>
      <c r="AM16" s="84"/>
      <c r="AN16" s="84"/>
      <c r="AO16" s="84"/>
      <c r="AP16" s="84"/>
      <c r="AQ16" s="84"/>
      <c r="AR16" s="88" t="str">
        <f t="shared" si="7"/>
        <v>正确</v>
      </c>
      <c r="AS16" s="88" t="str">
        <f t="shared" si="8"/>
        <v>不</v>
      </c>
      <c r="AT16" s="88" t="str">
        <f t="shared" si="9"/>
        <v>重复</v>
      </c>
    </row>
    <row r="17" spans="1:46" s="10" customFormat="1" ht="18" customHeight="1">
      <c r="A17" s="24">
        <v>14</v>
      </c>
      <c r="B17" s="25" t="s">
        <v>191</v>
      </c>
      <c r="C17" s="25" t="s">
        <v>132</v>
      </c>
      <c r="D17" s="25" t="s">
        <v>192</v>
      </c>
      <c r="E17" s="25" t="s">
        <v>133</v>
      </c>
      <c r="F17" s="26" t="s">
        <v>193</v>
      </c>
      <c r="G17" s="33">
        <v>18995128068</v>
      </c>
      <c r="H17" s="28"/>
      <c r="I17" s="28"/>
      <c r="J17" s="56"/>
      <c r="K17" s="28"/>
      <c r="L17" s="60">
        <v>11120</v>
      </c>
      <c r="M17" s="58">
        <v>280.95999999999998</v>
      </c>
      <c r="N17" s="58">
        <v>83.24</v>
      </c>
      <c r="O17" s="58">
        <v>17.559999999999999</v>
      </c>
      <c r="P17" s="58">
        <v>195</v>
      </c>
      <c r="Q17" s="74">
        <f t="shared" si="0"/>
        <v>576.76</v>
      </c>
      <c r="R17" s="60">
        <v>0</v>
      </c>
      <c r="S17" s="75">
        <f>L17+IFERROR(VLOOKUP($E:$E,'（居民）工资表-5月'!$E:$S,15,0),0)</f>
        <v>17620</v>
      </c>
      <c r="T17" s="76">
        <f>5000+IFERROR(VLOOKUP($E:$E,'（居民）工资表-5月'!$E:$T,16,0),0)</f>
        <v>10000</v>
      </c>
      <c r="U17" s="76">
        <f>Q17+IFERROR(VLOOKUP($E:$E,'（居民）工资表-5月'!$E:$U,17,0),0)</f>
        <v>1730.28</v>
      </c>
      <c r="V17" s="60"/>
      <c r="W17" s="60"/>
      <c r="X17" s="60"/>
      <c r="Y17" s="60"/>
      <c r="Z17" s="60"/>
      <c r="AA17" s="60"/>
      <c r="AB17" s="75">
        <f t="shared" si="1"/>
        <v>0</v>
      </c>
      <c r="AC17" s="75">
        <f>R17+IFERROR(VLOOKUP($E:$E,'（居民）工资表-5月'!$E:$AC,25,0),0)</f>
        <v>0</v>
      </c>
      <c r="AD17" s="77">
        <f t="shared" si="2"/>
        <v>5889.72</v>
      </c>
      <c r="AE17" s="78">
        <f>ROUND(MAX((AD17)*{0.03;0.1;0.2;0.25;0.3;0.35;0.45}-{0;2520;16920;31920;52920;85920;181920},0),2)</f>
        <v>176.69</v>
      </c>
      <c r="AF17" s="79">
        <f>IFERROR(VLOOKUP(E:E,'（居民）工资表-5月'!E:AF,28,0)+VLOOKUP(E:E,'（居民）工资表-5月'!E:AG,29,0),0)</f>
        <v>10.39</v>
      </c>
      <c r="AG17" s="79">
        <f t="shared" si="3"/>
        <v>166.3</v>
      </c>
      <c r="AH17" s="82">
        <f t="shared" si="4"/>
        <v>10376.94</v>
      </c>
      <c r="AI17" s="83"/>
      <c r="AJ17" s="82">
        <f t="shared" si="5"/>
        <v>10376.94</v>
      </c>
      <c r="AK17" s="84"/>
      <c r="AL17" s="82">
        <f t="shared" si="6"/>
        <v>10543.24</v>
      </c>
      <c r="AM17" s="84"/>
      <c r="AN17" s="84"/>
      <c r="AO17" s="84"/>
      <c r="AP17" s="84"/>
      <c r="AQ17" s="84"/>
      <c r="AR17" s="88" t="str">
        <f t="shared" si="7"/>
        <v>正确</v>
      </c>
      <c r="AS17" s="88" t="str">
        <f t="shared" si="8"/>
        <v>不</v>
      </c>
      <c r="AT17" s="88" t="str">
        <f t="shared" si="9"/>
        <v>重复</v>
      </c>
    </row>
    <row r="18" spans="1:46" s="10" customFormat="1" ht="18" customHeight="1">
      <c r="A18" s="24"/>
      <c r="B18" s="25"/>
      <c r="C18" s="25"/>
      <c r="D18" s="25"/>
      <c r="E18" s="25"/>
      <c r="F18" s="26"/>
      <c r="G18" s="33"/>
      <c r="H18" s="28"/>
      <c r="I18" s="28"/>
      <c r="J18" s="56"/>
      <c r="K18" s="28"/>
      <c r="L18" s="60"/>
      <c r="M18" s="58"/>
      <c r="N18" s="58"/>
      <c r="O18" s="58"/>
      <c r="P18" s="58"/>
      <c r="Q18" s="74"/>
      <c r="R18" s="60"/>
      <c r="S18" s="75"/>
      <c r="T18" s="76"/>
      <c r="U18" s="76"/>
      <c r="V18" s="60"/>
      <c r="W18" s="60"/>
      <c r="X18" s="60"/>
      <c r="Y18" s="60"/>
      <c r="Z18" s="60"/>
      <c r="AA18" s="60"/>
      <c r="AB18" s="75"/>
      <c r="AC18" s="75"/>
      <c r="AD18" s="77"/>
      <c r="AE18" s="78"/>
      <c r="AF18" s="79"/>
      <c r="AG18" s="79"/>
      <c r="AH18" s="82"/>
      <c r="AI18" s="83"/>
      <c r="AJ18" s="82"/>
      <c r="AK18" s="84"/>
      <c r="AL18" s="82"/>
      <c r="AM18" s="84"/>
      <c r="AN18" s="84"/>
      <c r="AO18" s="84"/>
      <c r="AP18" s="84"/>
      <c r="AQ18" s="84"/>
      <c r="AR18" s="88"/>
      <c r="AS18" s="88"/>
      <c r="AT18" s="88"/>
    </row>
    <row r="19" spans="1:46" s="11" customFormat="1" ht="18" customHeight="1">
      <c r="A19" s="34"/>
      <c r="B19" s="35" t="s">
        <v>198</v>
      </c>
      <c r="C19" s="35"/>
      <c r="D19" s="36"/>
      <c r="E19" s="37"/>
      <c r="F19" s="38"/>
      <c r="G19" s="39"/>
      <c r="H19" s="38"/>
      <c r="I19" s="61"/>
      <c r="J19" s="62"/>
      <c r="K19" s="61"/>
      <c r="L19" s="63">
        <f t="shared" ref="L19:AL19" si="10">SUM(L4:L18)</f>
        <v>172380</v>
      </c>
      <c r="M19" s="63">
        <f t="shared" si="10"/>
        <v>3777.29</v>
      </c>
      <c r="N19" s="63">
        <f t="shared" si="10"/>
        <v>1034.44</v>
      </c>
      <c r="O19" s="63">
        <f t="shared" si="10"/>
        <v>153.58000000000001</v>
      </c>
      <c r="P19" s="63">
        <f t="shared" si="10"/>
        <v>2996.56</v>
      </c>
      <c r="Q19" s="63">
        <f t="shared" si="10"/>
        <v>7961.87</v>
      </c>
      <c r="R19" s="63">
        <f t="shared" si="10"/>
        <v>0</v>
      </c>
      <c r="S19" s="63">
        <f t="shared" si="10"/>
        <v>622270.1399999999</v>
      </c>
      <c r="T19" s="63">
        <f t="shared" si="10"/>
        <v>280000</v>
      </c>
      <c r="U19" s="63">
        <f t="shared" si="10"/>
        <v>37169.64</v>
      </c>
      <c r="V19" s="63">
        <f t="shared" si="10"/>
        <v>6000</v>
      </c>
      <c r="W19" s="63">
        <f t="shared" si="10"/>
        <v>3000</v>
      </c>
      <c r="X19" s="63">
        <f t="shared" si="10"/>
        <v>17000</v>
      </c>
      <c r="Y19" s="63">
        <f t="shared" si="10"/>
        <v>13500</v>
      </c>
      <c r="Z19" s="63">
        <f t="shared" si="10"/>
        <v>3600</v>
      </c>
      <c r="AA19" s="63">
        <f t="shared" si="10"/>
        <v>0</v>
      </c>
      <c r="AB19" s="63">
        <f t="shared" si="10"/>
        <v>43100</v>
      </c>
      <c r="AC19" s="63">
        <f t="shared" si="10"/>
        <v>0</v>
      </c>
      <c r="AD19" s="63">
        <f t="shared" si="10"/>
        <v>262000.5</v>
      </c>
      <c r="AE19" s="63">
        <f t="shared" si="10"/>
        <v>8832.8000000000011</v>
      </c>
      <c r="AF19" s="63">
        <f t="shared" si="10"/>
        <v>5739.6100000000015</v>
      </c>
      <c r="AG19" s="63">
        <f t="shared" si="10"/>
        <v>3093.1899999999996</v>
      </c>
      <c r="AH19" s="63">
        <f t="shared" si="10"/>
        <v>161324.94000000003</v>
      </c>
      <c r="AI19" s="109">
        <f t="shared" si="10"/>
        <v>0</v>
      </c>
      <c r="AJ19" s="63">
        <f t="shared" si="10"/>
        <v>161324.94000000003</v>
      </c>
      <c r="AK19" s="63">
        <f t="shared" si="10"/>
        <v>0</v>
      </c>
      <c r="AL19" s="63">
        <f t="shared" si="10"/>
        <v>164418.12999999998</v>
      </c>
      <c r="AM19" s="85"/>
      <c r="AN19" s="85"/>
      <c r="AO19" s="85"/>
      <c r="AP19" s="85"/>
      <c r="AQ19" s="85"/>
      <c r="AR19" s="38"/>
      <c r="AS19" s="38"/>
      <c r="AT19" s="89"/>
    </row>
    <row r="22" spans="1:46">
      <c r="AD22" s="80"/>
    </row>
    <row r="23" spans="1:46" ht="18.75" customHeight="1">
      <c r="B23" s="40" t="s">
        <v>172</v>
      </c>
      <c r="C23" s="40" t="s">
        <v>199</v>
      </c>
      <c r="D23" s="40" t="s">
        <v>57</v>
      </c>
      <c r="E23" s="40" t="s">
        <v>58</v>
      </c>
      <c r="AD23" s="8"/>
      <c r="AJ23" s="13">
        <v>80</v>
      </c>
    </row>
    <row r="24" spans="1:46" ht="18.75" customHeight="1">
      <c r="B24" s="41">
        <f>AJ19</f>
        <v>161324.94000000003</v>
      </c>
      <c r="C24" s="41">
        <f>AG19</f>
        <v>3093.1899999999996</v>
      </c>
      <c r="D24" s="41">
        <f>AK19</f>
        <v>0</v>
      </c>
      <c r="E24" s="41">
        <f>B24+C24+D24</f>
        <v>164418.13000000003</v>
      </c>
    </row>
    <row r="25" spans="1:46">
      <c r="B25" s="42"/>
      <c r="C25" s="42"/>
      <c r="D25" s="42"/>
      <c r="E25" s="42"/>
    </row>
    <row r="26" spans="1:46" s="12" customFormat="1">
      <c r="A26" s="43" t="s">
        <v>200</v>
      </c>
      <c r="B26" s="44" t="s">
        <v>201</v>
      </c>
      <c r="C26" s="45"/>
      <c r="D26" s="45"/>
      <c r="E26" s="45"/>
      <c r="G26" s="46"/>
      <c r="J26" s="64"/>
      <c r="M26" s="65"/>
      <c r="AI26" s="86"/>
    </row>
    <row r="27" spans="1:46" s="12" customFormat="1">
      <c r="A27" s="47"/>
      <c r="B27" s="48" t="s">
        <v>202</v>
      </c>
      <c r="C27" s="45"/>
      <c r="D27" s="45"/>
      <c r="E27" s="45"/>
      <c r="G27" s="46"/>
      <c r="J27" s="64"/>
      <c r="M27" s="65"/>
      <c r="AI27" s="86"/>
    </row>
    <row r="28" spans="1:46" s="12" customFormat="1">
      <c r="A28" s="44"/>
      <c r="B28" s="48" t="s">
        <v>203</v>
      </c>
      <c r="C28" s="49"/>
      <c r="D28" s="49"/>
      <c r="E28" s="49"/>
      <c r="F28" s="49"/>
      <c r="G28" s="49"/>
      <c r="H28" s="49"/>
      <c r="I28" s="49"/>
      <c r="J28" s="66"/>
      <c r="K28" s="49"/>
      <c r="L28" s="49"/>
      <c r="M28" s="67"/>
      <c r="N28" s="49"/>
      <c r="O28" s="49"/>
      <c r="P28" s="49"/>
      <c r="AI28" s="86"/>
    </row>
    <row r="29" spans="1:46" s="12" customFormat="1" ht="13.5" customHeight="1">
      <c r="A29" s="48"/>
      <c r="B29" s="48" t="s">
        <v>204</v>
      </c>
      <c r="C29" s="50"/>
      <c r="D29" s="50"/>
      <c r="E29" s="50"/>
      <c r="F29" s="50"/>
      <c r="G29" s="50"/>
      <c r="H29" s="50"/>
      <c r="I29" s="68"/>
      <c r="J29" s="69"/>
      <c r="K29" s="68"/>
      <c r="L29" s="68"/>
      <c r="M29" s="70"/>
      <c r="N29" s="68"/>
      <c r="O29" s="68"/>
      <c r="P29" s="68"/>
      <c r="AI29" s="86"/>
    </row>
    <row r="30" spans="1:46" s="12" customFormat="1" ht="13.5" customHeight="1">
      <c r="A30" s="48"/>
      <c r="B30" s="48" t="s">
        <v>205</v>
      </c>
      <c r="C30" s="50"/>
      <c r="D30" s="50"/>
      <c r="E30" s="50"/>
      <c r="F30" s="50"/>
      <c r="G30" s="50"/>
      <c r="H30" s="50"/>
      <c r="I30" s="50"/>
      <c r="J30" s="71"/>
      <c r="K30" s="50"/>
      <c r="L30" s="68"/>
      <c r="M30" s="70"/>
      <c r="N30" s="68"/>
      <c r="O30" s="68"/>
      <c r="P30" s="68"/>
      <c r="AI30" s="86"/>
    </row>
    <row r="31" spans="1:46" s="12" customFormat="1" ht="13.5" customHeight="1">
      <c r="A31" s="48"/>
      <c r="B31" s="48" t="s">
        <v>206</v>
      </c>
      <c r="C31" s="50"/>
      <c r="D31" s="50"/>
      <c r="E31" s="50"/>
      <c r="F31" s="50"/>
      <c r="G31" s="50"/>
      <c r="H31" s="50"/>
      <c r="I31" s="68"/>
      <c r="J31" s="69"/>
      <c r="K31" s="68"/>
      <c r="L31" s="68"/>
      <c r="M31" s="70"/>
      <c r="N31" s="68"/>
      <c r="O31" s="68"/>
      <c r="P31" s="68"/>
      <c r="AI31" s="86"/>
    </row>
    <row r="33" spans="2:2" ht="11.25" customHeight="1">
      <c r="B33" s="51" t="s">
        <v>207</v>
      </c>
    </row>
    <row r="34" spans="2:2">
      <c r="B34" s="52" t="s">
        <v>208</v>
      </c>
    </row>
    <row r="35" spans="2:2">
      <c r="B35" s="52" t="s">
        <v>209</v>
      </c>
    </row>
  </sheetData>
  <autoFilter ref="A3:AT1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8" type="noConversion"/>
  <conditionalFormatting sqref="B31">
    <cfRule type="duplicateValues" dxfId="83" priority="2" stopIfTrue="1"/>
  </conditionalFormatting>
  <conditionalFormatting sqref="B26:B30">
    <cfRule type="duplicateValues" dxfId="82" priority="3" stopIfTrue="1"/>
  </conditionalFormatting>
  <conditionalFormatting sqref="B34:B35">
    <cfRule type="duplicateValues" dxfId="81" priority="1" stopIfTrue="1"/>
  </conditionalFormatting>
  <conditionalFormatting sqref="C23:C25">
    <cfRule type="duplicateValues" dxfId="80" priority="4" stopIfTrue="1"/>
    <cfRule type="expression" dxfId="79" priority="5" stopIfTrue="1">
      <formula>AND(COUNTIF($B$19:$B$65455,C23)+COUNTIF($B$1:$B$3,C23)&gt;1,NOT(ISBLANK(C23)))</formula>
    </cfRule>
    <cfRule type="expression" dxfId="78" priority="6" stopIfTrue="1">
      <formula>AND(COUNTIF($B$30:$B$65406,C23)+COUNTIF($B$1:$B$29,C23)&gt;1,NOT(ISBLANK(C23)))</formula>
    </cfRule>
    <cfRule type="expression" dxfId="77" priority="7" stopIfTrue="1">
      <formula>AND(COUNTIF($B$19:$B$65444,C23)+COUNTIF($B$1:$B$3,C23)&gt;1,NOT(ISBLANK(C23)))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35"/>
  <sheetViews>
    <sheetView workbookViewId="0">
      <pane xSplit="6" ySplit="3" topLeftCell="R4" activePane="bottomRight" state="frozen"/>
      <selection pane="topRight"/>
      <selection pane="bottomLeft"/>
      <selection pane="bottomRight" activeCell="V4" sqref="V4:Z11"/>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144</v>
      </c>
      <c r="B1" s="19"/>
      <c r="C1" s="20"/>
      <c r="D1" s="21"/>
      <c r="E1" s="22"/>
      <c r="F1" s="22"/>
      <c r="G1" s="23"/>
      <c r="J1" s="53"/>
      <c r="L1" s="54"/>
      <c r="M1" s="352" t="s">
        <v>145</v>
      </c>
      <c r="N1" s="352"/>
      <c r="O1" s="352"/>
      <c r="P1" s="352"/>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59" t="s">
        <v>18</v>
      </c>
      <c r="B2" s="361" t="s">
        <v>146</v>
      </c>
      <c r="C2" s="363" t="s">
        <v>147</v>
      </c>
      <c r="D2" s="363" t="s">
        <v>148</v>
      </c>
      <c r="E2" s="365" t="s">
        <v>149</v>
      </c>
      <c r="F2" s="367" t="s">
        <v>150</v>
      </c>
      <c r="G2" s="365" t="s">
        <v>151</v>
      </c>
      <c r="H2" s="365" t="s">
        <v>152</v>
      </c>
      <c r="I2" s="365" t="s">
        <v>153</v>
      </c>
      <c r="J2" s="369" t="s">
        <v>154</v>
      </c>
      <c r="K2" s="365" t="s">
        <v>155</v>
      </c>
      <c r="L2" s="365" t="s">
        <v>156</v>
      </c>
      <c r="M2" s="353" t="s">
        <v>157</v>
      </c>
      <c r="N2" s="354"/>
      <c r="O2" s="354"/>
      <c r="P2" s="355"/>
      <c r="Q2" s="367" t="s">
        <v>158</v>
      </c>
      <c r="R2" s="365" t="s">
        <v>159</v>
      </c>
      <c r="S2" s="367" t="s">
        <v>160</v>
      </c>
      <c r="T2" s="371" t="s">
        <v>161</v>
      </c>
      <c r="U2" s="367" t="s">
        <v>162</v>
      </c>
      <c r="V2" s="356" t="s">
        <v>163</v>
      </c>
      <c r="W2" s="357"/>
      <c r="X2" s="357"/>
      <c r="Y2" s="357"/>
      <c r="Z2" s="357"/>
      <c r="AA2" s="358"/>
      <c r="AB2" s="367" t="s">
        <v>164</v>
      </c>
      <c r="AC2" s="367" t="s">
        <v>165</v>
      </c>
      <c r="AD2" s="371" t="s">
        <v>166</v>
      </c>
      <c r="AE2" s="371" t="s">
        <v>167</v>
      </c>
      <c r="AF2" s="371" t="s">
        <v>168</v>
      </c>
      <c r="AG2" s="371" t="s">
        <v>169</v>
      </c>
      <c r="AH2" s="373" t="s">
        <v>170</v>
      </c>
      <c r="AI2" s="375" t="s">
        <v>171</v>
      </c>
      <c r="AJ2" s="373" t="s">
        <v>172</v>
      </c>
      <c r="AK2" s="363" t="s">
        <v>57</v>
      </c>
      <c r="AL2" s="373" t="s">
        <v>173</v>
      </c>
      <c r="AM2" s="365" t="s">
        <v>174</v>
      </c>
      <c r="AN2" s="365" t="s">
        <v>175</v>
      </c>
      <c r="AO2" s="377" t="s">
        <v>176</v>
      </c>
      <c r="AP2" s="365" t="s">
        <v>177</v>
      </c>
      <c r="AQ2" s="365" t="s">
        <v>178</v>
      </c>
      <c r="AR2" s="367" t="s">
        <v>179</v>
      </c>
      <c r="AS2" s="367" t="s">
        <v>180</v>
      </c>
      <c r="AT2" s="367" t="s">
        <v>181</v>
      </c>
    </row>
    <row r="3" spans="1:46" s="9" customFormat="1" ht="27" customHeight="1">
      <c r="A3" s="360"/>
      <c r="B3" s="362"/>
      <c r="C3" s="364"/>
      <c r="D3" s="364"/>
      <c r="E3" s="366"/>
      <c r="F3" s="368"/>
      <c r="G3" s="366"/>
      <c r="H3" s="366"/>
      <c r="I3" s="366"/>
      <c r="J3" s="370"/>
      <c r="K3" s="366"/>
      <c r="L3" s="366"/>
      <c r="M3" s="55" t="s">
        <v>182</v>
      </c>
      <c r="N3" s="55" t="s">
        <v>183</v>
      </c>
      <c r="O3" s="55" t="s">
        <v>184</v>
      </c>
      <c r="P3" s="55" t="s">
        <v>70</v>
      </c>
      <c r="Q3" s="368"/>
      <c r="R3" s="366"/>
      <c r="S3" s="368"/>
      <c r="T3" s="372"/>
      <c r="U3" s="368"/>
      <c r="V3" s="73" t="s">
        <v>185</v>
      </c>
      <c r="W3" s="73" t="s">
        <v>186</v>
      </c>
      <c r="X3" s="73" t="s">
        <v>187</v>
      </c>
      <c r="Y3" s="73" t="s">
        <v>188</v>
      </c>
      <c r="Z3" s="73" t="s">
        <v>189</v>
      </c>
      <c r="AA3" s="73" t="s">
        <v>190</v>
      </c>
      <c r="AB3" s="368"/>
      <c r="AC3" s="368"/>
      <c r="AD3" s="372"/>
      <c r="AE3" s="372"/>
      <c r="AF3" s="372"/>
      <c r="AG3" s="372"/>
      <c r="AH3" s="374"/>
      <c r="AI3" s="376"/>
      <c r="AJ3" s="374"/>
      <c r="AK3" s="364"/>
      <c r="AL3" s="374"/>
      <c r="AM3" s="366"/>
      <c r="AN3" s="366"/>
      <c r="AO3" s="378"/>
      <c r="AP3" s="366"/>
      <c r="AQ3" s="366"/>
      <c r="AR3" s="368"/>
      <c r="AS3" s="368"/>
      <c r="AT3" s="368"/>
    </row>
    <row r="4" spans="1:46" s="10" customFormat="1" ht="18" customHeight="1">
      <c r="A4" s="24">
        <v>1</v>
      </c>
      <c r="B4" s="25" t="s">
        <v>191</v>
      </c>
      <c r="C4" s="25" t="s">
        <v>75</v>
      </c>
      <c r="D4" s="25" t="s">
        <v>192</v>
      </c>
      <c r="E4" s="25" t="s">
        <v>76</v>
      </c>
      <c r="F4" s="26" t="s">
        <v>193</v>
      </c>
      <c r="G4" s="33">
        <v>18035163638</v>
      </c>
      <c r="H4" s="28"/>
      <c r="I4" s="28"/>
      <c r="J4" s="56"/>
      <c r="K4" s="28"/>
      <c r="L4" s="60">
        <v>10230</v>
      </c>
      <c r="M4" s="58">
        <v>264</v>
      </c>
      <c r="N4" s="58">
        <v>66</v>
      </c>
      <c r="O4" s="58">
        <v>9.9</v>
      </c>
      <c r="P4" s="58">
        <v>180</v>
      </c>
      <c r="Q4" s="74">
        <f>ROUND(SUM(M4:P4),2)</f>
        <v>519.9</v>
      </c>
      <c r="R4" s="60">
        <v>0</v>
      </c>
      <c r="S4" s="75">
        <f>L4+IFERROR(VLOOKUP($E:$E,'（居民）工资表-6月'!$E:$S,15,0),0)</f>
        <v>68040</v>
      </c>
      <c r="T4" s="76">
        <f>5000+IFERROR(VLOOKUP($E:$E,'（居民）工资表-6月'!$E:$T,16,0),0)</f>
        <v>35000</v>
      </c>
      <c r="U4" s="76">
        <f>Q4+IFERROR(VLOOKUP($E:$E,'（居民）工资表-6月'!$E:$U,17,0),0)</f>
        <v>3639.3</v>
      </c>
      <c r="V4" s="60">
        <v>7000</v>
      </c>
      <c r="W4" s="60"/>
      <c r="X4" s="60">
        <v>7000</v>
      </c>
      <c r="Y4" s="60"/>
      <c r="Z4" s="60">
        <v>2800</v>
      </c>
      <c r="AA4" s="60"/>
      <c r="AB4" s="75">
        <f>ROUND(SUM(V4:AA4),2)</f>
        <v>16800</v>
      </c>
      <c r="AC4" s="75">
        <f>R4+IFERROR(VLOOKUP($E:$E,'（居民）工资表-6月'!$E:$AC,25,0),0)</f>
        <v>0</v>
      </c>
      <c r="AD4" s="77">
        <f>ROUND(S4-T4-U4-AB4-AC4,2)</f>
        <v>12600.7</v>
      </c>
      <c r="AE4" s="78">
        <f>ROUND(MAX((AD4)*{0.03;0.1;0.2;0.25;0.3;0.35;0.45}-{0;2520;16920;31920;52920;85920;181920},0),2)</f>
        <v>378.02</v>
      </c>
      <c r="AF4" s="79">
        <f>IFERROR(VLOOKUP(E:E,'（居民）工资表-6月'!E:AF,28,0)+VLOOKUP(E:E,'（居民）工资表-6月'!E:AG,29,0),0)</f>
        <v>308.72000000000003</v>
      </c>
      <c r="AG4" s="79">
        <f>IF((AE4-AF4)&lt;0,0,AE4-AF4)</f>
        <v>69.299999999999955</v>
      </c>
      <c r="AH4" s="82">
        <f>ROUND(IF((L4-Q4-AG4)&lt;0,0,(L4-Q4-AG4)),2)</f>
        <v>9640.7999999999993</v>
      </c>
      <c r="AI4" s="83"/>
      <c r="AJ4" s="82">
        <f>AH4+AI4</f>
        <v>9640.7999999999993</v>
      </c>
      <c r="AK4" s="84"/>
      <c r="AL4" s="82">
        <f>AJ4+AG4+AK4</f>
        <v>9710.0999999999985</v>
      </c>
      <c r="AM4" s="84"/>
      <c r="AN4" s="84"/>
      <c r="AO4" s="84"/>
      <c r="AP4" s="84"/>
      <c r="AQ4" s="84"/>
      <c r="AR4" s="8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IF(SUMPRODUCT(N(E$1:E$18=E4))&gt;1,"重复","不")</f>
        <v>不</v>
      </c>
      <c r="AT4" s="88" t="str">
        <f>IF(SUMPRODUCT(N(AO$1:AO$18=AO4))&gt;1,"重复","不")</f>
        <v>重复</v>
      </c>
    </row>
    <row r="5" spans="1:46" s="10" customFormat="1" ht="18" customHeight="1">
      <c r="A5" s="24">
        <v>2</v>
      </c>
      <c r="B5" s="25" t="s">
        <v>191</v>
      </c>
      <c r="C5" s="25" t="s">
        <v>93</v>
      </c>
      <c r="D5" s="25" t="s">
        <v>192</v>
      </c>
      <c r="E5" s="25" t="s">
        <v>94</v>
      </c>
      <c r="F5" s="26" t="s">
        <v>193</v>
      </c>
      <c r="G5" s="33">
        <v>13944441728</v>
      </c>
      <c r="H5" s="28"/>
      <c r="I5" s="28"/>
      <c r="J5" s="56"/>
      <c r="K5" s="28"/>
      <c r="L5" s="60">
        <v>7000</v>
      </c>
      <c r="M5" s="58">
        <v>268.81</v>
      </c>
      <c r="N5" s="58">
        <v>72.06</v>
      </c>
      <c r="O5" s="58">
        <v>10.08</v>
      </c>
      <c r="P5" s="58">
        <v>82</v>
      </c>
      <c r="Q5" s="74">
        <f>ROUND(SUM(M5:P5),2)</f>
        <v>432.95</v>
      </c>
      <c r="R5" s="60">
        <v>0</v>
      </c>
      <c r="S5" s="75">
        <f>L5+IFERROR(VLOOKUP($E:$E,'（居民）工资表-6月'!$E:$S,15,0),0)</f>
        <v>49000</v>
      </c>
      <c r="T5" s="76">
        <f>5000+IFERROR(VLOOKUP($E:$E,'（居民）工资表-6月'!$E:$T,16,0),0)</f>
        <v>35000</v>
      </c>
      <c r="U5" s="76">
        <f>Q5+IFERROR(VLOOKUP($E:$E,'（居民）工资表-6月'!$E:$U,17,0),0)</f>
        <v>3030.6499999999996</v>
      </c>
      <c r="V5" s="60"/>
      <c r="W5" s="60"/>
      <c r="X5" s="60">
        <v>7000</v>
      </c>
      <c r="Y5" s="60"/>
      <c r="Z5" s="60"/>
      <c r="AA5" s="60"/>
      <c r="AB5" s="75">
        <f>ROUND(SUM(V5:AA5),2)</f>
        <v>7000</v>
      </c>
      <c r="AC5" s="75">
        <f>R5+IFERROR(VLOOKUP($E:$E,'（居民）工资表-6月'!$E:$AC,25,0),0)</f>
        <v>0</v>
      </c>
      <c r="AD5" s="77">
        <f>ROUND(S5-T5-U5-AB5-AC5,2)</f>
        <v>3969.35</v>
      </c>
      <c r="AE5" s="78">
        <f>ROUND(MAX((AD5)*{0.03;0.1;0.2;0.25;0.3;0.35;0.45}-{0;2520;16920;31920;52920;85920;181920},0),2)</f>
        <v>119.08</v>
      </c>
      <c r="AF5" s="79">
        <f>IFERROR(VLOOKUP(E:E,'（居民）工资表-6月'!E:AF,28,0)+VLOOKUP(E:E,'（居民）工资表-6月'!E:AG,29,0),0)</f>
        <v>102.07</v>
      </c>
      <c r="AG5" s="79">
        <f>IF((AE5-AF5)&lt;0,0,AE5-AF5)</f>
        <v>17.010000000000005</v>
      </c>
      <c r="AH5" s="82">
        <f>ROUND(IF((L5-Q5-AG5)&lt;0,0,(L5-Q5-AG5)),2)</f>
        <v>6550.04</v>
      </c>
      <c r="AI5" s="83"/>
      <c r="AJ5" s="82">
        <f>AH5+AI5</f>
        <v>6550.04</v>
      </c>
      <c r="AK5" s="84"/>
      <c r="AL5" s="82">
        <f>AJ5+AG5+AK5</f>
        <v>6567.05</v>
      </c>
      <c r="AM5" s="84"/>
      <c r="AN5" s="84"/>
      <c r="AO5" s="84"/>
      <c r="AP5" s="84"/>
      <c r="AQ5" s="84"/>
      <c r="AR5" s="8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8" t="str">
        <f>IF(SUMPRODUCT(N(E$1:E$18=E5))&gt;1,"重复","不")</f>
        <v>不</v>
      </c>
      <c r="AT5" s="88" t="str">
        <f>IF(SUMPRODUCT(N(AO$1:AO$18=AO5))&gt;1,"重复","不")</f>
        <v>重复</v>
      </c>
    </row>
    <row r="6" spans="1:46" s="10" customFormat="1" ht="18" customHeight="1">
      <c r="A6" s="24">
        <v>3</v>
      </c>
      <c r="B6" s="25" t="s">
        <v>191</v>
      </c>
      <c r="C6" s="25" t="s">
        <v>107</v>
      </c>
      <c r="D6" s="25" t="s">
        <v>192</v>
      </c>
      <c r="E6" s="289" t="s">
        <v>108</v>
      </c>
      <c r="F6" s="26" t="s">
        <v>194</v>
      </c>
      <c r="G6" s="33">
        <v>15360550807</v>
      </c>
      <c r="H6" s="28"/>
      <c r="I6" s="28"/>
      <c r="J6" s="56"/>
      <c r="K6" s="28"/>
      <c r="L6" s="60">
        <v>5700</v>
      </c>
      <c r="M6" s="58">
        <v>367.04</v>
      </c>
      <c r="N6" s="58">
        <v>135.13999999999999</v>
      </c>
      <c r="O6" s="58">
        <v>4.5999999999999996</v>
      </c>
      <c r="P6" s="58">
        <v>115</v>
      </c>
      <c r="Q6" s="74">
        <f>ROUND(SUM(M6:P6),2)</f>
        <v>621.78</v>
      </c>
      <c r="R6" s="60">
        <v>0</v>
      </c>
      <c r="S6" s="75">
        <f>L6+IFERROR(VLOOKUP($E:$E,'（居民）工资表-6月'!$E:$S,15,0),0)</f>
        <v>39900</v>
      </c>
      <c r="T6" s="76">
        <f>5000+IFERROR(VLOOKUP($E:$E,'（居民）工资表-6月'!$E:$T,16,0),0)</f>
        <v>35000</v>
      </c>
      <c r="U6" s="76">
        <f>Q6+IFERROR(VLOOKUP($E:$E,'（居民）工资表-6月'!$E:$U,17,0),0)</f>
        <v>4381.7399999999989</v>
      </c>
      <c r="V6" s="60"/>
      <c r="W6" s="60"/>
      <c r="X6" s="60"/>
      <c r="Y6" s="60">
        <v>10500</v>
      </c>
      <c r="Z6" s="60"/>
      <c r="AA6" s="60"/>
      <c r="AB6" s="75">
        <f>ROUND(SUM(V6:AA6),2)</f>
        <v>10500</v>
      </c>
      <c r="AC6" s="75">
        <f>R6+IFERROR(VLOOKUP($E:$E,'（居民）工资表-6月'!$E:$AC,25,0),0)</f>
        <v>0</v>
      </c>
      <c r="AD6" s="77">
        <f>ROUND(S6-T6-U6-AB6-AC6,2)</f>
        <v>-9981.74</v>
      </c>
      <c r="AE6" s="78">
        <f>ROUND(MAX((AD6)*{0.03;0.1;0.2;0.25;0.3;0.35;0.45}-{0;2520;16920;31920;52920;85920;181920},0),2)</f>
        <v>0</v>
      </c>
      <c r="AF6" s="79">
        <f>IFERROR(VLOOKUP(E:E,'（居民）工资表-6月'!E:AF,28,0)+VLOOKUP(E:E,'（居民）工资表-6月'!E:AG,29,0),0)</f>
        <v>0</v>
      </c>
      <c r="AG6" s="79">
        <f>IF((AE6-AF6)&lt;0,0,AE6-AF6)</f>
        <v>0</v>
      </c>
      <c r="AH6" s="82">
        <f>ROUND(IF((L6-Q6-AG6)&lt;0,0,(L6-Q6-AG6)),2)</f>
        <v>5078.22</v>
      </c>
      <c r="AI6" s="83"/>
      <c r="AJ6" s="82">
        <f>AH6+AI6</f>
        <v>5078.22</v>
      </c>
      <c r="AK6" s="84"/>
      <c r="AL6" s="82">
        <f>AJ6+AG6+AK6</f>
        <v>5078.22</v>
      </c>
      <c r="AM6" s="84"/>
      <c r="AN6" s="84"/>
      <c r="AO6" s="84"/>
      <c r="AP6" s="84"/>
      <c r="AQ6" s="84"/>
      <c r="AR6" s="88"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8" t="str">
        <f>IF(SUMPRODUCT(N(E$1:E$18=E6))&gt;1,"重复","不")</f>
        <v>不</v>
      </c>
      <c r="AT6" s="88" t="str">
        <f>IF(SUMPRODUCT(N(AO$1:AO$18=AO6))&gt;1,"重复","不")</f>
        <v>重复</v>
      </c>
    </row>
    <row r="7" spans="1:46" s="10" customFormat="1" ht="18" customHeight="1">
      <c r="A7" s="24">
        <v>4</v>
      </c>
      <c r="B7" s="25" t="s">
        <v>191</v>
      </c>
      <c r="C7" s="25" t="s">
        <v>118</v>
      </c>
      <c r="D7" s="25" t="s">
        <v>192</v>
      </c>
      <c r="E7" s="25" t="s">
        <v>119</v>
      </c>
      <c r="F7" s="26" t="s">
        <v>193</v>
      </c>
      <c r="G7" s="33">
        <v>18037463616</v>
      </c>
      <c r="H7" s="28"/>
      <c r="I7" s="28"/>
      <c r="J7" s="56"/>
      <c r="K7" s="28"/>
      <c r="L7" s="60">
        <v>14620</v>
      </c>
      <c r="M7" s="58">
        <v>254.32</v>
      </c>
      <c r="N7" s="58">
        <v>63.94</v>
      </c>
      <c r="O7" s="58">
        <v>9.5399999999999991</v>
      </c>
      <c r="P7" s="58">
        <v>254.32</v>
      </c>
      <c r="Q7" s="74">
        <f t="shared" ref="Q7:Q18" si="0">ROUND(SUM(M7:P7),2)</f>
        <v>582.12</v>
      </c>
      <c r="R7" s="60">
        <v>0</v>
      </c>
      <c r="S7" s="75">
        <f>L7+IFERROR(VLOOKUP($E:$E,'（居民）工资表-6月'!$E:$S,15,0),0)</f>
        <v>85352.63</v>
      </c>
      <c r="T7" s="76">
        <f>5000+IFERROR(VLOOKUP($E:$E,'（居民）工资表-6月'!$E:$T,16,0),0)</f>
        <v>30000</v>
      </c>
      <c r="U7" s="76">
        <f>Q7+IFERROR(VLOOKUP($E:$E,'（居民）工资表-6月'!$E:$U,17,0),0)</f>
        <v>3974.37</v>
      </c>
      <c r="V7" s="60"/>
      <c r="W7" s="60"/>
      <c r="X7" s="60">
        <v>5000</v>
      </c>
      <c r="Y7" s="60"/>
      <c r="Z7" s="60"/>
      <c r="AA7" s="60"/>
      <c r="AB7" s="75">
        <f t="shared" ref="AB7:AB18" si="1">ROUND(SUM(V7:AA7),2)</f>
        <v>5000</v>
      </c>
      <c r="AC7" s="75">
        <f>R7+IFERROR(VLOOKUP($E:$E,'（居民）工资表-6月'!$E:$AC,25,0),0)</f>
        <v>0</v>
      </c>
      <c r="AD7" s="77">
        <f t="shared" ref="AD7:AD18" si="2">ROUND(S7-T7-U7-AB7-AC7,2)</f>
        <v>46378.26</v>
      </c>
      <c r="AE7" s="78">
        <f>ROUND(MAX((AD7)*{0.03;0.1;0.2;0.25;0.3;0.35;0.45}-{0;2520;16920;31920;52920;85920;181920},0),2)</f>
        <v>2117.83</v>
      </c>
      <c r="AF7" s="79">
        <f>IFERROR(VLOOKUP(E:E,'（居民）工资表-6月'!E:AF,28,0)+VLOOKUP(E:E,'（居民）工资表-6月'!E:AG,29,0),0)</f>
        <v>1214.04</v>
      </c>
      <c r="AG7" s="79">
        <f t="shared" ref="AG7:AG18" si="3">IF((AE7-AF7)&lt;0,0,AE7-AF7)</f>
        <v>903.79</v>
      </c>
      <c r="AH7" s="82">
        <f t="shared" ref="AH7:AH18" si="4">ROUND(IF((L7-Q7-AG7)&lt;0,0,(L7-Q7-AG7)),2)</f>
        <v>13134.09</v>
      </c>
      <c r="AI7" s="83"/>
      <c r="AJ7" s="82">
        <f t="shared" ref="AJ7:AJ18" si="5">AH7+AI7</f>
        <v>13134.09</v>
      </c>
      <c r="AK7" s="84"/>
      <c r="AL7" s="82">
        <f t="shared" ref="AL7:AL18" si="6">AJ7+AG7+AK7</f>
        <v>14037.880000000001</v>
      </c>
      <c r="AM7" s="84"/>
      <c r="AN7" s="84"/>
      <c r="AO7" s="84"/>
      <c r="AP7" s="84"/>
      <c r="AQ7" s="84"/>
      <c r="AR7" s="88" t="str">
        <f t="shared" ref="AR7:AR18" si="7">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8" t="str">
        <f t="shared" ref="AS7:AS15" si="8">IF(SUMPRODUCT(N(E$1:E$18=E7))&gt;1,"重复","不")</f>
        <v>不</v>
      </c>
      <c r="AT7" s="88" t="str">
        <f t="shared" ref="AT7:AT15" si="9">IF(SUMPRODUCT(N(AO$1:AO$18=AO7))&gt;1,"重复","不")</f>
        <v>重复</v>
      </c>
    </row>
    <row r="8" spans="1:46" s="10" customFormat="1" ht="18" customHeight="1">
      <c r="A8" s="24">
        <v>5</v>
      </c>
      <c r="B8" s="25" t="s">
        <v>191</v>
      </c>
      <c r="C8" s="25" t="s">
        <v>120</v>
      </c>
      <c r="D8" s="25" t="s">
        <v>192</v>
      </c>
      <c r="E8" s="289" t="s">
        <v>121</v>
      </c>
      <c r="F8" s="26" t="s">
        <v>193</v>
      </c>
      <c r="G8" s="33">
        <v>18500634358</v>
      </c>
      <c r="H8" s="28"/>
      <c r="I8" s="28"/>
      <c r="J8" s="56"/>
      <c r="K8" s="28"/>
      <c r="L8" s="60">
        <v>14920</v>
      </c>
      <c r="M8" s="58">
        <v>254.32</v>
      </c>
      <c r="N8" s="58">
        <v>63.94</v>
      </c>
      <c r="O8" s="58">
        <v>9.5399999999999991</v>
      </c>
      <c r="P8" s="58">
        <v>254.32</v>
      </c>
      <c r="Q8" s="74">
        <f t="shared" si="0"/>
        <v>582.12</v>
      </c>
      <c r="R8" s="60">
        <v>0</v>
      </c>
      <c r="S8" s="75">
        <f>L8+IFERROR(VLOOKUP($E:$E,'（居民）工资表-6月'!$E:$S,15,0),0)</f>
        <v>88200</v>
      </c>
      <c r="T8" s="76">
        <f>5000+IFERROR(VLOOKUP($E:$E,'（居民）工资表-6月'!$E:$T,16,0),0)</f>
        <v>30000</v>
      </c>
      <c r="U8" s="76">
        <f>Q8+IFERROR(VLOOKUP($E:$E,'（居民）工资表-6月'!$E:$U,17,0),0)</f>
        <v>3974.37</v>
      </c>
      <c r="V8" s="60"/>
      <c r="W8" s="60"/>
      <c r="X8" s="60"/>
      <c r="Y8" s="60"/>
      <c r="Z8" s="60"/>
      <c r="AA8" s="60"/>
      <c r="AB8" s="75">
        <f t="shared" si="1"/>
        <v>0</v>
      </c>
      <c r="AC8" s="75">
        <f>R8+IFERROR(VLOOKUP($E:$E,'（居民）工资表-6月'!$E:$AC,25,0),0)</f>
        <v>0</v>
      </c>
      <c r="AD8" s="77">
        <f t="shared" si="2"/>
        <v>54225.63</v>
      </c>
      <c r="AE8" s="78">
        <f>ROUND(MAX((AD8)*{0.03;0.1;0.2;0.25;0.3;0.35;0.45}-{0;2520;16920;31920;52920;85920;181920},0),2)</f>
        <v>2902.56</v>
      </c>
      <c r="AF8" s="79">
        <f>IFERROR(VLOOKUP(E:E,'（居民）工资表-6月'!E:AF,28,0)+VLOOKUP(E:E,'（居民）工资表-6月'!E:AG,29,0),0)</f>
        <v>1968.78</v>
      </c>
      <c r="AG8" s="79">
        <f t="shared" si="3"/>
        <v>933.78</v>
      </c>
      <c r="AH8" s="82">
        <f t="shared" si="4"/>
        <v>13404.1</v>
      </c>
      <c r="AI8" s="83"/>
      <c r="AJ8" s="82">
        <f t="shared" si="5"/>
        <v>13404.1</v>
      </c>
      <c r="AK8" s="84"/>
      <c r="AL8" s="82">
        <f t="shared" si="6"/>
        <v>14337.880000000001</v>
      </c>
      <c r="AM8" s="84"/>
      <c r="AN8" s="84"/>
      <c r="AO8" s="84"/>
      <c r="AP8" s="84"/>
      <c r="AQ8" s="84"/>
      <c r="AR8" s="88" t="str">
        <f t="shared" si="7"/>
        <v>正确</v>
      </c>
      <c r="AS8" s="88" t="str">
        <f t="shared" si="8"/>
        <v>不</v>
      </c>
      <c r="AT8" s="88" t="str">
        <f t="shared" si="9"/>
        <v>重复</v>
      </c>
    </row>
    <row r="9" spans="1:46" s="10" customFormat="1" ht="18" customHeight="1">
      <c r="A9" s="24">
        <v>6</v>
      </c>
      <c r="B9" s="25" t="s">
        <v>191</v>
      </c>
      <c r="C9" s="25" t="s">
        <v>113</v>
      </c>
      <c r="D9" s="25" t="s">
        <v>192</v>
      </c>
      <c r="E9" s="25" t="s">
        <v>114</v>
      </c>
      <c r="F9" s="26" t="s">
        <v>193</v>
      </c>
      <c r="G9" s="33">
        <v>18738169923</v>
      </c>
      <c r="H9" s="28"/>
      <c r="I9" s="28"/>
      <c r="J9" s="56"/>
      <c r="K9" s="28"/>
      <c r="L9" s="60">
        <v>12420</v>
      </c>
      <c r="M9" s="58">
        <v>254.32</v>
      </c>
      <c r="N9" s="58">
        <v>63.94</v>
      </c>
      <c r="O9" s="58">
        <v>9.5399999999999991</v>
      </c>
      <c r="P9" s="58">
        <v>254.32</v>
      </c>
      <c r="Q9" s="74">
        <f t="shared" si="0"/>
        <v>582.12</v>
      </c>
      <c r="R9" s="60">
        <v>0</v>
      </c>
      <c r="S9" s="75">
        <f>L9+IFERROR(VLOOKUP($E:$E,'（居民）工资表-6月'!$E:$S,15,0),0)</f>
        <v>73200</v>
      </c>
      <c r="T9" s="76">
        <f>5000+IFERROR(VLOOKUP($E:$E,'（居民）工资表-6月'!$E:$T,16,0),0)</f>
        <v>30000</v>
      </c>
      <c r="U9" s="76">
        <f>Q9+IFERROR(VLOOKUP($E:$E,'（居民）工资表-6月'!$E:$U,17,0),0)</f>
        <v>4074.8399999999997</v>
      </c>
      <c r="V9" s="60"/>
      <c r="W9" s="60"/>
      <c r="X9" s="60"/>
      <c r="Y9" s="60"/>
      <c r="Z9" s="60"/>
      <c r="AA9" s="60"/>
      <c r="AB9" s="75">
        <f t="shared" si="1"/>
        <v>0</v>
      </c>
      <c r="AC9" s="75">
        <f>R9+IFERROR(VLOOKUP($E:$E,'（居民）工资表-6月'!$E:$AC,25,0),0)</f>
        <v>0</v>
      </c>
      <c r="AD9" s="77">
        <f t="shared" si="2"/>
        <v>39125.160000000003</v>
      </c>
      <c r="AE9" s="78">
        <f>ROUND(MAX((AD9)*{0.03;0.1;0.2;0.25;0.3;0.35;0.45}-{0;2520;16920;31920;52920;85920;181920},0),2)</f>
        <v>1392.52</v>
      </c>
      <c r="AF9" s="79">
        <f>IFERROR(VLOOKUP(E:E,'（居民）工资表-6月'!E:AF,28,0)+VLOOKUP(E:E,'（居民）工资表-6月'!E:AG,29,0),0)</f>
        <v>968.62</v>
      </c>
      <c r="AG9" s="79">
        <f t="shared" si="3"/>
        <v>423.9</v>
      </c>
      <c r="AH9" s="82">
        <f t="shared" si="4"/>
        <v>11413.98</v>
      </c>
      <c r="AI9" s="83"/>
      <c r="AJ9" s="82">
        <f t="shared" si="5"/>
        <v>11413.98</v>
      </c>
      <c r="AK9" s="84"/>
      <c r="AL9" s="82">
        <f t="shared" si="6"/>
        <v>11837.88</v>
      </c>
      <c r="AM9" s="84"/>
      <c r="AN9" s="84"/>
      <c r="AO9" s="84"/>
      <c r="AP9" s="84"/>
      <c r="AQ9" s="84"/>
      <c r="AR9" s="88" t="str">
        <f t="shared" si="7"/>
        <v>正确</v>
      </c>
      <c r="AS9" s="88" t="str">
        <f t="shared" si="8"/>
        <v>不</v>
      </c>
      <c r="AT9" s="88" t="str">
        <f t="shared" si="9"/>
        <v>重复</v>
      </c>
    </row>
    <row r="10" spans="1:46" s="10" customFormat="1" ht="18" customHeight="1">
      <c r="A10" s="24">
        <v>7</v>
      </c>
      <c r="B10" s="25" t="s">
        <v>191</v>
      </c>
      <c r="C10" s="25" t="s">
        <v>122</v>
      </c>
      <c r="D10" s="25" t="s">
        <v>192</v>
      </c>
      <c r="E10" s="25" t="s">
        <v>123</v>
      </c>
      <c r="F10" s="26" t="s">
        <v>193</v>
      </c>
      <c r="G10" s="33" t="s">
        <v>195</v>
      </c>
      <c r="H10" s="28"/>
      <c r="I10" s="28"/>
      <c r="J10" s="56"/>
      <c r="K10" s="28"/>
      <c r="L10" s="60">
        <v>17420</v>
      </c>
      <c r="M10" s="58">
        <v>254.32</v>
      </c>
      <c r="N10" s="58">
        <v>63.94</v>
      </c>
      <c r="O10" s="58">
        <v>9.5399999999999991</v>
      </c>
      <c r="P10" s="58">
        <v>254.32</v>
      </c>
      <c r="Q10" s="74">
        <f t="shared" si="0"/>
        <v>582.12</v>
      </c>
      <c r="R10" s="60">
        <v>0</v>
      </c>
      <c r="S10" s="75">
        <f>L10+IFERROR(VLOOKUP($E:$E,'（居民）工资表-6月'!$E:$S,15,0),0)</f>
        <v>69674.740000000005</v>
      </c>
      <c r="T10" s="76">
        <f>5000+IFERROR(VLOOKUP($E:$E,'（居民）工资表-6月'!$E:$T,16,0),0)</f>
        <v>20000</v>
      </c>
      <c r="U10" s="76">
        <f>Q10+IFERROR(VLOOKUP($E:$E,'（居民）工资表-6月'!$E:$U,17,0),0)</f>
        <v>2910.6</v>
      </c>
      <c r="V10" s="60"/>
      <c r="W10" s="60"/>
      <c r="X10" s="60"/>
      <c r="Y10" s="60"/>
      <c r="Z10" s="60"/>
      <c r="AA10" s="60"/>
      <c r="AB10" s="75">
        <f t="shared" si="1"/>
        <v>0</v>
      </c>
      <c r="AC10" s="75">
        <f>R10+IFERROR(VLOOKUP($E:$E,'（居民）工资表-6月'!$E:$AC,25,0),0)</f>
        <v>0</v>
      </c>
      <c r="AD10" s="77">
        <f t="shared" si="2"/>
        <v>46764.14</v>
      </c>
      <c r="AE10" s="78">
        <f>ROUND(MAX((AD10)*{0.03;0.1;0.2;0.25;0.3;0.35;0.45}-{0;2520;16920;31920;52920;85920;181920},0),2)</f>
        <v>2156.41</v>
      </c>
      <c r="AF10" s="79">
        <f>IFERROR(VLOOKUP(E:E,'（居民）工资表-6月'!E:AF,28,0)+VLOOKUP(E:E,'（居民）工资表-6月'!E:AG,29,0),0)</f>
        <v>1047.79</v>
      </c>
      <c r="AG10" s="79">
        <f t="shared" si="3"/>
        <v>1108.6199999999999</v>
      </c>
      <c r="AH10" s="82">
        <f t="shared" si="4"/>
        <v>15729.26</v>
      </c>
      <c r="AI10" s="83"/>
      <c r="AJ10" s="82">
        <f t="shared" si="5"/>
        <v>15729.26</v>
      </c>
      <c r="AK10" s="84"/>
      <c r="AL10" s="82">
        <f t="shared" si="6"/>
        <v>16837.88</v>
      </c>
      <c r="AM10" s="84"/>
      <c r="AN10" s="84"/>
      <c r="AO10" s="84"/>
      <c r="AP10" s="84"/>
      <c r="AQ10" s="84"/>
      <c r="AR10" s="88" t="str">
        <f t="shared" si="7"/>
        <v>正确</v>
      </c>
      <c r="AS10" s="88" t="str">
        <f t="shared" si="8"/>
        <v>不</v>
      </c>
      <c r="AT10" s="88" t="str">
        <f t="shared" si="9"/>
        <v>重复</v>
      </c>
    </row>
    <row r="11" spans="1:46" s="10" customFormat="1" ht="18" customHeight="1">
      <c r="A11" s="24">
        <v>8</v>
      </c>
      <c r="B11" s="25" t="s">
        <v>191</v>
      </c>
      <c r="C11" s="25" t="s">
        <v>126</v>
      </c>
      <c r="D11" s="25" t="s">
        <v>192</v>
      </c>
      <c r="E11" s="25" t="s">
        <v>127</v>
      </c>
      <c r="F11" s="26" t="s">
        <v>193</v>
      </c>
      <c r="G11" s="33" t="s">
        <v>196</v>
      </c>
      <c r="H11" s="28"/>
      <c r="I11" s="28"/>
      <c r="J11" s="56"/>
      <c r="K11" s="28"/>
      <c r="L11" s="60">
        <v>18720</v>
      </c>
      <c r="M11" s="58">
        <v>254.32</v>
      </c>
      <c r="N11" s="58">
        <v>63.94</v>
      </c>
      <c r="O11" s="58">
        <v>9.5399999999999991</v>
      </c>
      <c r="P11" s="58">
        <v>254.32</v>
      </c>
      <c r="Q11" s="74">
        <f t="shared" si="0"/>
        <v>582.12</v>
      </c>
      <c r="R11" s="60">
        <v>0</v>
      </c>
      <c r="S11" s="75">
        <f>L11+IFERROR(VLOOKUP($E:$E,'（居民）工资表-6月'!$E:$S,15,0),0)</f>
        <v>70677.39</v>
      </c>
      <c r="T11" s="76">
        <f>5000+IFERROR(VLOOKUP($E:$E,'（居民）工资表-6月'!$E:$T,16,0),0)</f>
        <v>20000</v>
      </c>
      <c r="U11" s="76">
        <f>Q11+IFERROR(VLOOKUP($E:$E,'（居民）工资表-6月'!$E:$U,17,0),0)</f>
        <v>2910.6</v>
      </c>
      <c r="V11" s="60"/>
      <c r="W11" s="60">
        <v>4000</v>
      </c>
      <c r="X11" s="60"/>
      <c r="Y11" s="60">
        <v>6000</v>
      </c>
      <c r="Z11" s="60">
        <v>1600</v>
      </c>
      <c r="AA11" s="60"/>
      <c r="AB11" s="75">
        <f t="shared" si="1"/>
        <v>11600</v>
      </c>
      <c r="AC11" s="75">
        <f>R11+IFERROR(VLOOKUP($E:$E,'（居民）工资表-6月'!$E:$AC,25,0),0)</f>
        <v>0</v>
      </c>
      <c r="AD11" s="77">
        <f t="shared" si="2"/>
        <v>36166.79</v>
      </c>
      <c r="AE11" s="78">
        <f>ROUND(MAX((AD11)*{0.03;0.1;0.2;0.25;0.3;0.35;0.45}-{0;2520;16920;31920;52920;85920;181920},0),2)</f>
        <v>1096.68</v>
      </c>
      <c r="AF11" s="79">
        <f>IFERROR(VLOOKUP(E:E,'（居民）工资表-6月'!E:AF,28,0)+VLOOKUP(E:E,'（居民）工资表-6月'!E:AG,29,0),0)</f>
        <v>777.87</v>
      </c>
      <c r="AG11" s="79">
        <f t="shared" si="3"/>
        <v>318.81000000000006</v>
      </c>
      <c r="AH11" s="82">
        <f t="shared" si="4"/>
        <v>17819.07</v>
      </c>
      <c r="AI11" s="83"/>
      <c r="AJ11" s="82">
        <f t="shared" si="5"/>
        <v>17819.07</v>
      </c>
      <c r="AK11" s="84"/>
      <c r="AL11" s="82">
        <f t="shared" si="6"/>
        <v>18137.88</v>
      </c>
      <c r="AM11" s="84"/>
      <c r="AN11" s="84"/>
      <c r="AO11" s="84"/>
      <c r="AP11" s="84"/>
      <c r="AQ11" s="84"/>
      <c r="AR11" s="88" t="str">
        <f t="shared" si="7"/>
        <v>正确</v>
      </c>
      <c r="AS11" s="88" t="str">
        <f t="shared" si="8"/>
        <v>不</v>
      </c>
      <c r="AT11" s="88" t="str">
        <f t="shared" si="9"/>
        <v>重复</v>
      </c>
    </row>
    <row r="12" spans="1:46" s="10" customFormat="1" ht="18" customHeight="1">
      <c r="A12" s="24">
        <v>9</v>
      </c>
      <c r="B12" s="25" t="s">
        <v>191</v>
      </c>
      <c r="C12" s="25" t="s">
        <v>124</v>
      </c>
      <c r="D12" s="25" t="s">
        <v>192</v>
      </c>
      <c r="E12" s="25" t="s">
        <v>125</v>
      </c>
      <c r="F12" s="26" t="s">
        <v>193</v>
      </c>
      <c r="G12" s="33" t="s">
        <v>197</v>
      </c>
      <c r="H12" s="28"/>
      <c r="I12" s="28"/>
      <c r="J12" s="56"/>
      <c r="K12" s="28"/>
      <c r="L12" s="60">
        <v>13920</v>
      </c>
      <c r="M12" s="58">
        <v>254.32</v>
      </c>
      <c r="N12" s="58">
        <v>63.94</v>
      </c>
      <c r="O12" s="58">
        <v>9.5399999999999991</v>
      </c>
      <c r="P12" s="58">
        <v>254.32</v>
      </c>
      <c r="Q12" s="74">
        <f t="shared" si="0"/>
        <v>582.12</v>
      </c>
      <c r="R12" s="60">
        <v>0</v>
      </c>
      <c r="S12" s="75">
        <f>L12+IFERROR(VLOOKUP($E:$E,'（居民）工资表-6月'!$E:$S,15,0),0)</f>
        <v>52312.17</v>
      </c>
      <c r="T12" s="76">
        <f>5000+IFERROR(VLOOKUP($E:$E,'（居民）工资表-6月'!$E:$T,16,0),0)</f>
        <v>20000</v>
      </c>
      <c r="U12" s="76">
        <f>Q12+IFERROR(VLOOKUP($E:$E,'（居民）工资表-6月'!$E:$U,17,0),0)</f>
        <v>2910.6</v>
      </c>
      <c r="V12" s="60"/>
      <c r="W12" s="60"/>
      <c r="X12" s="60"/>
      <c r="Y12" s="60"/>
      <c r="Z12" s="60"/>
      <c r="AA12" s="60"/>
      <c r="AB12" s="75">
        <f t="shared" si="1"/>
        <v>0</v>
      </c>
      <c r="AC12" s="75">
        <f>R12+IFERROR(VLOOKUP($E:$E,'（居民）工资表-6月'!$E:$AC,25,0),0)</f>
        <v>0</v>
      </c>
      <c r="AD12" s="77">
        <f t="shared" si="2"/>
        <v>29401.57</v>
      </c>
      <c r="AE12" s="78">
        <f>ROUND(MAX((AD12)*{0.03;0.1;0.2;0.25;0.3;0.35;0.45}-{0;2520;16920;31920;52920;85920;181920},0),2)</f>
        <v>882.05</v>
      </c>
      <c r="AF12" s="79">
        <f>IFERROR(VLOOKUP(E:E,'（居民）工资表-6月'!E:AF,28,0)+VLOOKUP(E:E,'（居民）工资表-6月'!E:AG,29,0),0)</f>
        <v>631.91</v>
      </c>
      <c r="AG12" s="79">
        <f t="shared" si="3"/>
        <v>250.14</v>
      </c>
      <c r="AH12" s="82">
        <f t="shared" si="4"/>
        <v>13087.74</v>
      </c>
      <c r="AI12" s="83"/>
      <c r="AJ12" s="82">
        <f t="shared" si="5"/>
        <v>13087.74</v>
      </c>
      <c r="AK12" s="84"/>
      <c r="AL12" s="82">
        <f t="shared" si="6"/>
        <v>13337.88</v>
      </c>
      <c r="AM12" s="84"/>
      <c r="AN12" s="84"/>
      <c r="AO12" s="84"/>
      <c r="AP12" s="84"/>
      <c r="AQ12" s="84"/>
      <c r="AR12" s="88" t="str">
        <f t="shared" si="7"/>
        <v>正确</v>
      </c>
      <c r="AS12" s="88" t="str">
        <f t="shared" si="8"/>
        <v>不</v>
      </c>
      <c r="AT12" s="88" t="str">
        <f t="shared" si="9"/>
        <v>重复</v>
      </c>
    </row>
    <row r="13" spans="1:46" s="10" customFormat="1" ht="18" customHeight="1">
      <c r="A13" s="24">
        <v>10</v>
      </c>
      <c r="B13" s="25" t="s">
        <v>191</v>
      </c>
      <c r="C13" s="25" t="s">
        <v>116</v>
      </c>
      <c r="D13" s="25" t="s">
        <v>192</v>
      </c>
      <c r="E13" s="25" t="s">
        <v>117</v>
      </c>
      <c r="F13" s="26" t="s">
        <v>193</v>
      </c>
      <c r="G13" s="33">
        <v>15001138812</v>
      </c>
      <c r="H13" s="28"/>
      <c r="I13" s="28"/>
      <c r="J13" s="56"/>
      <c r="K13" s="28"/>
      <c r="L13" s="60">
        <v>10420</v>
      </c>
      <c r="M13" s="58">
        <v>254.32</v>
      </c>
      <c r="N13" s="58">
        <v>63.94</v>
      </c>
      <c r="O13" s="58">
        <v>9.5399999999999991</v>
      </c>
      <c r="P13" s="58">
        <v>254.32</v>
      </c>
      <c r="Q13" s="74">
        <f t="shared" si="0"/>
        <v>582.12</v>
      </c>
      <c r="R13" s="60">
        <v>0</v>
      </c>
      <c r="S13" s="75">
        <f>L13+IFERROR(VLOOKUP($E:$E,'（居民）工资表-6月'!$E:$S,15,0),0)</f>
        <v>61200</v>
      </c>
      <c r="T13" s="76">
        <f>5000+IFERROR(VLOOKUP($E:$E,'（居民）工资表-6月'!$E:$T,16,0),0)</f>
        <v>30000</v>
      </c>
      <c r="U13" s="76">
        <f>Q13+IFERROR(VLOOKUP($E:$E,'（居民）工资表-6月'!$E:$U,17,0),0)</f>
        <v>4074.8399999999997</v>
      </c>
      <c r="V13" s="60"/>
      <c r="W13" s="60"/>
      <c r="X13" s="60"/>
      <c r="Y13" s="60"/>
      <c r="Z13" s="60"/>
      <c r="AA13" s="60"/>
      <c r="AB13" s="75">
        <f t="shared" si="1"/>
        <v>0</v>
      </c>
      <c r="AC13" s="75">
        <f>R13+IFERROR(VLOOKUP($E:$E,'（居民）工资表-6月'!$E:$AC,25,0),0)</f>
        <v>0</v>
      </c>
      <c r="AD13" s="77">
        <f t="shared" si="2"/>
        <v>27125.16</v>
      </c>
      <c r="AE13" s="78">
        <f>ROUND(MAX((AD13)*{0.03;0.1;0.2;0.25;0.3;0.35;0.45}-{0;2520;16920;31920;52920;85920;181920},0),2)</f>
        <v>813.75</v>
      </c>
      <c r="AF13" s="79">
        <f>IFERROR(VLOOKUP(E:E,'（居民）工资表-6月'!E:AF,28,0)+VLOOKUP(E:E,'（居民）工资表-6月'!E:AG,29,0),0)</f>
        <v>668.62</v>
      </c>
      <c r="AG13" s="79">
        <f t="shared" si="3"/>
        <v>145.13</v>
      </c>
      <c r="AH13" s="82">
        <f t="shared" si="4"/>
        <v>9692.75</v>
      </c>
      <c r="AI13" s="83"/>
      <c r="AJ13" s="82">
        <f t="shared" si="5"/>
        <v>9692.75</v>
      </c>
      <c r="AK13" s="84"/>
      <c r="AL13" s="82">
        <f t="shared" si="6"/>
        <v>9837.8799999999992</v>
      </c>
      <c r="AM13" s="84"/>
      <c r="AN13" s="84"/>
      <c r="AO13" s="84"/>
      <c r="AP13" s="84"/>
      <c r="AQ13" s="84"/>
      <c r="AR13" s="88" t="str">
        <f t="shared" si="7"/>
        <v>正确</v>
      </c>
      <c r="AS13" s="88" t="str">
        <f t="shared" si="8"/>
        <v>不</v>
      </c>
      <c r="AT13" s="88" t="str">
        <f t="shared" si="9"/>
        <v>重复</v>
      </c>
    </row>
    <row r="14" spans="1:46" s="10" customFormat="1" ht="18" customHeight="1">
      <c r="A14" s="24">
        <v>11</v>
      </c>
      <c r="B14" s="25" t="s">
        <v>191</v>
      </c>
      <c r="C14" s="25" t="s">
        <v>128</v>
      </c>
      <c r="D14" s="25" t="s">
        <v>192</v>
      </c>
      <c r="E14" s="25" t="s">
        <v>129</v>
      </c>
      <c r="F14" s="26" t="s">
        <v>193</v>
      </c>
      <c r="G14" s="33">
        <v>15333903368</v>
      </c>
      <c r="H14" s="28"/>
      <c r="I14" s="28"/>
      <c r="J14" s="56"/>
      <c r="K14" s="28"/>
      <c r="L14" s="60">
        <v>15420</v>
      </c>
      <c r="M14" s="58">
        <v>254.32</v>
      </c>
      <c r="N14" s="58">
        <v>63.94</v>
      </c>
      <c r="O14" s="58">
        <v>9.5399999999999991</v>
      </c>
      <c r="P14" s="58">
        <v>254.32</v>
      </c>
      <c r="Q14" s="74">
        <f t="shared" si="0"/>
        <v>582.12</v>
      </c>
      <c r="R14" s="60">
        <v>0</v>
      </c>
      <c r="S14" s="75">
        <f>L14+IFERROR(VLOOKUP($E:$E,'（居民）工资表-6月'!$E:$S,15,0),0)</f>
        <v>51529.57</v>
      </c>
      <c r="T14" s="76">
        <f>5000+IFERROR(VLOOKUP($E:$E,'（居民）工资表-6月'!$E:$T,16,0),0)</f>
        <v>20000</v>
      </c>
      <c r="U14" s="76">
        <f>Q14+IFERROR(VLOOKUP($E:$E,'（居民）工资表-6月'!$E:$U,17,0),0)</f>
        <v>2328.48</v>
      </c>
      <c r="V14" s="60"/>
      <c r="W14" s="60"/>
      <c r="X14" s="60"/>
      <c r="Y14" s="60"/>
      <c r="Z14" s="60"/>
      <c r="AA14" s="60"/>
      <c r="AB14" s="75">
        <f t="shared" si="1"/>
        <v>0</v>
      </c>
      <c r="AC14" s="75">
        <f>R14+IFERROR(VLOOKUP($E:$E,'（居民）工资表-6月'!$E:$AC,25,0),0)</f>
        <v>0</v>
      </c>
      <c r="AD14" s="77">
        <f t="shared" si="2"/>
        <v>29201.09</v>
      </c>
      <c r="AE14" s="78">
        <f>ROUND(MAX((AD14)*{0.03;0.1;0.2;0.25;0.3;0.35;0.45}-{0;2520;16920;31920;52920;85920;181920},0),2)</f>
        <v>876.03</v>
      </c>
      <c r="AF14" s="79">
        <f>IFERROR(VLOOKUP(E:E,'（居民）工资表-6月'!E:AF,28,0)+VLOOKUP(E:E,'（居民）工资表-6月'!E:AG,29,0),0)</f>
        <v>580.9</v>
      </c>
      <c r="AG14" s="79">
        <f t="shared" si="3"/>
        <v>295.13</v>
      </c>
      <c r="AH14" s="82">
        <f t="shared" si="4"/>
        <v>14542.75</v>
      </c>
      <c r="AI14" s="83"/>
      <c r="AJ14" s="82">
        <f t="shared" si="5"/>
        <v>14542.75</v>
      </c>
      <c r="AK14" s="84"/>
      <c r="AL14" s="82">
        <f t="shared" si="6"/>
        <v>14837.88</v>
      </c>
      <c r="AM14" s="84"/>
      <c r="AN14" s="84"/>
      <c r="AO14" s="84"/>
      <c r="AP14" s="84"/>
      <c r="AQ14" s="84"/>
      <c r="AR14" s="88" t="str">
        <f t="shared" si="7"/>
        <v>正确</v>
      </c>
      <c r="AS14" s="88" t="str">
        <f t="shared" si="8"/>
        <v>不</v>
      </c>
      <c r="AT14" s="88" t="str">
        <f t="shared" si="9"/>
        <v>重复</v>
      </c>
    </row>
    <row r="15" spans="1:46" s="10" customFormat="1" ht="18" customHeight="1">
      <c r="A15" s="24">
        <v>12</v>
      </c>
      <c r="B15" s="25" t="s">
        <v>191</v>
      </c>
      <c r="C15" s="25" t="s">
        <v>134</v>
      </c>
      <c r="D15" s="25" t="s">
        <v>192</v>
      </c>
      <c r="E15" s="25" t="s">
        <v>135</v>
      </c>
      <c r="F15" s="26" t="s">
        <v>193</v>
      </c>
      <c r="G15" s="33">
        <v>18009593554</v>
      </c>
      <c r="H15" s="28"/>
      <c r="I15" s="28"/>
      <c r="J15" s="56"/>
      <c r="K15" s="28"/>
      <c r="L15" s="60">
        <v>11820</v>
      </c>
      <c r="M15" s="58">
        <v>280.95999999999998</v>
      </c>
      <c r="N15" s="58">
        <v>83.24</v>
      </c>
      <c r="O15" s="58">
        <v>17.559999999999999</v>
      </c>
      <c r="P15" s="58">
        <v>195</v>
      </c>
      <c r="Q15" s="74">
        <f t="shared" si="0"/>
        <v>576.76</v>
      </c>
      <c r="R15" s="60">
        <v>0</v>
      </c>
      <c r="S15" s="75">
        <f>L15+IFERROR(VLOOKUP($E:$E,'（居民）工资表-6月'!$E:$S,15,0),0)</f>
        <v>30553.64</v>
      </c>
      <c r="T15" s="76">
        <f>5000+IFERROR(VLOOKUP($E:$E,'（居民）工资表-6月'!$E:$T,16,0),0)</f>
        <v>15000</v>
      </c>
      <c r="U15" s="76">
        <f>Q15+IFERROR(VLOOKUP($E:$E,'（居民）工资表-6月'!$E:$U,17,0),0)</f>
        <v>2307.04</v>
      </c>
      <c r="V15" s="60"/>
      <c r="W15" s="60"/>
      <c r="X15" s="60"/>
      <c r="Y15" s="60"/>
      <c r="Z15" s="60"/>
      <c r="AA15" s="60"/>
      <c r="AB15" s="75">
        <f t="shared" si="1"/>
        <v>0</v>
      </c>
      <c r="AC15" s="75">
        <f>R15+IFERROR(VLOOKUP($E:$E,'（居民）工资表-6月'!$E:$AC,25,0),0)</f>
        <v>0</v>
      </c>
      <c r="AD15" s="77">
        <f t="shared" si="2"/>
        <v>13246.6</v>
      </c>
      <c r="AE15" s="78">
        <f>ROUND(MAX((AD15)*{0.03;0.1;0.2;0.25;0.3;0.35;0.45}-{0;2520;16920;31920;52920;85920;181920},0),2)</f>
        <v>397.4</v>
      </c>
      <c r="AF15" s="79">
        <f>IFERROR(VLOOKUP(E:E,'（居民）工资表-6月'!E:AF,28,0)+VLOOKUP(E:E,'（居民）工资表-6月'!E:AG,29,0),0)</f>
        <v>210.1</v>
      </c>
      <c r="AG15" s="79">
        <f t="shared" si="3"/>
        <v>187.29999999999998</v>
      </c>
      <c r="AH15" s="82">
        <f t="shared" si="4"/>
        <v>11055.94</v>
      </c>
      <c r="AI15" s="83"/>
      <c r="AJ15" s="82">
        <f t="shared" si="5"/>
        <v>11055.94</v>
      </c>
      <c r="AK15" s="84"/>
      <c r="AL15" s="82">
        <f t="shared" si="6"/>
        <v>11243.24</v>
      </c>
      <c r="AM15" s="84"/>
      <c r="AN15" s="84"/>
      <c r="AO15" s="84"/>
      <c r="AP15" s="84"/>
      <c r="AQ15" s="84"/>
      <c r="AR15" s="88" t="str">
        <f t="shared" si="7"/>
        <v>正确</v>
      </c>
      <c r="AS15" s="88" t="str">
        <f t="shared" si="8"/>
        <v>不</v>
      </c>
      <c r="AT15" s="88" t="str">
        <f t="shared" si="9"/>
        <v>重复</v>
      </c>
    </row>
    <row r="16" spans="1:46" s="10" customFormat="1" ht="18" customHeight="1">
      <c r="A16" s="24">
        <v>13</v>
      </c>
      <c r="B16" s="25" t="s">
        <v>191</v>
      </c>
      <c r="C16" s="25" t="s">
        <v>130</v>
      </c>
      <c r="D16" s="25" t="s">
        <v>192</v>
      </c>
      <c r="E16" s="25" t="s">
        <v>131</v>
      </c>
      <c r="F16" s="26" t="s">
        <v>193</v>
      </c>
      <c r="G16" s="33">
        <v>17795512929</v>
      </c>
      <c r="H16" s="28"/>
      <c r="I16" s="28"/>
      <c r="J16" s="56"/>
      <c r="K16" s="28"/>
      <c r="L16" s="60">
        <v>11120</v>
      </c>
      <c r="M16" s="58">
        <v>280.95999999999998</v>
      </c>
      <c r="N16" s="58">
        <v>83.24</v>
      </c>
      <c r="O16" s="58">
        <v>17.559999999999999</v>
      </c>
      <c r="P16" s="58">
        <v>195</v>
      </c>
      <c r="Q16" s="74">
        <f t="shared" si="0"/>
        <v>576.76</v>
      </c>
      <c r="R16" s="60">
        <v>0</v>
      </c>
      <c r="S16" s="75">
        <f>L16+IFERROR(VLOOKUP($E:$E,'（居民）工资表-6月'!$E:$S,15,0),0)</f>
        <v>28740</v>
      </c>
      <c r="T16" s="76">
        <f>5000+IFERROR(VLOOKUP($E:$E,'（居民）工资表-6月'!$E:$T,16,0),0)</f>
        <v>15000</v>
      </c>
      <c r="U16" s="76">
        <f>Q16+IFERROR(VLOOKUP($E:$E,'（居民）工资表-6月'!$E:$U,17,0),0)</f>
        <v>2307.04</v>
      </c>
      <c r="V16" s="60"/>
      <c r="W16" s="60"/>
      <c r="X16" s="60"/>
      <c r="Y16" s="60"/>
      <c r="Z16" s="60"/>
      <c r="AA16" s="60"/>
      <c r="AB16" s="75">
        <f t="shared" si="1"/>
        <v>0</v>
      </c>
      <c r="AC16" s="75">
        <f>R16+IFERROR(VLOOKUP($E:$E,'（居民）工资表-6月'!$E:$AC,25,0),0)</f>
        <v>0</v>
      </c>
      <c r="AD16" s="77">
        <f t="shared" si="2"/>
        <v>11432.96</v>
      </c>
      <c r="AE16" s="78">
        <f>ROUND(MAX((AD16)*{0.03;0.1;0.2;0.25;0.3;0.35;0.45}-{0;2520;16920;31920;52920;85920;181920},0),2)</f>
        <v>342.99</v>
      </c>
      <c r="AF16" s="79">
        <f>IFERROR(VLOOKUP(E:E,'（居民）工资表-6月'!E:AF,28,0)+VLOOKUP(E:E,'（居民）工资表-6月'!E:AG,29,0),0)</f>
        <v>176.69</v>
      </c>
      <c r="AG16" s="79">
        <f t="shared" si="3"/>
        <v>166.3</v>
      </c>
      <c r="AH16" s="82">
        <f t="shared" si="4"/>
        <v>10376.94</v>
      </c>
      <c r="AI16" s="83"/>
      <c r="AJ16" s="82">
        <f t="shared" si="5"/>
        <v>10376.94</v>
      </c>
      <c r="AK16" s="84"/>
      <c r="AL16" s="82">
        <f t="shared" si="6"/>
        <v>10543.24</v>
      </c>
      <c r="AM16" s="84"/>
      <c r="AN16" s="84"/>
      <c r="AO16" s="84"/>
      <c r="AP16" s="84"/>
      <c r="AQ16" s="84"/>
      <c r="AR16" s="88" t="str">
        <f t="shared" si="7"/>
        <v>正确</v>
      </c>
      <c r="AS16" s="88" t="str">
        <f>IF(SUMPRODUCT(N(E$1:E$18=E16))&gt;1,"重复","不")</f>
        <v>不</v>
      </c>
      <c r="AT16" s="88" t="str">
        <f>IF(SUMPRODUCT(N(AO$1:AO$18=AO16))&gt;1,"重复","不")</f>
        <v>重复</v>
      </c>
    </row>
    <row r="17" spans="1:46" s="10" customFormat="1" ht="18" customHeight="1">
      <c r="A17" s="24">
        <v>14</v>
      </c>
      <c r="B17" s="25" t="s">
        <v>191</v>
      </c>
      <c r="C17" s="25" t="s">
        <v>132</v>
      </c>
      <c r="D17" s="25" t="s">
        <v>192</v>
      </c>
      <c r="E17" s="25" t="s">
        <v>133</v>
      </c>
      <c r="F17" s="26" t="s">
        <v>193</v>
      </c>
      <c r="G17" s="33">
        <v>18995128068</v>
      </c>
      <c r="H17" s="28"/>
      <c r="I17" s="28"/>
      <c r="J17" s="56"/>
      <c r="K17" s="28"/>
      <c r="L17" s="60">
        <v>11120</v>
      </c>
      <c r="M17" s="58">
        <v>280.95999999999998</v>
      </c>
      <c r="N17" s="58">
        <v>83.24</v>
      </c>
      <c r="O17" s="58">
        <v>17.559999999999999</v>
      </c>
      <c r="P17" s="58">
        <v>195</v>
      </c>
      <c r="Q17" s="74">
        <f t="shared" si="0"/>
        <v>576.76</v>
      </c>
      <c r="R17" s="60">
        <v>0</v>
      </c>
      <c r="S17" s="75">
        <f>L17+IFERROR(VLOOKUP($E:$E,'（居民）工资表-6月'!$E:$S,15,0),0)</f>
        <v>28740</v>
      </c>
      <c r="T17" s="76">
        <f>5000+IFERROR(VLOOKUP($E:$E,'（居民）工资表-6月'!$E:$T,16,0),0)</f>
        <v>15000</v>
      </c>
      <c r="U17" s="76">
        <f>Q17+IFERROR(VLOOKUP($E:$E,'（居民）工资表-6月'!$E:$U,17,0),0)</f>
        <v>2307.04</v>
      </c>
      <c r="V17" s="60"/>
      <c r="W17" s="60"/>
      <c r="X17" s="60"/>
      <c r="Y17" s="60"/>
      <c r="Z17" s="60"/>
      <c r="AA17" s="60"/>
      <c r="AB17" s="75">
        <f t="shared" si="1"/>
        <v>0</v>
      </c>
      <c r="AC17" s="75">
        <f>R17+IFERROR(VLOOKUP($E:$E,'（居民）工资表-6月'!$E:$AC,25,0),0)</f>
        <v>0</v>
      </c>
      <c r="AD17" s="77">
        <f t="shared" si="2"/>
        <v>11432.96</v>
      </c>
      <c r="AE17" s="78">
        <f>ROUND(MAX((AD17)*{0.03;0.1;0.2;0.25;0.3;0.35;0.45}-{0;2520;16920;31920;52920;85920;181920},0),2)</f>
        <v>342.99</v>
      </c>
      <c r="AF17" s="79">
        <f>IFERROR(VLOOKUP(E:E,'（居民）工资表-6月'!E:AF,28,0)+VLOOKUP(E:E,'（居民）工资表-6月'!E:AG,29,0),0)</f>
        <v>176.69</v>
      </c>
      <c r="AG17" s="79">
        <f t="shared" si="3"/>
        <v>166.3</v>
      </c>
      <c r="AH17" s="82">
        <f t="shared" si="4"/>
        <v>10376.94</v>
      </c>
      <c r="AI17" s="83"/>
      <c r="AJ17" s="82">
        <f t="shared" si="5"/>
        <v>10376.94</v>
      </c>
      <c r="AK17" s="84"/>
      <c r="AL17" s="82">
        <f t="shared" si="6"/>
        <v>10543.24</v>
      </c>
      <c r="AM17" s="84"/>
      <c r="AN17" s="84"/>
      <c r="AO17" s="84"/>
      <c r="AP17" s="84"/>
      <c r="AQ17" s="84"/>
      <c r="AR17" s="88" t="str">
        <f t="shared" si="7"/>
        <v>正确</v>
      </c>
      <c r="AS17" s="88" t="str">
        <f>IF(SUMPRODUCT(N(E$1:E$18=E17))&gt;1,"重复","不")</f>
        <v>不</v>
      </c>
      <c r="AT17" s="88" t="str">
        <f>IF(SUMPRODUCT(N(AO$1:AO$18=AO17))&gt;1,"重复","不")</f>
        <v>重复</v>
      </c>
    </row>
    <row r="18" spans="1:46" s="10" customFormat="1" ht="18" customHeight="1">
      <c r="A18" s="24">
        <v>15</v>
      </c>
      <c r="B18" s="25" t="s">
        <v>191</v>
      </c>
      <c r="C18" s="25" t="s">
        <v>138</v>
      </c>
      <c r="D18" s="25" t="s">
        <v>192</v>
      </c>
      <c r="E18" s="289" t="s">
        <v>139</v>
      </c>
      <c r="F18" s="26" t="s">
        <v>193</v>
      </c>
      <c r="G18" s="33" t="s">
        <v>210</v>
      </c>
      <c r="H18" s="28"/>
      <c r="I18" s="28"/>
      <c r="J18" s="56"/>
      <c r="K18" s="28"/>
      <c r="L18" s="60">
        <v>2363.63</v>
      </c>
      <c r="M18" s="58">
        <f>274.4*2</f>
        <v>548.79999999999995</v>
      </c>
      <c r="N18" s="58">
        <f>68.6*2</f>
        <v>137.19999999999999</v>
      </c>
      <c r="O18" s="58">
        <v>34.299999999999997</v>
      </c>
      <c r="P18" s="58">
        <f>82.5*2</f>
        <v>165</v>
      </c>
      <c r="Q18" s="74">
        <f t="shared" si="0"/>
        <v>885.3</v>
      </c>
      <c r="R18" s="60">
        <v>0</v>
      </c>
      <c r="S18" s="75">
        <f>L18+IFERROR(VLOOKUP($E:$E,'（居民）工资表-6月'!$E:$S,15,0),0)</f>
        <v>2363.63</v>
      </c>
      <c r="T18" s="76">
        <f>5000+IFERROR(VLOOKUP($E:$E,'（居民）工资表-6月'!$E:$T,16,0),0)</f>
        <v>5000</v>
      </c>
      <c r="U18" s="76">
        <f>Q18+IFERROR(VLOOKUP($E:$E,'（居民）工资表-6月'!$E:$U,17,0),0)</f>
        <v>885.3</v>
      </c>
      <c r="V18" s="60"/>
      <c r="W18" s="60"/>
      <c r="X18" s="60"/>
      <c r="Y18" s="60"/>
      <c r="Z18" s="60"/>
      <c r="AA18" s="60"/>
      <c r="AB18" s="75">
        <f t="shared" si="1"/>
        <v>0</v>
      </c>
      <c r="AC18" s="75">
        <f>R18+IFERROR(VLOOKUP($E:$E,'（居民）工资表-6月'!$E:$AC,25,0),0)</f>
        <v>0</v>
      </c>
      <c r="AD18" s="77">
        <f t="shared" si="2"/>
        <v>-3521.67</v>
      </c>
      <c r="AE18" s="78">
        <f>ROUND(MAX((AD18)*{0.03;0.1;0.2;0.25;0.3;0.35;0.45}-{0;2520;16920;31920;52920;85920;181920},0),2)</f>
        <v>0</v>
      </c>
      <c r="AF18" s="79">
        <f>IFERROR(VLOOKUP(E:E,'（居民）工资表-6月'!E:AF,28,0)+VLOOKUP(E:E,'（居民）工资表-6月'!E:AG,29,0),0)</f>
        <v>0</v>
      </c>
      <c r="AG18" s="79">
        <f t="shared" si="3"/>
        <v>0</v>
      </c>
      <c r="AH18" s="82">
        <f t="shared" si="4"/>
        <v>1478.33</v>
      </c>
      <c r="AI18" s="83"/>
      <c r="AJ18" s="82">
        <f t="shared" si="5"/>
        <v>1478.33</v>
      </c>
      <c r="AK18" s="84"/>
      <c r="AL18" s="82">
        <f t="shared" si="6"/>
        <v>1478.33</v>
      </c>
      <c r="AM18" s="84"/>
      <c r="AN18" s="84"/>
      <c r="AO18" s="84"/>
      <c r="AP18" s="84"/>
      <c r="AQ18" s="84"/>
      <c r="AR18" s="88" t="str">
        <f t="shared" si="7"/>
        <v>正确</v>
      </c>
      <c r="AS18" s="88" t="str">
        <f>IF(SUMPRODUCT(N(E$1:E$18=E18))&gt;1,"重复","不")</f>
        <v>不</v>
      </c>
      <c r="AT18" s="88" t="str">
        <f>IF(SUMPRODUCT(N(AO$1:AO$18=AO18))&gt;1,"重复","不")</f>
        <v>重复</v>
      </c>
    </row>
    <row r="19" spans="1:46" s="11" customFormat="1" ht="18" customHeight="1">
      <c r="A19" s="34"/>
      <c r="B19" s="35" t="s">
        <v>198</v>
      </c>
      <c r="C19" s="35"/>
      <c r="D19" s="36"/>
      <c r="E19" s="37"/>
      <c r="F19" s="38"/>
      <c r="G19" s="39"/>
      <c r="H19" s="38"/>
      <c r="I19" s="61"/>
      <c r="J19" s="62"/>
      <c r="K19" s="61"/>
      <c r="L19" s="63">
        <f t="shared" ref="L19:Q19" si="10">SUM(L4:L18)</f>
        <v>177213.63</v>
      </c>
      <c r="M19" s="63">
        <f t="shared" si="10"/>
        <v>4326.09</v>
      </c>
      <c r="N19" s="63">
        <f t="shared" si="10"/>
        <v>1171.6400000000001</v>
      </c>
      <c r="O19" s="63">
        <f t="shared" si="10"/>
        <v>187.88</v>
      </c>
      <c r="P19" s="63">
        <f t="shared" si="10"/>
        <v>3161.56</v>
      </c>
      <c r="Q19" s="63">
        <f t="shared" si="10"/>
        <v>8847.17</v>
      </c>
      <c r="R19" s="63">
        <f t="shared" ref="R19:AL19" si="11">SUM(R4:R18)</f>
        <v>0</v>
      </c>
      <c r="S19" s="63">
        <f t="shared" si="11"/>
        <v>799483.77</v>
      </c>
      <c r="T19" s="63">
        <f t="shared" si="11"/>
        <v>355000</v>
      </c>
      <c r="U19" s="63">
        <f t="shared" si="11"/>
        <v>46016.81</v>
      </c>
      <c r="V19" s="63">
        <f t="shared" si="11"/>
        <v>7000</v>
      </c>
      <c r="W19" s="63">
        <f t="shared" si="11"/>
        <v>4000</v>
      </c>
      <c r="X19" s="63">
        <f t="shared" si="11"/>
        <v>19000</v>
      </c>
      <c r="Y19" s="63">
        <f t="shared" si="11"/>
        <v>16500</v>
      </c>
      <c r="Z19" s="63">
        <f t="shared" si="11"/>
        <v>4400</v>
      </c>
      <c r="AA19" s="63">
        <f t="shared" si="11"/>
        <v>0</v>
      </c>
      <c r="AB19" s="63">
        <f t="shared" si="11"/>
        <v>50900</v>
      </c>
      <c r="AC19" s="63">
        <f t="shared" si="11"/>
        <v>0</v>
      </c>
      <c r="AD19" s="63">
        <f t="shared" si="11"/>
        <v>347566.96000000008</v>
      </c>
      <c r="AE19" s="63">
        <f t="shared" si="11"/>
        <v>13818.31</v>
      </c>
      <c r="AF19" s="63">
        <f t="shared" si="11"/>
        <v>8832.8000000000011</v>
      </c>
      <c r="AG19" s="63">
        <f t="shared" si="11"/>
        <v>4985.51</v>
      </c>
      <c r="AH19" s="63">
        <f t="shared" si="11"/>
        <v>163380.94999999998</v>
      </c>
      <c r="AI19" s="109">
        <f t="shared" si="11"/>
        <v>0</v>
      </c>
      <c r="AJ19" s="63">
        <f t="shared" si="11"/>
        <v>163380.94999999998</v>
      </c>
      <c r="AK19" s="63">
        <f t="shared" si="11"/>
        <v>0</v>
      </c>
      <c r="AL19" s="63">
        <f t="shared" si="11"/>
        <v>168366.45999999996</v>
      </c>
      <c r="AM19" s="85"/>
      <c r="AN19" s="85"/>
      <c r="AO19" s="85"/>
      <c r="AP19" s="85"/>
      <c r="AQ19" s="85"/>
      <c r="AR19" s="38"/>
      <c r="AS19" s="38"/>
      <c r="AT19" s="89"/>
    </row>
    <row r="22" spans="1:46">
      <c r="AD22" s="80"/>
    </row>
    <row r="23" spans="1:46" ht="18.75" customHeight="1">
      <c r="B23" s="40" t="s">
        <v>172</v>
      </c>
      <c r="C23" s="40" t="s">
        <v>199</v>
      </c>
      <c r="D23" s="40" t="s">
        <v>57</v>
      </c>
      <c r="E23" s="40" t="s">
        <v>58</v>
      </c>
      <c r="AD23" s="8"/>
    </row>
    <row r="24" spans="1:46" ht="18.75" customHeight="1">
      <c r="B24" s="41">
        <f>AJ19</f>
        <v>163380.94999999998</v>
      </c>
      <c r="C24" s="41">
        <f>AG19</f>
        <v>4985.51</v>
      </c>
      <c r="D24" s="41">
        <f>AK19</f>
        <v>0</v>
      </c>
      <c r="E24" s="41">
        <f>B24+C24+D24</f>
        <v>168366.46</v>
      </c>
    </row>
    <row r="25" spans="1:46">
      <c r="B25" s="42"/>
      <c r="C25" s="42"/>
      <c r="D25" s="42"/>
      <c r="E25" s="42">
        <f>社保1!BC14</f>
        <v>9778.82</v>
      </c>
    </row>
    <row r="26" spans="1:46" s="12" customFormat="1">
      <c r="A26" s="43" t="s">
        <v>200</v>
      </c>
      <c r="B26" s="44" t="s">
        <v>201</v>
      </c>
      <c r="C26" s="45"/>
      <c r="D26" s="45"/>
      <c r="E26" s="45"/>
      <c r="G26" s="46"/>
      <c r="J26" s="64"/>
      <c r="M26" s="65"/>
      <c r="AI26" s="86"/>
    </row>
    <row r="27" spans="1:46" s="12" customFormat="1">
      <c r="A27" s="47"/>
      <c r="B27" s="48" t="s">
        <v>202</v>
      </c>
      <c r="C27" s="45"/>
      <c r="D27" s="45"/>
      <c r="E27" s="45"/>
      <c r="G27" s="46"/>
      <c r="J27" s="64"/>
      <c r="M27" s="65"/>
      <c r="AI27" s="86"/>
    </row>
    <row r="28" spans="1:46" s="12" customFormat="1">
      <c r="A28" s="44"/>
      <c r="B28" s="48" t="s">
        <v>203</v>
      </c>
      <c r="C28" s="49"/>
      <c r="D28" s="49"/>
      <c r="E28" s="49"/>
      <c r="F28" s="49"/>
      <c r="G28" s="49"/>
      <c r="H28" s="49"/>
      <c r="I28" s="49"/>
      <c r="J28" s="66"/>
      <c r="K28" s="49"/>
      <c r="L28" s="49"/>
      <c r="M28" s="67"/>
      <c r="N28" s="49"/>
      <c r="O28" s="49"/>
      <c r="P28" s="49"/>
      <c r="AI28" s="86"/>
    </row>
    <row r="29" spans="1:46" s="12" customFormat="1" ht="13.5" customHeight="1">
      <c r="A29" s="48"/>
      <c r="B29" s="48" t="s">
        <v>204</v>
      </c>
      <c r="C29" s="50"/>
      <c r="D29" s="50"/>
      <c r="E29" s="50"/>
      <c r="F29" s="50"/>
      <c r="G29" s="50"/>
      <c r="H29" s="50"/>
      <c r="I29" s="68"/>
      <c r="J29" s="69"/>
      <c r="K29" s="68"/>
      <c r="L29" s="68"/>
      <c r="M29" s="70"/>
      <c r="N29" s="68"/>
      <c r="O29" s="68"/>
      <c r="P29" s="68"/>
      <c r="AI29" s="86"/>
    </row>
    <row r="30" spans="1:46" s="12" customFormat="1" ht="13.5" customHeight="1">
      <c r="A30" s="48"/>
      <c r="B30" s="48" t="s">
        <v>205</v>
      </c>
      <c r="C30" s="50"/>
      <c r="D30" s="50"/>
      <c r="E30" s="50"/>
      <c r="F30" s="50"/>
      <c r="G30" s="50"/>
      <c r="H30" s="50"/>
      <c r="I30" s="50"/>
      <c r="J30" s="71"/>
      <c r="K30" s="50"/>
      <c r="L30" s="68"/>
      <c r="M30" s="70"/>
      <c r="N30" s="68"/>
      <c r="O30" s="68"/>
      <c r="P30" s="68"/>
      <c r="AI30" s="86"/>
    </row>
    <row r="31" spans="1:46" s="12" customFormat="1" ht="13.5" customHeight="1">
      <c r="A31" s="48"/>
      <c r="B31" s="48" t="s">
        <v>206</v>
      </c>
      <c r="C31" s="50"/>
      <c r="D31" s="50"/>
      <c r="E31" s="50"/>
      <c r="F31" s="50"/>
      <c r="G31" s="50"/>
      <c r="H31" s="50"/>
      <c r="I31" s="68"/>
      <c r="J31" s="69"/>
      <c r="K31" s="68"/>
      <c r="L31" s="68"/>
      <c r="M31" s="70"/>
      <c r="N31" s="68"/>
      <c r="O31" s="68"/>
      <c r="P31" s="68"/>
      <c r="AI31" s="86"/>
    </row>
    <row r="33" spans="2:2" ht="11.25" customHeight="1">
      <c r="B33" s="51" t="s">
        <v>207</v>
      </c>
    </row>
    <row r="34" spans="2:2">
      <c r="B34" s="52" t="s">
        <v>208</v>
      </c>
    </row>
    <row r="35" spans="2:2">
      <c r="B35" s="52" t="s">
        <v>209</v>
      </c>
    </row>
  </sheetData>
  <autoFilter ref="A3:AT1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8" type="noConversion"/>
  <conditionalFormatting sqref="B31">
    <cfRule type="duplicateValues" dxfId="76" priority="2" stopIfTrue="1"/>
  </conditionalFormatting>
  <conditionalFormatting sqref="B26:B30">
    <cfRule type="duplicateValues" dxfId="75" priority="3" stopIfTrue="1"/>
  </conditionalFormatting>
  <conditionalFormatting sqref="B34:B35">
    <cfRule type="duplicateValues" dxfId="74" priority="1" stopIfTrue="1"/>
  </conditionalFormatting>
  <conditionalFormatting sqref="C23:C25">
    <cfRule type="duplicateValues" dxfId="73" priority="4" stopIfTrue="1"/>
    <cfRule type="expression" dxfId="72" priority="5" stopIfTrue="1">
      <formula>AND(COUNTIF($B$19:$B$65455,C23)+COUNTIF($B$1:$B$3,C23)&gt;1,NOT(ISBLANK(C23)))</formula>
    </cfRule>
    <cfRule type="expression" dxfId="71" priority="6" stopIfTrue="1">
      <formula>AND(COUNTIF($B$30:$B$65406,C23)+COUNTIF($B$1:$B$29,C23)&gt;1,NOT(ISBLANK(C23)))</formula>
    </cfRule>
    <cfRule type="expression" dxfId="70" priority="7" stopIfTrue="1">
      <formula>AND(COUNTIF($B$19:$B$65444,C23)+COUNTIF($B$1:$B$3,C23)&gt;1,NOT(ISBLANK(C23)))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5"/>
  <sheetViews>
    <sheetView workbookViewId="0">
      <pane xSplit="6" ySplit="3" topLeftCell="G4" activePane="bottomRight" state="frozen"/>
      <selection pane="topRight"/>
      <selection pane="bottomLeft"/>
      <selection pane="bottomRight" activeCell="E12" sqref="E12"/>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144</v>
      </c>
      <c r="B1" s="19"/>
      <c r="C1" s="20"/>
      <c r="D1" s="21"/>
      <c r="E1" s="22"/>
      <c r="F1" s="22"/>
      <c r="G1" s="23"/>
      <c r="J1" s="53"/>
      <c r="L1" s="54"/>
      <c r="M1" s="352" t="s">
        <v>145</v>
      </c>
      <c r="N1" s="352"/>
      <c r="O1" s="352"/>
      <c r="P1" s="352"/>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59" t="s">
        <v>18</v>
      </c>
      <c r="B2" s="361" t="s">
        <v>146</v>
      </c>
      <c r="C2" s="363" t="s">
        <v>147</v>
      </c>
      <c r="D2" s="363" t="s">
        <v>148</v>
      </c>
      <c r="E2" s="365" t="s">
        <v>149</v>
      </c>
      <c r="F2" s="367" t="s">
        <v>150</v>
      </c>
      <c r="G2" s="365" t="s">
        <v>151</v>
      </c>
      <c r="H2" s="365" t="s">
        <v>152</v>
      </c>
      <c r="I2" s="365" t="s">
        <v>153</v>
      </c>
      <c r="J2" s="369" t="s">
        <v>154</v>
      </c>
      <c r="K2" s="365" t="s">
        <v>155</v>
      </c>
      <c r="L2" s="365" t="s">
        <v>156</v>
      </c>
      <c r="M2" s="353" t="s">
        <v>157</v>
      </c>
      <c r="N2" s="354"/>
      <c r="O2" s="354"/>
      <c r="P2" s="355"/>
      <c r="Q2" s="367" t="s">
        <v>158</v>
      </c>
      <c r="R2" s="365" t="s">
        <v>159</v>
      </c>
      <c r="S2" s="367" t="s">
        <v>160</v>
      </c>
      <c r="T2" s="371" t="s">
        <v>161</v>
      </c>
      <c r="U2" s="367" t="s">
        <v>162</v>
      </c>
      <c r="V2" s="356" t="s">
        <v>163</v>
      </c>
      <c r="W2" s="357"/>
      <c r="X2" s="357"/>
      <c r="Y2" s="357"/>
      <c r="Z2" s="357"/>
      <c r="AA2" s="358"/>
      <c r="AB2" s="367" t="s">
        <v>164</v>
      </c>
      <c r="AC2" s="367" t="s">
        <v>165</v>
      </c>
      <c r="AD2" s="371" t="s">
        <v>166</v>
      </c>
      <c r="AE2" s="371" t="s">
        <v>167</v>
      </c>
      <c r="AF2" s="371" t="s">
        <v>168</v>
      </c>
      <c r="AG2" s="371" t="s">
        <v>169</v>
      </c>
      <c r="AH2" s="373" t="s">
        <v>170</v>
      </c>
      <c r="AI2" s="375" t="s">
        <v>171</v>
      </c>
      <c r="AJ2" s="373" t="s">
        <v>172</v>
      </c>
      <c r="AK2" s="363" t="s">
        <v>57</v>
      </c>
      <c r="AL2" s="373" t="s">
        <v>173</v>
      </c>
      <c r="AM2" s="365" t="s">
        <v>174</v>
      </c>
      <c r="AN2" s="365" t="s">
        <v>175</v>
      </c>
      <c r="AO2" s="377" t="s">
        <v>176</v>
      </c>
      <c r="AP2" s="365" t="s">
        <v>177</v>
      </c>
      <c r="AQ2" s="365" t="s">
        <v>178</v>
      </c>
      <c r="AR2" s="367" t="s">
        <v>179</v>
      </c>
      <c r="AS2" s="367" t="s">
        <v>180</v>
      </c>
      <c r="AT2" s="367" t="s">
        <v>181</v>
      </c>
    </row>
    <row r="3" spans="1:46" s="9" customFormat="1" ht="27" customHeight="1">
      <c r="A3" s="360"/>
      <c r="B3" s="362"/>
      <c r="C3" s="364"/>
      <c r="D3" s="364"/>
      <c r="E3" s="366"/>
      <c r="F3" s="368"/>
      <c r="G3" s="366"/>
      <c r="H3" s="366"/>
      <c r="I3" s="366"/>
      <c r="J3" s="370"/>
      <c r="K3" s="366"/>
      <c r="L3" s="366"/>
      <c r="M3" s="55" t="s">
        <v>182</v>
      </c>
      <c r="N3" s="55" t="s">
        <v>183</v>
      </c>
      <c r="O3" s="55" t="s">
        <v>184</v>
      </c>
      <c r="P3" s="55" t="s">
        <v>70</v>
      </c>
      <c r="Q3" s="368"/>
      <c r="R3" s="366"/>
      <c r="S3" s="368"/>
      <c r="T3" s="372"/>
      <c r="U3" s="368"/>
      <c r="V3" s="73" t="s">
        <v>185</v>
      </c>
      <c r="W3" s="73" t="s">
        <v>186</v>
      </c>
      <c r="X3" s="73" t="s">
        <v>187</v>
      </c>
      <c r="Y3" s="73" t="s">
        <v>188</v>
      </c>
      <c r="Z3" s="73" t="s">
        <v>189</v>
      </c>
      <c r="AA3" s="73" t="s">
        <v>190</v>
      </c>
      <c r="AB3" s="368"/>
      <c r="AC3" s="368"/>
      <c r="AD3" s="372"/>
      <c r="AE3" s="372"/>
      <c r="AF3" s="372"/>
      <c r="AG3" s="372"/>
      <c r="AH3" s="374"/>
      <c r="AI3" s="376"/>
      <c r="AJ3" s="374"/>
      <c r="AK3" s="364"/>
      <c r="AL3" s="374"/>
      <c r="AM3" s="366"/>
      <c r="AN3" s="366"/>
      <c r="AO3" s="378"/>
      <c r="AP3" s="366"/>
      <c r="AQ3" s="366"/>
      <c r="AR3" s="368"/>
      <c r="AS3" s="368"/>
      <c r="AT3" s="368"/>
    </row>
    <row r="4" spans="1:46" s="10" customFormat="1" ht="18" customHeight="1">
      <c r="A4" s="24">
        <v>1</v>
      </c>
      <c r="B4" s="25" t="s">
        <v>191</v>
      </c>
      <c r="C4" s="25" t="s">
        <v>75</v>
      </c>
      <c r="D4" s="25" t="s">
        <v>192</v>
      </c>
      <c r="E4" s="25" t="s">
        <v>76</v>
      </c>
      <c r="F4" s="26" t="s">
        <v>193</v>
      </c>
      <c r="G4" s="33">
        <v>18035163638</v>
      </c>
      <c r="H4" s="28"/>
      <c r="I4" s="28"/>
      <c r="J4" s="56"/>
      <c r="K4" s="28"/>
      <c r="L4" s="60">
        <v>10560</v>
      </c>
      <c r="M4" s="58">
        <v>422.72</v>
      </c>
      <c r="N4" s="58">
        <v>66</v>
      </c>
      <c r="O4" s="58">
        <v>15.82</v>
      </c>
      <c r="P4" s="58">
        <v>180</v>
      </c>
      <c r="Q4" s="74">
        <f>ROUND(SUM(M4:P4),2)</f>
        <v>684.54</v>
      </c>
      <c r="R4" s="60">
        <v>0</v>
      </c>
      <c r="S4" s="75">
        <f>L4+IFERROR(VLOOKUP($E:$E,'（居民）工资表-7月'!$E:$S,15,0),0)</f>
        <v>78600</v>
      </c>
      <c r="T4" s="76">
        <f>5000+IFERROR(VLOOKUP($E:$E,'（居民）工资表-7月'!$E:$T,16,0),0)</f>
        <v>40000</v>
      </c>
      <c r="U4" s="76">
        <f>Q4+IFERROR(VLOOKUP($E:$E,'（居民）工资表-7月'!$E:$U,17,0),0)</f>
        <v>4323.84</v>
      </c>
      <c r="V4" s="60">
        <v>8000</v>
      </c>
      <c r="W4" s="60"/>
      <c r="X4" s="60">
        <v>8000</v>
      </c>
      <c r="Y4" s="60"/>
      <c r="Z4" s="60">
        <v>3200</v>
      </c>
      <c r="AA4" s="60"/>
      <c r="AB4" s="75">
        <f>ROUND(SUM(V4:AA4),2)</f>
        <v>19200</v>
      </c>
      <c r="AC4" s="75">
        <f>R4+IFERROR(VLOOKUP($E:$E,'（居民）工资表-7月'!$E:$AC,25,0),0)</f>
        <v>0</v>
      </c>
      <c r="AD4" s="77">
        <f>ROUND(S4-T4-U4-AB4-AC4,2)</f>
        <v>15076.16</v>
      </c>
      <c r="AE4" s="78">
        <f>ROUND(MAX((AD4)*{0.03;0.1;0.2;0.25;0.3;0.35;0.45}-{0;2520;16920;31920;52920;85920;181920},0),2)</f>
        <v>452.28</v>
      </c>
      <c r="AF4" s="79">
        <f>IFERROR(VLOOKUP(E:E,'（居民）工资表-7月'!E:AF,28,0)+VLOOKUP(E:E,'（居民）工资表-7月'!E:AG,29,0),0)</f>
        <v>378.02</v>
      </c>
      <c r="AG4" s="79">
        <f>IF((AE4-AF4)&lt;0,0,AE4-AF4)</f>
        <v>74.259999999999991</v>
      </c>
      <c r="AH4" s="82">
        <f>ROUND(IF((L4-Q4-AG4)&lt;0,0,(L4-Q4-AG4)),2)</f>
        <v>9801.2000000000007</v>
      </c>
      <c r="AI4" s="83"/>
      <c r="AJ4" s="82">
        <f>AH4+AI4</f>
        <v>9801.2000000000007</v>
      </c>
      <c r="AK4" s="84"/>
      <c r="AL4" s="82">
        <f>AJ4+AG4+AK4</f>
        <v>9875.4600000000009</v>
      </c>
      <c r="AM4" s="84"/>
      <c r="AN4" s="84"/>
      <c r="AO4" s="84"/>
      <c r="AP4" s="84"/>
      <c r="AQ4" s="84"/>
      <c r="AR4" s="8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IF(SUMPRODUCT(N(E$1:E$7=E4))&gt;1,"重复","不")</f>
        <v>不</v>
      </c>
      <c r="AT4" s="88" t="str">
        <f>IF(SUMPRODUCT(N(AO$1:AO$7=AO4))&gt;1,"重复","不")</f>
        <v>重复</v>
      </c>
    </row>
    <row r="5" spans="1:46" s="10" customFormat="1" ht="18" customHeight="1">
      <c r="A5" s="24">
        <v>2</v>
      </c>
      <c r="B5" s="25" t="s">
        <v>191</v>
      </c>
      <c r="C5" s="25" t="s">
        <v>93</v>
      </c>
      <c r="D5" s="25" t="s">
        <v>192</v>
      </c>
      <c r="E5" s="25" t="s">
        <v>94</v>
      </c>
      <c r="F5" s="26" t="s">
        <v>193</v>
      </c>
      <c r="G5" s="33">
        <v>13944441728</v>
      </c>
      <c r="H5" s="28"/>
      <c r="I5" s="28"/>
      <c r="J5" s="56"/>
      <c r="K5" s="28"/>
      <c r="L5" s="60">
        <v>7000</v>
      </c>
      <c r="M5" s="58">
        <v>268.81</v>
      </c>
      <c r="N5" s="58">
        <v>72.06</v>
      </c>
      <c r="O5" s="58">
        <v>10.08</v>
      </c>
      <c r="P5" s="58">
        <v>82</v>
      </c>
      <c r="Q5" s="74">
        <f>ROUND(SUM(M5:P5),2)</f>
        <v>432.95</v>
      </c>
      <c r="R5" s="60">
        <v>0</v>
      </c>
      <c r="S5" s="75">
        <f>L5+IFERROR(VLOOKUP($E:$E,'（居民）工资表-7月'!$E:$S,15,0),0)</f>
        <v>56000</v>
      </c>
      <c r="T5" s="76">
        <f>5000+IFERROR(VLOOKUP($E:$E,'（居民）工资表-7月'!$E:$T,16,0),0)</f>
        <v>40000</v>
      </c>
      <c r="U5" s="76">
        <f>Q5+IFERROR(VLOOKUP($E:$E,'（居民）工资表-7月'!$E:$U,17,0),0)</f>
        <v>3463.5999999999995</v>
      </c>
      <c r="V5" s="60"/>
      <c r="W5" s="60"/>
      <c r="X5" s="60">
        <v>8000</v>
      </c>
      <c r="Y5" s="60"/>
      <c r="Z5" s="60"/>
      <c r="AA5" s="60"/>
      <c r="AB5" s="75">
        <f>ROUND(SUM(V5:AA5),2)</f>
        <v>8000</v>
      </c>
      <c r="AC5" s="75">
        <f>R5+IFERROR(VLOOKUP($E:$E,'（居民）工资表-7月'!$E:$AC,25,0),0)</f>
        <v>0</v>
      </c>
      <c r="AD5" s="77">
        <f>ROUND(S5-T5-U5-AB5-AC5,2)</f>
        <v>4536.3999999999996</v>
      </c>
      <c r="AE5" s="78">
        <f>ROUND(MAX((AD5)*{0.03;0.1;0.2;0.25;0.3;0.35;0.45}-{0;2520;16920;31920;52920;85920;181920},0),2)</f>
        <v>136.09</v>
      </c>
      <c r="AF5" s="79">
        <f>IFERROR(VLOOKUP(E:E,'（居民）工资表-7月'!E:AF,28,0)+VLOOKUP(E:E,'（居民）工资表-7月'!E:AG,29,0),0)</f>
        <v>119.08</v>
      </c>
      <c r="AG5" s="79">
        <f>IF((AE5-AF5)&lt;0,0,AE5-AF5)</f>
        <v>17.010000000000005</v>
      </c>
      <c r="AH5" s="82">
        <f>ROUND(IF((L5-Q5-AG5)&lt;0,0,(L5-Q5-AG5)),2)</f>
        <v>6550.04</v>
      </c>
      <c r="AI5" s="83"/>
      <c r="AJ5" s="82">
        <f>AH5+AI5</f>
        <v>6550.04</v>
      </c>
      <c r="AK5" s="84"/>
      <c r="AL5" s="82">
        <f>AJ5+AG5+AK5</f>
        <v>6567.05</v>
      </c>
      <c r="AM5" s="84"/>
      <c r="AN5" s="84"/>
      <c r="AO5" s="84"/>
      <c r="AP5" s="84"/>
      <c r="AQ5" s="84"/>
      <c r="AR5" s="8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8" t="str">
        <f>IF(SUMPRODUCT(N(E$1:E$7=E5))&gt;1,"重复","不")</f>
        <v>不</v>
      </c>
      <c r="AT5" s="88" t="str">
        <f>IF(SUMPRODUCT(N(AO$1:AO$7=AO5))&gt;1,"重复","不")</f>
        <v>重复</v>
      </c>
    </row>
    <row r="6" spans="1:46" s="10" customFormat="1" ht="18" customHeight="1">
      <c r="A6" s="24">
        <v>3</v>
      </c>
      <c r="B6" s="25" t="s">
        <v>191</v>
      </c>
      <c r="C6" s="25" t="s">
        <v>107</v>
      </c>
      <c r="D6" s="25" t="s">
        <v>192</v>
      </c>
      <c r="E6" s="289" t="s">
        <v>108</v>
      </c>
      <c r="F6" s="26" t="s">
        <v>194</v>
      </c>
      <c r="G6" s="33">
        <v>15360550807</v>
      </c>
      <c r="H6" s="28"/>
      <c r="I6" s="28"/>
      <c r="J6" s="56"/>
      <c r="K6" s="28"/>
      <c r="L6" s="60">
        <v>5700</v>
      </c>
      <c r="M6" s="58">
        <v>367.04</v>
      </c>
      <c r="N6" s="58">
        <v>153.41999999999999</v>
      </c>
      <c r="O6" s="58">
        <v>4.5999999999999996</v>
      </c>
      <c r="P6" s="58">
        <v>115</v>
      </c>
      <c r="Q6" s="74">
        <f t="shared" ref="Q6:Q8" si="0">ROUND(SUM(M6:P6),2)</f>
        <v>640.05999999999995</v>
      </c>
      <c r="R6" s="60">
        <v>0</v>
      </c>
      <c r="S6" s="75">
        <f>L6+IFERROR(VLOOKUP($E:$E,'（居民）工资表-7月'!$E:$S,15,0),0)</f>
        <v>45600</v>
      </c>
      <c r="T6" s="76">
        <f>5000+IFERROR(VLOOKUP($E:$E,'（居民）工资表-7月'!$E:$T,16,0),0)</f>
        <v>40000</v>
      </c>
      <c r="U6" s="76">
        <f>Q6+IFERROR(VLOOKUP($E:$E,'（居民）工资表-7月'!$E:$U,17,0),0)</f>
        <v>5021.7999999999993</v>
      </c>
      <c r="V6" s="60"/>
      <c r="W6" s="60"/>
      <c r="X6" s="60"/>
      <c r="Y6" s="60">
        <v>12000</v>
      </c>
      <c r="Z6" s="60"/>
      <c r="AA6" s="60"/>
      <c r="AB6" s="75">
        <f t="shared" ref="AB6:AB8" si="1">ROUND(SUM(V6:AA6),2)</f>
        <v>12000</v>
      </c>
      <c r="AC6" s="75">
        <f>R6+IFERROR(VLOOKUP($E:$E,'（居民）工资表-7月'!$E:$AC,25,0),0)</f>
        <v>0</v>
      </c>
      <c r="AD6" s="77">
        <f t="shared" ref="AD6:AD8" si="2">ROUND(S6-T6-U6-AB6-AC6,2)</f>
        <v>-11421.8</v>
      </c>
      <c r="AE6" s="78">
        <f>ROUND(MAX((AD6)*{0.03;0.1;0.2;0.25;0.3;0.35;0.45}-{0;2520;16920;31920;52920;85920;181920},0),2)</f>
        <v>0</v>
      </c>
      <c r="AF6" s="79">
        <f>IFERROR(VLOOKUP(E:E,'（居民）工资表-7月'!E:AF,28,0)+VLOOKUP(E:E,'（居民）工资表-7月'!E:AG,29,0),0)</f>
        <v>0</v>
      </c>
      <c r="AG6" s="79">
        <f t="shared" ref="AG6:AG8" si="3">IF((AE6-AF6)&lt;0,0,AE6-AF6)</f>
        <v>0</v>
      </c>
      <c r="AH6" s="82">
        <f t="shared" ref="AH6:AH8" si="4">ROUND(IF((L6-Q6-AG6)&lt;0,0,(L6-Q6-AG6)),2)</f>
        <v>5059.9399999999996</v>
      </c>
      <c r="AI6" s="83"/>
      <c r="AJ6" s="82">
        <f t="shared" ref="AJ6:AJ8" si="5">AH6+AI6</f>
        <v>5059.9399999999996</v>
      </c>
      <c r="AK6" s="84"/>
      <c r="AL6" s="82">
        <f t="shared" ref="AL6:AL8" si="6">AJ6+AG6+AK6</f>
        <v>5059.9399999999996</v>
      </c>
      <c r="AM6" s="84"/>
      <c r="AN6" s="84"/>
      <c r="AO6" s="84"/>
      <c r="AP6" s="84"/>
      <c r="AQ6" s="84"/>
      <c r="AR6" s="88" t="str">
        <f t="shared" ref="AR6:AR8"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8" t="str">
        <f>IF(SUMPRODUCT(N(E$1:E$7=E6))&gt;1,"重复","不")</f>
        <v>不</v>
      </c>
      <c r="AT6" s="88" t="str">
        <f>IF(SUMPRODUCT(N(AO$1:AO$7=AO6))&gt;1,"重复","不")</f>
        <v>重复</v>
      </c>
    </row>
    <row r="7" spans="1:46" s="10" customFormat="1" ht="18" customHeight="1">
      <c r="A7" s="24">
        <v>15</v>
      </c>
      <c r="B7" s="25" t="s">
        <v>191</v>
      </c>
      <c r="C7" s="25" t="s">
        <v>138</v>
      </c>
      <c r="D7" s="25" t="s">
        <v>192</v>
      </c>
      <c r="E7" s="289" t="s">
        <v>139</v>
      </c>
      <c r="F7" s="26" t="s">
        <v>193</v>
      </c>
      <c r="G7" s="33" t="s">
        <v>210</v>
      </c>
      <c r="H7" s="28"/>
      <c r="I7" s="28"/>
      <c r="J7" s="56"/>
      <c r="K7" s="28"/>
      <c r="L7" s="60">
        <v>4844</v>
      </c>
      <c r="M7" s="58">
        <v>274.39999999999998</v>
      </c>
      <c r="N7" s="58">
        <v>68.599999999999994</v>
      </c>
      <c r="O7" s="58">
        <v>17.149999999999999</v>
      </c>
      <c r="P7" s="58">
        <v>82.5</v>
      </c>
      <c r="Q7" s="74">
        <f t="shared" si="0"/>
        <v>442.65</v>
      </c>
      <c r="R7" s="60">
        <v>0</v>
      </c>
      <c r="S7" s="75">
        <f>L7+IFERROR(VLOOKUP($E:$E,'（居民）工资表-7月'!$E:$S,15,0),0)</f>
        <v>7207.63</v>
      </c>
      <c r="T7" s="76">
        <f>5000+IFERROR(VLOOKUP($E:$E,'（居民）工资表-7月'!$E:$T,16,0),0)</f>
        <v>10000</v>
      </c>
      <c r="U7" s="76">
        <f>Q7+IFERROR(VLOOKUP($E:$E,'（居民）工资表-7月'!$E:$U,17,0),0)</f>
        <v>1327.9499999999998</v>
      </c>
      <c r="V7" s="60"/>
      <c r="W7" s="60"/>
      <c r="X7" s="60"/>
      <c r="Y7" s="60"/>
      <c r="Z7" s="60"/>
      <c r="AA7" s="60"/>
      <c r="AB7" s="75">
        <f t="shared" si="1"/>
        <v>0</v>
      </c>
      <c r="AC7" s="75">
        <f>R7+IFERROR(VLOOKUP($E:$E,'（居民）工资表-7月'!$E:$AC,25,0),0)</f>
        <v>0</v>
      </c>
      <c r="AD7" s="77">
        <f t="shared" si="2"/>
        <v>-4120.32</v>
      </c>
      <c r="AE7" s="78">
        <f>ROUND(MAX((AD7)*{0.03;0.1;0.2;0.25;0.3;0.35;0.45}-{0;2520;16920;31920;52920;85920;181920},0),2)</f>
        <v>0</v>
      </c>
      <c r="AF7" s="79">
        <f>IFERROR(VLOOKUP(E:E,'（居民）工资表-7月'!E:AF,28,0)+VLOOKUP(E:E,'（居民）工资表-7月'!E:AG,29,0),0)</f>
        <v>0</v>
      </c>
      <c r="AG7" s="79">
        <f t="shared" si="3"/>
        <v>0</v>
      </c>
      <c r="AH7" s="82">
        <f t="shared" si="4"/>
        <v>4401.3500000000004</v>
      </c>
      <c r="AI7" s="83"/>
      <c r="AJ7" s="82">
        <f t="shared" si="5"/>
        <v>4401.3500000000004</v>
      </c>
      <c r="AK7" s="84"/>
      <c r="AL7" s="82">
        <f t="shared" si="6"/>
        <v>4401.3500000000004</v>
      </c>
      <c r="AM7" s="84"/>
      <c r="AN7" s="84"/>
      <c r="AO7" s="84"/>
      <c r="AP7" s="84"/>
      <c r="AQ7" s="84"/>
      <c r="AR7" s="88" t="str">
        <f t="shared" si="7"/>
        <v>正确</v>
      </c>
      <c r="AS7" s="88" t="str">
        <f>IF(SUMPRODUCT(N(E$1:E$7=E7))&gt;1,"重复","不")</f>
        <v>不</v>
      </c>
      <c r="AT7" s="88" t="str">
        <f>IF(SUMPRODUCT(N(AO$1:AO$7=AO7))&gt;1,"重复","不")</f>
        <v>重复</v>
      </c>
    </row>
    <row r="8" spans="1:46" s="10" customFormat="1" ht="18" customHeight="1">
      <c r="A8" s="24">
        <v>15</v>
      </c>
      <c r="B8" s="25" t="s">
        <v>191</v>
      </c>
      <c r="C8" s="25" t="s">
        <v>141</v>
      </c>
      <c r="D8" s="25" t="s">
        <v>192</v>
      </c>
      <c r="E8" s="289" t="s">
        <v>142</v>
      </c>
      <c r="F8" s="26" t="s">
        <v>193</v>
      </c>
      <c r="G8" s="33" t="s">
        <v>211</v>
      </c>
      <c r="H8" s="28"/>
      <c r="I8" s="28"/>
      <c r="J8" s="56"/>
      <c r="K8" s="28"/>
      <c r="L8" s="60">
        <v>228.57</v>
      </c>
      <c r="M8" s="58">
        <v>228.57</v>
      </c>
      <c r="N8" s="58">
        <v>0</v>
      </c>
      <c r="O8" s="58">
        <v>0</v>
      </c>
      <c r="P8" s="58">
        <v>0</v>
      </c>
      <c r="Q8" s="74">
        <f t="shared" si="0"/>
        <v>228.57</v>
      </c>
      <c r="R8" s="60">
        <v>0</v>
      </c>
      <c r="S8" s="75">
        <f>L8+IFERROR(VLOOKUP($E:$E,'（居民）工资表-7月'!$E:$S,15,0),0)</f>
        <v>228.57</v>
      </c>
      <c r="T8" s="76">
        <f>5000+IFERROR(VLOOKUP($E:$E,'（居民）工资表-7月'!$E:$T,16,0),0)</f>
        <v>5000</v>
      </c>
      <c r="U8" s="76">
        <f>Q8+IFERROR(VLOOKUP($E:$E,'（居民）工资表-7月'!$E:$U,17,0),0)</f>
        <v>228.57</v>
      </c>
      <c r="V8" s="60"/>
      <c r="W8" s="60"/>
      <c r="X8" s="60"/>
      <c r="Y8" s="60"/>
      <c r="Z8" s="60"/>
      <c r="AA8" s="60"/>
      <c r="AB8" s="75">
        <f t="shared" si="1"/>
        <v>0</v>
      </c>
      <c r="AC8" s="75">
        <f>R8+IFERROR(VLOOKUP($E:$E,'（居民）工资表-7月'!$E:$AC,25,0),0)</f>
        <v>0</v>
      </c>
      <c r="AD8" s="77">
        <f t="shared" si="2"/>
        <v>-5000</v>
      </c>
      <c r="AE8" s="78">
        <f>ROUND(MAX((AD8)*{0.03;0.1;0.2;0.25;0.3;0.35;0.45}-{0;2520;16920;31920;52920;85920;181920},0),2)</f>
        <v>0</v>
      </c>
      <c r="AF8" s="79">
        <f>IFERROR(VLOOKUP(E:E,'（居民）工资表-7月'!E:AF,28,0)+VLOOKUP(E:E,'（居民）工资表-7月'!E:AG,29,0),0)</f>
        <v>0</v>
      </c>
      <c r="AG8" s="79">
        <f t="shared" si="3"/>
        <v>0</v>
      </c>
      <c r="AH8" s="82">
        <f t="shared" si="4"/>
        <v>0</v>
      </c>
      <c r="AI8" s="83"/>
      <c r="AJ8" s="82">
        <f t="shared" si="5"/>
        <v>0</v>
      </c>
      <c r="AK8" s="84"/>
      <c r="AL8" s="82">
        <f t="shared" si="6"/>
        <v>0</v>
      </c>
      <c r="AM8" s="84"/>
      <c r="AN8" s="84"/>
      <c r="AO8" s="84"/>
      <c r="AP8" s="84"/>
      <c r="AQ8" s="84"/>
      <c r="AR8" s="88" t="str">
        <f t="shared" si="7"/>
        <v>正确</v>
      </c>
      <c r="AS8" s="88" t="str">
        <f>IF(SUMPRODUCT(N(E$1:E$7=E8))&gt;1,"重复","不")</f>
        <v>不</v>
      </c>
      <c r="AT8" s="88" t="str">
        <f>IF(SUMPRODUCT(N(AO$1:AO$7=AO8))&gt;1,"重复","不")</f>
        <v>重复</v>
      </c>
    </row>
    <row r="9" spans="1:46" s="11" customFormat="1" ht="18" customHeight="1">
      <c r="A9" s="34"/>
      <c r="B9" s="35" t="s">
        <v>198</v>
      </c>
      <c r="C9" s="35"/>
      <c r="D9" s="36"/>
      <c r="E9" s="37"/>
      <c r="F9" s="38"/>
      <c r="G9" s="39"/>
      <c r="H9" s="38"/>
      <c r="I9" s="61"/>
      <c r="J9" s="62"/>
      <c r="K9" s="61"/>
      <c r="L9" s="63">
        <f>SUM(L4:L8)</f>
        <v>28332.57</v>
      </c>
      <c r="M9" s="63">
        <f t="shared" ref="M9:AL9" si="8">SUM(M4:M8)</f>
        <v>1561.5399999999997</v>
      </c>
      <c r="N9" s="63">
        <f t="shared" si="8"/>
        <v>360.08000000000004</v>
      </c>
      <c r="O9" s="63">
        <f t="shared" si="8"/>
        <v>47.65</v>
      </c>
      <c r="P9" s="63">
        <f t="shared" si="8"/>
        <v>459.5</v>
      </c>
      <c r="Q9" s="63">
        <f t="shared" si="8"/>
        <v>2428.77</v>
      </c>
      <c r="R9" s="63">
        <f t="shared" si="8"/>
        <v>0</v>
      </c>
      <c r="S9" s="63">
        <f t="shared" si="8"/>
        <v>187636.2</v>
      </c>
      <c r="T9" s="63">
        <f t="shared" si="8"/>
        <v>135000</v>
      </c>
      <c r="U9" s="63">
        <f t="shared" si="8"/>
        <v>14365.759999999998</v>
      </c>
      <c r="V9" s="63">
        <f t="shared" si="8"/>
        <v>8000</v>
      </c>
      <c r="W9" s="63">
        <f t="shared" si="8"/>
        <v>0</v>
      </c>
      <c r="X9" s="63">
        <f t="shared" si="8"/>
        <v>16000</v>
      </c>
      <c r="Y9" s="63">
        <f t="shared" si="8"/>
        <v>12000</v>
      </c>
      <c r="Z9" s="63">
        <f t="shared" si="8"/>
        <v>3200</v>
      </c>
      <c r="AA9" s="63">
        <f t="shared" si="8"/>
        <v>0</v>
      </c>
      <c r="AB9" s="63">
        <f t="shared" si="8"/>
        <v>39200</v>
      </c>
      <c r="AC9" s="63">
        <f t="shared" si="8"/>
        <v>0</v>
      </c>
      <c r="AD9" s="63">
        <f t="shared" si="8"/>
        <v>-929.56000000000131</v>
      </c>
      <c r="AE9" s="63">
        <f t="shared" si="8"/>
        <v>588.37</v>
      </c>
      <c r="AF9" s="63">
        <f t="shared" si="8"/>
        <v>497.09999999999997</v>
      </c>
      <c r="AG9" s="63">
        <f t="shared" si="8"/>
        <v>91.27</v>
      </c>
      <c r="AH9" s="63">
        <f t="shared" si="8"/>
        <v>25812.53</v>
      </c>
      <c r="AI9" s="63">
        <f t="shared" si="8"/>
        <v>0</v>
      </c>
      <c r="AJ9" s="63">
        <f t="shared" si="8"/>
        <v>25812.53</v>
      </c>
      <c r="AK9" s="63">
        <f t="shared" si="8"/>
        <v>0</v>
      </c>
      <c r="AL9" s="63">
        <f t="shared" si="8"/>
        <v>25903.800000000003</v>
      </c>
      <c r="AM9" s="85"/>
      <c r="AN9" s="85"/>
      <c r="AO9" s="85"/>
      <c r="AP9" s="85"/>
      <c r="AQ9" s="85"/>
      <c r="AR9" s="38"/>
      <c r="AS9" s="38"/>
      <c r="AT9" s="89"/>
    </row>
    <row r="12" spans="1:46">
      <c r="AD12" s="80"/>
    </row>
    <row r="13" spans="1:46" ht="18.75" customHeight="1">
      <c r="B13" s="40" t="s">
        <v>172</v>
      </c>
      <c r="C13" s="40" t="s">
        <v>199</v>
      </c>
      <c r="D13" s="40" t="s">
        <v>57</v>
      </c>
      <c r="E13" s="40" t="s">
        <v>58</v>
      </c>
      <c r="AD13" s="8"/>
    </row>
    <row r="14" spans="1:46" ht="18.75" customHeight="1">
      <c r="B14" s="41">
        <f>AJ9</f>
        <v>25812.53</v>
      </c>
      <c r="C14" s="41">
        <f>AG9</f>
        <v>91.27</v>
      </c>
      <c r="D14" s="41">
        <f>AK9</f>
        <v>0</v>
      </c>
      <c r="E14" s="41">
        <f>B14+C14+D14</f>
        <v>25903.8</v>
      </c>
    </row>
    <row r="15" spans="1:46">
      <c r="B15" s="42"/>
      <c r="C15" s="42"/>
      <c r="D15" s="42"/>
      <c r="E15" s="42"/>
    </row>
    <row r="16" spans="1:46" s="12" customFormat="1">
      <c r="A16" s="43" t="s">
        <v>200</v>
      </c>
      <c r="B16" s="44" t="s">
        <v>201</v>
      </c>
      <c r="C16" s="45"/>
      <c r="D16" s="45"/>
      <c r="E16" s="45"/>
      <c r="G16" s="46"/>
      <c r="J16" s="64"/>
      <c r="M16" s="65"/>
      <c r="AI16" s="86"/>
    </row>
    <row r="17" spans="1:35" s="12" customFormat="1">
      <c r="A17" s="47"/>
      <c r="B17" s="48" t="s">
        <v>202</v>
      </c>
      <c r="C17" s="45"/>
      <c r="D17" s="45"/>
      <c r="E17" s="45"/>
      <c r="G17" s="46"/>
      <c r="J17" s="64"/>
      <c r="M17" s="65"/>
      <c r="AI17" s="86"/>
    </row>
    <row r="18" spans="1:35" s="12" customFormat="1">
      <c r="A18" s="44"/>
      <c r="B18" s="48" t="s">
        <v>203</v>
      </c>
      <c r="C18" s="49"/>
      <c r="D18" s="49"/>
      <c r="E18" s="49"/>
      <c r="F18" s="49"/>
      <c r="G18" s="49"/>
      <c r="H18" s="49"/>
      <c r="I18" s="49"/>
      <c r="J18" s="66"/>
      <c r="K18" s="49"/>
      <c r="L18" s="49"/>
      <c r="M18" s="67"/>
      <c r="N18" s="49"/>
      <c r="O18" s="49"/>
      <c r="P18" s="49"/>
      <c r="AI18" s="86"/>
    </row>
    <row r="19" spans="1:35" s="12" customFormat="1" ht="13.5" customHeight="1">
      <c r="A19" s="48"/>
      <c r="B19" s="48" t="s">
        <v>204</v>
      </c>
      <c r="C19" s="50"/>
      <c r="D19" s="50"/>
      <c r="E19" s="50"/>
      <c r="F19" s="50"/>
      <c r="G19" s="50"/>
      <c r="H19" s="50"/>
      <c r="I19" s="68"/>
      <c r="J19" s="69"/>
      <c r="K19" s="68"/>
      <c r="L19" s="68"/>
      <c r="M19" s="70"/>
      <c r="N19" s="68"/>
      <c r="O19" s="68"/>
      <c r="P19" s="68"/>
      <c r="AI19" s="86"/>
    </row>
    <row r="20" spans="1:35" s="12" customFormat="1" ht="13.5" customHeight="1">
      <c r="A20" s="48"/>
      <c r="B20" s="48" t="s">
        <v>205</v>
      </c>
      <c r="C20" s="50"/>
      <c r="D20" s="50"/>
      <c r="E20" s="50"/>
      <c r="F20" s="50"/>
      <c r="G20" s="50"/>
      <c r="H20" s="50"/>
      <c r="I20" s="50"/>
      <c r="J20" s="71"/>
      <c r="K20" s="50"/>
      <c r="L20" s="68"/>
      <c r="M20" s="70"/>
      <c r="N20" s="68"/>
      <c r="O20" s="68"/>
      <c r="P20" s="68"/>
      <c r="AI20" s="86"/>
    </row>
    <row r="21" spans="1:35" s="12" customFormat="1" ht="13.5" customHeight="1">
      <c r="A21" s="48"/>
      <c r="B21" s="48" t="s">
        <v>206</v>
      </c>
      <c r="C21" s="50"/>
      <c r="D21" s="50"/>
      <c r="E21" s="50"/>
      <c r="F21" s="50"/>
      <c r="G21" s="50"/>
      <c r="H21" s="50"/>
      <c r="I21" s="68"/>
      <c r="J21" s="69"/>
      <c r="K21" s="68"/>
      <c r="L21" s="68"/>
      <c r="M21" s="70"/>
      <c r="N21" s="68"/>
      <c r="O21" s="68"/>
      <c r="P21" s="68"/>
      <c r="AI21" s="86"/>
    </row>
    <row r="23" spans="1:35" ht="11.25" customHeight="1">
      <c r="B23" s="51" t="s">
        <v>207</v>
      </c>
    </row>
    <row r="24" spans="1:35">
      <c r="B24" s="52" t="s">
        <v>208</v>
      </c>
    </row>
    <row r="25" spans="1:35">
      <c r="B25" s="52" t="s">
        <v>209</v>
      </c>
    </row>
  </sheetData>
  <autoFilter ref="A3:AT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8" type="noConversion"/>
  <conditionalFormatting sqref="B21">
    <cfRule type="duplicateValues" dxfId="69" priority="2" stopIfTrue="1"/>
  </conditionalFormatting>
  <conditionalFormatting sqref="B16:B20">
    <cfRule type="duplicateValues" dxfId="68" priority="3" stopIfTrue="1"/>
  </conditionalFormatting>
  <conditionalFormatting sqref="B24:B25">
    <cfRule type="duplicateValues" dxfId="67" priority="1" stopIfTrue="1"/>
  </conditionalFormatting>
  <conditionalFormatting sqref="C13:C15">
    <cfRule type="duplicateValues" dxfId="66" priority="4" stopIfTrue="1"/>
    <cfRule type="expression" dxfId="65" priority="5" stopIfTrue="1">
      <formula>AND(COUNTIF($B$9:$B$65445,C13)+COUNTIF($B$1:$B$3,C13)&gt;1,NOT(ISBLANK(C13)))</formula>
    </cfRule>
    <cfRule type="expression" dxfId="64" priority="6" stopIfTrue="1">
      <formula>AND(COUNTIF($B$20:$B$65396,C13)+COUNTIF($B$1:$B$19,C13)&gt;1,NOT(ISBLANK(C13)))</formula>
    </cfRule>
    <cfRule type="expression" dxfId="63" priority="7" stopIfTrue="1">
      <formula>AND(COUNTIF($B$9:$B$65434,C13)+COUNTIF($B$1:$B$3,C13)&gt;1,NOT(ISBLANK(C13)))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
  <sheetViews>
    <sheetView topLeftCell="J1" workbookViewId="0">
      <selection activeCell="L3" sqref="L3"/>
    </sheetView>
  </sheetViews>
  <sheetFormatPr defaultColWidth="9" defaultRowHeight="12"/>
  <cols>
    <col min="1" max="1" width="4.875" style="112" hidden="1" customWidth="1"/>
    <col min="2" max="2" width="10.75" style="112" hidden="1" customWidth="1"/>
    <col min="3" max="3" width="10.625" style="112" hidden="1" customWidth="1"/>
    <col min="4" max="4" width="13.375" style="112" hidden="1" customWidth="1"/>
    <col min="5" max="5" width="9.625" style="112" hidden="1" customWidth="1"/>
    <col min="6" max="6" width="9.125" style="112" hidden="1" customWidth="1"/>
    <col min="7" max="7" width="7.875" style="112" hidden="1" customWidth="1"/>
    <col min="8" max="9" width="5" style="112" hidden="1" customWidth="1"/>
    <col min="10" max="10" width="8" style="112" customWidth="1"/>
    <col min="11" max="11" width="20.5" style="112" customWidth="1"/>
    <col min="12" max="12" width="11.625" style="112" customWidth="1"/>
    <col min="13" max="13" width="6.625" style="112" customWidth="1"/>
    <col min="14" max="14" width="5.875" style="112" customWidth="1"/>
    <col min="15" max="15" width="5.625" style="112" customWidth="1"/>
    <col min="16" max="16" width="7.625" style="112" customWidth="1"/>
    <col min="17" max="17" width="9.75" style="112" customWidth="1"/>
    <col min="18" max="18" width="6.625" style="112" customWidth="1"/>
    <col min="19" max="19" width="9.875" style="112" customWidth="1"/>
    <col min="20" max="20" width="7.875" style="112" customWidth="1"/>
    <col min="21" max="21" width="10.5" style="112" customWidth="1"/>
    <col min="22" max="22" width="7.875" style="112" customWidth="1"/>
    <col min="23" max="23" width="8" style="112" customWidth="1"/>
    <col min="24" max="24" width="7.125" style="112" customWidth="1"/>
    <col min="25" max="25" width="7.375" style="112" customWidth="1"/>
    <col min="26" max="26" width="7.5" style="112" customWidth="1"/>
    <col min="27" max="27" width="9.75" style="112" customWidth="1"/>
    <col min="28" max="28" width="12.75" style="112" customWidth="1"/>
    <col min="29" max="29" width="10" style="112" customWidth="1"/>
    <col min="30" max="30" width="9" style="112"/>
    <col min="31" max="31" width="15" style="112" customWidth="1"/>
    <col min="32" max="32" width="19.625" style="112" customWidth="1"/>
    <col min="33" max="33" width="9.375" style="112" customWidth="1"/>
    <col min="34" max="34" width="12.375" style="112" customWidth="1"/>
    <col min="35" max="35" width="9" style="112"/>
    <col min="36" max="36" width="12.25" style="112" customWidth="1"/>
    <col min="37" max="37" width="18.5" style="112" customWidth="1"/>
    <col min="38" max="38" width="14.25" style="112" customWidth="1"/>
    <col min="39" max="39" width="11.5" style="112" customWidth="1"/>
    <col min="40" max="40" width="13.875" style="112" customWidth="1"/>
    <col min="41" max="41" width="13.625" style="112" customWidth="1"/>
    <col min="42" max="16384" width="9" style="112"/>
  </cols>
  <sheetData>
    <row r="1" spans="1:41" s="110" customFormat="1" ht="16.5" customHeight="1">
      <c r="A1" s="381" t="s">
        <v>18</v>
      </c>
      <c r="B1" s="381" t="s">
        <v>212</v>
      </c>
      <c r="C1" s="383" t="s">
        <v>39</v>
      </c>
      <c r="D1" s="381" t="s">
        <v>213</v>
      </c>
      <c r="E1" s="381" t="s">
        <v>214</v>
      </c>
      <c r="F1" s="384" t="s">
        <v>36</v>
      </c>
      <c r="G1" s="381" t="s">
        <v>215</v>
      </c>
      <c r="H1" s="381" t="s">
        <v>38</v>
      </c>
      <c r="I1" s="381" t="s">
        <v>216</v>
      </c>
      <c r="J1" s="384" t="s">
        <v>40</v>
      </c>
      <c r="K1" s="384" t="s">
        <v>217</v>
      </c>
      <c r="L1" s="384" t="s">
        <v>218</v>
      </c>
      <c r="M1" s="384" t="s">
        <v>219</v>
      </c>
      <c r="N1" s="384" t="s">
        <v>220</v>
      </c>
      <c r="O1" s="384" t="s">
        <v>221</v>
      </c>
      <c r="P1" s="384" t="s">
        <v>222</v>
      </c>
      <c r="Q1" s="384" t="s">
        <v>223</v>
      </c>
      <c r="R1" s="384" t="s">
        <v>224</v>
      </c>
      <c r="S1" s="389" t="s">
        <v>225</v>
      </c>
      <c r="T1" s="379" t="s">
        <v>226</v>
      </c>
      <c r="U1" s="379"/>
      <c r="V1" s="379"/>
      <c r="W1" s="379"/>
      <c r="X1" s="379"/>
      <c r="Y1" s="379"/>
      <c r="Z1" s="389" t="s">
        <v>227</v>
      </c>
      <c r="AA1" s="380" t="s">
        <v>228</v>
      </c>
      <c r="AB1" s="380"/>
      <c r="AC1" s="380"/>
      <c r="AD1" s="381" t="s">
        <v>229</v>
      </c>
      <c r="AE1" s="381" t="s">
        <v>230</v>
      </c>
      <c r="AF1" s="381" t="s">
        <v>231</v>
      </c>
      <c r="AG1" s="381" t="s">
        <v>232</v>
      </c>
      <c r="AH1" s="381" t="s">
        <v>233</v>
      </c>
      <c r="AI1" s="381" t="s">
        <v>234</v>
      </c>
      <c r="AJ1" s="381" t="s">
        <v>23</v>
      </c>
      <c r="AK1" s="391" t="s">
        <v>235</v>
      </c>
      <c r="AL1" s="392" t="s">
        <v>236</v>
      </c>
      <c r="AM1" s="392" t="s">
        <v>237</v>
      </c>
      <c r="AN1" s="393" t="s">
        <v>238</v>
      </c>
      <c r="AO1" s="393" t="s">
        <v>239</v>
      </c>
    </row>
    <row r="2" spans="1:41" s="111" customFormat="1" ht="28.5" customHeight="1">
      <c r="A2" s="382"/>
      <c r="B2" s="382"/>
      <c r="C2" s="383"/>
      <c r="D2" s="382"/>
      <c r="E2" s="382"/>
      <c r="F2" s="385"/>
      <c r="G2" s="386"/>
      <c r="H2" s="387"/>
      <c r="I2" s="387"/>
      <c r="J2" s="388"/>
      <c r="K2" s="388"/>
      <c r="L2" s="388"/>
      <c r="M2" s="388"/>
      <c r="N2" s="385"/>
      <c r="O2" s="385"/>
      <c r="P2" s="385"/>
      <c r="Q2" s="385"/>
      <c r="R2" s="385"/>
      <c r="S2" s="390"/>
      <c r="T2" s="116" t="s">
        <v>240</v>
      </c>
      <c r="U2" s="116" t="s">
        <v>241</v>
      </c>
      <c r="V2" s="116" t="s">
        <v>242</v>
      </c>
      <c r="W2" s="116" t="s">
        <v>243</v>
      </c>
      <c r="X2" s="116" t="s">
        <v>244</v>
      </c>
      <c r="Y2" s="116" t="s">
        <v>245</v>
      </c>
      <c r="Z2" s="390"/>
      <c r="AA2" s="116" t="s">
        <v>246</v>
      </c>
      <c r="AB2" s="116" t="s">
        <v>247</v>
      </c>
      <c r="AC2" s="116" t="s">
        <v>248</v>
      </c>
      <c r="AD2" s="382"/>
      <c r="AE2" s="382"/>
      <c r="AF2" s="382"/>
      <c r="AG2" s="382"/>
      <c r="AH2" s="382"/>
      <c r="AI2" s="382"/>
      <c r="AJ2" s="382"/>
      <c r="AK2" s="391"/>
      <c r="AL2" s="392"/>
      <c r="AM2" s="392"/>
      <c r="AN2" s="393"/>
      <c r="AO2" s="394"/>
    </row>
    <row r="3" spans="1:41" ht="14.25">
      <c r="F3" s="112" t="s">
        <v>249</v>
      </c>
      <c r="J3" s="113" t="s">
        <v>141</v>
      </c>
      <c r="K3" s="290" t="s">
        <v>142</v>
      </c>
      <c r="L3" s="114" t="s">
        <v>211</v>
      </c>
      <c r="N3" s="112" t="s">
        <v>250</v>
      </c>
      <c r="O3" s="112" t="s">
        <v>140</v>
      </c>
      <c r="P3" s="115" t="s">
        <v>251</v>
      </c>
      <c r="Q3" s="117">
        <v>44765</v>
      </c>
      <c r="R3" s="112" t="s">
        <v>250</v>
      </c>
      <c r="S3" s="118" t="s">
        <v>252</v>
      </c>
      <c r="T3" s="112">
        <v>202208</v>
      </c>
      <c r="U3" s="119">
        <v>3430</v>
      </c>
      <c r="V3" s="119">
        <v>3430</v>
      </c>
      <c r="W3" s="119">
        <v>3430</v>
      </c>
      <c r="X3" s="119">
        <v>3430</v>
      </c>
      <c r="Z3" s="112" t="s">
        <v>252</v>
      </c>
      <c r="AA3" s="112">
        <v>202208</v>
      </c>
      <c r="AB3" s="120">
        <v>0.1</v>
      </c>
      <c r="AC3" s="119">
        <v>1700</v>
      </c>
    </row>
  </sheetData>
  <mergeCells count="34">
    <mergeCell ref="AM1:AM2"/>
    <mergeCell ref="AN1:AN2"/>
    <mergeCell ref="AO1:AO2"/>
    <mergeCell ref="AH1:AH2"/>
    <mergeCell ref="AI1:AI2"/>
    <mergeCell ref="AJ1:AJ2"/>
    <mergeCell ref="AK1:AK2"/>
    <mergeCell ref="AL1:AL2"/>
    <mergeCell ref="Z1:Z2"/>
    <mergeCell ref="AD1:AD2"/>
    <mergeCell ref="AE1:AE2"/>
    <mergeCell ref="AF1:AF2"/>
    <mergeCell ref="AG1:AG2"/>
    <mergeCell ref="O1:O2"/>
    <mergeCell ref="P1:P2"/>
    <mergeCell ref="Q1:Q2"/>
    <mergeCell ref="R1:R2"/>
    <mergeCell ref="S1:S2"/>
    <mergeCell ref="T1:Y1"/>
    <mergeCell ref="AA1:AC1"/>
    <mergeCell ref="A1:A2"/>
    <mergeCell ref="B1:B2"/>
    <mergeCell ref="C1:C2"/>
    <mergeCell ref="D1:D2"/>
    <mergeCell ref="E1:E2"/>
    <mergeCell ref="F1:F2"/>
    <mergeCell ref="G1:G2"/>
    <mergeCell ref="H1:H2"/>
    <mergeCell ref="I1:I2"/>
    <mergeCell ref="J1:J2"/>
    <mergeCell ref="K1:K2"/>
    <mergeCell ref="L1:L2"/>
    <mergeCell ref="M1:M2"/>
    <mergeCell ref="N1:N2"/>
  </mergeCells>
  <phoneticPr fontId="108" type="noConversion"/>
  <dataValidations count="3">
    <dataValidation type="list" allowBlank="1" showInputMessage="1" showErrorMessage="1" sqref="P3">
      <formula1>"本地城镇,本地农村,外地城镇,外地农村"</formula1>
    </dataValidation>
    <dataValidation type="list" allowBlank="1" showInputMessage="1" showErrorMessage="1" sqref="S3 Z3">
      <formula1>"新参,调入"</formula1>
    </dataValidation>
    <dataValidation type="list" allowBlank="1" showInputMessage="1" showErrorMessage="1" sqref="H3:H64365">
      <formula1>#REF!</formula1>
    </dataValidation>
  </dataValidations>
  <pageMargins left="0.75" right="0.75" top="1" bottom="1" header="0.5" footer="0.5"/>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4"/>
  <sheetViews>
    <sheetView workbookViewId="0">
      <pane xSplit="6" ySplit="3" topLeftCell="G4" activePane="bottomRight" state="frozen"/>
      <selection pane="topRight"/>
      <selection pane="bottomLeft"/>
      <selection pane="bottomRight" activeCell="B4" sqref="B4:P7"/>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144</v>
      </c>
      <c r="B1" s="19"/>
      <c r="C1" s="20"/>
      <c r="D1" s="21"/>
      <c r="E1" s="22"/>
      <c r="F1" s="22"/>
      <c r="G1" s="23"/>
      <c r="J1" s="53"/>
      <c r="L1" s="54"/>
      <c r="M1" s="352" t="s">
        <v>145</v>
      </c>
      <c r="N1" s="352"/>
      <c r="O1" s="352"/>
      <c r="P1" s="352"/>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59" t="s">
        <v>18</v>
      </c>
      <c r="B2" s="361" t="s">
        <v>146</v>
      </c>
      <c r="C2" s="363" t="s">
        <v>147</v>
      </c>
      <c r="D2" s="363" t="s">
        <v>148</v>
      </c>
      <c r="E2" s="365" t="s">
        <v>149</v>
      </c>
      <c r="F2" s="367" t="s">
        <v>150</v>
      </c>
      <c r="G2" s="365" t="s">
        <v>151</v>
      </c>
      <c r="H2" s="365" t="s">
        <v>152</v>
      </c>
      <c r="I2" s="365" t="s">
        <v>153</v>
      </c>
      <c r="J2" s="369" t="s">
        <v>154</v>
      </c>
      <c r="K2" s="365" t="s">
        <v>155</v>
      </c>
      <c r="L2" s="365" t="s">
        <v>156</v>
      </c>
      <c r="M2" s="353" t="s">
        <v>157</v>
      </c>
      <c r="N2" s="354"/>
      <c r="O2" s="354"/>
      <c r="P2" s="355"/>
      <c r="Q2" s="367" t="s">
        <v>158</v>
      </c>
      <c r="R2" s="365" t="s">
        <v>159</v>
      </c>
      <c r="S2" s="367" t="s">
        <v>160</v>
      </c>
      <c r="T2" s="371" t="s">
        <v>161</v>
      </c>
      <c r="U2" s="367" t="s">
        <v>162</v>
      </c>
      <c r="V2" s="356" t="s">
        <v>163</v>
      </c>
      <c r="W2" s="357"/>
      <c r="X2" s="357"/>
      <c r="Y2" s="357"/>
      <c r="Z2" s="357"/>
      <c r="AA2" s="358"/>
      <c r="AB2" s="367" t="s">
        <v>164</v>
      </c>
      <c r="AC2" s="367" t="s">
        <v>165</v>
      </c>
      <c r="AD2" s="371" t="s">
        <v>166</v>
      </c>
      <c r="AE2" s="371" t="s">
        <v>167</v>
      </c>
      <c r="AF2" s="371" t="s">
        <v>168</v>
      </c>
      <c r="AG2" s="371" t="s">
        <v>169</v>
      </c>
      <c r="AH2" s="373" t="s">
        <v>170</v>
      </c>
      <c r="AI2" s="375" t="s">
        <v>171</v>
      </c>
      <c r="AJ2" s="373" t="s">
        <v>172</v>
      </c>
      <c r="AK2" s="363" t="s">
        <v>57</v>
      </c>
      <c r="AL2" s="373" t="s">
        <v>173</v>
      </c>
      <c r="AM2" s="365" t="s">
        <v>174</v>
      </c>
      <c r="AN2" s="365" t="s">
        <v>175</v>
      </c>
      <c r="AO2" s="377" t="s">
        <v>176</v>
      </c>
      <c r="AP2" s="365" t="s">
        <v>177</v>
      </c>
      <c r="AQ2" s="365" t="s">
        <v>178</v>
      </c>
      <c r="AR2" s="367" t="s">
        <v>179</v>
      </c>
      <c r="AS2" s="367" t="s">
        <v>180</v>
      </c>
      <c r="AT2" s="367" t="s">
        <v>181</v>
      </c>
    </row>
    <row r="3" spans="1:46" s="9" customFormat="1" ht="27" customHeight="1">
      <c r="A3" s="360"/>
      <c r="B3" s="362"/>
      <c r="C3" s="364"/>
      <c r="D3" s="364"/>
      <c r="E3" s="366"/>
      <c r="F3" s="368"/>
      <c r="G3" s="366"/>
      <c r="H3" s="366"/>
      <c r="I3" s="366"/>
      <c r="J3" s="370"/>
      <c r="K3" s="366"/>
      <c r="L3" s="366"/>
      <c r="M3" s="55" t="s">
        <v>182</v>
      </c>
      <c r="N3" s="55" t="s">
        <v>183</v>
      </c>
      <c r="O3" s="55" t="s">
        <v>184</v>
      </c>
      <c r="P3" s="55" t="s">
        <v>70</v>
      </c>
      <c r="Q3" s="368"/>
      <c r="R3" s="366"/>
      <c r="S3" s="368"/>
      <c r="T3" s="372"/>
      <c r="U3" s="368"/>
      <c r="V3" s="73" t="s">
        <v>185</v>
      </c>
      <c r="W3" s="73" t="s">
        <v>186</v>
      </c>
      <c r="X3" s="73" t="s">
        <v>187</v>
      </c>
      <c r="Y3" s="73" t="s">
        <v>188</v>
      </c>
      <c r="Z3" s="73" t="s">
        <v>189</v>
      </c>
      <c r="AA3" s="73" t="s">
        <v>190</v>
      </c>
      <c r="AB3" s="368"/>
      <c r="AC3" s="368"/>
      <c r="AD3" s="372"/>
      <c r="AE3" s="372"/>
      <c r="AF3" s="372"/>
      <c r="AG3" s="372"/>
      <c r="AH3" s="374"/>
      <c r="AI3" s="376"/>
      <c r="AJ3" s="374"/>
      <c r="AK3" s="364"/>
      <c r="AL3" s="374"/>
      <c r="AM3" s="366"/>
      <c r="AN3" s="366"/>
      <c r="AO3" s="378"/>
      <c r="AP3" s="366"/>
      <c r="AQ3" s="366"/>
      <c r="AR3" s="368"/>
      <c r="AS3" s="368"/>
      <c r="AT3" s="368"/>
    </row>
    <row r="4" spans="1:46" s="10" customFormat="1" ht="18" customHeight="1">
      <c r="A4" s="24">
        <v>1</v>
      </c>
      <c r="B4" s="25" t="s">
        <v>249</v>
      </c>
      <c r="C4" s="25" t="s">
        <v>75</v>
      </c>
      <c r="D4" s="25" t="s">
        <v>192</v>
      </c>
      <c r="E4" s="25" t="s">
        <v>76</v>
      </c>
      <c r="F4" s="26" t="s">
        <v>193</v>
      </c>
      <c r="G4" s="33">
        <v>18035163638</v>
      </c>
      <c r="H4" s="28"/>
      <c r="I4" s="28"/>
      <c r="J4" s="56"/>
      <c r="K4" s="28"/>
      <c r="L4" s="60">
        <v>9780</v>
      </c>
      <c r="M4" s="58">
        <v>264</v>
      </c>
      <c r="N4" s="58">
        <v>66</v>
      </c>
      <c r="O4" s="58">
        <v>9.9</v>
      </c>
      <c r="P4" s="58">
        <v>180</v>
      </c>
      <c r="Q4" s="74">
        <f>ROUND(SUM(M4:P4),2)</f>
        <v>519.9</v>
      </c>
      <c r="R4" s="60">
        <v>0</v>
      </c>
      <c r="S4" s="75">
        <f>L4+IFERROR(VLOOKUP($E:$E,'（居民）工资表-8月'!$E:$S,15,0),0)</f>
        <v>88380</v>
      </c>
      <c r="T4" s="76">
        <f>5000+IFERROR(VLOOKUP($E:$E,'（居民）工资表-8月'!$E:$T,16,0),0)</f>
        <v>45000</v>
      </c>
      <c r="U4" s="76">
        <f>Q4+IFERROR(VLOOKUP($E:$E,'（居民）工资表-8月'!$E:$U,17,0),0)</f>
        <v>4843.74</v>
      </c>
      <c r="V4" s="60"/>
      <c r="W4" s="60"/>
      <c r="X4" s="60">
        <v>9000</v>
      </c>
      <c r="Y4" s="60"/>
      <c r="Z4" s="60"/>
      <c r="AA4" s="60"/>
      <c r="AB4" s="75">
        <f>ROUND(SUM(V4:AA4),2)</f>
        <v>9000</v>
      </c>
      <c r="AC4" s="75">
        <f>R4+IFERROR(VLOOKUP($E:$E,'（居民）工资表-8月'!$E:$AC,25,0),0)</f>
        <v>0</v>
      </c>
      <c r="AD4" s="77">
        <f>ROUND(S4-T4-U4-AB4-AC4,2)</f>
        <v>29536.26</v>
      </c>
      <c r="AE4" s="78">
        <f>ROUND(MAX((AD4)*{0.03;0.1;0.2;0.25;0.3;0.35;0.45}-{0;2520;16920;31920;52920;85920;181920},0),2)</f>
        <v>886.09</v>
      </c>
      <c r="AF4" s="79">
        <f>IFERROR(VLOOKUP(E:E,'（居民）工资表-8月'!E:AF,28,0)+VLOOKUP(E:E,'（居民）工资表-8月'!E:AG,29,0),0)</f>
        <v>452.28</v>
      </c>
      <c r="AG4" s="79">
        <f>IF((AE4-AF4)&lt;0,0,AE4-AF4)</f>
        <v>433.81000000000006</v>
      </c>
      <c r="AH4" s="82">
        <f>ROUND(IF((L4-Q4-AG4)&lt;0,0,(L4-Q4-AG4)),2)</f>
        <v>8826.2900000000009</v>
      </c>
      <c r="AI4" s="83"/>
      <c r="AJ4" s="82">
        <f>AH4+AI4</f>
        <v>8826.2900000000009</v>
      </c>
      <c r="AK4" s="84"/>
      <c r="AL4" s="82">
        <f>AJ4+AG4+AK4</f>
        <v>9260.1</v>
      </c>
      <c r="AM4" s="84"/>
      <c r="AN4" s="84"/>
      <c r="AO4" s="84"/>
      <c r="AP4" s="84"/>
      <c r="AQ4" s="84"/>
      <c r="AR4" s="8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IF(SUMPRODUCT(N(E$1:E$7=E4))&gt;1,"重复","不")</f>
        <v>不</v>
      </c>
      <c r="AT4" s="88" t="str">
        <f>IF(SUMPRODUCT(N(AO$1:AO$7=AO4))&gt;1,"重复","不")</f>
        <v>重复</v>
      </c>
    </row>
    <row r="5" spans="1:46" s="10" customFormat="1" ht="18" customHeight="1">
      <c r="A5" s="24">
        <v>2</v>
      </c>
      <c r="B5" s="25" t="s">
        <v>249</v>
      </c>
      <c r="C5" s="25" t="s">
        <v>93</v>
      </c>
      <c r="D5" s="25" t="s">
        <v>192</v>
      </c>
      <c r="E5" s="25" t="s">
        <v>94</v>
      </c>
      <c r="F5" s="26" t="s">
        <v>193</v>
      </c>
      <c r="G5" s="33">
        <v>13944441728</v>
      </c>
      <c r="H5" s="28"/>
      <c r="I5" s="28"/>
      <c r="J5" s="56"/>
      <c r="K5" s="28"/>
      <c r="L5" s="60">
        <v>6921</v>
      </c>
      <c r="M5" s="58">
        <v>244.24</v>
      </c>
      <c r="N5" s="58">
        <v>61.06</v>
      </c>
      <c r="O5" s="58">
        <v>9.16</v>
      </c>
      <c r="P5" s="58">
        <v>79</v>
      </c>
      <c r="Q5" s="74">
        <f>ROUND(SUM(M5:P5),2)</f>
        <v>393.46</v>
      </c>
      <c r="R5" s="60">
        <v>0</v>
      </c>
      <c r="S5" s="75">
        <f>L5+IFERROR(VLOOKUP($E:$E,'（居民）工资表-8月'!$E:$S,15,0),0)</f>
        <v>62921</v>
      </c>
      <c r="T5" s="76">
        <f>5000+IFERROR(VLOOKUP($E:$E,'（居民）工资表-8月'!$E:$T,16,0),0)</f>
        <v>45000</v>
      </c>
      <c r="U5" s="76">
        <f>Q5+IFERROR(VLOOKUP($E:$E,'（居民）工资表-8月'!$E:$U,17,0),0)</f>
        <v>3857.0599999999995</v>
      </c>
      <c r="V5" s="60"/>
      <c r="W5" s="60"/>
      <c r="X5" s="60"/>
      <c r="Y5" s="60"/>
      <c r="Z5" s="60"/>
      <c r="AA5" s="60"/>
      <c r="AB5" s="75">
        <f>ROUND(SUM(V5:AA5),2)</f>
        <v>0</v>
      </c>
      <c r="AC5" s="75">
        <f>R5+IFERROR(VLOOKUP($E:$E,'（居民）工资表-8月'!$E:$AC,25,0),0)</f>
        <v>0</v>
      </c>
      <c r="AD5" s="77">
        <f>ROUND(S5-T5-U5-AB5-AC5,2)</f>
        <v>14063.94</v>
      </c>
      <c r="AE5" s="78">
        <f>ROUND(MAX((AD5)*{0.03;0.1;0.2;0.25;0.3;0.35;0.45}-{0;2520;16920;31920;52920;85920;181920},0),2)</f>
        <v>421.92</v>
      </c>
      <c r="AF5" s="79">
        <f>IFERROR(VLOOKUP(E:E,'（居民）工资表-8月'!E:AF,28,0)+VLOOKUP(E:E,'（居民）工资表-8月'!E:AG,29,0),0)</f>
        <v>136.09</v>
      </c>
      <c r="AG5" s="79">
        <f>IF((AE5-AF5)&lt;0,0,AE5-AF5)</f>
        <v>285.83000000000004</v>
      </c>
      <c r="AH5" s="82">
        <f>ROUND(IF((L5-Q5-AG5)&lt;0,0,(L5-Q5-AG5)),2)</f>
        <v>6241.71</v>
      </c>
      <c r="AI5" s="83"/>
      <c r="AJ5" s="82">
        <f>AH5+AI5</f>
        <v>6241.71</v>
      </c>
      <c r="AK5" s="84"/>
      <c r="AL5" s="82">
        <f>AJ5+AG5+AK5</f>
        <v>6527.54</v>
      </c>
      <c r="AM5" s="84"/>
      <c r="AN5" s="84"/>
      <c r="AO5" s="84"/>
      <c r="AP5" s="84"/>
      <c r="AQ5" s="84"/>
      <c r="AR5" s="8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8" t="str">
        <f>IF(SUMPRODUCT(N(E$1:E$7=E5))&gt;1,"重复","不")</f>
        <v>不</v>
      </c>
      <c r="AT5" s="88" t="str">
        <f>IF(SUMPRODUCT(N(AO$1:AO$7=AO5))&gt;1,"重复","不")</f>
        <v>重复</v>
      </c>
    </row>
    <row r="6" spans="1:46" s="10" customFormat="1" ht="18" customHeight="1">
      <c r="A6" s="24">
        <v>3</v>
      </c>
      <c r="B6" s="25" t="s">
        <v>249</v>
      </c>
      <c r="C6" s="25" t="s">
        <v>253</v>
      </c>
      <c r="D6" s="25" t="s">
        <v>192</v>
      </c>
      <c r="E6" s="289" t="s">
        <v>254</v>
      </c>
      <c r="F6" s="26" t="s">
        <v>193</v>
      </c>
      <c r="G6" s="33">
        <v>18607383005</v>
      </c>
      <c r="H6" s="28"/>
      <c r="I6" s="28"/>
      <c r="J6" s="56"/>
      <c r="K6" s="28"/>
      <c r="L6" s="60">
        <v>22800</v>
      </c>
      <c r="M6" s="58">
        <f>320</f>
        <v>320</v>
      </c>
      <c r="N6" s="58">
        <f>80</f>
        <v>80</v>
      </c>
      <c r="O6" s="58">
        <f>12</f>
        <v>12</v>
      </c>
      <c r="P6" s="58">
        <v>200</v>
      </c>
      <c r="Q6" s="74">
        <f>ROUND(SUM(M6:P6),2)</f>
        <v>612</v>
      </c>
      <c r="R6" s="60">
        <v>0</v>
      </c>
      <c r="S6" s="75">
        <f>L6+IFERROR(VLOOKUP($E:$E,'（居民）工资表-8月'!$E:$S,15,0),0)</f>
        <v>22800</v>
      </c>
      <c r="T6" s="76">
        <f>5000+IFERROR(VLOOKUP($E:$E,'（居民）工资表-8月'!$E:$T,16,0),0)</f>
        <v>5000</v>
      </c>
      <c r="U6" s="76">
        <f>Q6+IFERROR(VLOOKUP($E:$E,'（居民）工资表-8月'!$E:$U,17,0),0)</f>
        <v>612</v>
      </c>
      <c r="V6" s="60"/>
      <c r="W6" s="60"/>
      <c r="X6" s="60"/>
      <c r="Y6" s="60"/>
      <c r="Z6" s="60"/>
      <c r="AA6" s="60"/>
      <c r="AB6" s="75">
        <f>ROUND(SUM(V6:AA6),2)</f>
        <v>0</v>
      </c>
      <c r="AC6" s="75">
        <f>R6+IFERROR(VLOOKUP($E:$E,'（居民）工资表-8月'!$E:$AC,25,0),0)</f>
        <v>0</v>
      </c>
      <c r="AD6" s="77">
        <f>ROUND(S6-T6-U6-AB6-AC6,2)</f>
        <v>17188</v>
      </c>
      <c r="AE6" s="78">
        <f>ROUND(MAX((AD6)*{0.03;0.1;0.2;0.25;0.3;0.35;0.45}-{0;2520;16920;31920;52920;85920;181920},0),2)</f>
        <v>515.64</v>
      </c>
      <c r="AF6" s="79">
        <f>IFERROR(VLOOKUP(E:E,'（居民）工资表-8月'!E:AF,28,0)+VLOOKUP(E:E,'（居民）工资表-8月'!E:AG,29,0),0)</f>
        <v>0</v>
      </c>
      <c r="AG6" s="79">
        <f>IF((AE6-AF6)&lt;0,0,AE6-AF6)</f>
        <v>515.64</v>
      </c>
      <c r="AH6" s="82">
        <f>ROUND(IF((L6-Q6-AG6)&lt;0,0,(L6-Q6-AG6)),2)</f>
        <v>21672.36</v>
      </c>
      <c r="AI6" s="83"/>
      <c r="AJ6" s="82">
        <f>AH6+AI6</f>
        <v>21672.36</v>
      </c>
      <c r="AK6" s="84"/>
      <c r="AL6" s="82">
        <f>AJ6+AG6+AK6</f>
        <v>22188</v>
      </c>
      <c r="AM6" s="84"/>
      <c r="AN6" s="84"/>
      <c r="AO6" s="84"/>
      <c r="AP6" s="84"/>
      <c r="AQ6" s="84"/>
      <c r="AR6" s="88"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8" t="str">
        <f>IF(SUMPRODUCT(N(E$1:E$7=E6))&gt;1,"重复","不")</f>
        <v>不</v>
      </c>
      <c r="AT6" s="88" t="str">
        <f>IF(SUMPRODUCT(N(AO$1:AO$7=AO6))&gt;1,"重复","不")</f>
        <v>重复</v>
      </c>
    </row>
    <row r="7" spans="1:46" s="10" customFormat="1" ht="18" customHeight="1">
      <c r="A7" s="24">
        <v>4</v>
      </c>
      <c r="B7" s="25" t="s">
        <v>249</v>
      </c>
      <c r="C7" s="25" t="s">
        <v>107</v>
      </c>
      <c r="D7" s="25" t="s">
        <v>192</v>
      </c>
      <c r="E7" s="289" t="s">
        <v>108</v>
      </c>
      <c r="F7" s="26" t="str">
        <f>IF(MOD(MID(E7,17,1),2)=1,"男","女")</f>
        <v>女</v>
      </c>
      <c r="G7" s="33">
        <v>15360550807</v>
      </c>
      <c r="H7" s="28"/>
      <c r="I7" s="28"/>
      <c r="J7" s="56"/>
      <c r="K7" s="28"/>
      <c r="L7" s="60">
        <v>4560</v>
      </c>
      <c r="M7" s="58"/>
      <c r="N7" s="58"/>
      <c r="O7" s="58"/>
      <c r="P7" s="58"/>
      <c r="Q7" s="74">
        <f>ROUND(SUM(M7:P7),2)</f>
        <v>0</v>
      </c>
      <c r="R7" s="60">
        <v>0</v>
      </c>
      <c r="S7" s="75">
        <f>L7+IFERROR(VLOOKUP($E:$E,'（居民）工资表-8月'!$E:$S,15,0),0)</f>
        <v>50160</v>
      </c>
      <c r="T7" s="76">
        <f>5000+IFERROR(VLOOKUP($E:$E,'（居民）工资表-8月'!$E:$T,16,0),0)</f>
        <v>45000</v>
      </c>
      <c r="U7" s="76">
        <f>Q7+IFERROR(VLOOKUP($E:$E,'（居民）工资表-8月'!$E:$U,17,0),0)</f>
        <v>5021.7999999999993</v>
      </c>
      <c r="V7" s="60"/>
      <c r="W7" s="60"/>
      <c r="X7" s="60"/>
      <c r="Y7" s="60"/>
      <c r="Z7" s="60"/>
      <c r="AA7" s="60"/>
      <c r="AB7" s="75">
        <f>ROUND(SUM(V7:AA7),2)</f>
        <v>0</v>
      </c>
      <c r="AC7" s="75">
        <f>R7+IFERROR(VLOOKUP($E:$E,'（居民）工资表-8月'!$E:$AC,25,0),0)</f>
        <v>0</v>
      </c>
      <c r="AD7" s="77">
        <f>ROUND(S7-T7-U7-AB7-AC7,2)</f>
        <v>138.19999999999999</v>
      </c>
      <c r="AE7" s="78">
        <f>ROUND(MAX((AD7)*{0.03;0.1;0.2;0.25;0.3;0.35;0.45}-{0;2520;16920;31920;52920;85920;181920},0),2)</f>
        <v>4.1500000000000004</v>
      </c>
      <c r="AF7" s="79">
        <f>IFERROR(VLOOKUP(E:E,'（居民）工资表-8月'!E:AF,28,0)+VLOOKUP(E:E,'（居民）工资表-8月'!E:AG,29,0),0)</f>
        <v>0</v>
      </c>
      <c r="AG7" s="79">
        <f>IF((AE7-AF7)&lt;0,0,AE7-AF7)</f>
        <v>4.1500000000000004</v>
      </c>
      <c r="AH7" s="82">
        <f>ROUND(IF((L7-Q7-AG7)&lt;0,0,(L7-Q7-AG7)),2)</f>
        <v>4555.8500000000004</v>
      </c>
      <c r="AI7" s="83"/>
      <c r="AJ7" s="82">
        <f>AH7+AI7</f>
        <v>4555.8500000000004</v>
      </c>
      <c r="AK7" s="84"/>
      <c r="AL7" s="82">
        <f>AJ7+AG7+AK7</f>
        <v>4560</v>
      </c>
      <c r="AM7" s="84"/>
      <c r="AN7" s="84"/>
      <c r="AO7" s="84"/>
      <c r="AP7" s="84"/>
      <c r="AQ7" s="84"/>
      <c r="AR7" s="88"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8" t="str">
        <f>IF(SUMPRODUCT(N(E$1:E$7=E7))&gt;1,"重复","不")</f>
        <v>不</v>
      </c>
      <c r="AT7" s="88" t="str">
        <f>IF(SUMPRODUCT(N(AO$1:AO$7=AO7))&gt;1,"重复","不")</f>
        <v>重复</v>
      </c>
    </row>
    <row r="8" spans="1:46" s="11" customFormat="1" ht="18" customHeight="1">
      <c r="A8" s="34"/>
      <c r="B8" s="35" t="s">
        <v>198</v>
      </c>
      <c r="C8" s="35"/>
      <c r="D8" s="36"/>
      <c r="E8" s="37"/>
      <c r="F8" s="38"/>
      <c r="G8" s="39"/>
      <c r="H8" s="38"/>
      <c r="I8" s="61"/>
      <c r="J8" s="62"/>
      <c r="K8" s="61"/>
      <c r="L8" s="63">
        <f t="shared" ref="L8:AL8" si="0">SUM(L4:L7)</f>
        <v>44061</v>
      </c>
      <c r="M8" s="63">
        <f t="shared" si="0"/>
        <v>828.24</v>
      </c>
      <c r="N8" s="63">
        <f t="shared" si="0"/>
        <v>207.06</v>
      </c>
      <c r="O8" s="63">
        <f t="shared" si="0"/>
        <v>31.06</v>
      </c>
      <c r="P8" s="63">
        <f t="shared" si="0"/>
        <v>459</v>
      </c>
      <c r="Q8" s="63">
        <f t="shared" si="0"/>
        <v>1525.36</v>
      </c>
      <c r="R8" s="63">
        <f t="shared" si="0"/>
        <v>0</v>
      </c>
      <c r="S8" s="63">
        <f t="shared" si="0"/>
        <v>224261</v>
      </c>
      <c r="T8" s="63">
        <f t="shared" si="0"/>
        <v>140000</v>
      </c>
      <c r="U8" s="63">
        <f t="shared" si="0"/>
        <v>14334.599999999999</v>
      </c>
      <c r="V8" s="63">
        <f t="shared" si="0"/>
        <v>0</v>
      </c>
      <c r="W8" s="63">
        <f t="shared" si="0"/>
        <v>0</v>
      </c>
      <c r="X8" s="63">
        <f t="shared" si="0"/>
        <v>9000</v>
      </c>
      <c r="Y8" s="63">
        <f t="shared" si="0"/>
        <v>0</v>
      </c>
      <c r="Z8" s="63">
        <f t="shared" si="0"/>
        <v>0</v>
      </c>
      <c r="AA8" s="63">
        <f t="shared" si="0"/>
        <v>0</v>
      </c>
      <c r="AB8" s="63">
        <f t="shared" si="0"/>
        <v>9000</v>
      </c>
      <c r="AC8" s="63">
        <f t="shared" si="0"/>
        <v>0</v>
      </c>
      <c r="AD8" s="63">
        <f t="shared" si="0"/>
        <v>60926.399999999994</v>
      </c>
      <c r="AE8" s="63">
        <f t="shared" si="0"/>
        <v>1827.8000000000002</v>
      </c>
      <c r="AF8" s="63">
        <f t="shared" si="0"/>
        <v>588.37</v>
      </c>
      <c r="AG8" s="63">
        <f t="shared" si="0"/>
        <v>1239.4300000000003</v>
      </c>
      <c r="AH8" s="63">
        <f t="shared" si="0"/>
        <v>41296.21</v>
      </c>
      <c r="AI8" s="109">
        <f t="shared" si="0"/>
        <v>0</v>
      </c>
      <c r="AJ8" s="63">
        <f t="shared" si="0"/>
        <v>41296.21</v>
      </c>
      <c r="AK8" s="63">
        <f t="shared" si="0"/>
        <v>0</v>
      </c>
      <c r="AL8" s="63">
        <f t="shared" si="0"/>
        <v>42535.64</v>
      </c>
      <c r="AM8" s="85"/>
      <c r="AN8" s="85"/>
      <c r="AO8" s="85"/>
      <c r="AP8" s="85"/>
      <c r="AQ8" s="85"/>
      <c r="AR8" s="38"/>
      <c r="AS8" s="38"/>
      <c r="AT8" s="89"/>
    </row>
    <row r="11" spans="1:46">
      <c r="AD11" s="80"/>
    </row>
    <row r="12" spans="1:46" ht="18.75" customHeight="1">
      <c r="B12" s="40" t="s">
        <v>172</v>
      </c>
      <c r="C12" s="40" t="s">
        <v>199</v>
      </c>
      <c r="D12" s="40" t="s">
        <v>57</v>
      </c>
      <c r="E12" s="40" t="s">
        <v>58</v>
      </c>
      <c r="AD12" s="8"/>
    </row>
    <row r="13" spans="1:46" ht="18.75" customHeight="1">
      <c r="B13" s="41">
        <f>AJ8</f>
        <v>41296.21</v>
      </c>
      <c r="C13" s="41">
        <f>AG8</f>
        <v>1239.4300000000003</v>
      </c>
      <c r="D13" s="41">
        <f>AK8</f>
        <v>0</v>
      </c>
      <c r="E13" s="41">
        <f>B13+C13+D13</f>
        <v>42535.64</v>
      </c>
    </row>
    <row r="14" spans="1:46">
      <c r="B14" s="42"/>
      <c r="C14" s="42"/>
      <c r="D14" s="42"/>
      <c r="E14" s="42"/>
    </row>
    <row r="15" spans="1:46" s="12" customFormat="1">
      <c r="A15" s="43" t="s">
        <v>200</v>
      </c>
      <c r="B15" s="44" t="s">
        <v>201</v>
      </c>
      <c r="C15" s="45"/>
      <c r="D15" s="45"/>
      <c r="E15" s="45"/>
      <c r="G15" s="46"/>
      <c r="J15" s="64"/>
      <c r="M15" s="65"/>
      <c r="AI15" s="86"/>
    </row>
    <row r="16" spans="1:46" s="12" customFormat="1">
      <c r="A16" s="47"/>
      <c r="B16" s="48" t="s">
        <v>202</v>
      </c>
      <c r="C16" s="45"/>
      <c r="D16" s="45"/>
      <c r="E16" s="45"/>
      <c r="G16" s="46"/>
      <c r="J16" s="64"/>
      <c r="M16" s="65"/>
      <c r="AI16" s="86"/>
    </row>
    <row r="17" spans="1:35" s="12" customFormat="1">
      <c r="A17" s="44"/>
      <c r="B17" s="48" t="s">
        <v>203</v>
      </c>
      <c r="C17" s="49"/>
      <c r="D17" s="49"/>
      <c r="E17" s="49"/>
      <c r="F17" s="49"/>
      <c r="G17" s="49"/>
      <c r="H17" s="49"/>
      <c r="I17" s="49"/>
      <c r="J17" s="66"/>
      <c r="K17" s="49"/>
      <c r="L17" s="49"/>
      <c r="M17" s="67"/>
      <c r="N17" s="49"/>
      <c r="O17" s="49"/>
      <c r="P17" s="49"/>
      <c r="AI17" s="86"/>
    </row>
    <row r="18" spans="1:35" s="12" customFormat="1" ht="13.5" customHeight="1">
      <c r="A18" s="48"/>
      <c r="B18" s="48" t="s">
        <v>204</v>
      </c>
      <c r="C18" s="50"/>
      <c r="D18" s="50"/>
      <c r="E18" s="50"/>
      <c r="F18" s="50"/>
      <c r="G18" s="50"/>
      <c r="H18" s="50"/>
      <c r="I18" s="68"/>
      <c r="J18" s="69"/>
      <c r="K18" s="68"/>
      <c r="L18" s="68"/>
      <c r="M18" s="70"/>
      <c r="N18" s="68"/>
      <c r="O18" s="68"/>
      <c r="P18" s="68"/>
      <c r="AI18" s="86"/>
    </row>
    <row r="19" spans="1:35" s="12" customFormat="1" ht="13.5" customHeight="1">
      <c r="A19" s="48"/>
      <c r="B19" s="48" t="s">
        <v>205</v>
      </c>
      <c r="C19" s="50"/>
      <c r="D19" s="50"/>
      <c r="E19" s="50"/>
      <c r="F19" s="50"/>
      <c r="G19" s="50"/>
      <c r="H19" s="50"/>
      <c r="I19" s="50"/>
      <c r="J19" s="71"/>
      <c r="K19" s="50"/>
      <c r="L19" s="68"/>
      <c r="M19" s="70"/>
      <c r="N19" s="68"/>
      <c r="O19" s="68"/>
      <c r="P19" s="68"/>
      <c r="AI19" s="86"/>
    </row>
    <row r="20" spans="1:35" s="12" customFormat="1" ht="13.5" customHeight="1">
      <c r="A20" s="48"/>
      <c r="B20" s="48" t="s">
        <v>206</v>
      </c>
      <c r="C20" s="50"/>
      <c r="D20" s="50"/>
      <c r="E20" s="50"/>
      <c r="F20" s="50"/>
      <c r="G20" s="50"/>
      <c r="H20" s="50"/>
      <c r="I20" s="68"/>
      <c r="J20" s="69"/>
      <c r="K20" s="68"/>
      <c r="L20" s="68"/>
      <c r="M20" s="70"/>
      <c r="N20" s="68"/>
      <c r="O20" s="68"/>
      <c r="P20" s="68"/>
      <c r="AI20" s="86"/>
    </row>
    <row r="22" spans="1:35" ht="11.25" customHeight="1">
      <c r="B22" s="51" t="s">
        <v>207</v>
      </c>
    </row>
    <row r="23" spans="1:35">
      <c r="B23" s="52" t="s">
        <v>208</v>
      </c>
    </row>
    <row r="24" spans="1:35">
      <c r="B24" s="52" t="s">
        <v>209</v>
      </c>
    </row>
  </sheetData>
  <autoFilter ref="A3:AT8"/>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8" type="noConversion"/>
  <conditionalFormatting sqref="B20">
    <cfRule type="duplicateValues" dxfId="62" priority="2" stopIfTrue="1"/>
  </conditionalFormatting>
  <conditionalFormatting sqref="B15:B19">
    <cfRule type="duplicateValues" dxfId="61" priority="3" stopIfTrue="1"/>
  </conditionalFormatting>
  <conditionalFormatting sqref="B23:B24">
    <cfRule type="duplicateValues" dxfId="60" priority="1" stopIfTrue="1"/>
  </conditionalFormatting>
  <conditionalFormatting sqref="C12:C14">
    <cfRule type="duplicateValues" dxfId="59" priority="4" stopIfTrue="1"/>
    <cfRule type="expression" dxfId="58" priority="5" stopIfTrue="1">
      <formula>AND(COUNTIF($B$8:$B$65444,C12)+COUNTIF($B$1:$B$3,C12)&gt;1,NOT(ISBLANK(C12)))</formula>
    </cfRule>
    <cfRule type="expression" dxfId="57" priority="6" stopIfTrue="1">
      <formula>AND(COUNTIF($B$19:$B$65395,C12)+COUNTIF($B$1:$B$18,C12)&gt;1,NOT(ISBLANK(C12)))</formula>
    </cfRule>
    <cfRule type="expression" dxfId="56" priority="7" stopIfTrue="1">
      <formula>AND(COUNTIF($B$8:$B$65433,C12)+COUNTIF($B$1:$B$3,C12)&gt;1,NOT(ISBLANK(C12)))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4"/>
  <sheetViews>
    <sheetView workbookViewId="0">
      <pane xSplit="6" ySplit="3" topLeftCell="G4" activePane="bottomRight" state="frozen"/>
      <selection pane="topRight"/>
      <selection pane="bottomLeft"/>
      <selection pane="bottomRight" activeCell="B4" sqref="B4:P7"/>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144</v>
      </c>
      <c r="B1" s="19"/>
      <c r="C1" s="20"/>
      <c r="D1" s="21"/>
      <c r="E1" s="22"/>
      <c r="F1" s="22"/>
      <c r="G1" s="23"/>
      <c r="J1" s="53"/>
      <c r="L1" s="54"/>
      <c r="M1" s="352" t="s">
        <v>145</v>
      </c>
      <c r="N1" s="352"/>
      <c r="O1" s="352"/>
      <c r="P1" s="352"/>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59" t="s">
        <v>18</v>
      </c>
      <c r="B2" s="361" t="s">
        <v>146</v>
      </c>
      <c r="C2" s="363" t="s">
        <v>147</v>
      </c>
      <c r="D2" s="363" t="s">
        <v>148</v>
      </c>
      <c r="E2" s="365" t="s">
        <v>149</v>
      </c>
      <c r="F2" s="367" t="s">
        <v>150</v>
      </c>
      <c r="G2" s="365" t="s">
        <v>151</v>
      </c>
      <c r="H2" s="365" t="s">
        <v>152</v>
      </c>
      <c r="I2" s="365" t="s">
        <v>153</v>
      </c>
      <c r="J2" s="369" t="s">
        <v>154</v>
      </c>
      <c r="K2" s="365" t="s">
        <v>155</v>
      </c>
      <c r="L2" s="365" t="s">
        <v>156</v>
      </c>
      <c r="M2" s="353" t="s">
        <v>157</v>
      </c>
      <c r="N2" s="354"/>
      <c r="O2" s="354"/>
      <c r="P2" s="355"/>
      <c r="Q2" s="367" t="s">
        <v>158</v>
      </c>
      <c r="R2" s="365" t="s">
        <v>159</v>
      </c>
      <c r="S2" s="367" t="s">
        <v>160</v>
      </c>
      <c r="T2" s="371" t="s">
        <v>161</v>
      </c>
      <c r="U2" s="367" t="s">
        <v>162</v>
      </c>
      <c r="V2" s="356" t="s">
        <v>163</v>
      </c>
      <c r="W2" s="357"/>
      <c r="X2" s="357"/>
      <c r="Y2" s="357"/>
      <c r="Z2" s="357"/>
      <c r="AA2" s="358"/>
      <c r="AB2" s="367" t="s">
        <v>164</v>
      </c>
      <c r="AC2" s="367" t="s">
        <v>165</v>
      </c>
      <c r="AD2" s="371" t="s">
        <v>166</v>
      </c>
      <c r="AE2" s="371" t="s">
        <v>167</v>
      </c>
      <c r="AF2" s="371" t="s">
        <v>168</v>
      </c>
      <c r="AG2" s="371" t="s">
        <v>169</v>
      </c>
      <c r="AH2" s="373" t="s">
        <v>170</v>
      </c>
      <c r="AI2" s="375" t="s">
        <v>171</v>
      </c>
      <c r="AJ2" s="373" t="s">
        <v>172</v>
      </c>
      <c r="AK2" s="363" t="s">
        <v>57</v>
      </c>
      <c r="AL2" s="373" t="s">
        <v>173</v>
      </c>
      <c r="AM2" s="365" t="s">
        <v>174</v>
      </c>
      <c r="AN2" s="365" t="s">
        <v>175</v>
      </c>
      <c r="AO2" s="377" t="s">
        <v>176</v>
      </c>
      <c r="AP2" s="365" t="s">
        <v>177</v>
      </c>
      <c r="AQ2" s="365" t="s">
        <v>178</v>
      </c>
      <c r="AR2" s="367" t="s">
        <v>179</v>
      </c>
      <c r="AS2" s="367" t="s">
        <v>180</v>
      </c>
      <c r="AT2" s="367" t="s">
        <v>181</v>
      </c>
    </row>
    <row r="3" spans="1:46" s="9" customFormat="1" ht="27" customHeight="1">
      <c r="A3" s="360"/>
      <c r="B3" s="362"/>
      <c r="C3" s="364"/>
      <c r="D3" s="364"/>
      <c r="E3" s="366"/>
      <c r="F3" s="368"/>
      <c r="G3" s="366"/>
      <c r="H3" s="366"/>
      <c r="I3" s="366"/>
      <c r="J3" s="370"/>
      <c r="K3" s="366"/>
      <c r="L3" s="366"/>
      <c r="M3" s="55" t="s">
        <v>182</v>
      </c>
      <c r="N3" s="55" t="s">
        <v>183</v>
      </c>
      <c r="O3" s="55" t="s">
        <v>184</v>
      </c>
      <c r="P3" s="55" t="s">
        <v>70</v>
      </c>
      <c r="Q3" s="368"/>
      <c r="R3" s="366"/>
      <c r="S3" s="368"/>
      <c r="T3" s="372"/>
      <c r="U3" s="368"/>
      <c r="V3" s="73" t="s">
        <v>185</v>
      </c>
      <c r="W3" s="73" t="s">
        <v>186</v>
      </c>
      <c r="X3" s="73" t="s">
        <v>187</v>
      </c>
      <c r="Y3" s="73" t="s">
        <v>188</v>
      </c>
      <c r="Z3" s="73" t="s">
        <v>189</v>
      </c>
      <c r="AA3" s="73" t="s">
        <v>190</v>
      </c>
      <c r="AB3" s="368"/>
      <c r="AC3" s="368"/>
      <c r="AD3" s="372"/>
      <c r="AE3" s="372"/>
      <c r="AF3" s="372"/>
      <c r="AG3" s="372"/>
      <c r="AH3" s="374"/>
      <c r="AI3" s="376"/>
      <c r="AJ3" s="374"/>
      <c r="AK3" s="364"/>
      <c r="AL3" s="374"/>
      <c r="AM3" s="366"/>
      <c r="AN3" s="366"/>
      <c r="AO3" s="378"/>
      <c r="AP3" s="366"/>
      <c r="AQ3" s="366"/>
      <c r="AR3" s="368"/>
      <c r="AS3" s="368"/>
      <c r="AT3" s="368"/>
    </row>
    <row r="4" spans="1:46" s="10" customFormat="1" ht="18" customHeight="1">
      <c r="A4" s="24">
        <v>1</v>
      </c>
      <c r="B4" s="25" t="s">
        <v>249</v>
      </c>
      <c r="C4" s="25" t="s">
        <v>75</v>
      </c>
      <c r="D4" s="25" t="s">
        <v>192</v>
      </c>
      <c r="E4" s="25" t="s">
        <v>76</v>
      </c>
      <c r="F4" s="26" t="s">
        <v>193</v>
      </c>
      <c r="G4" s="33">
        <v>18035163638</v>
      </c>
      <c r="H4" s="28"/>
      <c r="I4" s="28"/>
      <c r="J4" s="56"/>
      <c r="K4" s="28"/>
      <c r="L4" s="60">
        <v>9070</v>
      </c>
      <c r="M4" s="58">
        <v>264</v>
      </c>
      <c r="N4" s="58">
        <v>66</v>
      </c>
      <c r="O4" s="58">
        <v>9.9</v>
      </c>
      <c r="P4" s="58">
        <v>180</v>
      </c>
      <c r="Q4" s="74">
        <f>ROUND(SUM(M4:P4),2)</f>
        <v>519.9</v>
      </c>
      <c r="R4" s="60">
        <v>0</v>
      </c>
      <c r="S4" s="75">
        <f>L4+IFERROR(VLOOKUP($E:$E,'（居民）工资表-9月'!$E:$S,15,0),0)</f>
        <v>97450</v>
      </c>
      <c r="T4" s="76">
        <f>5000+IFERROR(VLOOKUP($E:$E,'（居民）工资表-9月'!$E:$T,16,0),0)</f>
        <v>50000</v>
      </c>
      <c r="U4" s="76">
        <f>Q4+IFERROR(VLOOKUP($E:$E,'（居民）工资表-9月'!$E:$U,17,0),0)</f>
        <v>5363.6399999999994</v>
      </c>
      <c r="V4" s="60"/>
      <c r="W4" s="60"/>
      <c r="X4" s="60">
        <v>10000</v>
      </c>
      <c r="Y4" s="60"/>
      <c r="Z4" s="60"/>
      <c r="AA4" s="60"/>
      <c r="AB4" s="75">
        <f>ROUND(SUM(V4:AA4),2)</f>
        <v>10000</v>
      </c>
      <c r="AC4" s="75">
        <f>R4+IFERROR(VLOOKUP($E:$E,'（居民）工资表-9月'!$E:$AC,25,0),0)</f>
        <v>0</v>
      </c>
      <c r="AD4" s="77">
        <f>ROUND(S4-T4-U4-AB4-AC4,2)</f>
        <v>32086.36</v>
      </c>
      <c r="AE4" s="78">
        <f>ROUND(MAX((AD4)*{0.03;0.1;0.2;0.25;0.3;0.35;0.45}-{0;2520;16920;31920;52920;85920;181920},0),2)</f>
        <v>962.59</v>
      </c>
      <c r="AF4" s="79">
        <f>IFERROR(VLOOKUP(E:E,'（居民）工资表-9月'!E:AF,28,0)+VLOOKUP(E:E,'（居民）工资表-9月'!E:AG,29,0),0)</f>
        <v>886.09</v>
      </c>
      <c r="AG4" s="79">
        <f>IF((AE4-AF4)&lt;0,0,AE4-AF4)</f>
        <v>76.5</v>
      </c>
      <c r="AH4" s="82">
        <f>ROUND(IF((L4-Q4-AG4)&lt;0,0,(L4-Q4-AG4)),2)</f>
        <v>8473.6</v>
      </c>
      <c r="AI4" s="83"/>
      <c r="AJ4" s="82">
        <f>AH4+AI4</f>
        <v>8473.6</v>
      </c>
      <c r="AK4" s="84"/>
      <c r="AL4" s="82">
        <f>AJ4+AG4+AK4</f>
        <v>8550.1</v>
      </c>
      <c r="AM4" s="84"/>
      <c r="AN4" s="84"/>
      <c r="AO4" s="84"/>
      <c r="AP4" s="84"/>
      <c r="AQ4" s="84"/>
      <c r="AR4" s="8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IF(SUMPRODUCT(N(E$1:E$7=E4))&gt;1,"重复","不")</f>
        <v>不</v>
      </c>
      <c r="AT4" s="88" t="str">
        <f>IF(SUMPRODUCT(N(AO$1:AO$7=AO4))&gt;1,"重复","不")</f>
        <v>重复</v>
      </c>
    </row>
    <row r="5" spans="1:46" s="10" customFormat="1" ht="18" customHeight="1">
      <c r="A5" s="24">
        <v>2</v>
      </c>
      <c r="B5" s="25" t="s">
        <v>249</v>
      </c>
      <c r="C5" s="25" t="s">
        <v>93</v>
      </c>
      <c r="D5" s="25" t="s">
        <v>192</v>
      </c>
      <c r="E5" s="25" t="s">
        <v>94</v>
      </c>
      <c r="F5" s="26" t="s">
        <v>193</v>
      </c>
      <c r="G5" s="33">
        <v>13944441728</v>
      </c>
      <c r="H5" s="28"/>
      <c r="I5" s="28"/>
      <c r="J5" s="56"/>
      <c r="K5" s="28"/>
      <c r="L5" s="60">
        <v>6889.4</v>
      </c>
      <c r="M5" s="58">
        <v>244.24</v>
      </c>
      <c r="N5" s="58">
        <v>61.06</v>
      </c>
      <c r="O5" s="58">
        <v>9.16</v>
      </c>
      <c r="P5" s="58">
        <v>79</v>
      </c>
      <c r="Q5" s="74">
        <f>ROUND(SUM(M5:P5),2)</f>
        <v>393.46</v>
      </c>
      <c r="R5" s="60">
        <v>0</v>
      </c>
      <c r="S5" s="75">
        <f>L5+IFERROR(VLOOKUP($E:$E,'（居民）工资表-9月'!$E:$S,15,0),0)</f>
        <v>69810.399999999994</v>
      </c>
      <c r="T5" s="76">
        <f>5000+IFERROR(VLOOKUP($E:$E,'（居民）工资表-9月'!$E:$T,16,0),0)</f>
        <v>50000</v>
      </c>
      <c r="U5" s="76">
        <f>Q5+IFERROR(VLOOKUP($E:$E,'（居民）工资表-9月'!$E:$U,17,0),0)</f>
        <v>4250.5199999999995</v>
      </c>
      <c r="V5" s="60"/>
      <c r="W5" s="60"/>
      <c r="X5" s="60"/>
      <c r="Y5" s="60"/>
      <c r="Z5" s="60"/>
      <c r="AA5" s="60"/>
      <c r="AB5" s="75">
        <f>ROUND(SUM(V5:AA5),2)</f>
        <v>0</v>
      </c>
      <c r="AC5" s="75">
        <f>R5+IFERROR(VLOOKUP($E:$E,'（居民）工资表-9月'!$E:$AC,25,0),0)</f>
        <v>0</v>
      </c>
      <c r="AD5" s="77">
        <f>ROUND(S5-T5-U5-AB5-AC5,2)</f>
        <v>15559.88</v>
      </c>
      <c r="AE5" s="78">
        <f>ROUND(MAX((AD5)*{0.03;0.1;0.2;0.25;0.3;0.35;0.45}-{0;2520;16920;31920;52920;85920;181920},0),2)</f>
        <v>466.8</v>
      </c>
      <c r="AF5" s="79">
        <f>IFERROR(VLOOKUP(E:E,'（居民）工资表-9月'!E:AF,28,0)+VLOOKUP(E:E,'（居民）工资表-9月'!E:AG,29,0),0)</f>
        <v>421.92000000000007</v>
      </c>
      <c r="AG5" s="79">
        <f>IF((AE5-AF5)&lt;0,0,AE5-AF5)</f>
        <v>44.879999999999939</v>
      </c>
      <c r="AH5" s="82">
        <f>ROUND(IF((L5-Q5-AG5)&lt;0,0,(L5-Q5-AG5)),2)</f>
        <v>6451.06</v>
      </c>
      <c r="AI5" s="83"/>
      <c r="AJ5" s="82">
        <f>AH5+AI5</f>
        <v>6451.06</v>
      </c>
      <c r="AK5" s="84"/>
      <c r="AL5" s="82">
        <f>AJ5+AG5+AK5</f>
        <v>6495.9400000000005</v>
      </c>
      <c r="AM5" s="84"/>
      <c r="AN5" s="84"/>
      <c r="AO5" s="84"/>
      <c r="AP5" s="84"/>
      <c r="AQ5" s="84"/>
      <c r="AR5" s="8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8" t="str">
        <f>IF(SUMPRODUCT(N(E$1:E$7=E5))&gt;1,"重复","不")</f>
        <v>不</v>
      </c>
      <c r="AT5" s="88" t="str">
        <f>IF(SUMPRODUCT(N(AO$1:AO$7=AO5))&gt;1,"重复","不")</f>
        <v>重复</v>
      </c>
    </row>
    <row r="6" spans="1:46" s="10" customFormat="1" ht="18" customHeight="1">
      <c r="A6" s="24">
        <v>3</v>
      </c>
      <c r="B6" s="25" t="s">
        <v>249</v>
      </c>
      <c r="C6" s="25" t="s">
        <v>253</v>
      </c>
      <c r="D6" s="25" t="s">
        <v>192</v>
      </c>
      <c r="E6" s="289" t="s">
        <v>254</v>
      </c>
      <c r="F6" s="26" t="s">
        <v>193</v>
      </c>
      <c r="G6" s="33">
        <v>18607383005</v>
      </c>
      <c r="H6" s="28"/>
      <c r="I6" s="28"/>
      <c r="J6" s="56"/>
      <c r="K6" s="28"/>
      <c r="L6" s="60">
        <v>20720</v>
      </c>
      <c r="M6" s="58">
        <f>320</f>
        <v>320</v>
      </c>
      <c r="N6" s="58">
        <f>80</f>
        <v>80</v>
      </c>
      <c r="O6" s="58">
        <f>12</f>
        <v>12</v>
      </c>
      <c r="P6" s="58">
        <v>200</v>
      </c>
      <c r="Q6" s="74">
        <f>ROUND(SUM(M6:P6),2)</f>
        <v>612</v>
      </c>
      <c r="R6" s="60">
        <v>0</v>
      </c>
      <c r="S6" s="75">
        <f>L6+IFERROR(VLOOKUP($E:$E,'（居民）工资表-9月'!$E:$S,15,0),0)</f>
        <v>43520</v>
      </c>
      <c r="T6" s="76">
        <f>5000+IFERROR(VLOOKUP($E:$E,'（居民）工资表-9月'!$E:$T,16,0),0)</f>
        <v>10000</v>
      </c>
      <c r="U6" s="76">
        <f>Q6+IFERROR(VLOOKUP($E:$E,'（居民）工资表-9月'!$E:$U,17,0),0)</f>
        <v>1224</v>
      </c>
      <c r="V6" s="60"/>
      <c r="W6" s="60"/>
      <c r="X6" s="60"/>
      <c r="Y6" s="60"/>
      <c r="Z6" s="60"/>
      <c r="AA6" s="60"/>
      <c r="AB6" s="75">
        <f>ROUND(SUM(V6:AA6),2)</f>
        <v>0</v>
      </c>
      <c r="AC6" s="75">
        <f>R6+IFERROR(VLOOKUP($E:$E,'（居民）工资表-9月'!$E:$AC,25,0),0)</f>
        <v>0</v>
      </c>
      <c r="AD6" s="77">
        <f>ROUND(S6-T6-U6-AB6-AC6,2)</f>
        <v>32296</v>
      </c>
      <c r="AE6" s="78">
        <f>ROUND(MAX((AD6)*{0.03;0.1;0.2;0.25;0.3;0.35;0.45}-{0;2520;16920;31920;52920;85920;181920},0),2)</f>
        <v>968.88</v>
      </c>
      <c r="AF6" s="79">
        <f>IFERROR(VLOOKUP(E:E,'（居民）工资表-9月'!E:AF,28,0)+VLOOKUP(E:E,'（居民）工资表-9月'!E:AG,29,0),0)</f>
        <v>515.64</v>
      </c>
      <c r="AG6" s="79">
        <f>IF((AE6-AF6)&lt;0,0,AE6-AF6)</f>
        <v>453.24</v>
      </c>
      <c r="AH6" s="82">
        <f>ROUND(IF((L6-Q6-AG6)&lt;0,0,(L6-Q6-AG6)),2)</f>
        <v>19654.759999999998</v>
      </c>
      <c r="AI6" s="83"/>
      <c r="AJ6" s="82">
        <f>AH6+AI6</f>
        <v>19654.759999999998</v>
      </c>
      <c r="AK6" s="84"/>
      <c r="AL6" s="82">
        <f>AJ6+AG6+AK6</f>
        <v>20108</v>
      </c>
      <c r="AM6" s="84"/>
      <c r="AN6" s="84"/>
      <c r="AO6" s="84"/>
      <c r="AP6" s="84"/>
      <c r="AQ6" s="84"/>
      <c r="AR6" s="88"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8" t="str">
        <f>IF(SUMPRODUCT(N(E$1:E$7=E6))&gt;1,"重复","不")</f>
        <v>不</v>
      </c>
      <c r="AT6" s="88" t="str">
        <f>IF(SUMPRODUCT(N(AO$1:AO$7=AO6))&gt;1,"重复","不")</f>
        <v>重复</v>
      </c>
    </row>
    <row r="7" spans="1:46" s="10" customFormat="1" ht="18" customHeight="1">
      <c r="A7" s="24">
        <v>4</v>
      </c>
      <c r="B7" s="25" t="s">
        <v>249</v>
      </c>
      <c r="C7" s="25" t="s">
        <v>107</v>
      </c>
      <c r="D7" s="25" t="s">
        <v>192</v>
      </c>
      <c r="E7" s="289" t="s">
        <v>108</v>
      </c>
      <c r="F7" s="26" t="str">
        <f>IF(MOD(MID(E7,17,1),2)=1,"男","女")</f>
        <v>女</v>
      </c>
      <c r="G7" s="33">
        <v>15360550807</v>
      </c>
      <c r="H7" s="28"/>
      <c r="I7" s="28"/>
      <c r="J7" s="56"/>
      <c r="K7" s="28"/>
      <c r="L7" s="60">
        <v>5700</v>
      </c>
      <c r="M7" s="58"/>
      <c r="N7" s="58"/>
      <c r="O7" s="58"/>
      <c r="P7" s="58"/>
      <c r="Q7" s="74">
        <f>ROUND(SUM(M7:P7),2)</f>
        <v>0</v>
      </c>
      <c r="R7" s="60">
        <v>0</v>
      </c>
      <c r="S7" s="75">
        <f>L7+IFERROR(VLOOKUP($E:$E,'（居民）工资表-9月'!$E:$S,15,0),0)</f>
        <v>55860</v>
      </c>
      <c r="T7" s="76">
        <f>5000+IFERROR(VLOOKUP($E:$E,'（居民）工资表-9月'!$E:$T,16,0),0)</f>
        <v>50000</v>
      </c>
      <c r="U7" s="76">
        <f>Q7+IFERROR(VLOOKUP($E:$E,'（居民）工资表-9月'!$E:$U,17,0),0)</f>
        <v>5021.7999999999993</v>
      </c>
      <c r="V7" s="60"/>
      <c r="W7" s="60"/>
      <c r="X7" s="60"/>
      <c r="Y7" s="60"/>
      <c r="Z7" s="60"/>
      <c r="AA7" s="60"/>
      <c r="AB7" s="75">
        <f>ROUND(SUM(V7:AA7),2)</f>
        <v>0</v>
      </c>
      <c r="AC7" s="75">
        <f>R7+IFERROR(VLOOKUP($E:$E,'（居民）工资表-9月'!$E:$AC,25,0),0)</f>
        <v>0</v>
      </c>
      <c r="AD7" s="77">
        <f>ROUND(S7-T7-U7-AB7-AC7,2)</f>
        <v>838.2</v>
      </c>
      <c r="AE7" s="78">
        <f>ROUND(MAX((AD7)*{0.03;0.1;0.2;0.25;0.3;0.35;0.45}-{0;2520;16920;31920;52920;85920;181920},0),2)</f>
        <v>25.15</v>
      </c>
      <c r="AF7" s="79">
        <f>IFERROR(VLOOKUP(E:E,'（居民）工资表-9月'!E:AF,28,0)+VLOOKUP(E:E,'（居民）工资表-9月'!E:AG,29,0),0)</f>
        <v>4.1500000000000004</v>
      </c>
      <c r="AG7" s="79">
        <f>IF((AE7-AF7)&lt;0,0,AE7-AF7)</f>
        <v>21</v>
      </c>
      <c r="AH7" s="82">
        <f>ROUND(IF((L7-Q7-AG7)&lt;0,0,(L7-Q7-AG7)),2)</f>
        <v>5679</v>
      </c>
      <c r="AI7" s="83"/>
      <c r="AJ7" s="82">
        <f>AH7+AI7</f>
        <v>5679</v>
      </c>
      <c r="AK7" s="84"/>
      <c r="AL7" s="82">
        <f>AJ7+AG7+AK7</f>
        <v>5700</v>
      </c>
      <c r="AM7" s="84"/>
      <c r="AN7" s="84"/>
      <c r="AO7" s="84"/>
      <c r="AP7" s="84"/>
      <c r="AQ7" s="84"/>
      <c r="AR7" s="88"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8" t="str">
        <f>IF(SUMPRODUCT(N(E$1:E$7=E7))&gt;1,"重复","不")</f>
        <v>不</v>
      </c>
      <c r="AT7" s="88" t="str">
        <f>IF(SUMPRODUCT(N(AO$1:AO$7=AO7))&gt;1,"重复","不")</f>
        <v>重复</v>
      </c>
    </row>
    <row r="8" spans="1:46" s="11" customFormat="1" ht="18" customHeight="1">
      <c r="A8" s="34"/>
      <c r="B8" s="35" t="s">
        <v>198</v>
      </c>
      <c r="C8" s="35"/>
      <c r="D8" s="36"/>
      <c r="E8" s="37"/>
      <c r="F8" s="38"/>
      <c r="G8" s="39"/>
      <c r="H8" s="38"/>
      <c r="I8" s="61"/>
      <c r="J8" s="62"/>
      <c r="K8" s="61"/>
      <c r="L8" s="63">
        <f t="shared" ref="L8:AL8" si="0">SUM(L4:L7)</f>
        <v>42379.4</v>
      </c>
      <c r="M8" s="63">
        <f t="shared" si="0"/>
        <v>828.24</v>
      </c>
      <c r="N8" s="63">
        <f t="shared" si="0"/>
        <v>207.06</v>
      </c>
      <c r="O8" s="63">
        <f t="shared" si="0"/>
        <v>31.06</v>
      </c>
      <c r="P8" s="63">
        <f t="shared" si="0"/>
        <v>459</v>
      </c>
      <c r="Q8" s="63">
        <f t="shared" si="0"/>
        <v>1525.36</v>
      </c>
      <c r="R8" s="63">
        <f t="shared" si="0"/>
        <v>0</v>
      </c>
      <c r="S8" s="63">
        <f t="shared" si="0"/>
        <v>266640.40000000002</v>
      </c>
      <c r="T8" s="63">
        <f t="shared" si="0"/>
        <v>160000</v>
      </c>
      <c r="U8" s="63">
        <f t="shared" si="0"/>
        <v>15859.96</v>
      </c>
      <c r="V8" s="63">
        <f t="shared" si="0"/>
        <v>0</v>
      </c>
      <c r="W8" s="63">
        <f t="shared" si="0"/>
        <v>0</v>
      </c>
      <c r="X8" s="63">
        <f t="shared" si="0"/>
        <v>10000</v>
      </c>
      <c r="Y8" s="63">
        <f t="shared" si="0"/>
        <v>0</v>
      </c>
      <c r="Z8" s="63">
        <f t="shared" si="0"/>
        <v>0</v>
      </c>
      <c r="AA8" s="63">
        <f t="shared" si="0"/>
        <v>0</v>
      </c>
      <c r="AB8" s="63">
        <f t="shared" si="0"/>
        <v>10000</v>
      </c>
      <c r="AC8" s="63">
        <f t="shared" si="0"/>
        <v>0</v>
      </c>
      <c r="AD8" s="63">
        <f t="shared" si="0"/>
        <v>80780.439999999988</v>
      </c>
      <c r="AE8" s="63">
        <f t="shared" si="0"/>
        <v>2423.42</v>
      </c>
      <c r="AF8" s="63">
        <f t="shared" si="0"/>
        <v>1827.8000000000002</v>
      </c>
      <c r="AG8" s="63">
        <f t="shared" si="0"/>
        <v>595.61999999999989</v>
      </c>
      <c r="AH8" s="63">
        <f t="shared" si="0"/>
        <v>40258.42</v>
      </c>
      <c r="AI8" s="109">
        <f t="shared" si="0"/>
        <v>0</v>
      </c>
      <c r="AJ8" s="63">
        <f t="shared" si="0"/>
        <v>40258.42</v>
      </c>
      <c r="AK8" s="63">
        <f t="shared" si="0"/>
        <v>0</v>
      </c>
      <c r="AL8" s="63">
        <f t="shared" si="0"/>
        <v>40854.04</v>
      </c>
      <c r="AM8" s="85"/>
      <c r="AN8" s="85"/>
      <c r="AO8" s="85"/>
      <c r="AP8" s="85"/>
      <c r="AQ8" s="85"/>
      <c r="AR8" s="38"/>
      <c r="AS8" s="38"/>
      <c r="AT8" s="89"/>
    </row>
    <row r="11" spans="1:46">
      <c r="AD11" s="80"/>
    </row>
    <row r="12" spans="1:46" ht="18.75" customHeight="1">
      <c r="B12" s="40" t="s">
        <v>172</v>
      </c>
      <c r="C12" s="40" t="s">
        <v>199</v>
      </c>
      <c r="D12" s="40" t="s">
        <v>57</v>
      </c>
      <c r="E12" s="40" t="s">
        <v>58</v>
      </c>
      <c r="AD12" s="8"/>
    </row>
    <row r="13" spans="1:46" ht="18.75" customHeight="1">
      <c r="B13" s="41">
        <f>AJ8</f>
        <v>40258.42</v>
      </c>
      <c r="C13" s="41">
        <f>AG8</f>
        <v>595.61999999999989</v>
      </c>
      <c r="D13" s="41">
        <f>AK8</f>
        <v>0</v>
      </c>
      <c r="E13" s="41">
        <f>B13+C13+D13</f>
        <v>40854.04</v>
      </c>
    </row>
    <row r="14" spans="1:46">
      <c r="B14" s="42"/>
      <c r="C14" s="42"/>
      <c r="D14" s="42"/>
      <c r="E14" s="42"/>
    </row>
    <row r="15" spans="1:46" s="12" customFormat="1">
      <c r="A15" s="43" t="s">
        <v>200</v>
      </c>
      <c r="B15" s="44" t="s">
        <v>201</v>
      </c>
      <c r="C15" s="45"/>
      <c r="D15" s="45"/>
      <c r="E15" s="45"/>
      <c r="G15" s="46"/>
      <c r="J15" s="64"/>
      <c r="M15" s="65"/>
      <c r="AI15" s="86"/>
    </row>
    <row r="16" spans="1:46" s="12" customFormat="1">
      <c r="A16" s="47"/>
      <c r="B16" s="48" t="s">
        <v>202</v>
      </c>
      <c r="C16" s="45"/>
      <c r="D16" s="45"/>
      <c r="E16" s="45"/>
      <c r="G16" s="46"/>
      <c r="J16" s="64"/>
      <c r="M16" s="65"/>
      <c r="AI16" s="86"/>
    </row>
    <row r="17" spans="1:35" s="12" customFormat="1">
      <c r="A17" s="44"/>
      <c r="B17" s="48" t="s">
        <v>203</v>
      </c>
      <c r="C17" s="49"/>
      <c r="D17" s="49"/>
      <c r="E17" s="49"/>
      <c r="F17" s="49"/>
      <c r="G17" s="49"/>
      <c r="H17" s="49"/>
      <c r="I17" s="49"/>
      <c r="J17" s="66"/>
      <c r="K17" s="49"/>
      <c r="L17" s="49"/>
      <c r="M17" s="67"/>
      <c r="N17" s="49"/>
      <c r="O17" s="49"/>
      <c r="P17" s="49"/>
      <c r="AI17" s="86"/>
    </row>
    <row r="18" spans="1:35" s="12" customFormat="1" ht="13.5" customHeight="1">
      <c r="A18" s="48"/>
      <c r="B18" s="48" t="s">
        <v>204</v>
      </c>
      <c r="C18" s="50"/>
      <c r="D18" s="50"/>
      <c r="E18" s="50"/>
      <c r="F18" s="50"/>
      <c r="G18" s="50"/>
      <c r="H18" s="50"/>
      <c r="I18" s="68"/>
      <c r="J18" s="69"/>
      <c r="K18" s="68"/>
      <c r="L18" s="68"/>
      <c r="M18" s="70"/>
      <c r="N18" s="68"/>
      <c r="O18" s="68"/>
      <c r="P18" s="68"/>
      <c r="AI18" s="86"/>
    </row>
    <row r="19" spans="1:35" s="12" customFormat="1" ht="13.5" customHeight="1">
      <c r="A19" s="48"/>
      <c r="B19" s="48" t="s">
        <v>205</v>
      </c>
      <c r="C19" s="50"/>
      <c r="D19" s="50"/>
      <c r="E19" s="50"/>
      <c r="F19" s="50"/>
      <c r="G19" s="50"/>
      <c r="H19" s="50"/>
      <c r="I19" s="50"/>
      <c r="J19" s="71"/>
      <c r="K19" s="50"/>
      <c r="L19" s="68"/>
      <c r="M19" s="70"/>
      <c r="N19" s="68"/>
      <c r="O19" s="68"/>
      <c r="P19" s="68"/>
      <c r="AI19" s="86"/>
    </row>
    <row r="20" spans="1:35" s="12" customFormat="1" ht="13.5" customHeight="1">
      <c r="A20" s="48"/>
      <c r="B20" s="48" t="s">
        <v>206</v>
      </c>
      <c r="C20" s="50"/>
      <c r="D20" s="50"/>
      <c r="E20" s="50"/>
      <c r="F20" s="50"/>
      <c r="G20" s="50"/>
      <c r="H20" s="50"/>
      <c r="I20" s="68"/>
      <c r="J20" s="69"/>
      <c r="K20" s="68"/>
      <c r="L20" s="68"/>
      <c r="M20" s="70"/>
      <c r="N20" s="68"/>
      <c r="O20" s="68"/>
      <c r="P20" s="68"/>
      <c r="AI20" s="86"/>
    </row>
    <row r="22" spans="1:35" ht="11.25" customHeight="1">
      <c r="B22" s="51" t="s">
        <v>207</v>
      </c>
    </row>
    <row r="23" spans="1:35">
      <c r="B23" s="52" t="s">
        <v>208</v>
      </c>
    </row>
    <row r="24" spans="1:35">
      <c r="B24" s="52" t="s">
        <v>209</v>
      </c>
    </row>
  </sheetData>
  <autoFilter ref="A3:AT8"/>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8" type="noConversion"/>
  <conditionalFormatting sqref="B20">
    <cfRule type="duplicateValues" dxfId="55" priority="2" stopIfTrue="1"/>
  </conditionalFormatting>
  <conditionalFormatting sqref="B15:B19">
    <cfRule type="duplicateValues" dxfId="54" priority="3" stopIfTrue="1"/>
  </conditionalFormatting>
  <conditionalFormatting sqref="B23:B24">
    <cfRule type="duplicateValues" dxfId="53" priority="1" stopIfTrue="1"/>
  </conditionalFormatting>
  <conditionalFormatting sqref="C12:C14">
    <cfRule type="duplicateValues" dxfId="52" priority="4" stopIfTrue="1"/>
    <cfRule type="expression" dxfId="51" priority="5" stopIfTrue="1">
      <formula>AND(COUNTIF($B$8:$B$65444,C12)+COUNTIF($B$1:$B$3,C12)&gt;1,NOT(ISBLANK(C12)))</formula>
    </cfRule>
    <cfRule type="expression" dxfId="50" priority="6" stopIfTrue="1">
      <formula>AND(COUNTIF($B$19:$B$65395,C12)+COUNTIF($B$1:$B$18,C12)&gt;1,NOT(ISBLANK(C12)))</formula>
    </cfRule>
    <cfRule type="expression" dxfId="49" priority="7" stopIfTrue="1">
      <formula>AND(COUNTIF($B$8:$B$65433,C12)+COUNTIF($B$1:$B$3,C12)&gt;1,NOT(ISBLANK(C12)))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29">
    <comment s:ref="E1" rgbClr="B3C888"/>
    <comment s:ref="F1" rgbClr="B3C888"/>
    <comment s:ref="G1" rgbClr="B3C888"/>
    <comment s:ref="H1" rgbClr="B3C888"/>
    <comment s:ref="O1" rgbClr="B3C888"/>
    <comment s:ref="P1" rgbClr="B3C888"/>
    <comment s:ref="S1" rgbClr="B3C888"/>
    <comment s:ref="Z1" rgbClr="B3C888"/>
    <comment s:ref="AL1" rgbClr="B3C888"/>
    <comment s:ref="AM1" rgbClr="B3C888"/>
    <comment s:ref="AN1" rgbClr="B3C888"/>
    <comment s:ref="AO1" rgbClr="B3C888"/>
    <comment s:ref="T2" rgbClr="B3C888"/>
    <comment s:ref="AA2" rgbClr="B3C888"/>
  </commentList>
  <commentList sheetStid="22"/>
  <commentList sheetStid="23"/>
  <commentList sheetStid="24"/>
  <commentList sheetStid="1"/>
  <commentList sheetStid="25"/>
  <commentList sheetStid="15"/>
  <commentList sheetStid="16"/>
  <commentList sheetStid="17"/>
  <commentList sheetStid="18"/>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12</vt:i4>
      </vt:variant>
    </vt:vector>
  </HeadingPairs>
  <TitlesOfParts>
    <vt:vector size="29" baseType="lpstr">
      <vt:lpstr>付款通知</vt:lpstr>
      <vt:lpstr>社保</vt:lpstr>
      <vt:lpstr>社保1</vt:lpstr>
      <vt:lpstr>（居民）工资表-6月</vt:lpstr>
      <vt:lpstr>（居民）工资表-7月</vt:lpstr>
      <vt:lpstr>（居民）工资表-8月</vt:lpstr>
      <vt:lpstr>增</vt:lpstr>
      <vt:lpstr>（居民）工资表-9月</vt:lpstr>
      <vt:lpstr>（居民）工资表-10月</vt:lpstr>
      <vt:lpstr>（居民）工资表-11月</vt:lpstr>
      <vt:lpstr>（居民）工资表-1月</vt:lpstr>
      <vt:lpstr>（居民）工资表-12月</vt:lpstr>
      <vt:lpstr>（居民）工资表-2月</vt:lpstr>
      <vt:lpstr>（居民）工资表-3月</vt:lpstr>
      <vt:lpstr>（居民）工资表-4月</vt:lpstr>
      <vt:lpstr>（居民）工资表-5月</vt:lpstr>
      <vt:lpstr>Sheet1</vt:lpstr>
      <vt:lpstr>'（居民）工资表-10月'!Print_Area</vt:lpstr>
      <vt:lpstr>'（居民）工资表-11月'!Print_Area</vt:lpstr>
      <vt:lpstr>'（居民）工资表-12月'!Print_Area</vt:lpstr>
      <vt:lpstr>'（居民）工资表-1月'!Print_Area</vt:lpstr>
      <vt:lpstr>'（居民）工资表-2月'!Print_Area</vt:lpstr>
      <vt:lpstr>'（居民）工资表-3月'!Print_Area</vt:lpstr>
      <vt:lpstr>'（居民）工资表-4月'!Print_Area</vt:lpstr>
      <vt:lpstr>'（居民）工资表-5月'!Print_Area</vt:lpstr>
      <vt:lpstr>'（居民）工资表-6月'!Print_Area</vt:lpstr>
      <vt:lpstr>'（居民）工资表-7月'!Print_Area</vt:lpstr>
      <vt:lpstr>'（居民）工资表-8月'!Print_Area</vt:lpstr>
      <vt:lpstr>'（居民）工资表-9月'!Print_Area</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Administrator</cp:lastModifiedBy>
  <cp:lastPrinted>2019-02-02T09:30:00Z</cp:lastPrinted>
  <dcterms:created xsi:type="dcterms:W3CDTF">2018-08-01T08:19:00Z</dcterms:created>
  <dcterms:modified xsi:type="dcterms:W3CDTF">2022-08-09T05:50:18Z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vt:lpwstr>
  </property>
  <property fmtid="{D5CDD505-2E9C-101B-9397-08002B2CF9AE}" pid="3" name="KSOProductBuildVer">
    <vt:lpwstr>2052-11.1.0.12302</vt:lpwstr>
  </property>
  <property fmtid="{D5CDD505-2E9C-101B-9397-08002B2CF9AE}" pid="4" name="ICV">
    <vt:lpwstr>459E650B05CE45B1BD0051FB64D05D5F</vt:lpwstr>
  </property>
  <property fmtid="{D5CDD505-2E9C-101B-9397-08002B2CF9AE}" pid="5" name="KSOReadingLayout">
    <vt:bool>true</vt:bool>
  </property>
</Properties>
</file>