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fileSharing readOnlyRecommended="1" userName="Administrator" reservationPassword="CBE3"/>
  <workbookPr defaultThemeVersion="124226"/>
  <bookViews>
    <workbookView xWindow="120" yWindow="1110" windowWidth="10755" windowHeight="5910" tabRatio="699"/>
  </bookViews>
  <sheets>
    <sheet name="账单" sheetId="9" r:id="rId1"/>
    <sheet name="海淀分公司工资表" sheetId="1" r:id="rId2"/>
    <sheet name="社保" sheetId="2" r:id="rId3"/>
    <sheet name="缴费比例" sheetId="5" r:id="rId4"/>
    <sheet name="福州" sheetId="6" r:id="rId5"/>
    <sheet name="合肥" sheetId="7" r:id="rId6"/>
    <sheet name="个税系统表" sheetId="8" r:id="rId7"/>
    <sheet name="融科" sheetId="13" r:id="rId8"/>
    <sheet name="翼水" sheetId="14" r:id="rId9"/>
    <sheet name="Sheet1" sheetId="15" r:id="rId10"/>
    <sheet name="易才2" sheetId="16" state="hidden" r:id="rId11"/>
    <sheet name="易才3" sheetId="11" state="hidden" r:id="rId12"/>
    <sheet name="易才4" sheetId="17" state="hidden" r:id="rId13"/>
  </sheets>
  <externalReferences>
    <externalReference r:id="rId14"/>
    <externalReference r:id="rId15"/>
    <externalReference r:id="rId16"/>
    <externalReference r:id="rId17"/>
  </externalReferences>
  <definedNames>
    <definedName name="_xlnm._FilterDatabase" localSheetId="6" hidden="1">个税系统表!$A$1:$AN$49</definedName>
    <definedName name="_xlnm._FilterDatabase" localSheetId="1" hidden="1">海淀分公司工资表!$A$3:$BM$43</definedName>
    <definedName name="_xlnm._FilterDatabase" localSheetId="2" hidden="1">社保!$A$1:$AH$44</definedName>
  </definedNames>
  <calcPr calcId="144525"/>
</workbook>
</file>

<file path=xl/calcChain.xml><?xml version="1.0" encoding="utf-8"?>
<calcChain xmlns="http://schemas.openxmlformats.org/spreadsheetml/2006/main">
  <c r="N18" i="13" l="1"/>
  <c r="O18" i="13"/>
  <c r="P18" i="13"/>
  <c r="Q18" i="13"/>
  <c r="R18" i="13"/>
  <c r="S18" i="13"/>
  <c r="T18" i="13"/>
  <c r="U18" i="13"/>
  <c r="V18" i="13"/>
  <c r="W18" i="13"/>
  <c r="N19" i="13"/>
  <c r="O19" i="13"/>
  <c r="P19" i="13"/>
  <c r="Q19" i="13"/>
  <c r="R19" i="13"/>
  <c r="S19" i="13"/>
  <c r="T19" i="13"/>
  <c r="U19" i="13"/>
  <c r="V19" i="13"/>
  <c r="W19" i="13"/>
  <c r="N20" i="13"/>
  <c r="O20" i="13"/>
  <c r="P20" i="13"/>
  <c r="Q20" i="13"/>
  <c r="R20" i="13"/>
  <c r="S20" i="13"/>
  <c r="T20" i="13"/>
  <c r="U20" i="13"/>
  <c r="V20" i="13"/>
  <c r="W20" i="13"/>
  <c r="N21" i="13"/>
  <c r="O21" i="13"/>
  <c r="P21" i="13"/>
  <c r="Q21" i="13"/>
  <c r="R21" i="13"/>
  <c r="S21" i="13"/>
  <c r="T21" i="13"/>
  <c r="U21" i="13"/>
  <c r="V21" i="13"/>
  <c r="W21" i="13"/>
  <c r="N22" i="13"/>
  <c r="O22" i="13"/>
  <c r="P22" i="13"/>
  <c r="Q22" i="13"/>
  <c r="R22" i="13"/>
  <c r="S22" i="13"/>
  <c r="T22" i="13"/>
  <c r="U22" i="13"/>
  <c r="V22" i="13"/>
  <c r="W22" i="13"/>
  <c r="N23" i="13"/>
  <c r="O23" i="13"/>
  <c r="P23" i="13"/>
  <c r="Q23" i="13"/>
  <c r="R23" i="13"/>
  <c r="S23" i="13"/>
  <c r="T23" i="13"/>
  <c r="U23" i="13"/>
  <c r="V23" i="13"/>
  <c r="W23" i="13"/>
  <c r="N24" i="13"/>
  <c r="O24" i="13"/>
  <c r="P24" i="13"/>
  <c r="Q24" i="13"/>
  <c r="R24" i="13"/>
  <c r="S24" i="13"/>
  <c r="T24" i="13"/>
  <c r="U24" i="13"/>
  <c r="V24" i="13"/>
  <c r="W24" i="13"/>
  <c r="N25" i="13"/>
  <c r="O25" i="13"/>
  <c r="P25" i="13"/>
  <c r="Q25" i="13"/>
  <c r="R25" i="13"/>
  <c r="S25" i="13"/>
  <c r="T25" i="13"/>
  <c r="U25" i="13"/>
  <c r="V25" i="13"/>
  <c r="W25" i="13"/>
  <c r="N26" i="13"/>
  <c r="O26" i="13"/>
  <c r="P26" i="13"/>
  <c r="Q26" i="13"/>
  <c r="R26" i="13"/>
  <c r="S26" i="13"/>
  <c r="T26" i="13"/>
  <c r="U26" i="13"/>
  <c r="V26" i="13"/>
  <c r="W26" i="13"/>
  <c r="N27" i="13"/>
  <c r="O27" i="13"/>
  <c r="P27" i="13"/>
  <c r="Q27" i="13"/>
  <c r="R27" i="13"/>
  <c r="S27" i="13"/>
  <c r="T27" i="13"/>
  <c r="U27" i="13"/>
  <c r="V27" i="13"/>
  <c r="W27" i="13"/>
  <c r="N28" i="13"/>
  <c r="O28" i="13"/>
  <c r="P28" i="13"/>
  <c r="Q28" i="13"/>
  <c r="R28" i="13"/>
  <c r="S28" i="13"/>
  <c r="T28" i="13"/>
  <c r="U28" i="13"/>
  <c r="V28" i="13"/>
  <c r="W28" i="13"/>
  <c r="N29" i="13"/>
  <c r="O29" i="13"/>
  <c r="P29" i="13"/>
  <c r="Q29" i="13"/>
  <c r="R29" i="13"/>
  <c r="S29" i="13"/>
  <c r="T29" i="13"/>
  <c r="U29" i="13"/>
  <c r="V29" i="13"/>
  <c r="W29" i="13"/>
  <c r="N30" i="13"/>
  <c r="O30" i="13"/>
  <c r="P30" i="13"/>
  <c r="Q30" i="13"/>
  <c r="R30" i="13"/>
  <c r="S30" i="13"/>
  <c r="T30" i="13"/>
  <c r="U30" i="13"/>
  <c r="V30" i="13"/>
  <c r="W30" i="13"/>
  <c r="N31" i="13"/>
  <c r="O31" i="13"/>
  <c r="P31" i="13"/>
  <c r="Q31" i="13"/>
  <c r="R31" i="13"/>
  <c r="S31" i="13"/>
  <c r="T31" i="13"/>
  <c r="U31" i="13"/>
  <c r="V31" i="13"/>
  <c r="W31" i="13"/>
  <c r="N32" i="13"/>
  <c r="O32" i="13"/>
  <c r="P32" i="13"/>
  <c r="Q32" i="13"/>
  <c r="R32" i="13"/>
  <c r="S32" i="13"/>
  <c r="T32" i="13"/>
  <c r="U32" i="13"/>
  <c r="V32" i="13"/>
  <c r="W32" i="13"/>
  <c r="N33" i="13"/>
  <c r="O33" i="13"/>
  <c r="P33" i="13"/>
  <c r="Q33" i="13"/>
  <c r="R33" i="13"/>
  <c r="S33" i="13"/>
  <c r="T33" i="13"/>
  <c r="U33" i="13"/>
  <c r="V33" i="13"/>
  <c r="W33" i="13"/>
  <c r="N34" i="13"/>
  <c r="O34" i="13"/>
  <c r="P34" i="13"/>
  <c r="Q34" i="13"/>
  <c r="R34" i="13"/>
  <c r="S34" i="13"/>
  <c r="T34" i="13"/>
  <c r="U34" i="13"/>
  <c r="V34" i="13"/>
  <c r="W34" i="13"/>
  <c r="N35" i="13"/>
  <c r="O35" i="13"/>
  <c r="P35" i="13"/>
  <c r="Q35" i="13"/>
  <c r="R35" i="13"/>
  <c r="S35" i="13"/>
  <c r="T35" i="13"/>
  <c r="U35" i="13"/>
  <c r="V35" i="13"/>
  <c r="W35" i="13"/>
  <c r="N36" i="13"/>
  <c r="O36" i="13"/>
  <c r="P36" i="13"/>
  <c r="Q36" i="13"/>
  <c r="R36" i="13"/>
  <c r="S36" i="13"/>
  <c r="T36" i="13"/>
  <c r="U36" i="13"/>
  <c r="V36" i="13"/>
  <c r="W36" i="13"/>
  <c r="N37" i="13"/>
  <c r="O37" i="13"/>
  <c r="P37" i="13"/>
  <c r="Q37" i="13"/>
  <c r="R37" i="13"/>
  <c r="S37" i="13"/>
  <c r="T37" i="13"/>
  <c r="U37" i="13"/>
  <c r="V37" i="13"/>
  <c r="W37" i="13"/>
  <c r="N38" i="13"/>
  <c r="O38" i="13"/>
  <c r="P38" i="13"/>
  <c r="Q38" i="13"/>
  <c r="R38" i="13"/>
  <c r="S38" i="13"/>
  <c r="T38" i="13"/>
  <c r="U38" i="13"/>
  <c r="V38" i="13"/>
  <c r="W38" i="13"/>
  <c r="N39" i="13"/>
  <c r="O39" i="13"/>
  <c r="P39" i="13"/>
  <c r="Q39" i="13"/>
  <c r="R39" i="13"/>
  <c r="S39" i="13"/>
  <c r="T39" i="13"/>
  <c r="U39" i="13"/>
  <c r="V39" i="13"/>
  <c r="W39" i="13"/>
  <c r="N40" i="13"/>
  <c r="O40" i="13"/>
  <c r="P40" i="13"/>
  <c r="Q40" i="13"/>
  <c r="R40" i="13"/>
  <c r="S40" i="13"/>
  <c r="T40" i="13"/>
  <c r="U40" i="13"/>
  <c r="V40" i="13"/>
  <c r="W40" i="13"/>
  <c r="N17" i="13"/>
  <c r="O17" i="13"/>
  <c r="P17" i="13"/>
  <c r="Q17" i="13"/>
  <c r="R17" i="13"/>
  <c r="S17" i="13"/>
  <c r="T17" i="13"/>
  <c r="U17" i="13"/>
  <c r="V17" i="13"/>
  <c r="W17" i="13"/>
  <c r="N16" i="13"/>
  <c r="O16" i="13"/>
  <c r="P16" i="13"/>
  <c r="Q16" i="13"/>
  <c r="R16" i="13"/>
  <c r="S16" i="13"/>
  <c r="T16" i="13"/>
  <c r="U16" i="13"/>
  <c r="V16" i="13"/>
  <c r="W16" i="13"/>
  <c r="N15" i="13"/>
  <c r="O15" i="13"/>
  <c r="P15" i="13"/>
  <c r="Q15" i="13"/>
  <c r="R15" i="13"/>
  <c r="S15" i="13"/>
  <c r="T15" i="13"/>
  <c r="U15" i="13"/>
  <c r="V15" i="13"/>
  <c r="W15" i="13"/>
  <c r="N14" i="13"/>
  <c r="O14" i="13"/>
  <c r="P14" i="13"/>
  <c r="Q14" i="13"/>
  <c r="R14" i="13"/>
  <c r="S14" i="13"/>
  <c r="T14" i="13"/>
  <c r="U14" i="13"/>
  <c r="V14" i="13"/>
  <c r="W14" i="13"/>
  <c r="N13" i="13"/>
  <c r="O13" i="13"/>
  <c r="P13" i="13"/>
  <c r="Q13" i="13"/>
  <c r="R13" i="13"/>
  <c r="S13" i="13"/>
  <c r="T13" i="13"/>
  <c r="U13" i="13"/>
  <c r="V13" i="13"/>
  <c r="W13" i="13"/>
  <c r="N12" i="13"/>
  <c r="O12" i="13"/>
  <c r="P12" i="13"/>
  <c r="Q12" i="13"/>
  <c r="R12" i="13"/>
  <c r="S12" i="13"/>
  <c r="T12" i="13"/>
  <c r="U12" i="13"/>
  <c r="V12" i="13"/>
  <c r="W12" i="13"/>
  <c r="N11" i="13"/>
  <c r="O11" i="13"/>
  <c r="P11" i="13"/>
  <c r="Q11" i="13"/>
  <c r="R11" i="13"/>
  <c r="S11" i="13"/>
  <c r="T11" i="13"/>
  <c r="U11" i="13"/>
  <c r="V11" i="13"/>
  <c r="W11" i="13"/>
  <c r="N10" i="13"/>
  <c r="O10" i="13"/>
  <c r="P10" i="13"/>
  <c r="Q10" i="13"/>
  <c r="R10" i="13"/>
  <c r="S10" i="13"/>
  <c r="T10" i="13"/>
  <c r="U10" i="13"/>
  <c r="V10" i="13"/>
  <c r="W10" i="13"/>
  <c r="N9" i="13"/>
  <c r="O9" i="13"/>
  <c r="P9" i="13"/>
  <c r="Q9" i="13"/>
  <c r="R9" i="13"/>
  <c r="S9" i="13"/>
  <c r="T9" i="13"/>
  <c r="U9" i="13"/>
  <c r="V9" i="13"/>
  <c r="W9" i="13"/>
  <c r="N8" i="13"/>
  <c r="O8" i="13"/>
  <c r="P8" i="13"/>
  <c r="Q8" i="13"/>
  <c r="R8" i="13"/>
  <c r="S8" i="13"/>
  <c r="T8" i="13"/>
  <c r="U8" i="13"/>
  <c r="V8" i="13"/>
  <c r="W8" i="13"/>
  <c r="N7" i="13"/>
  <c r="O7" i="13"/>
  <c r="P7" i="13"/>
  <c r="Q7" i="13"/>
  <c r="R7" i="13"/>
  <c r="S7" i="13"/>
  <c r="T7" i="13"/>
  <c r="U7" i="13"/>
  <c r="V7" i="13"/>
  <c r="W7" i="13"/>
  <c r="N6" i="13"/>
  <c r="O6" i="13"/>
  <c r="P6" i="13"/>
  <c r="Q6" i="13"/>
  <c r="R6" i="13"/>
  <c r="S6" i="13"/>
  <c r="T6" i="13"/>
  <c r="U6" i="13"/>
  <c r="V6" i="13"/>
  <c r="W6" i="13"/>
  <c r="N5" i="13"/>
  <c r="O5" i="13"/>
  <c r="P5" i="13"/>
  <c r="Q5" i="13"/>
  <c r="R5" i="13"/>
  <c r="S5" i="13"/>
  <c r="T5" i="13"/>
  <c r="U5" i="13"/>
  <c r="V5" i="13"/>
  <c r="W5" i="13"/>
  <c r="N4" i="13"/>
  <c r="O4" i="13"/>
  <c r="P4" i="13"/>
  <c r="Q4" i="13"/>
  <c r="R4" i="13"/>
  <c r="S4" i="13"/>
  <c r="T4" i="13"/>
  <c r="U4" i="13"/>
  <c r="V4" i="13"/>
  <c r="W4" i="13"/>
  <c r="V3" i="13"/>
  <c r="U3" i="13"/>
  <c r="T3" i="13"/>
  <c r="S3" i="13"/>
  <c r="W3" i="13"/>
  <c r="R3" i="13"/>
  <c r="Q3" i="13"/>
  <c r="P3" i="13"/>
  <c r="O3" i="13"/>
  <c r="N3" i="13"/>
  <c r="BA43" i="1" l="1"/>
  <c r="H43" i="1"/>
  <c r="E43" i="1"/>
  <c r="F43" i="1"/>
  <c r="Z42" i="2" l="1"/>
  <c r="U42" i="2"/>
  <c r="T42" i="2"/>
  <c r="S42" i="2"/>
  <c r="R42" i="2"/>
  <c r="Q42" i="2"/>
  <c r="P42" i="2"/>
  <c r="O42" i="2"/>
  <c r="N42" i="2"/>
  <c r="M42" i="2"/>
  <c r="W42" i="2" s="1"/>
  <c r="L42" i="2"/>
  <c r="Z44" i="2"/>
  <c r="U44" i="2"/>
  <c r="T44" i="2"/>
  <c r="Y44" i="2" s="1"/>
  <c r="S44" i="2"/>
  <c r="R44" i="2"/>
  <c r="Q44" i="2"/>
  <c r="P44" i="2"/>
  <c r="O44" i="2"/>
  <c r="N44" i="2"/>
  <c r="M44" i="2"/>
  <c r="L44" i="2"/>
  <c r="Z38" i="2"/>
  <c r="Z39" i="2"/>
  <c r="Z40" i="2"/>
  <c r="Z41" i="2"/>
  <c r="Z43" i="2"/>
  <c r="Z2" i="2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U43" i="2"/>
  <c r="T43" i="2"/>
  <c r="S43" i="2"/>
  <c r="R43" i="2"/>
  <c r="Q43" i="2"/>
  <c r="P43" i="2"/>
  <c r="O43" i="2"/>
  <c r="N43" i="2"/>
  <c r="M43" i="2"/>
  <c r="L43" i="2"/>
  <c r="U41" i="2"/>
  <c r="T41" i="2"/>
  <c r="S41" i="2"/>
  <c r="R41" i="2"/>
  <c r="Q41" i="2"/>
  <c r="P41" i="2"/>
  <c r="O41" i="2"/>
  <c r="N41" i="2"/>
  <c r="M41" i="2"/>
  <c r="L41" i="2"/>
  <c r="V42" i="2" l="1"/>
  <c r="Y42" i="2"/>
  <c r="W44" i="2"/>
  <c r="X44" i="2"/>
  <c r="V43" i="2"/>
  <c r="Y43" i="2"/>
  <c r="V44" i="2"/>
  <c r="X42" i="2"/>
  <c r="W43" i="2"/>
  <c r="Y41" i="2"/>
  <c r="V41" i="2"/>
  <c r="W41" i="2"/>
  <c r="X43" i="2"/>
  <c r="X41" i="2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K38" i="1"/>
  <c r="L38" i="1"/>
  <c r="K39" i="1"/>
  <c r="L39" i="1"/>
  <c r="K40" i="1"/>
  <c r="L40" i="1"/>
  <c r="K41" i="1"/>
  <c r="L41" i="1"/>
  <c r="BA42" i="1"/>
  <c r="AP42" i="1"/>
  <c r="AO42" i="1"/>
  <c r="AN42" i="1"/>
  <c r="AM42" i="1"/>
  <c r="AL42" i="1"/>
  <c r="AI42" i="1"/>
  <c r="AH42" i="1"/>
  <c r="AG42" i="1"/>
  <c r="AF42" i="1"/>
  <c r="AE42" i="1"/>
  <c r="AD42" i="1"/>
  <c r="AC42" i="1"/>
  <c r="AB42" i="1"/>
  <c r="T42" i="1"/>
  <c r="M42" i="1"/>
  <c r="H42" i="1"/>
  <c r="AT42" i="1" s="1"/>
  <c r="F42" i="1"/>
  <c r="E42" i="1"/>
  <c r="AK42" i="1" l="1"/>
  <c r="T38" i="1"/>
  <c r="T39" i="1"/>
  <c r="T40" i="1"/>
  <c r="T41" i="1"/>
  <c r="BA38" i="1"/>
  <c r="BA39" i="1"/>
  <c r="BA40" i="1"/>
  <c r="BA41" i="1"/>
  <c r="AL38" i="1"/>
  <c r="AM38" i="1"/>
  <c r="AN38" i="1"/>
  <c r="AO38" i="1"/>
  <c r="AP38" i="1"/>
  <c r="AL39" i="1"/>
  <c r="AM39" i="1"/>
  <c r="AN39" i="1"/>
  <c r="AO39" i="1"/>
  <c r="AP39" i="1"/>
  <c r="AL40" i="1"/>
  <c r="AM40" i="1"/>
  <c r="AN40" i="1"/>
  <c r="AO40" i="1"/>
  <c r="AP40" i="1"/>
  <c r="AL41" i="1"/>
  <c r="AM41" i="1"/>
  <c r="AN41" i="1"/>
  <c r="AO41" i="1"/>
  <c r="AP41" i="1"/>
  <c r="AB38" i="1"/>
  <c r="AC38" i="1"/>
  <c r="AD38" i="1"/>
  <c r="AE38" i="1"/>
  <c r="AF38" i="1"/>
  <c r="AG38" i="1"/>
  <c r="AH38" i="1"/>
  <c r="AI38" i="1"/>
  <c r="AB39" i="1"/>
  <c r="AC39" i="1"/>
  <c r="AD39" i="1"/>
  <c r="AE39" i="1"/>
  <c r="AF39" i="1"/>
  <c r="AG39" i="1"/>
  <c r="AH39" i="1"/>
  <c r="AI39" i="1"/>
  <c r="AB40" i="1"/>
  <c r="AC40" i="1"/>
  <c r="AD40" i="1"/>
  <c r="AE40" i="1"/>
  <c r="AF40" i="1"/>
  <c r="AG40" i="1"/>
  <c r="AH40" i="1"/>
  <c r="AI40" i="1"/>
  <c r="AB41" i="1"/>
  <c r="AC41" i="1"/>
  <c r="AD41" i="1"/>
  <c r="AE41" i="1"/>
  <c r="AF41" i="1"/>
  <c r="AG41" i="1"/>
  <c r="AH41" i="1"/>
  <c r="AI41" i="1"/>
  <c r="E38" i="1"/>
  <c r="F38" i="1"/>
  <c r="H38" i="1"/>
  <c r="AT38" i="1" s="1"/>
  <c r="E39" i="1"/>
  <c r="F39" i="1"/>
  <c r="H39" i="1"/>
  <c r="AT39" i="1" s="1"/>
  <c r="E40" i="1"/>
  <c r="F40" i="1"/>
  <c r="H40" i="1"/>
  <c r="AT40" i="1" s="1"/>
  <c r="E41" i="1"/>
  <c r="F41" i="1"/>
  <c r="H41" i="1"/>
  <c r="AT41" i="1" s="1"/>
  <c r="AK40" i="1" l="1"/>
  <c r="AK39" i="1"/>
  <c r="AK38" i="1"/>
  <c r="AK41" i="1"/>
  <c r="L37" i="2"/>
  <c r="M37" i="2"/>
  <c r="U38" i="1" s="1"/>
  <c r="N37" i="2"/>
  <c r="O37" i="2"/>
  <c r="W38" i="1" s="1"/>
  <c r="P37" i="2"/>
  <c r="Q37" i="2"/>
  <c r="R37" i="2"/>
  <c r="S37" i="2"/>
  <c r="T37" i="2"/>
  <c r="U37" i="2"/>
  <c r="Y38" i="1" s="1"/>
  <c r="Z37" i="2"/>
  <c r="L38" i="2"/>
  <c r="M38" i="2"/>
  <c r="U39" i="1" s="1"/>
  <c r="N38" i="2"/>
  <c r="O38" i="2"/>
  <c r="W39" i="1" s="1"/>
  <c r="P38" i="2"/>
  <c r="Q38" i="2"/>
  <c r="R38" i="2"/>
  <c r="S38" i="2"/>
  <c r="T38" i="2"/>
  <c r="U38" i="2"/>
  <c r="Y39" i="1" s="1"/>
  <c r="L39" i="2"/>
  <c r="M39" i="2"/>
  <c r="U40" i="1" s="1"/>
  <c r="N39" i="2"/>
  <c r="O39" i="2"/>
  <c r="W40" i="1" s="1"/>
  <c r="P39" i="2"/>
  <c r="Q39" i="2"/>
  <c r="R39" i="2"/>
  <c r="S39" i="2"/>
  <c r="T39" i="2"/>
  <c r="U39" i="2"/>
  <c r="Y40" i="1" s="1"/>
  <c r="L40" i="2"/>
  <c r="M40" i="2"/>
  <c r="U41" i="1" s="1"/>
  <c r="N40" i="2"/>
  <c r="O40" i="2"/>
  <c r="W41" i="1" s="1"/>
  <c r="P40" i="2"/>
  <c r="Q40" i="2"/>
  <c r="R40" i="2"/>
  <c r="S40" i="2"/>
  <c r="T40" i="2"/>
  <c r="U40" i="2"/>
  <c r="Y41" i="1" s="1"/>
  <c r="L36" i="2"/>
  <c r="M36" i="2"/>
  <c r="U37" i="1" s="1"/>
  <c r="N36" i="2"/>
  <c r="O36" i="2"/>
  <c r="W37" i="1" s="1"/>
  <c r="P36" i="2"/>
  <c r="Q36" i="2"/>
  <c r="R36" i="2"/>
  <c r="S36" i="2"/>
  <c r="T36" i="2"/>
  <c r="U36" i="2"/>
  <c r="Y37" i="1" s="1"/>
  <c r="V41" i="1" l="1"/>
  <c r="V37" i="1"/>
  <c r="V38" i="1"/>
  <c r="V39" i="1"/>
  <c r="V40" i="1"/>
  <c r="V38" i="2"/>
  <c r="V39" i="2"/>
  <c r="V36" i="2"/>
  <c r="V40" i="2"/>
  <c r="Y37" i="2"/>
  <c r="Y40" i="2"/>
  <c r="Y39" i="2"/>
  <c r="Y38" i="2"/>
  <c r="X39" i="2"/>
  <c r="W40" i="2"/>
  <c r="W39" i="2"/>
  <c r="W38" i="2"/>
  <c r="W37" i="2"/>
  <c r="W36" i="2"/>
  <c r="X37" i="2"/>
  <c r="V37" i="2"/>
  <c r="X38" i="2"/>
  <c r="X40" i="2"/>
  <c r="Y36" i="2"/>
  <c r="X36" i="2"/>
  <c r="X40" i="1" l="1"/>
  <c r="Z40" i="1" s="1"/>
  <c r="AQ40" i="1" s="1"/>
  <c r="AV40" i="1" s="1"/>
  <c r="X39" i="1"/>
  <c r="Z39" i="1" s="1"/>
  <c r="AQ39" i="1" s="1"/>
  <c r="AS39" i="1" s="1"/>
  <c r="X38" i="1"/>
  <c r="Z38" i="1" s="1"/>
  <c r="AQ38" i="1" s="1"/>
  <c r="AS38" i="1" s="1"/>
  <c r="X37" i="1"/>
  <c r="Z37" i="1" s="1"/>
  <c r="X41" i="1"/>
  <c r="Z41" i="1" s="1"/>
  <c r="AQ41" i="1" s="1"/>
  <c r="AS41" i="1" s="1"/>
  <c r="AL37" i="1"/>
  <c r="AM37" i="1"/>
  <c r="AN37" i="1"/>
  <c r="AO37" i="1"/>
  <c r="AP37" i="1"/>
  <c r="AB37" i="1"/>
  <c r="AC37" i="1"/>
  <c r="AD37" i="1"/>
  <c r="AE37" i="1"/>
  <c r="AF37" i="1"/>
  <c r="AG37" i="1"/>
  <c r="AH37" i="1"/>
  <c r="AI37" i="1"/>
  <c r="AV38" i="1" l="1"/>
  <c r="AS40" i="1"/>
  <c r="AV41" i="1"/>
  <c r="AV39" i="1"/>
  <c r="AK37" i="1"/>
  <c r="BA37" i="1"/>
  <c r="H37" i="1"/>
  <c r="AT37" i="1" s="1"/>
  <c r="F37" i="1"/>
  <c r="E37" i="1"/>
  <c r="BA26" i="1" l="1"/>
  <c r="BA27" i="1"/>
  <c r="BA28" i="1"/>
  <c r="BA29" i="1"/>
  <c r="BA30" i="1"/>
  <c r="BA31" i="1"/>
  <c r="BA32" i="1"/>
  <c r="BA33" i="1"/>
  <c r="BA34" i="1"/>
  <c r="BA35" i="1"/>
  <c r="BA36" i="1"/>
  <c r="O26" i="1"/>
  <c r="O36" i="1"/>
  <c r="O35" i="1"/>
  <c r="P34" i="1"/>
  <c r="O34" i="1"/>
  <c r="O33" i="1"/>
  <c r="Q32" i="1"/>
  <c r="O32" i="1"/>
  <c r="O31" i="1"/>
  <c r="O30" i="1"/>
  <c r="O29" i="1"/>
  <c r="O28" i="1"/>
  <c r="O27" i="1"/>
  <c r="O25" i="1"/>
  <c r="O24" i="1"/>
  <c r="O23" i="1"/>
  <c r="O22" i="1"/>
  <c r="O21" i="1"/>
  <c r="L21" i="1"/>
  <c r="O20" i="1"/>
  <c r="O19" i="1"/>
  <c r="O18" i="1"/>
  <c r="P17" i="1"/>
  <c r="O17" i="1"/>
  <c r="O16" i="1"/>
  <c r="O15" i="1"/>
  <c r="O14" i="1"/>
  <c r="P13" i="1"/>
  <c r="O13" i="1"/>
  <c r="O12" i="1"/>
  <c r="O11" i="1"/>
  <c r="O10" i="1"/>
  <c r="O9" i="1"/>
  <c r="L9" i="1"/>
  <c r="O8" i="1"/>
  <c r="O7" i="1"/>
  <c r="O6" i="1"/>
  <c r="O5" i="1"/>
  <c r="O4" i="1"/>
  <c r="AB27" i="1"/>
  <c r="AC27" i="1"/>
  <c r="AD27" i="1"/>
  <c r="AE27" i="1"/>
  <c r="AF27" i="1"/>
  <c r="AG27" i="1"/>
  <c r="AH27" i="1"/>
  <c r="AI27" i="1"/>
  <c r="AL27" i="1"/>
  <c r="AM27" i="1"/>
  <c r="AN27" i="1"/>
  <c r="AO27" i="1"/>
  <c r="AP27" i="1"/>
  <c r="AB28" i="1"/>
  <c r="AC28" i="1"/>
  <c r="AD28" i="1"/>
  <c r="AE28" i="1"/>
  <c r="AF28" i="1"/>
  <c r="AG28" i="1"/>
  <c r="AH28" i="1"/>
  <c r="AI28" i="1"/>
  <c r="AL28" i="1"/>
  <c r="AM28" i="1"/>
  <c r="AN28" i="1"/>
  <c r="AO28" i="1"/>
  <c r="AP28" i="1"/>
  <c r="AB29" i="1"/>
  <c r="AC29" i="1"/>
  <c r="AD29" i="1"/>
  <c r="AE29" i="1"/>
  <c r="AF29" i="1"/>
  <c r="AG29" i="1"/>
  <c r="AH29" i="1"/>
  <c r="AI29" i="1"/>
  <c r="AL29" i="1"/>
  <c r="AM29" i="1"/>
  <c r="AN29" i="1"/>
  <c r="AO29" i="1"/>
  <c r="AP29" i="1"/>
  <c r="AB30" i="1"/>
  <c r="AC30" i="1"/>
  <c r="AD30" i="1"/>
  <c r="AE30" i="1"/>
  <c r="AF30" i="1"/>
  <c r="AG30" i="1"/>
  <c r="AH30" i="1"/>
  <c r="AI30" i="1"/>
  <c r="AL30" i="1"/>
  <c r="AM30" i="1"/>
  <c r="AN30" i="1"/>
  <c r="AO30" i="1"/>
  <c r="AP30" i="1"/>
  <c r="AB31" i="1"/>
  <c r="AC31" i="1"/>
  <c r="AD31" i="1"/>
  <c r="AE31" i="1"/>
  <c r="AF31" i="1"/>
  <c r="AG31" i="1"/>
  <c r="AH31" i="1"/>
  <c r="AI31" i="1"/>
  <c r="AL31" i="1"/>
  <c r="AM31" i="1"/>
  <c r="AN31" i="1"/>
  <c r="AO31" i="1"/>
  <c r="AP31" i="1"/>
  <c r="AB32" i="1"/>
  <c r="AC32" i="1"/>
  <c r="AD32" i="1"/>
  <c r="AE32" i="1"/>
  <c r="AF32" i="1"/>
  <c r="AG32" i="1"/>
  <c r="AH32" i="1"/>
  <c r="AI32" i="1"/>
  <c r="AL32" i="1"/>
  <c r="AM32" i="1"/>
  <c r="AN32" i="1"/>
  <c r="AO32" i="1"/>
  <c r="AP32" i="1"/>
  <c r="AB33" i="1"/>
  <c r="AC33" i="1"/>
  <c r="AD33" i="1"/>
  <c r="AE33" i="1"/>
  <c r="AF33" i="1"/>
  <c r="AG33" i="1"/>
  <c r="AH33" i="1"/>
  <c r="AI33" i="1"/>
  <c r="AL33" i="1"/>
  <c r="AM33" i="1"/>
  <c r="AN33" i="1"/>
  <c r="AO33" i="1"/>
  <c r="AP33" i="1"/>
  <c r="AB34" i="1"/>
  <c r="AC34" i="1"/>
  <c r="AD34" i="1"/>
  <c r="AE34" i="1"/>
  <c r="AF34" i="1"/>
  <c r="AG34" i="1"/>
  <c r="AH34" i="1"/>
  <c r="AI34" i="1"/>
  <c r="AL34" i="1"/>
  <c r="AM34" i="1"/>
  <c r="AN34" i="1"/>
  <c r="AO34" i="1"/>
  <c r="AP34" i="1"/>
  <c r="AB35" i="1"/>
  <c r="AC35" i="1"/>
  <c r="AD35" i="1"/>
  <c r="AE35" i="1"/>
  <c r="AF35" i="1"/>
  <c r="AG35" i="1"/>
  <c r="AH35" i="1"/>
  <c r="AI35" i="1"/>
  <c r="AL35" i="1"/>
  <c r="AM35" i="1"/>
  <c r="AN35" i="1"/>
  <c r="AO35" i="1"/>
  <c r="AP35" i="1"/>
  <c r="N36" i="1"/>
  <c r="AB36" i="1"/>
  <c r="AC36" i="1"/>
  <c r="AD36" i="1"/>
  <c r="AE36" i="1"/>
  <c r="AF36" i="1"/>
  <c r="AG36" i="1"/>
  <c r="AH36" i="1"/>
  <c r="AI36" i="1"/>
  <c r="AL36" i="1"/>
  <c r="AM36" i="1"/>
  <c r="AN36" i="1"/>
  <c r="AO36" i="1"/>
  <c r="AP36" i="1"/>
  <c r="I4" i="1"/>
  <c r="H24" i="1"/>
  <c r="H25" i="1"/>
  <c r="H26" i="1"/>
  <c r="H27" i="1"/>
  <c r="AT27" i="1" s="1"/>
  <c r="H28" i="1"/>
  <c r="AT28" i="1" s="1"/>
  <c r="H29" i="1"/>
  <c r="AT29" i="1" s="1"/>
  <c r="H30" i="1"/>
  <c r="AT30" i="1" s="1"/>
  <c r="H31" i="1"/>
  <c r="AT31" i="1" s="1"/>
  <c r="H32" i="1"/>
  <c r="AT32" i="1" s="1"/>
  <c r="H33" i="1"/>
  <c r="AT33" i="1" s="1"/>
  <c r="H34" i="1"/>
  <c r="AT34" i="1" s="1"/>
  <c r="H35" i="1"/>
  <c r="AT35" i="1" s="1"/>
  <c r="H36" i="1"/>
  <c r="AT36" i="1" s="1"/>
  <c r="F27" i="1"/>
  <c r="F28" i="1"/>
  <c r="F29" i="1"/>
  <c r="F30" i="1"/>
  <c r="F31" i="1"/>
  <c r="F32" i="1"/>
  <c r="F33" i="1"/>
  <c r="F34" i="1"/>
  <c r="F35" i="1"/>
  <c r="F36" i="1"/>
  <c r="E27" i="1"/>
  <c r="E28" i="1"/>
  <c r="E29" i="1"/>
  <c r="E30" i="1"/>
  <c r="E31" i="1"/>
  <c r="E32" i="1"/>
  <c r="E33" i="1"/>
  <c r="E34" i="1"/>
  <c r="E35" i="1"/>
  <c r="E36" i="1"/>
  <c r="K26" i="1"/>
  <c r="L26" i="1"/>
  <c r="M26" i="1"/>
  <c r="N26" i="1"/>
  <c r="P26" i="1"/>
  <c r="Q26" i="1"/>
  <c r="T26" i="1"/>
  <c r="K27" i="1"/>
  <c r="L27" i="1"/>
  <c r="M27" i="1"/>
  <c r="N27" i="1"/>
  <c r="P27" i="1"/>
  <c r="Q27" i="1"/>
  <c r="T27" i="1"/>
  <c r="K28" i="1"/>
  <c r="L28" i="1"/>
  <c r="M28" i="1"/>
  <c r="N28" i="1"/>
  <c r="P28" i="1"/>
  <c r="Q28" i="1"/>
  <c r="T28" i="1"/>
  <c r="K29" i="1"/>
  <c r="L29" i="1"/>
  <c r="M29" i="1"/>
  <c r="N29" i="1"/>
  <c r="P29" i="1"/>
  <c r="Q29" i="1"/>
  <c r="T29" i="1"/>
  <c r="K30" i="1"/>
  <c r="L30" i="1"/>
  <c r="M30" i="1"/>
  <c r="N30" i="1"/>
  <c r="P30" i="1"/>
  <c r="Q30" i="1"/>
  <c r="T30" i="1"/>
  <c r="K31" i="1"/>
  <c r="L31" i="1"/>
  <c r="M31" i="1"/>
  <c r="N31" i="1"/>
  <c r="P31" i="1"/>
  <c r="Q31" i="1"/>
  <c r="T31" i="1"/>
  <c r="K32" i="1"/>
  <c r="L32" i="1"/>
  <c r="M32" i="1"/>
  <c r="N32" i="1"/>
  <c r="P32" i="1"/>
  <c r="T32" i="1"/>
  <c r="K33" i="1"/>
  <c r="L33" i="1"/>
  <c r="M33" i="1"/>
  <c r="N33" i="1"/>
  <c r="P33" i="1"/>
  <c r="Q33" i="1"/>
  <c r="T33" i="1"/>
  <c r="K34" i="1"/>
  <c r="L34" i="1"/>
  <c r="M34" i="1"/>
  <c r="N34" i="1"/>
  <c r="Q34" i="1"/>
  <c r="T34" i="1"/>
  <c r="K35" i="1"/>
  <c r="L35" i="1"/>
  <c r="M35" i="1"/>
  <c r="N35" i="1"/>
  <c r="P35" i="1"/>
  <c r="Q35" i="1"/>
  <c r="T35" i="1"/>
  <c r="K36" i="1"/>
  <c r="L36" i="1"/>
  <c r="M36" i="1"/>
  <c r="P36" i="1"/>
  <c r="Q36" i="1"/>
  <c r="T36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37" i="1"/>
  <c r="T25" i="1"/>
  <c r="P7" i="1"/>
  <c r="P8" i="1"/>
  <c r="P9" i="1"/>
  <c r="P10" i="1"/>
  <c r="P11" i="1"/>
  <c r="P12" i="1"/>
  <c r="P14" i="1"/>
  <c r="P15" i="1"/>
  <c r="P16" i="1"/>
  <c r="P18" i="1"/>
  <c r="P19" i="1"/>
  <c r="P20" i="1"/>
  <c r="P21" i="1"/>
  <c r="P22" i="1"/>
  <c r="P23" i="1"/>
  <c r="P24" i="1"/>
  <c r="P25" i="1"/>
  <c r="P4" i="1"/>
  <c r="P5" i="1"/>
  <c r="P6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L4" i="1"/>
  <c r="L5" i="1"/>
  <c r="L6" i="1"/>
  <c r="L7" i="1"/>
  <c r="L8" i="1"/>
  <c r="L10" i="1"/>
  <c r="L11" i="1"/>
  <c r="L12" i="1"/>
  <c r="L13" i="1"/>
  <c r="L14" i="1"/>
  <c r="L15" i="1"/>
  <c r="L16" i="1"/>
  <c r="L17" i="1"/>
  <c r="L18" i="1"/>
  <c r="L19" i="1"/>
  <c r="L20" i="1"/>
  <c r="L22" i="1"/>
  <c r="L23" i="1"/>
  <c r="L24" i="1"/>
  <c r="L37" i="1"/>
  <c r="L25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37" i="1"/>
  <c r="K25" i="1"/>
  <c r="AQ37" i="1" l="1"/>
  <c r="AS37" i="1" s="1"/>
  <c r="AK33" i="1"/>
  <c r="AK32" i="1"/>
  <c r="AK29" i="1"/>
  <c r="AK35" i="1"/>
  <c r="AK30" i="1"/>
  <c r="AK27" i="1"/>
  <c r="AK36" i="1"/>
  <c r="AK28" i="1"/>
  <c r="AK34" i="1"/>
  <c r="AK31" i="1"/>
  <c r="N17" i="1"/>
  <c r="N13" i="1"/>
  <c r="N16" i="1"/>
  <c r="N20" i="1"/>
  <c r="N12" i="1"/>
  <c r="L34" i="2"/>
  <c r="M34" i="2"/>
  <c r="N34" i="2"/>
  <c r="O34" i="2"/>
  <c r="W35" i="1" s="1"/>
  <c r="P34" i="2"/>
  <c r="Q34" i="2"/>
  <c r="R34" i="2"/>
  <c r="S34" i="2"/>
  <c r="T34" i="2"/>
  <c r="U34" i="2"/>
  <c r="Y35" i="1" s="1"/>
  <c r="L35" i="2"/>
  <c r="M35" i="2"/>
  <c r="U36" i="1" s="1"/>
  <c r="N35" i="2"/>
  <c r="O35" i="2"/>
  <c r="W36" i="1" s="1"/>
  <c r="P35" i="2"/>
  <c r="Q35" i="2"/>
  <c r="R35" i="2"/>
  <c r="S35" i="2"/>
  <c r="T35" i="2"/>
  <c r="U35" i="2"/>
  <c r="Y36" i="1" s="1"/>
  <c r="L26" i="2"/>
  <c r="M26" i="2"/>
  <c r="U27" i="1" s="1"/>
  <c r="N26" i="2"/>
  <c r="O26" i="2"/>
  <c r="W27" i="1" s="1"/>
  <c r="P26" i="2"/>
  <c r="Q26" i="2"/>
  <c r="R26" i="2"/>
  <c r="S26" i="2"/>
  <c r="T26" i="2"/>
  <c r="U26" i="2"/>
  <c r="Y27" i="1" s="1"/>
  <c r="L27" i="2"/>
  <c r="M27" i="2"/>
  <c r="U28" i="1" s="1"/>
  <c r="N27" i="2"/>
  <c r="O27" i="2"/>
  <c r="W28" i="1" s="1"/>
  <c r="P27" i="2"/>
  <c r="Q27" i="2"/>
  <c r="R27" i="2"/>
  <c r="S27" i="2"/>
  <c r="T27" i="2"/>
  <c r="U27" i="2"/>
  <c r="Y28" i="1" s="1"/>
  <c r="L28" i="2"/>
  <c r="M28" i="2"/>
  <c r="N28" i="2"/>
  <c r="O28" i="2"/>
  <c r="W29" i="1" s="1"/>
  <c r="P28" i="2"/>
  <c r="Q28" i="2"/>
  <c r="R28" i="2"/>
  <c r="S28" i="2"/>
  <c r="T28" i="2"/>
  <c r="U28" i="2"/>
  <c r="Y29" i="1" s="1"/>
  <c r="L29" i="2"/>
  <c r="M29" i="2"/>
  <c r="U30" i="1" s="1"/>
  <c r="N29" i="2"/>
  <c r="O29" i="2"/>
  <c r="W30" i="1" s="1"/>
  <c r="P29" i="2"/>
  <c r="Q29" i="2"/>
  <c r="R29" i="2"/>
  <c r="S29" i="2"/>
  <c r="T29" i="2"/>
  <c r="U29" i="2"/>
  <c r="Y30" i="1" s="1"/>
  <c r="L30" i="2"/>
  <c r="M30" i="2"/>
  <c r="N30" i="2"/>
  <c r="O30" i="2"/>
  <c r="W31" i="1" s="1"/>
  <c r="P30" i="2"/>
  <c r="Q30" i="2"/>
  <c r="R30" i="2"/>
  <c r="S30" i="2"/>
  <c r="T30" i="2"/>
  <c r="U30" i="2"/>
  <c r="Y31" i="1" s="1"/>
  <c r="L31" i="2"/>
  <c r="M31" i="2"/>
  <c r="U32" i="1" s="1"/>
  <c r="N31" i="2"/>
  <c r="O31" i="2"/>
  <c r="W32" i="1" s="1"/>
  <c r="P31" i="2"/>
  <c r="Q31" i="2"/>
  <c r="R31" i="2"/>
  <c r="S31" i="2"/>
  <c r="T31" i="2"/>
  <c r="U31" i="2"/>
  <c r="Y32" i="1" s="1"/>
  <c r="L32" i="2"/>
  <c r="M32" i="2"/>
  <c r="N32" i="2"/>
  <c r="O32" i="2"/>
  <c r="W33" i="1" s="1"/>
  <c r="P32" i="2"/>
  <c r="Q32" i="2"/>
  <c r="R32" i="2"/>
  <c r="S32" i="2"/>
  <c r="T32" i="2"/>
  <c r="U32" i="2"/>
  <c r="Y33" i="1" s="1"/>
  <c r="L33" i="2"/>
  <c r="M33" i="2"/>
  <c r="U34" i="1" s="1"/>
  <c r="N33" i="2"/>
  <c r="O33" i="2"/>
  <c r="W34" i="1" s="1"/>
  <c r="P33" i="2"/>
  <c r="Q33" i="2"/>
  <c r="R33" i="2"/>
  <c r="S33" i="2"/>
  <c r="T33" i="2"/>
  <c r="U33" i="2"/>
  <c r="Y34" i="1" s="1"/>
  <c r="H5" i="1"/>
  <c r="AT5" i="1" s="1"/>
  <c r="H6" i="1"/>
  <c r="AT6" i="1" s="1"/>
  <c r="H7" i="1"/>
  <c r="AT7" i="1" s="1"/>
  <c r="H8" i="1"/>
  <c r="AT8" i="1" s="1"/>
  <c r="H9" i="1"/>
  <c r="AT9" i="1" s="1"/>
  <c r="H10" i="1"/>
  <c r="AT10" i="1" s="1"/>
  <c r="H11" i="1"/>
  <c r="AT11" i="1" s="1"/>
  <c r="H12" i="1"/>
  <c r="AT12" i="1" s="1"/>
  <c r="H13" i="1"/>
  <c r="AT13" i="1" s="1"/>
  <c r="H14" i="1"/>
  <c r="AT14" i="1" s="1"/>
  <c r="H15" i="1"/>
  <c r="AT15" i="1" s="1"/>
  <c r="H16" i="1"/>
  <c r="AT16" i="1" s="1"/>
  <c r="H17" i="1"/>
  <c r="AT17" i="1" s="1"/>
  <c r="H18" i="1"/>
  <c r="AT18" i="1" s="1"/>
  <c r="H19" i="1"/>
  <c r="AT19" i="1" s="1"/>
  <c r="H20" i="1"/>
  <c r="AT20" i="1" s="1"/>
  <c r="H21" i="1"/>
  <c r="AT21" i="1" s="1"/>
  <c r="H22" i="1"/>
  <c r="AT22" i="1" s="1"/>
  <c r="H23" i="1"/>
  <c r="AT23" i="1" s="1"/>
  <c r="AT24" i="1"/>
  <c r="AT25" i="1"/>
  <c r="AT26" i="1"/>
  <c r="H4" i="1"/>
  <c r="AT4" i="1" s="1"/>
  <c r="M2" i="2"/>
  <c r="U4" i="1" s="1"/>
  <c r="R2" i="2"/>
  <c r="S2" i="2"/>
  <c r="O2" i="2"/>
  <c r="U2" i="2"/>
  <c r="Y4" i="1" s="1"/>
  <c r="M3" i="2"/>
  <c r="U5" i="1" s="1"/>
  <c r="U3" i="2"/>
  <c r="M4" i="2"/>
  <c r="U6" i="1" s="1"/>
  <c r="R4" i="2"/>
  <c r="S4" i="2"/>
  <c r="O4" i="2"/>
  <c r="U4" i="2"/>
  <c r="Y6" i="1" s="1"/>
  <c r="M5" i="2"/>
  <c r="U7" i="1" s="1"/>
  <c r="R5" i="2"/>
  <c r="S5" i="2"/>
  <c r="O5" i="2"/>
  <c r="W7" i="1" s="1"/>
  <c r="U5" i="2"/>
  <c r="Y7" i="1" s="1"/>
  <c r="M6" i="2"/>
  <c r="U8" i="1" s="1"/>
  <c r="R6" i="2"/>
  <c r="S6" i="2"/>
  <c r="O6" i="2"/>
  <c r="W8" i="1" s="1"/>
  <c r="U6" i="2"/>
  <c r="M7" i="2"/>
  <c r="U9" i="1" s="1"/>
  <c r="R7" i="2"/>
  <c r="S7" i="2"/>
  <c r="O7" i="2"/>
  <c r="W9" i="1" s="1"/>
  <c r="U7" i="2"/>
  <c r="Y9" i="1" s="1"/>
  <c r="M8" i="2"/>
  <c r="U10" i="1" s="1"/>
  <c r="R8" i="2"/>
  <c r="S8" i="2"/>
  <c r="O8" i="2"/>
  <c r="W10" i="1" s="1"/>
  <c r="U8" i="2"/>
  <c r="Y10" i="1" s="1"/>
  <c r="M9" i="2"/>
  <c r="R9" i="2"/>
  <c r="S9" i="2"/>
  <c r="O9" i="2"/>
  <c r="W11" i="1" s="1"/>
  <c r="U9" i="2"/>
  <c r="Y11" i="1" s="1"/>
  <c r="M10" i="2"/>
  <c r="R10" i="2"/>
  <c r="S10" i="2"/>
  <c r="O10" i="2"/>
  <c r="W12" i="1" s="1"/>
  <c r="U10" i="2"/>
  <c r="Y12" i="1" s="1"/>
  <c r="M11" i="2"/>
  <c r="U13" i="1" s="1"/>
  <c r="R11" i="2"/>
  <c r="S11" i="2"/>
  <c r="O11" i="2"/>
  <c r="W13" i="1" s="1"/>
  <c r="U11" i="2"/>
  <c r="Y13" i="1" s="1"/>
  <c r="M12" i="2"/>
  <c r="U14" i="1" s="1"/>
  <c r="R12" i="2"/>
  <c r="S12" i="2"/>
  <c r="O12" i="2"/>
  <c r="W14" i="1" s="1"/>
  <c r="U12" i="2"/>
  <c r="Y14" i="1" s="1"/>
  <c r="M13" i="2"/>
  <c r="R13" i="2"/>
  <c r="S13" i="2"/>
  <c r="O13" i="2"/>
  <c r="W15" i="1" s="1"/>
  <c r="U13" i="2"/>
  <c r="Y15" i="1" s="1"/>
  <c r="M14" i="2"/>
  <c r="U16" i="1" s="1"/>
  <c r="R14" i="2"/>
  <c r="S14" i="2"/>
  <c r="O14" i="2"/>
  <c r="W16" i="1" s="1"/>
  <c r="U14" i="2"/>
  <c r="Y16" i="1" s="1"/>
  <c r="M15" i="2"/>
  <c r="U17" i="1" s="1"/>
  <c r="R15" i="2"/>
  <c r="S15" i="2"/>
  <c r="O15" i="2"/>
  <c r="W17" i="1" s="1"/>
  <c r="U15" i="2"/>
  <c r="Y17" i="1" s="1"/>
  <c r="M16" i="2"/>
  <c r="R16" i="2"/>
  <c r="S16" i="2"/>
  <c r="O16" i="2"/>
  <c r="W18" i="1" s="1"/>
  <c r="U16" i="2"/>
  <c r="Y18" i="1" s="1"/>
  <c r="M17" i="2"/>
  <c r="U19" i="1" s="1"/>
  <c r="R17" i="2"/>
  <c r="S17" i="2"/>
  <c r="O17" i="2"/>
  <c r="W19" i="1" s="1"/>
  <c r="U17" i="2"/>
  <c r="Y19" i="1" s="1"/>
  <c r="M18" i="2"/>
  <c r="U20" i="1" s="1"/>
  <c r="R18" i="2"/>
  <c r="S18" i="2"/>
  <c r="O18" i="2"/>
  <c r="W20" i="1" s="1"/>
  <c r="U18" i="2"/>
  <c r="Y20" i="1" s="1"/>
  <c r="M19" i="2"/>
  <c r="U21" i="1" s="1"/>
  <c r="R19" i="2"/>
  <c r="S19" i="2"/>
  <c r="O19" i="2"/>
  <c r="W21" i="1" s="1"/>
  <c r="U19" i="2"/>
  <c r="Y21" i="1" s="1"/>
  <c r="M20" i="2"/>
  <c r="U22" i="1" s="1"/>
  <c r="R20" i="2"/>
  <c r="S20" i="2"/>
  <c r="O20" i="2"/>
  <c r="W22" i="1" s="1"/>
  <c r="U20" i="2"/>
  <c r="Y22" i="1" s="1"/>
  <c r="M21" i="2"/>
  <c r="U23" i="1" s="1"/>
  <c r="R21" i="2"/>
  <c r="S21" i="2"/>
  <c r="O21" i="2"/>
  <c r="W23" i="1" s="1"/>
  <c r="U21" i="2"/>
  <c r="M22" i="2"/>
  <c r="U24" i="1" s="1"/>
  <c r="R22" i="2"/>
  <c r="S22" i="2"/>
  <c r="O22" i="2"/>
  <c r="W24" i="1" s="1"/>
  <c r="U22" i="2"/>
  <c r="Y24" i="1" s="1"/>
  <c r="M24" i="2"/>
  <c r="U25" i="1" s="1"/>
  <c r="R24" i="2"/>
  <c r="S24" i="2"/>
  <c r="O24" i="2"/>
  <c r="W25" i="1" s="1"/>
  <c r="U24" i="2"/>
  <c r="Y25" i="1" s="1"/>
  <c r="M25" i="2"/>
  <c r="R25" i="2"/>
  <c r="S25" i="2"/>
  <c r="O25" i="2"/>
  <c r="W26" i="1" s="1"/>
  <c r="U25" i="2"/>
  <c r="Y26" i="1" s="1"/>
  <c r="M23" i="2"/>
  <c r="U42" i="1" s="1"/>
  <c r="R23" i="2"/>
  <c r="S23" i="2"/>
  <c r="O23" i="2"/>
  <c r="W42" i="1" s="1"/>
  <c r="U23" i="2"/>
  <c r="Y42" i="1" s="1"/>
  <c r="BC22" i="17"/>
  <c r="N3" i="17"/>
  <c r="S3" i="17"/>
  <c r="X3" i="17"/>
  <c r="AC3" i="17"/>
  <c r="AF3" i="17"/>
  <c r="AS3" i="17"/>
  <c r="P3" i="17"/>
  <c r="U3" i="17"/>
  <c r="Z3" i="17"/>
  <c r="AT3" i="17"/>
  <c r="AX3" i="17"/>
  <c r="AI3" i="17"/>
  <c r="AU3" i="17"/>
  <c r="AK3" i="17"/>
  <c r="AV3" i="17"/>
  <c r="AZ3" i="17"/>
  <c r="BC3" i="17"/>
  <c r="N4" i="17"/>
  <c r="S4" i="17"/>
  <c r="X4" i="17"/>
  <c r="AF4" i="17"/>
  <c r="AS4" i="17"/>
  <c r="P4" i="17"/>
  <c r="U4" i="17"/>
  <c r="Z4" i="17"/>
  <c r="AT4" i="17"/>
  <c r="AX4" i="17"/>
  <c r="AI4" i="17"/>
  <c r="AU4" i="17"/>
  <c r="AK4" i="17"/>
  <c r="AV4" i="17"/>
  <c r="AZ4" i="17"/>
  <c r="BC4" i="17"/>
  <c r="N5" i="17"/>
  <c r="S5" i="17"/>
  <c r="X5" i="17"/>
  <c r="AF5" i="17"/>
  <c r="AS5" i="17"/>
  <c r="P5" i="17"/>
  <c r="U5" i="17"/>
  <c r="Z5" i="17"/>
  <c r="AT5" i="17"/>
  <c r="AX5" i="17"/>
  <c r="AI5" i="17"/>
  <c r="AU5" i="17"/>
  <c r="AK5" i="17"/>
  <c r="AV5" i="17"/>
  <c r="AZ5" i="17"/>
  <c r="BC5" i="17"/>
  <c r="N6" i="17"/>
  <c r="S6" i="17"/>
  <c r="X6" i="17"/>
  <c r="AF6" i="17"/>
  <c r="AS6" i="17"/>
  <c r="P6" i="17"/>
  <c r="U6" i="17"/>
  <c r="Z6" i="17"/>
  <c r="AT6" i="17"/>
  <c r="AX6" i="17"/>
  <c r="AI6" i="17"/>
  <c r="AU6" i="17"/>
  <c r="AK6" i="17"/>
  <c r="AV6" i="17"/>
  <c r="AZ6" i="17"/>
  <c r="BC6" i="17"/>
  <c r="N7" i="17"/>
  <c r="S7" i="17"/>
  <c r="X7" i="17"/>
  <c r="AF7" i="17"/>
  <c r="AS7" i="17"/>
  <c r="P7" i="17"/>
  <c r="U7" i="17"/>
  <c r="Z7" i="17"/>
  <c r="AT7" i="17"/>
  <c r="AX7" i="17"/>
  <c r="AI7" i="17"/>
  <c r="AU7" i="17"/>
  <c r="AK7" i="17"/>
  <c r="AV7" i="17"/>
  <c r="AZ7" i="17"/>
  <c r="BC7" i="17"/>
  <c r="N8" i="17"/>
  <c r="S8" i="17"/>
  <c r="X8" i="17"/>
  <c r="AF8" i="17"/>
  <c r="AS8" i="17"/>
  <c r="P8" i="17"/>
  <c r="U8" i="17"/>
  <c r="Z8" i="17"/>
  <c r="AT8" i="17"/>
  <c r="AX8" i="17"/>
  <c r="AI8" i="17"/>
  <c r="AU8" i="17"/>
  <c r="AK8" i="17"/>
  <c r="AV8" i="17"/>
  <c r="AZ8" i="17"/>
  <c r="BC8" i="17"/>
  <c r="N9" i="17"/>
  <c r="S9" i="17"/>
  <c r="X9" i="17"/>
  <c r="AF9" i="17"/>
  <c r="AS9" i="17"/>
  <c r="P9" i="17"/>
  <c r="U9" i="17"/>
  <c r="Z9" i="17"/>
  <c r="AT9" i="17"/>
  <c r="AX9" i="17"/>
  <c r="AI9" i="17"/>
  <c r="AU9" i="17"/>
  <c r="AK9" i="17"/>
  <c r="AV9" i="17"/>
  <c r="AZ9" i="17"/>
  <c r="BC9" i="17"/>
  <c r="N10" i="17"/>
  <c r="S10" i="17"/>
  <c r="X10" i="17"/>
  <c r="AF10" i="17"/>
  <c r="AS10" i="17"/>
  <c r="P10" i="17"/>
  <c r="U10" i="17"/>
  <c r="Z10" i="17"/>
  <c r="AT10" i="17"/>
  <c r="AX10" i="17"/>
  <c r="AI10" i="17"/>
  <c r="AU10" i="17"/>
  <c r="AK10" i="17"/>
  <c r="AV10" i="17"/>
  <c r="AZ10" i="17"/>
  <c r="BC10" i="17"/>
  <c r="N11" i="17"/>
  <c r="S11" i="17"/>
  <c r="X11" i="17"/>
  <c r="AF11" i="17"/>
  <c r="AS11" i="17"/>
  <c r="P11" i="17"/>
  <c r="U11" i="17"/>
  <c r="Z11" i="17"/>
  <c r="AT11" i="17"/>
  <c r="AX11" i="17"/>
  <c r="AI11" i="17"/>
  <c r="AU11" i="17"/>
  <c r="AK11" i="17"/>
  <c r="AV11" i="17"/>
  <c r="AZ11" i="17"/>
  <c r="BC11" i="17"/>
  <c r="N12" i="17"/>
  <c r="S12" i="17"/>
  <c r="X12" i="17"/>
  <c r="AF12" i="17"/>
  <c r="AS12" i="17"/>
  <c r="P12" i="17"/>
  <c r="U12" i="17"/>
  <c r="Z12" i="17"/>
  <c r="AT12" i="17"/>
  <c r="AX12" i="17"/>
  <c r="AI12" i="17"/>
  <c r="AU12" i="17"/>
  <c r="AK12" i="17"/>
  <c r="AV12" i="17"/>
  <c r="AZ12" i="17"/>
  <c r="BC12" i="17"/>
  <c r="N13" i="17"/>
  <c r="S13" i="17"/>
  <c r="X13" i="17"/>
  <c r="AF13" i="17"/>
  <c r="AS13" i="17"/>
  <c r="P13" i="17"/>
  <c r="U13" i="17"/>
  <c r="Z13" i="17"/>
  <c r="AT13" i="17"/>
  <c r="AX13" i="17"/>
  <c r="AI13" i="17"/>
  <c r="AU13" i="17"/>
  <c r="AK13" i="17"/>
  <c r="AV13" i="17"/>
  <c r="AZ13" i="17"/>
  <c r="BC13" i="17"/>
  <c r="N14" i="17"/>
  <c r="S14" i="17"/>
  <c r="X14" i="17"/>
  <c r="AF14" i="17"/>
  <c r="AS14" i="17"/>
  <c r="P14" i="17"/>
  <c r="U14" i="17"/>
  <c r="Z14" i="17"/>
  <c r="AT14" i="17"/>
  <c r="AX14" i="17"/>
  <c r="AI14" i="17"/>
  <c r="AU14" i="17"/>
  <c r="AK14" i="17"/>
  <c r="AV14" i="17"/>
  <c r="AZ14" i="17"/>
  <c r="BC14" i="17"/>
  <c r="N15" i="17"/>
  <c r="S15" i="17"/>
  <c r="X15" i="17"/>
  <c r="AF15" i="17"/>
  <c r="AS15" i="17"/>
  <c r="P15" i="17"/>
  <c r="U15" i="17"/>
  <c r="Z15" i="17"/>
  <c r="AT15" i="17"/>
  <c r="AX15" i="17"/>
  <c r="AI15" i="17"/>
  <c r="AU15" i="17"/>
  <c r="AK15" i="17"/>
  <c r="AV15" i="17"/>
  <c r="AZ15" i="17"/>
  <c r="BC15" i="17"/>
  <c r="N16" i="17"/>
  <c r="S16" i="17"/>
  <c r="X16" i="17"/>
  <c r="AF16" i="17"/>
  <c r="AS16" i="17"/>
  <c r="P16" i="17"/>
  <c r="U16" i="17"/>
  <c r="Z16" i="17"/>
  <c r="AT16" i="17"/>
  <c r="AX16" i="17"/>
  <c r="AI16" i="17"/>
  <c r="AU16" i="17"/>
  <c r="AK16" i="17"/>
  <c r="AV16" i="17"/>
  <c r="AZ16" i="17"/>
  <c r="BC16" i="17"/>
  <c r="N17" i="17"/>
  <c r="S17" i="17"/>
  <c r="X17" i="17"/>
  <c r="AF17" i="17"/>
  <c r="AS17" i="17"/>
  <c r="P17" i="17"/>
  <c r="U17" i="17"/>
  <c r="Z17" i="17"/>
  <c r="AT17" i="17"/>
  <c r="AX17" i="17"/>
  <c r="AI17" i="17"/>
  <c r="AU17" i="17"/>
  <c r="AK17" i="17"/>
  <c r="AV17" i="17"/>
  <c r="AZ17" i="17"/>
  <c r="BC17" i="17"/>
  <c r="N18" i="17"/>
  <c r="S18" i="17"/>
  <c r="X18" i="17"/>
  <c r="AF18" i="17"/>
  <c r="AS18" i="17"/>
  <c r="P18" i="17"/>
  <c r="U18" i="17"/>
  <c r="Z18" i="17"/>
  <c r="AT18" i="17"/>
  <c r="AX18" i="17"/>
  <c r="AI18" i="17"/>
  <c r="AU18" i="17"/>
  <c r="AK18" i="17"/>
  <c r="AV18" i="17"/>
  <c r="AZ18" i="17"/>
  <c r="BC18" i="17"/>
  <c r="BC20" i="17"/>
  <c r="BC21" i="17"/>
  <c r="BB20" i="17"/>
  <c r="BB21" i="17"/>
  <c r="AZ20" i="17"/>
  <c r="AZ21" i="17"/>
  <c r="AX20" i="17"/>
  <c r="AX21" i="17"/>
  <c r="AW3" i="17"/>
  <c r="AW4" i="17"/>
  <c r="AW5" i="17"/>
  <c r="AW6" i="17"/>
  <c r="AW7" i="17"/>
  <c r="AW8" i="17"/>
  <c r="AW9" i="17"/>
  <c r="AW10" i="17"/>
  <c r="AW11" i="17"/>
  <c r="AW12" i="17"/>
  <c r="AW13" i="17"/>
  <c r="AW14" i="17"/>
  <c r="AW15" i="17"/>
  <c r="AW16" i="17"/>
  <c r="AW17" i="17"/>
  <c r="AW18" i="17"/>
  <c r="AW20" i="17"/>
  <c r="AW21" i="17"/>
  <c r="AV20" i="17"/>
  <c r="AV21" i="17"/>
  <c r="AU20" i="17"/>
  <c r="AU21" i="17"/>
  <c r="AT20" i="17"/>
  <c r="AT21" i="17"/>
  <c r="AS20" i="17"/>
  <c r="AS21" i="17"/>
  <c r="AR20" i="17"/>
  <c r="AR21" i="17"/>
  <c r="AQ20" i="17"/>
  <c r="AQ21" i="17"/>
  <c r="AP20" i="17"/>
  <c r="AP21" i="17"/>
  <c r="AO20" i="17"/>
  <c r="AO21" i="17"/>
  <c r="AN20" i="17"/>
  <c r="AN21" i="17"/>
  <c r="AM20" i="17"/>
  <c r="AM21" i="17"/>
  <c r="AL20" i="17"/>
  <c r="AL21" i="17"/>
  <c r="AK20" i="17"/>
  <c r="AK21" i="17"/>
  <c r="AJ20" i="17"/>
  <c r="AJ21" i="17"/>
  <c r="AI20" i="17"/>
  <c r="AI21" i="17"/>
  <c r="AH20" i="17"/>
  <c r="AH21" i="17"/>
  <c r="AG20" i="17"/>
  <c r="AG21" i="17"/>
  <c r="AF20" i="17"/>
  <c r="AF21" i="17"/>
  <c r="AE20" i="17"/>
  <c r="AE21" i="17"/>
  <c r="AD20" i="17"/>
  <c r="AD21" i="17"/>
  <c r="AC20" i="17"/>
  <c r="AC21" i="17"/>
  <c r="AB20" i="17"/>
  <c r="AB21" i="17"/>
  <c r="AA20" i="17"/>
  <c r="AA21" i="17"/>
  <c r="Z20" i="17"/>
  <c r="Z21" i="17"/>
  <c r="Y20" i="17"/>
  <c r="Y21" i="17"/>
  <c r="X20" i="17"/>
  <c r="X21" i="17"/>
  <c r="W20" i="17"/>
  <c r="W21" i="17"/>
  <c r="V20" i="17"/>
  <c r="V21" i="17"/>
  <c r="U20" i="17"/>
  <c r="U21" i="17"/>
  <c r="T20" i="17"/>
  <c r="T21" i="17"/>
  <c r="S20" i="17"/>
  <c r="S21" i="17"/>
  <c r="R20" i="17"/>
  <c r="R21" i="17"/>
  <c r="Q20" i="17"/>
  <c r="Q21" i="17"/>
  <c r="P20" i="17"/>
  <c r="P21" i="17"/>
  <c r="O20" i="17"/>
  <c r="O21" i="17"/>
  <c r="N20" i="17"/>
  <c r="N21" i="17"/>
  <c r="M20" i="17"/>
  <c r="M21" i="17"/>
  <c r="L20" i="17"/>
  <c r="L21" i="17"/>
  <c r="BA20" i="17"/>
  <c r="AY20" i="17"/>
  <c r="N12" i="16"/>
  <c r="S12" i="16"/>
  <c r="X12" i="16"/>
  <c r="AF12" i="16"/>
  <c r="AS12" i="16"/>
  <c r="P12" i="16"/>
  <c r="U12" i="16"/>
  <c r="Z12" i="16"/>
  <c r="AT12" i="16"/>
  <c r="AX12" i="16"/>
  <c r="AI12" i="16"/>
  <c r="AU12" i="16"/>
  <c r="AK12" i="16"/>
  <c r="AV12" i="16"/>
  <c r="AZ12" i="16"/>
  <c r="BC12" i="16"/>
  <c r="AW12" i="16"/>
  <c r="N11" i="16"/>
  <c r="S11" i="16"/>
  <c r="X11" i="16"/>
  <c r="AF11" i="16"/>
  <c r="AS11" i="16"/>
  <c r="P11" i="16"/>
  <c r="U11" i="16"/>
  <c r="Z11" i="16"/>
  <c r="AT11" i="16"/>
  <c r="AX11" i="16"/>
  <c r="AI11" i="16"/>
  <c r="AU11" i="16"/>
  <c r="AK11" i="16"/>
  <c r="AV11" i="16"/>
  <c r="AZ11" i="16"/>
  <c r="BC11" i="16"/>
  <c r="AW11" i="16"/>
  <c r="N10" i="16"/>
  <c r="S10" i="16"/>
  <c r="X10" i="16"/>
  <c r="AF10" i="16"/>
  <c r="AS10" i="16"/>
  <c r="P10" i="16"/>
  <c r="U10" i="16"/>
  <c r="Z10" i="16"/>
  <c r="AT10" i="16"/>
  <c r="AX10" i="16"/>
  <c r="AI10" i="16"/>
  <c r="AU10" i="16"/>
  <c r="AK10" i="16"/>
  <c r="AV10" i="16"/>
  <c r="AZ10" i="16"/>
  <c r="BC10" i="16"/>
  <c r="AW10" i="16"/>
  <c r="N9" i="16"/>
  <c r="S9" i="16"/>
  <c r="X9" i="16"/>
  <c r="AF9" i="16"/>
  <c r="AS9" i="16"/>
  <c r="P9" i="16"/>
  <c r="U9" i="16"/>
  <c r="Z9" i="16"/>
  <c r="AT9" i="16"/>
  <c r="AX9" i="16"/>
  <c r="AI9" i="16"/>
  <c r="AU9" i="16"/>
  <c r="AK9" i="16"/>
  <c r="AV9" i="16"/>
  <c r="AZ9" i="16"/>
  <c r="BC9" i="16"/>
  <c r="AW9" i="16"/>
  <c r="N8" i="16"/>
  <c r="S8" i="16"/>
  <c r="X8" i="16"/>
  <c r="AF8" i="16"/>
  <c r="AS8" i="16"/>
  <c r="P8" i="16"/>
  <c r="U8" i="16"/>
  <c r="Z8" i="16"/>
  <c r="AT8" i="16"/>
  <c r="AX8" i="16"/>
  <c r="AI8" i="16"/>
  <c r="AU8" i="16"/>
  <c r="AK8" i="16"/>
  <c r="AV8" i="16"/>
  <c r="AZ8" i="16"/>
  <c r="BC8" i="16"/>
  <c r="AW8" i="16"/>
  <c r="N7" i="16"/>
  <c r="S7" i="16"/>
  <c r="X7" i="16"/>
  <c r="AF7" i="16"/>
  <c r="AS7" i="16"/>
  <c r="P7" i="16"/>
  <c r="U7" i="16"/>
  <c r="Z7" i="16"/>
  <c r="AT7" i="16"/>
  <c r="AX7" i="16"/>
  <c r="AI7" i="16"/>
  <c r="AU7" i="16"/>
  <c r="AK7" i="16"/>
  <c r="AV7" i="16"/>
  <c r="AZ7" i="16"/>
  <c r="BC7" i="16"/>
  <c r="AW7" i="16"/>
  <c r="N6" i="16"/>
  <c r="S6" i="16"/>
  <c r="X6" i="16"/>
  <c r="AF6" i="16"/>
  <c r="AS6" i="16"/>
  <c r="P6" i="16"/>
  <c r="U6" i="16"/>
  <c r="Z6" i="16"/>
  <c r="AT6" i="16"/>
  <c r="AX6" i="16"/>
  <c r="AI6" i="16"/>
  <c r="AU6" i="16"/>
  <c r="AK6" i="16"/>
  <c r="AV6" i="16"/>
  <c r="AZ6" i="16"/>
  <c r="BC6" i="16"/>
  <c r="AW6" i="16"/>
  <c r="N5" i="16"/>
  <c r="S5" i="16"/>
  <c r="X5" i="16"/>
  <c r="AF5" i="16"/>
  <c r="AS5" i="16"/>
  <c r="P5" i="16"/>
  <c r="U5" i="16"/>
  <c r="Z5" i="16"/>
  <c r="AT5" i="16"/>
  <c r="AX5" i="16"/>
  <c r="AI5" i="16"/>
  <c r="AU5" i="16"/>
  <c r="AK5" i="16"/>
  <c r="AV5" i="16"/>
  <c r="AZ5" i="16"/>
  <c r="BC5" i="16"/>
  <c r="AW5" i="16"/>
  <c r="N4" i="16"/>
  <c r="S4" i="16"/>
  <c r="X4" i="16"/>
  <c r="AF4" i="16"/>
  <c r="AS4" i="16"/>
  <c r="P4" i="16"/>
  <c r="U4" i="16"/>
  <c r="Z4" i="16"/>
  <c r="AT4" i="16"/>
  <c r="AX4" i="16"/>
  <c r="AI4" i="16"/>
  <c r="AU4" i="16"/>
  <c r="AK4" i="16"/>
  <c r="AV4" i="16"/>
  <c r="AZ4" i="16"/>
  <c r="BC4" i="16"/>
  <c r="AW4" i="16"/>
  <c r="N3" i="16"/>
  <c r="S3" i="16"/>
  <c r="X3" i="16"/>
  <c r="AC3" i="16"/>
  <c r="AF3" i="16"/>
  <c r="AS3" i="16"/>
  <c r="P3" i="16"/>
  <c r="U3" i="16"/>
  <c r="Z3" i="16"/>
  <c r="AT3" i="16"/>
  <c r="AX3" i="16"/>
  <c r="AI3" i="16"/>
  <c r="AU3" i="16"/>
  <c r="AK3" i="16"/>
  <c r="AV3" i="16"/>
  <c r="AZ3" i="16"/>
  <c r="BC3" i="16"/>
  <c r="AW3" i="16"/>
  <c r="E7" i="9"/>
  <c r="E5" i="9"/>
  <c r="E25" i="1"/>
  <c r="F25" i="1"/>
  <c r="N25" i="1"/>
  <c r="AB25" i="1"/>
  <c r="AC25" i="1"/>
  <c r="AD25" i="1"/>
  <c r="AE25" i="1"/>
  <c r="AF25" i="1"/>
  <c r="AG25" i="1"/>
  <c r="AH25" i="1"/>
  <c r="AI25" i="1"/>
  <c r="AL25" i="1"/>
  <c r="AM25" i="1"/>
  <c r="AN25" i="1"/>
  <c r="AO25" i="1"/>
  <c r="AP25" i="1"/>
  <c r="BA25" i="1"/>
  <c r="E26" i="1"/>
  <c r="F26" i="1"/>
  <c r="AB26" i="1"/>
  <c r="AC26" i="1"/>
  <c r="AD26" i="1"/>
  <c r="AE26" i="1"/>
  <c r="AF26" i="1"/>
  <c r="AG26" i="1"/>
  <c r="AH26" i="1"/>
  <c r="AI26" i="1"/>
  <c r="AL26" i="1"/>
  <c r="AM26" i="1"/>
  <c r="AN26" i="1"/>
  <c r="AO26" i="1"/>
  <c r="AP26" i="1"/>
  <c r="N5" i="1"/>
  <c r="N6" i="1"/>
  <c r="N7" i="1"/>
  <c r="N8" i="1"/>
  <c r="N9" i="1"/>
  <c r="N10" i="1"/>
  <c r="N11" i="1"/>
  <c r="N14" i="1"/>
  <c r="N15" i="1"/>
  <c r="N18" i="1"/>
  <c r="N21" i="1"/>
  <c r="N22" i="1"/>
  <c r="N23" i="1"/>
  <c r="N24" i="1"/>
  <c r="N19" i="1"/>
  <c r="N4" i="1"/>
  <c r="E12" i="9"/>
  <c r="E13" i="9"/>
  <c r="L24" i="2"/>
  <c r="N24" i="2"/>
  <c r="P24" i="2"/>
  <c r="Q24" i="2"/>
  <c r="T24" i="2"/>
  <c r="L25" i="2"/>
  <c r="N25" i="2"/>
  <c r="P25" i="2"/>
  <c r="Q25" i="2"/>
  <c r="T25" i="2"/>
  <c r="AA1" i="1"/>
  <c r="AJ1" i="1"/>
  <c r="AR1" i="1"/>
  <c r="AU1" i="1"/>
  <c r="AL5" i="1"/>
  <c r="AM5" i="1"/>
  <c r="AN5" i="1"/>
  <c r="AO5" i="1"/>
  <c r="AP5" i="1"/>
  <c r="AL6" i="1"/>
  <c r="AM6" i="1"/>
  <c r="AN6" i="1"/>
  <c r="AO6" i="1"/>
  <c r="AP6" i="1"/>
  <c r="AL7" i="1"/>
  <c r="AM7" i="1"/>
  <c r="AN7" i="1"/>
  <c r="AO7" i="1"/>
  <c r="AP7" i="1"/>
  <c r="AL8" i="1"/>
  <c r="AM8" i="1"/>
  <c r="AN8" i="1"/>
  <c r="AO8" i="1"/>
  <c r="AP8" i="1"/>
  <c r="AL9" i="1"/>
  <c r="AM9" i="1"/>
  <c r="AN9" i="1"/>
  <c r="AO9" i="1"/>
  <c r="AP9" i="1"/>
  <c r="AL10" i="1"/>
  <c r="AM10" i="1"/>
  <c r="AN10" i="1"/>
  <c r="AO10" i="1"/>
  <c r="AP10" i="1"/>
  <c r="AL11" i="1"/>
  <c r="AM11" i="1"/>
  <c r="AN11" i="1"/>
  <c r="AO11" i="1"/>
  <c r="AP11" i="1"/>
  <c r="AL12" i="1"/>
  <c r="AM12" i="1"/>
  <c r="AN12" i="1"/>
  <c r="AO12" i="1"/>
  <c r="AP12" i="1"/>
  <c r="AL13" i="1"/>
  <c r="AM13" i="1"/>
  <c r="AN13" i="1"/>
  <c r="AO13" i="1"/>
  <c r="AP13" i="1"/>
  <c r="AL14" i="1"/>
  <c r="AM14" i="1"/>
  <c r="AN14" i="1"/>
  <c r="AO14" i="1"/>
  <c r="AP14" i="1"/>
  <c r="AL15" i="1"/>
  <c r="AM15" i="1"/>
  <c r="AN15" i="1"/>
  <c r="AO15" i="1"/>
  <c r="AP15" i="1"/>
  <c r="AL16" i="1"/>
  <c r="AM16" i="1"/>
  <c r="AN16" i="1"/>
  <c r="AO16" i="1"/>
  <c r="AP16" i="1"/>
  <c r="AL17" i="1"/>
  <c r="AM17" i="1"/>
  <c r="AN17" i="1"/>
  <c r="AO17" i="1"/>
  <c r="AP17" i="1"/>
  <c r="AL18" i="1"/>
  <c r="AM18" i="1"/>
  <c r="AN18" i="1"/>
  <c r="AO18" i="1"/>
  <c r="AP18" i="1"/>
  <c r="AL19" i="1"/>
  <c r="AM19" i="1"/>
  <c r="AN19" i="1"/>
  <c r="AO19" i="1"/>
  <c r="AP19" i="1"/>
  <c r="AL20" i="1"/>
  <c r="AM20" i="1"/>
  <c r="AN20" i="1"/>
  <c r="AO20" i="1"/>
  <c r="AP20" i="1"/>
  <c r="AL21" i="1"/>
  <c r="AM21" i="1"/>
  <c r="AN21" i="1"/>
  <c r="AO21" i="1"/>
  <c r="AP21" i="1"/>
  <c r="AL22" i="1"/>
  <c r="AM22" i="1"/>
  <c r="AN22" i="1"/>
  <c r="AO22" i="1"/>
  <c r="AP22" i="1"/>
  <c r="AL23" i="1"/>
  <c r="AM23" i="1"/>
  <c r="AN23" i="1"/>
  <c r="AO23" i="1"/>
  <c r="AP23" i="1"/>
  <c r="AL24" i="1"/>
  <c r="AM24" i="1"/>
  <c r="AN24" i="1"/>
  <c r="AO24" i="1"/>
  <c r="AP24" i="1"/>
  <c r="AB24" i="1"/>
  <c r="AC24" i="1"/>
  <c r="AD24" i="1"/>
  <c r="AE24" i="1"/>
  <c r="AF24" i="1"/>
  <c r="AG24" i="1"/>
  <c r="AH24" i="1"/>
  <c r="AI24" i="1"/>
  <c r="E6" i="9"/>
  <c r="L23" i="2"/>
  <c r="N23" i="2"/>
  <c r="P23" i="2"/>
  <c r="Q23" i="2"/>
  <c r="T23" i="2"/>
  <c r="D6" i="9"/>
  <c r="AP4" i="1"/>
  <c r="L2" i="2"/>
  <c r="N2" i="2"/>
  <c r="P2" i="2"/>
  <c r="Q2" i="2"/>
  <c r="L3" i="2"/>
  <c r="N3" i="2"/>
  <c r="P3" i="2"/>
  <c r="Q3" i="2"/>
  <c r="L4" i="2"/>
  <c r="N4" i="2"/>
  <c r="P4" i="2"/>
  <c r="Q4" i="2"/>
  <c r="L5" i="2"/>
  <c r="N5" i="2"/>
  <c r="P5" i="2"/>
  <c r="Q5" i="2"/>
  <c r="L6" i="2"/>
  <c r="N6" i="2"/>
  <c r="P6" i="2"/>
  <c r="Q6" i="2"/>
  <c r="L7" i="2"/>
  <c r="N7" i="2"/>
  <c r="P7" i="2"/>
  <c r="Q7" i="2"/>
  <c r="L8" i="2"/>
  <c r="N8" i="2"/>
  <c r="P8" i="2"/>
  <c r="Q8" i="2"/>
  <c r="L9" i="2"/>
  <c r="N9" i="2"/>
  <c r="P9" i="2"/>
  <c r="Q9" i="2"/>
  <c r="L10" i="2"/>
  <c r="N10" i="2"/>
  <c r="P10" i="2"/>
  <c r="Q10" i="2"/>
  <c r="L11" i="2"/>
  <c r="N11" i="2"/>
  <c r="P11" i="2"/>
  <c r="Q11" i="2"/>
  <c r="L12" i="2"/>
  <c r="N12" i="2"/>
  <c r="P12" i="2"/>
  <c r="Q12" i="2"/>
  <c r="L13" i="2"/>
  <c r="N13" i="2"/>
  <c r="P13" i="2"/>
  <c r="Q13" i="2"/>
  <c r="L14" i="2"/>
  <c r="N14" i="2"/>
  <c r="P14" i="2"/>
  <c r="Q14" i="2"/>
  <c r="L15" i="2"/>
  <c r="N15" i="2"/>
  <c r="P15" i="2"/>
  <c r="Q15" i="2"/>
  <c r="L16" i="2"/>
  <c r="N16" i="2"/>
  <c r="P16" i="2"/>
  <c r="Q16" i="2"/>
  <c r="L17" i="2"/>
  <c r="N17" i="2"/>
  <c r="P17" i="2"/>
  <c r="Q17" i="2"/>
  <c r="L18" i="2"/>
  <c r="N18" i="2"/>
  <c r="P18" i="2"/>
  <c r="Q18" i="2"/>
  <c r="L19" i="2"/>
  <c r="N19" i="2"/>
  <c r="P19" i="2"/>
  <c r="Q19" i="2"/>
  <c r="L20" i="2"/>
  <c r="N20" i="2"/>
  <c r="P20" i="2"/>
  <c r="Q20" i="2"/>
  <c r="L21" i="2"/>
  <c r="N21" i="2"/>
  <c r="P21" i="2"/>
  <c r="Q21" i="2"/>
  <c r="L22" i="2"/>
  <c r="N22" i="2"/>
  <c r="P22" i="2"/>
  <c r="Q22" i="2"/>
  <c r="O3" i="2"/>
  <c r="R3" i="2"/>
  <c r="S3" i="2"/>
  <c r="T10" i="2"/>
  <c r="T11" i="2"/>
  <c r="T12" i="2"/>
  <c r="T13" i="2"/>
  <c r="T2" i="2"/>
  <c r="T3" i="2"/>
  <c r="T4" i="2"/>
  <c r="T5" i="2"/>
  <c r="T6" i="2"/>
  <c r="T7" i="2"/>
  <c r="T8" i="2"/>
  <c r="T9" i="2"/>
  <c r="T14" i="2"/>
  <c r="T15" i="2"/>
  <c r="T16" i="2"/>
  <c r="T17" i="2"/>
  <c r="T18" i="2"/>
  <c r="T19" i="2"/>
  <c r="T20" i="2"/>
  <c r="T21" i="2"/>
  <c r="T22" i="2"/>
  <c r="BC13" i="11"/>
  <c r="N3" i="11"/>
  <c r="S3" i="11"/>
  <c r="X3" i="11"/>
  <c r="AC3" i="11"/>
  <c r="AF3" i="11"/>
  <c r="AS3" i="11"/>
  <c r="P3" i="11"/>
  <c r="U3" i="11"/>
  <c r="Z3" i="11"/>
  <c r="AT3" i="11"/>
  <c r="AX3" i="11"/>
  <c r="AI3" i="11"/>
  <c r="AU3" i="11"/>
  <c r="AK3" i="11"/>
  <c r="AV3" i="11"/>
  <c r="AZ3" i="11"/>
  <c r="BC3" i="11"/>
  <c r="N4" i="11"/>
  <c r="S4" i="11"/>
  <c r="X4" i="11"/>
  <c r="AF4" i="11"/>
  <c r="AS4" i="11"/>
  <c r="P4" i="11"/>
  <c r="U4" i="11"/>
  <c r="Z4" i="11"/>
  <c r="AT4" i="11"/>
  <c r="AX4" i="11"/>
  <c r="AI4" i="11"/>
  <c r="AU4" i="11"/>
  <c r="AK4" i="11"/>
  <c r="AV4" i="11"/>
  <c r="AZ4" i="11"/>
  <c r="BC4" i="11"/>
  <c r="N5" i="11"/>
  <c r="S5" i="11"/>
  <c r="X5" i="11"/>
  <c r="AF5" i="11"/>
  <c r="AS5" i="11"/>
  <c r="P5" i="11"/>
  <c r="U5" i="11"/>
  <c r="Z5" i="11"/>
  <c r="AT5" i="11"/>
  <c r="AX5" i="11"/>
  <c r="AI5" i="11"/>
  <c r="AU5" i="11"/>
  <c r="AK5" i="11"/>
  <c r="AV5" i="11"/>
  <c r="AZ5" i="11"/>
  <c r="BC5" i="11"/>
  <c r="N6" i="11"/>
  <c r="S6" i="11"/>
  <c r="X6" i="11"/>
  <c r="AF6" i="11"/>
  <c r="AS6" i="11"/>
  <c r="P6" i="11"/>
  <c r="U6" i="11"/>
  <c r="Z6" i="11"/>
  <c r="AT6" i="11"/>
  <c r="AX6" i="11"/>
  <c r="AI6" i="11"/>
  <c r="AU6" i="11"/>
  <c r="AK6" i="11"/>
  <c r="AV6" i="11"/>
  <c r="AZ6" i="11"/>
  <c r="BC6" i="11"/>
  <c r="N7" i="11"/>
  <c r="S7" i="11"/>
  <c r="X7" i="11"/>
  <c r="AF7" i="11"/>
  <c r="AS7" i="11"/>
  <c r="P7" i="11"/>
  <c r="U7" i="11"/>
  <c r="Z7" i="11"/>
  <c r="AT7" i="11"/>
  <c r="AX7" i="11"/>
  <c r="AI7" i="11"/>
  <c r="AU7" i="11"/>
  <c r="AK7" i="11"/>
  <c r="AV7" i="11"/>
  <c r="AZ7" i="11"/>
  <c r="BC7" i="11"/>
  <c r="N8" i="11"/>
  <c r="S8" i="11"/>
  <c r="X8" i="11"/>
  <c r="AF8" i="11"/>
  <c r="AS8" i="11"/>
  <c r="P8" i="11"/>
  <c r="U8" i="11"/>
  <c r="Z8" i="11"/>
  <c r="AT8" i="11"/>
  <c r="AX8" i="11"/>
  <c r="AI8" i="11"/>
  <c r="AU8" i="11"/>
  <c r="AK8" i="11"/>
  <c r="AV8" i="11"/>
  <c r="AZ8" i="11"/>
  <c r="BC8" i="11"/>
  <c r="N9" i="11"/>
  <c r="S9" i="11"/>
  <c r="X9" i="11"/>
  <c r="AF9" i="11"/>
  <c r="AS9" i="11"/>
  <c r="P9" i="11"/>
  <c r="U9" i="11"/>
  <c r="Z9" i="11"/>
  <c r="AT9" i="11"/>
  <c r="AX9" i="11"/>
  <c r="AI9" i="11"/>
  <c r="AU9" i="11"/>
  <c r="AK9" i="11"/>
  <c r="AV9" i="11"/>
  <c r="AZ9" i="11"/>
  <c r="BC9" i="11"/>
  <c r="N10" i="11"/>
  <c r="S10" i="11"/>
  <c r="X10" i="11"/>
  <c r="AF10" i="11"/>
  <c r="AS10" i="11"/>
  <c r="P10" i="11"/>
  <c r="U10" i="11"/>
  <c r="Z10" i="11"/>
  <c r="AT10" i="11"/>
  <c r="AX10" i="11"/>
  <c r="AI10" i="11"/>
  <c r="AU10" i="11"/>
  <c r="AK10" i="11"/>
  <c r="AV10" i="11"/>
  <c r="AZ10" i="11"/>
  <c r="BC10" i="11"/>
  <c r="N11" i="11"/>
  <c r="S11" i="11"/>
  <c r="X11" i="11"/>
  <c r="AF11" i="11"/>
  <c r="AS11" i="11"/>
  <c r="P11" i="11"/>
  <c r="U11" i="11"/>
  <c r="Z11" i="11"/>
  <c r="AT11" i="11"/>
  <c r="AX11" i="11"/>
  <c r="AI11" i="11"/>
  <c r="AU11" i="11"/>
  <c r="AK11" i="11"/>
  <c r="AV11" i="11"/>
  <c r="AZ11" i="11"/>
  <c r="BC11" i="11"/>
  <c r="N12" i="11"/>
  <c r="S12" i="11"/>
  <c r="X12" i="11"/>
  <c r="AF12" i="11"/>
  <c r="AS12" i="11"/>
  <c r="P12" i="11"/>
  <c r="U12" i="11"/>
  <c r="Z12" i="11"/>
  <c r="AT12" i="11"/>
  <c r="AX12" i="11"/>
  <c r="AI12" i="11"/>
  <c r="AU12" i="11"/>
  <c r="AK12" i="11"/>
  <c r="AV12" i="11"/>
  <c r="AZ12" i="11"/>
  <c r="BC12" i="11"/>
  <c r="AW3" i="11"/>
  <c r="AW4" i="11"/>
  <c r="AW5" i="11"/>
  <c r="AW6" i="11"/>
  <c r="AW7" i="11"/>
  <c r="AW8" i="11"/>
  <c r="AW9" i="11"/>
  <c r="AW10" i="11"/>
  <c r="AW11" i="11"/>
  <c r="AW12" i="11"/>
  <c r="AO4" i="1"/>
  <c r="AN4" i="1"/>
  <c r="AM4" i="1"/>
  <c r="AL4" i="1"/>
  <c r="AE5" i="1"/>
  <c r="AF5" i="1"/>
  <c r="AG5" i="1"/>
  <c r="AH5" i="1"/>
  <c r="AI5" i="1"/>
  <c r="AE6" i="1"/>
  <c r="AF6" i="1"/>
  <c r="AG6" i="1"/>
  <c r="AH6" i="1"/>
  <c r="AI6" i="1"/>
  <c r="AE7" i="1"/>
  <c r="AF7" i="1"/>
  <c r="AG7" i="1"/>
  <c r="AH7" i="1"/>
  <c r="AI7" i="1"/>
  <c r="AE8" i="1"/>
  <c r="AF8" i="1"/>
  <c r="AG8" i="1"/>
  <c r="AH8" i="1"/>
  <c r="AI8" i="1"/>
  <c r="AE9" i="1"/>
  <c r="AF9" i="1"/>
  <c r="AG9" i="1"/>
  <c r="AH9" i="1"/>
  <c r="AI9" i="1"/>
  <c r="AE10" i="1"/>
  <c r="AF10" i="1"/>
  <c r="AG10" i="1"/>
  <c r="AH10" i="1"/>
  <c r="AI10" i="1"/>
  <c r="AE11" i="1"/>
  <c r="AF11" i="1"/>
  <c r="AG11" i="1"/>
  <c r="AH11" i="1"/>
  <c r="AI11" i="1"/>
  <c r="AE12" i="1"/>
  <c r="AF12" i="1"/>
  <c r="AG12" i="1"/>
  <c r="AH12" i="1"/>
  <c r="AI12" i="1"/>
  <c r="AE13" i="1"/>
  <c r="AF13" i="1"/>
  <c r="AG13" i="1"/>
  <c r="AH13" i="1"/>
  <c r="AI13" i="1"/>
  <c r="AE14" i="1"/>
  <c r="AF14" i="1"/>
  <c r="AG14" i="1"/>
  <c r="AH14" i="1"/>
  <c r="AI14" i="1"/>
  <c r="AE15" i="1"/>
  <c r="AF15" i="1"/>
  <c r="AG15" i="1"/>
  <c r="AH15" i="1"/>
  <c r="AI15" i="1"/>
  <c r="AE16" i="1"/>
  <c r="AF16" i="1"/>
  <c r="AG16" i="1"/>
  <c r="AH16" i="1"/>
  <c r="AI16" i="1"/>
  <c r="AE17" i="1"/>
  <c r="AF17" i="1"/>
  <c r="AG17" i="1"/>
  <c r="AH17" i="1"/>
  <c r="AI17" i="1"/>
  <c r="AE18" i="1"/>
  <c r="AF18" i="1"/>
  <c r="AG18" i="1"/>
  <c r="AH18" i="1"/>
  <c r="AI18" i="1"/>
  <c r="AE19" i="1"/>
  <c r="AF19" i="1"/>
  <c r="AG19" i="1"/>
  <c r="AH19" i="1"/>
  <c r="AI19" i="1"/>
  <c r="AE20" i="1"/>
  <c r="AF20" i="1"/>
  <c r="AG20" i="1"/>
  <c r="AH20" i="1"/>
  <c r="AI20" i="1"/>
  <c r="AE21" i="1"/>
  <c r="AF21" i="1"/>
  <c r="AG21" i="1"/>
  <c r="AH21" i="1"/>
  <c r="AI21" i="1"/>
  <c r="AB5" i="1"/>
  <c r="AC5" i="1"/>
  <c r="AD5" i="1"/>
  <c r="AB6" i="1"/>
  <c r="AC6" i="1"/>
  <c r="AD6" i="1"/>
  <c r="AB7" i="1"/>
  <c r="AC7" i="1"/>
  <c r="AD7" i="1"/>
  <c r="AB8" i="1"/>
  <c r="AC8" i="1"/>
  <c r="AD8" i="1"/>
  <c r="AB9" i="1"/>
  <c r="AC9" i="1"/>
  <c r="AD9" i="1"/>
  <c r="AB10" i="1"/>
  <c r="AC10" i="1"/>
  <c r="AD10" i="1"/>
  <c r="AB11" i="1"/>
  <c r="AC11" i="1"/>
  <c r="AD11" i="1"/>
  <c r="AB12" i="1"/>
  <c r="AC12" i="1"/>
  <c r="AD12" i="1"/>
  <c r="AB13" i="1"/>
  <c r="AC13" i="1"/>
  <c r="AD13" i="1"/>
  <c r="AB14" i="1"/>
  <c r="AC14" i="1"/>
  <c r="AD14" i="1"/>
  <c r="AB15" i="1"/>
  <c r="AC15" i="1"/>
  <c r="AD15" i="1"/>
  <c r="AB16" i="1"/>
  <c r="AC16" i="1"/>
  <c r="AD16" i="1"/>
  <c r="AB17" i="1"/>
  <c r="AC17" i="1"/>
  <c r="AD17" i="1"/>
  <c r="AB18" i="1"/>
  <c r="AC18" i="1"/>
  <c r="AD18" i="1"/>
  <c r="AB19" i="1"/>
  <c r="AC19" i="1"/>
  <c r="AD19" i="1"/>
  <c r="AB20" i="1"/>
  <c r="AC20" i="1"/>
  <c r="AD20" i="1"/>
  <c r="AB21" i="1"/>
  <c r="AC21" i="1"/>
  <c r="AD21" i="1"/>
  <c r="AF4" i="1"/>
  <c r="AG4" i="1"/>
  <c r="AH4" i="1"/>
  <c r="AI4" i="1"/>
  <c r="AE4" i="1"/>
  <c r="AC4" i="1"/>
  <c r="AD4" i="1"/>
  <c r="AB4" i="1"/>
  <c r="BA5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F5" i="1"/>
  <c r="E5" i="1"/>
  <c r="BA4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4" i="1"/>
  <c r="E4" i="1"/>
  <c r="AC22" i="1"/>
  <c r="AG22" i="1"/>
  <c r="AD22" i="1"/>
  <c r="AH22" i="1"/>
  <c r="AE22" i="1"/>
  <c r="AI22" i="1"/>
  <c r="AB22" i="1"/>
  <c r="AF22" i="1"/>
  <c r="AC23" i="1"/>
  <c r="AG23" i="1"/>
  <c r="AD23" i="1"/>
  <c r="AH23" i="1"/>
  <c r="AE23" i="1"/>
  <c r="AI23" i="1"/>
  <c r="AB23" i="1"/>
  <c r="AF23" i="1"/>
  <c r="BA24" i="1"/>
  <c r="BA22" i="1"/>
  <c r="BA23" i="1"/>
  <c r="E23" i="1"/>
  <c r="E24" i="1"/>
  <c r="F24" i="1"/>
  <c r="F22" i="1"/>
  <c r="E22" i="1"/>
  <c r="F23" i="1"/>
  <c r="AV37" i="1" l="1"/>
  <c r="V42" i="1"/>
  <c r="X42" i="1" s="1"/>
  <c r="Z42" i="1" s="1"/>
  <c r="AQ42" i="1" s="1"/>
  <c r="Y18" i="2"/>
  <c r="Y14" i="2"/>
  <c r="Y19" i="2"/>
  <c r="Y7" i="2"/>
  <c r="Y11" i="2"/>
  <c r="Y24" i="2"/>
  <c r="V5" i="1"/>
  <c r="Y25" i="2"/>
  <c r="V29" i="2"/>
  <c r="Y12" i="2"/>
  <c r="V14" i="1"/>
  <c r="V11" i="1"/>
  <c r="Y9" i="2"/>
  <c r="V23" i="1"/>
  <c r="V18" i="1"/>
  <c r="V7" i="1"/>
  <c r="X18" i="2"/>
  <c r="Y16" i="2"/>
  <c r="Y5" i="2"/>
  <c r="W11" i="2"/>
  <c r="X25" i="2"/>
  <c r="Y2" i="2"/>
  <c r="Y10" i="2"/>
  <c r="V18" i="2"/>
  <c r="V35" i="1"/>
  <c r="X28" i="2"/>
  <c r="V33" i="2"/>
  <c r="Y17" i="2"/>
  <c r="Y13" i="2"/>
  <c r="X8" i="2"/>
  <c r="W17" i="2"/>
  <c r="Y21" i="2"/>
  <c r="V33" i="1"/>
  <c r="V31" i="2"/>
  <c r="W18" i="2"/>
  <c r="V26" i="1"/>
  <c r="Y23" i="1"/>
  <c r="V22" i="1"/>
  <c r="W14" i="2"/>
  <c r="W8" i="2"/>
  <c r="V4" i="1"/>
  <c r="V32" i="1"/>
  <c r="Y30" i="2"/>
  <c r="V29" i="1"/>
  <c r="V27" i="1"/>
  <c r="X23" i="2"/>
  <c r="E18" i="9" s="1"/>
  <c r="V15" i="1"/>
  <c r="Y26" i="2"/>
  <c r="Y15" i="2"/>
  <c r="Y4" i="2"/>
  <c r="W3" i="2"/>
  <c r="X17" i="2"/>
  <c r="X15" i="2"/>
  <c r="V35" i="2"/>
  <c r="X32" i="2"/>
  <c r="X34" i="2"/>
  <c r="U12" i="1"/>
  <c r="X10" i="2"/>
  <c r="V21" i="2"/>
  <c r="V19" i="2"/>
  <c r="X6" i="2"/>
  <c r="W24" i="2"/>
  <c r="U26" i="1"/>
  <c r="W25" i="2"/>
  <c r="V19" i="1"/>
  <c r="Y8" i="1"/>
  <c r="Y6" i="2"/>
  <c r="V8" i="1"/>
  <c r="V30" i="2"/>
  <c r="X30" i="2"/>
  <c r="V27" i="2"/>
  <c r="U18" i="1"/>
  <c r="W16" i="2"/>
  <c r="U11" i="1"/>
  <c r="W9" i="2"/>
  <c r="V26" i="2"/>
  <c r="X26" i="2"/>
  <c r="V25" i="2"/>
  <c r="V24" i="2"/>
  <c r="X16" i="2"/>
  <c r="W23" i="2"/>
  <c r="W12" i="2"/>
  <c r="W6" i="1"/>
  <c r="W4" i="2"/>
  <c r="W10" i="2"/>
  <c r="W33" i="2"/>
  <c r="V34" i="1"/>
  <c r="X33" i="2"/>
  <c r="Y31" i="2"/>
  <c r="W28" i="2"/>
  <c r="U29" i="1"/>
  <c r="W35" i="2"/>
  <c r="V36" i="1"/>
  <c r="X35" i="2"/>
  <c r="W6" i="2"/>
  <c r="V25" i="1"/>
  <c r="V6" i="1"/>
  <c r="Y32" i="2"/>
  <c r="V32" i="2"/>
  <c r="V31" i="1"/>
  <c r="Y28" i="2"/>
  <c r="V28" i="2"/>
  <c r="Y34" i="2"/>
  <c r="V34" i="2"/>
  <c r="V24" i="1"/>
  <c r="V21" i="1"/>
  <c r="V13" i="1"/>
  <c r="W32" i="2"/>
  <c r="U33" i="1"/>
  <c r="W29" i="2"/>
  <c r="V30" i="1"/>
  <c r="X29" i="2"/>
  <c r="Y27" i="2"/>
  <c r="W34" i="2"/>
  <c r="U35" i="1"/>
  <c r="W20" i="2"/>
  <c r="W22" i="2"/>
  <c r="Y20" i="2"/>
  <c r="Y8" i="2"/>
  <c r="X21" i="2"/>
  <c r="X20" i="2"/>
  <c r="X19" i="2"/>
  <c r="V17" i="2"/>
  <c r="V16" i="2"/>
  <c r="V15" i="2"/>
  <c r="X13" i="2"/>
  <c r="V10" i="2"/>
  <c r="V9" i="2"/>
  <c r="V8" i="2"/>
  <c r="X7" i="2"/>
  <c r="V6" i="2"/>
  <c r="X5" i="2"/>
  <c r="V3" i="2"/>
  <c r="X24" i="2"/>
  <c r="V16" i="1"/>
  <c r="V10" i="1"/>
  <c r="Y33" i="2"/>
  <c r="W31" i="2"/>
  <c r="X31" i="2"/>
  <c r="W30" i="2"/>
  <c r="U31" i="1"/>
  <c r="Y29" i="2"/>
  <c r="W27" i="2"/>
  <c r="V28" i="1"/>
  <c r="X27" i="2"/>
  <c r="W26" i="2"/>
  <c r="Y35" i="2"/>
  <c r="AK5" i="1"/>
  <c r="AK23" i="1"/>
  <c r="AI1" i="1"/>
  <c r="AK20" i="1"/>
  <c r="AK9" i="1"/>
  <c r="AL1" i="1"/>
  <c r="AK15" i="1"/>
  <c r="AK10" i="1"/>
  <c r="AK25" i="1"/>
  <c r="AK19" i="1"/>
  <c r="AK13" i="1"/>
  <c r="AK7" i="1"/>
  <c r="AK17" i="1"/>
  <c r="AK14" i="1"/>
  <c r="AK12" i="1"/>
  <c r="AK6" i="1"/>
  <c r="AF1" i="1"/>
  <c r="AK8" i="1"/>
  <c r="AK18" i="1"/>
  <c r="AK11" i="1"/>
  <c r="AG1" i="1"/>
  <c r="D5" i="9"/>
  <c r="AK21" i="1"/>
  <c r="AK16" i="1"/>
  <c r="T1" i="1"/>
  <c r="Y5" i="1"/>
  <c r="Y3" i="2"/>
  <c r="V17" i="1"/>
  <c r="W15" i="2"/>
  <c r="V12" i="1"/>
  <c r="U15" i="1"/>
  <c r="W13" i="2"/>
  <c r="W5" i="1"/>
  <c r="W4" i="1"/>
  <c r="W2" i="2"/>
  <c r="W5" i="2"/>
  <c r="V14" i="2"/>
  <c r="X14" i="2"/>
  <c r="X11" i="2"/>
  <c r="V11" i="2"/>
  <c r="X4" i="2"/>
  <c r="V4" i="2"/>
  <c r="X2" i="2"/>
  <c r="V2" i="2"/>
  <c r="X3" i="2"/>
  <c r="V7" i="2"/>
  <c r="W19" i="2"/>
  <c r="Y22" i="2"/>
  <c r="X22" i="2"/>
  <c r="V22" i="2"/>
  <c r="V12" i="2"/>
  <c r="X12" i="2"/>
  <c r="V13" i="2"/>
  <c r="X9" i="2"/>
  <c r="V5" i="2"/>
  <c r="V20" i="2"/>
  <c r="W21" i="2"/>
  <c r="Y23" i="2"/>
  <c r="E19" i="9" s="1"/>
  <c r="V23" i="2"/>
  <c r="V20" i="1"/>
  <c r="V9" i="1"/>
  <c r="W7" i="2"/>
  <c r="E14" i="9"/>
  <c r="E15" i="9" s="1"/>
  <c r="E16" i="9" s="1"/>
  <c r="AM1" i="1"/>
  <c r="AO1" i="1"/>
  <c r="AD1" i="1"/>
  <c r="AK4" i="1"/>
  <c r="AC1" i="1"/>
  <c r="AB1" i="1"/>
  <c r="AK24" i="1"/>
  <c r="AK26" i="1"/>
  <c r="AH1" i="1"/>
  <c r="AE1" i="1"/>
  <c r="AP1" i="1"/>
  <c r="AN1" i="1"/>
  <c r="D7" i="9"/>
  <c r="AT1" i="1"/>
  <c r="AK22" i="1"/>
  <c r="X20" i="1" l="1"/>
  <c r="Z20" i="1" s="1"/>
  <c r="X17" i="1"/>
  <c r="Z17" i="1" s="1"/>
  <c r="AQ17" i="1" s="1"/>
  <c r="AV17" i="1" s="1"/>
  <c r="X16" i="1"/>
  <c r="Z16" i="1" s="1"/>
  <c r="AQ16" i="1" s="1"/>
  <c r="AV16" i="1" s="1"/>
  <c r="X30" i="1"/>
  <c r="Z30" i="1" s="1"/>
  <c r="AQ30" i="1" s="1"/>
  <c r="AV30" i="1" s="1"/>
  <c r="X13" i="1"/>
  <c r="Z13" i="1" s="1"/>
  <c r="AQ13" i="1" s="1"/>
  <c r="AS13" i="1" s="1"/>
  <c r="X34" i="1"/>
  <c r="Z34" i="1" s="1"/>
  <c r="AQ34" i="1" s="1"/>
  <c r="AV34" i="1" s="1"/>
  <c r="X14" i="1"/>
  <c r="Z14" i="1" s="1"/>
  <c r="AQ14" i="1" s="1"/>
  <c r="AS14" i="1" s="1"/>
  <c r="X21" i="1"/>
  <c r="Z21" i="1" s="1"/>
  <c r="AQ21" i="1" s="1"/>
  <c r="AV21" i="1" s="1"/>
  <c r="X32" i="1"/>
  <c r="Z32" i="1" s="1"/>
  <c r="AQ32" i="1" s="1"/>
  <c r="AS32" i="1" s="1"/>
  <c r="X22" i="1"/>
  <c r="Z22" i="1" s="1"/>
  <c r="AQ22" i="1" s="1"/>
  <c r="AV22" i="1" s="1"/>
  <c r="X23" i="1"/>
  <c r="X24" i="1"/>
  <c r="Z24" i="1" s="1"/>
  <c r="AQ24" i="1" s="1"/>
  <c r="AV24" i="1" s="1"/>
  <c r="X36" i="1"/>
  <c r="Z36" i="1" s="1"/>
  <c r="AQ36" i="1" s="1"/>
  <c r="AV36" i="1" s="1"/>
  <c r="X19" i="1"/>
  <c r="Z19" i="1" s="1"/>
  <c r="AQ19" i="1" s="1"/>
  <c r="AV19" i="1" s="1"/>
  <c r="X27" i="1"/>
  <c r="Z27" i="1" s="1"/>
  <c r="AQ27" i="1" s="1"/>
  <c r="AV27" i="1" s="1"/>
  <c r="X28" i="1"/>
  <c r="Z28" i="1" s="1"/>
  <c r="AQ28" i="1" s="1"/>
  <c r="AS28" i="1" s="1"/>
  <c r="X10" i="1"/>
  <c r="Z10" i="1" s="1"/>
  <c r="AQ10" i="1" s="1"/>
  <c r="AV10" i="1" s="1"/>
  <c r="X25" i="1"/>
  <c r="Z25" i="1" s="1"/>
  <c r="AQ25" i="1" s="1"/>
  <c r="AS25" i="1" s="1"/>
  <c r="X8" i="1"/>
  <c r="Z8" i="1" s="1"/>
  <c r="AQ8" i="1" s="1"/>
  <c r="AV8" i="1" s="1"/>
  <c r="X7" i="1"/>
  <c r="Z7" i="1" s="1"/>
  <c r="AQ7" i="1" s="1"/>
  <c r="AS7" i="1" s="1"/>
  <c r="AS42" i="1"/>
  <c r="AV42" i="1"/>
  <c r="X33" i="1"/>
  <c r="Z33" i="1" s="1"/>
  <c r="AQ33" i="1" s="1"/>
  <c r="AS33" i="1" s="1"/>
  <c r="X5" i="1"/>
  <c r="Z5" i="1" s="1"/>
  <c r="AQ5" i="1" s="1"/>
  <c r="X11" i="1"/>
  <c r="Z11" i="1" s="1"/>
  <c r="AQ11" i="1" s="1"/>
  <c r="AS11" i="1" s="1"/>
  <c r="X12" i="1"/>
  <c r="Z12" i="1" s="1"/>
  <c r="AQ12" i="1" s="1"/>
  <c r="AV12" i="1" s="1"/>
  <c r="X18" i="1"/>
  <c r="Z18" i="1" s="1"/>
  <c r="AQ18" i="1" s="1"/>
  <c r="AS18" i="1" s="1"/>
  <c r="X35" i="1"/>
  <c r="Z35" i="1" s="1"/>
  <c r="AQ35" i="1" s="1"/>
  <c r="AS35" i="1" s="1"/>
  <c r="AV32" i="1"/>
  <c r="Y1" i="1"/>
  <c r="Z23" i="1"/>
  <c r="AQ23" i="1" s="1"/>
  <c r="AV23" i="1" s="1"/>
  <c r="E20" i="9"/>
  <c r="E21" i="9" s="1"/>
  <c r="E22" i="9" s="1"/>
  <c r="X26" i="1"/>
  <c r="Z26" i="1" s="1"/>
  <c r="AQ26" i="1" s="1"/>
  <c r="AV26" i="1" s="1"/>
  <c r="AS27" i="1"/>
  <c r="X29" i="1"/>
  <c r="Z29" i="1" s="1"/>
  <c r="AQ29" i="1" s="1"/>
  <c r="X31" i="1"/>
  <c r="Z31" i="1" s="1"/>
  <c r="AQ31" i="1" s="1"/>
  <c r="AV31" i="1" s="1"/>
  <c r="X6" i="1"/>
  <c r="Z6" i="1" s="1"/>
  <c r="AQ6" i="1" s="1"/>
  <c r="AV6" i="1" s="1"/>
  <c r="AV35" i="1"/>
  <c r="D13" i="9"/>
  <c r="D12" i="9"/>
  <c r="U1" i="1"/>
  <c r="W1" i="1"/>
  <c r="V1" i="1"/>
  <c r="X15" i="1"/>
  <c r="Z15" i="1" s="1"/>
  <c r="AQ15" i="1" s="1"/>
  <c r="AS15" i="1" s="1"/>
  <c r="AK1" i="1"/>
  <c r="X4" i="1"/>
  <c r="Z4" i="1" s="1"/>
  <c r="AQ20" i="1"/>
  <c r="AS20" i="1" s="1"/>
  <c r="X9" i="1"/>
  <c r="Z9" i="1" s="1"/>
  <c r="AQ9" i="1" s="1"/>
  <c r="AS9" i="1" s="1"/>
  <c r="D18" i="9"/>
  <c r="D19" i="9"/>
  <c r="AV13" i="1"/>
  <c r="AS17" i="1" l="1"/>
  <c r="AS10" i="1"/>
  <c r="AS36" i="1"/>
  <c r="AV14" i="1"/>
  <c r="AV33" i="1"/>
  <c r="AS21" i="1"/>
  <c r="AV28" i="1"/>
  <c r="AS19" i="1"/>
  <c r="AS30" i="1"/>
  <c r="AV7" i="1"/>
  <c r="AS34" i="1"/>
  <c r="AV25" i="1"/>
  <c r="AS24" i="1"/>
  <c r="AS22" i="1"/>
  <c r="AQ4" i="1"/>
  <c r="AV4" i="1" s="1"/>
  <c r="AV11" i="1"/>
  <c r="AS12" i="1"/>
  <c r="AV18" i="1"/>
  <c r="AS23" i="1"/>
  <c r="D14" i="9"/>
  <c r="D15" i="9" s="1"/>
  <c r="D16" i="9" s="1"/>
  <c r="AS26" i="1"/>
  <c r="AS6" i="1"/>
  <c r="AS29" i="1"/>
  <c r="AV29" i="1"/>
  <c r="AS31" i="1"/>
  <c r="AS8" i="1"/>
  <c r="Z1" i="1"/>
  <c r="E4" i="9"/>
  <c r="E8" i="9" s="1"/>
  <c r="E9" i="9" s="1"/>
  <c r="E10" i="9" s="1"/>
  <c r="E23" i="9" s="1"/>
  <c r="AV15" i="1"/>
  <c r="X1" i="1"/>
  <c r="AV20" i="1"/>
  <c r="AS16" i="1"/>
  <c r="AV9" i="1"/>
  <c r="AS5" i="1"/>
  <c r="D20" i="9"/>
  <c r="AV5" i="1"/>
  <c r="AQ1" i="1" l="1"/>
  <c r="AS4" i="1"/>
  <c r="AS1" i="1" s="1"/>
  <c r="AV1" i="1"/>
  <c r="D21" i="9"/>
  <c r="D22" i="9" s="1"/>
  <c r="D4" i="9" l="1"/>
  <c r="D8" i="9" s="1"/>
  <c r="D9" i="9" s="1"/>
  <c r="D10" i="9" s="1"/>
  <c r="D23" i="9" s="1"/>
</calcChain>
</file>

<file path=xl/comments1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comments2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comments3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sharedStrings.xml><?xml version="1.0" encoding="utf-8"?>
<sst xmlns="http://schemas.openxmlformats.org/spreadsheetml/2006/main" count="1875" uniqueCount="502">
  <si>
    <t>姓名</t>
  </si>
  <si>
    <t>吕金吉</t>
  </si>
  <si>
    <t>冯伟</t>
  </si>
  <si>
    <t>韩金亮</t>
  </si>
  <si>
    <t>130821199905146019</t>
  </si>
  <si>
    <t>412827199808210557</t>
  </si>
  <si>
    <t>130227198705054815</t>
  </si>
  <si>
    <t>序号</t>
  </si>
  <si>
    <t>客户简称</t>
  </si>
  <si>
    <t>*姓名</t>
  </si>
  <si>
    <t>*身份证号码</t>
  </si>
  <si>
    <t>*性别</t>
  </si>
  <si>
    <t>*联系电话</t>
  </si>
  <si>
    <t>入职日期</t>
  </si>
  <si>
    <t>离职日期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</si>
  <si>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</si>
  <si>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</si>
  <si>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</si>
  <si>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</si>
  <si>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</si>
  <si>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</si>
  <si>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</si>
  <si>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净工资</t>
  </si>
  <si>
    <t>其他税后调整</t>
  </si>
  <si>
    <t>实发工资</t>
  </si>
  <si>
    <t>服务费</t>
  </si>
  <si>
    <t>身份证号码验证</t>
  </si>
  <si>
    <t>养老个人</t>
  </si>
  <si>
    <t>医疗个人</t>
  </si>
  <si>
    <t>失业个人</t>
  </si>
  <si>
    <t>公积金个人</t>
  </si>
  <si>
    <t>大病医疗</t>
  </si>
  <si>
    <t>412724199710057916</t>
  </si>
  <si>
    <t>马志伟</t>
  </si>
  <si>
    <t>141125199606160072</t>
  </si>
  <si>
    <t>徐文洋</t>
  </si>
  <si>
    <t>130823200009026519</t>
  </si>
  <si>
    <t>132201199308201220</t>
  </si>
  <si>
    <t>姚聪</t>
  </si>
  <si>
    <t>142724199311042121</t>
  </si>
  <si>
    <t>周江</t>
  </si>
  <si>
    <t>421222200004074811</t>
  </si>
  <si>
    <t>李成飞</t>
  </si>
  <si>
    <t>340323198606126974</t>
  </si>
  <si>
    <t>李凯</t>
  </si>
  <si>
    <t>340621199101107530</t>
  </si>
  <si>
    <t>王诗武</t>
  </si>
  <si>
    <t>340828198701242518</t>
  </si>
  <si>
    <t>张健康</t>
  </si>
  <si>
    <t>342401199308125299</t>
  </si>
  <si>
    <t>操汪炎</t>
  </si>
  <si>
    <t>340824199310111413</t>
  </si>
  <si>
    <t>秦松</t>
  </si>
  <si>
    <t>340826199507318912</t>
  </si>
  <si>
    <t>王笑飞</t>
  </si>
  <si>
    <t>341224199206198211</t>
  </si>
  <si>
    <t>吴胜</t>
  </si>
  <si>
    <t>340881199006102632</t>
  </si>
  <si>
    <t>于森</t>
  </si>
  <si>
    <t>342221199307075538</t>
  </si>
  <si>
    <t>智慧融科</t>
    <phoneticPr fontId="2" type="noConversion"/>
  </si>
  <si>
    <t>参保地</t>
    <phoneticPr fontId="2" type="noConversion"/>
  </si>
  <si>
    <t>北京</t>
    <phoneticPr fontId="2" type="noConversion"/>
  </si>
  <si>
    <t>合肥</t>
  </si>
  <si>
    <t>合肥</t>
    <phoneticPr fontId="2" type="noConversion"/>
  </si>
  <si>
    <t>福州</t>
  </si>
  <si>
    <t>福州</t>
    <phoneticPr fontId="2" type="noConversion"/>
  </si>
  <si>
    <t>公司</t>
  </si>
  <si>
    <t>养老单位</t>
  </si>
  <si>
    <t>失业单位</t>
  </si>
  <si>
    <t>工伤单位</t>
  </si>
  <si>
    <t>医疗单位</t>
  </si>
  <si>
    <t>个人大病</t>
  </si>
  <si>
    <t>公积金单位</t>
  </si>
  <si>
    <t>北京</t>
    <phoneticPr fontId="2" type="noConversion"/>
  </si>
  <si>
    <t>城市</t>
  </si>
  <si>
    <t>险种</t>
  </si>
  <si>
    <t>增减类型</t>
  </si>
  <si>
    <t>增员截止时间</t>
  </si>
  <si>
    <t>企业缴纳比例</t>
  </si>
  <si>
    <t>企业缴纳常量</t>
  </si>
  <si>
    <t>个人缴纳比例</t>
  </si>
  <si>
    <t>个人缴纳常量</t>
  </si>
  <si>
    <t>企业最高基数</t>
  </si>
  <si>
    <t>企业最低基数</t>
  </si>
  <si>
    <t>个人最高基数</t>
  </si>
  <si>
    <t>个人最低基数</t>
  </si>
  <si>
    <t>补缴月数</t>
  </si>
  <si>
    <t>增员材料</t>
  </si>
  <si>
    <t>养老保险</t>
  </si>
  <si>
    <t>当月增当月，当月减当月</t>
  </si>
  <si>
    <t xml:space="preserve"> 17日</t>
  </si>
  <si>
    <t>0.16</t>
  </si>
  <si>
    <t>18379</t>
  </si>
  <si>
    <t>1800</t>
  </si>
  <si>
    <t>正确身份证号码所对应的姓名。身份证扫面件 备注：减员截点时间是18号减养老失业工伤公积金，减当月，医疗生育减员截点时间是23号减次月 医疗生育当月操作当月生效次月扣款并补缴单月。当月操作增减员不产生费用</t>
  </si>
  <si>
    <t>医疗保险</t>
  </si>
  <si>
    <t>当月增当月，当月减次月</t>
  </si>
  <si>
    <t>0.08</t>
  </si>
  <si>
    <t>3676</t>
  </si>
  <si>
    <t>失业保险</t>
  </si>
  <si>
    <t>0.005</t>
  </si>
  <si>
    <t>工伤保险</t>
  </si>
  <si>
    <t>0.0035</t>
  </si>
  <si>
    <t xml:space="preserve"> 17442</t>
  </si>
  <si>
    <t>3488.4</t>
  </si>
  <si>
    <t>生育保险</t>
  </si>
  <si>
    <t xml:space="preserve"> 0.007</t>
  </si>
  <si>
    <t>公积金</t>
  </si>
  <si>
    <t>5%</t>
  </si>
  <si>
    <t xml:space="preserve">24120 </t>
  </si>
  <si>
    <t>1720</t>
  </si>
  <si>
    <t>7%</t>
  </si>
  <si>
    <t>12%</t>
  </si>
  <si>
    <t>增减类型</t>
    <phoneticPr fontId="2" type="noConversion"/>
  </si>
  <si>
    <t>当月增次月，当月减次月</t>
  </si>
  <si>
    <t xml:space="preserve"> 18日</t>
  </si>
  <si>
    <t>17925.42</t>
  </si>
  <si>
    <t>3429.11</t>
  </si>
  <si>
    <t>身份证复印件、一寸白底彩照一张</t>
  </si>
  <si>
    <t>0.064</t>
  </si>
  <si>
    <t>0.002</t>
  </si>
  <si>
    <t>大病</t>
  </si>
  <si>
    <t>15</t>
  </si>
  <si>
    <t>24207</t>
  </si>
  <si>
    <t>1650</t>
  </si>
  <si>
    <t>合肥2</t>
    <phoneticPr fontId="2" type="noConversion"/>
  </si>
  <si>
    <t>当月增当月，当月减当月（生育医疗当月减次月）</t>
    <phoneticPr fontId="2" type="noConversion"/>
  </si>
  <si>
    <t>公民身分证号码</t>
  </si>
  <si>
    <t>养老基数</t>
  </si>
  <si>
    <t>失业基数</t>
  </si>
  <si>
    <t>工伤基数</t>
  </si>
  <si>
    <t>医疗基数</t>
  </si>
  <si>
    <t xml:space="preserve">公积金基数 </t>
  </si>
  <si>
    <t>应发工资</t>
    <phoneticPr fontId="2" type="noConversion"/>
  </si>
  <si>
    <t>客户简称</t>
    <phoneticPr fontId="2" type="noConversion"/>
  </si>
  <si>
    <t>缴费城市</t>
    <phoneticPr fontId="2" type="noConversion"/>
  </si>
  <si>
    <t>服务费</t>
    <phoneticPr fontId="2" type="noConversion"/>
  </si>
  <si>
    <t>范冰澎</t>
    <phoneticPr fontId="2" type="noConversion"/>
  </si>
  <si>
    <t>出生日期</t>
    <phoneticPr fontId="2" type="noConversion"/>
  </si>
  <si>
    <t>个税</t>
  </si>
  <si>
    <t>需支付费用（含税）</t>
    <phoneticPr fontId="2" type="noConversion"/>
  </si>
  <si>
    <t>盖春歌</t>
    <phoneticPr fontId="2" type="noConversion"/>
  </si>
  <si>
    <t>盖春歌</t>
    <phoneticPr fontId="2" type="noConversion"/>
  </si>
  <si>
    <t>范冰澎</t>
    <phoneticPr fontId="2" type="noConversion"/>
  </si>
  <si>
    <t>企业应支付费用合计（税前）</t>
    <phoneticPr fontId="2" type="noConversion"/>
  </si>
  <si>
    <t>银行手续费</t>
    <phoneticPr fontId="2" type="noConversion"/>
  </si>
  <si>
    <t>平安银行</t>
  </si>
  <si>
    <t>农行北京曙光支行</t>
  </si>
  <si>
    <t>农业银行</t>
  </si>
  <si>
    <t>中国农业银行股份有限公司邯郸滏西南大街分理处</t>
  </si>
  <si>
    <t>招商银行</t>
  </si>
  <si>
    <t>招商银行北京分行圆明园西路</t>
  </si>
  <si>
    <t>招商银行北京常营支行</t>
  </si>
  <si>
    <t>交通银行北京自贸试验区永丰支行</t>
  </si>
  <si>
    <t>交通银行</t>
  </si>
  <si>
    <t>平安银行合肥经开区支行</t>
  </si>
  <si>
    <t>6230521720016259673</t>
  </si>
  <si>
    <t>6214831053101116</t>
  </si>
  <si>
    <t>6214830172698242</t>
  </si>
  <si>
    <t>6222620910057797478</t>
  </si>
  <si>
    <t>开户行信息</t>
    <phoneticPr fontId="2" type="noConversion"/>
  </si>
  <si>
    <t>开户银行名称</t>
    <phoneticPr fontId="2" type="noConversion"/>
  </si>
  <si>
    <t>累计子女教育支出扣除</t>
  </si>
  <si>
    <t>累计继续教育支出扣除</t>
  </si>
  <si>
    <t>累计住房贷款利息支出扣除</t>
  </si>
  <si>
    <t>累计住房租金支出扣除</t>
  </si>
  <si>
    <t>累计赡养老人支出扣除</t>
  </si>
  <si>
    <t>工号</t>
  </si>
  <si>
    <t>证件类型</t>
  </si>
  <si>
    <t>证件号码</t>
  </si>
  <si>
    <t>税款所属期起</t>
  </si>
  <si>
    <t>税款所属期止</t>
  </si>
  <si>
    <t>所得项目</t>
  </si>
  <si>
    <t>本期收入</t>
  </si>
  <si>
    <t>本期费用</t>
  </si>
  <si>
    <t>本期免税收入</t>
  </si>
  <si>
    <t>本期基本养老保险费</t>
  </si>
  <si>
    <t>本期基本医疗保险费</t>
  </si>
  <si>
    <t>本期失业保险费</t>
  </si>
  <si>
    <t>本期住房公积金</t>
  </si>
  <si>
    <t>本期企业(职业)年金</t>
  </si>
  <si>
    <t>本期商业健康保险费</t>
  </si>
  <si>
    <t>本期税延养老保险费</t>
  </si>
  <si>
    <t>本期其他扣除(其他)</t>
  </si>
  <si>
    <t>累计免税收入</t>
  </si>
  <si>
    <t>累计准予扣除的捐赠</t>
  </si>
  <si>
    <t>累计应纳税所得额</t>
  </si>
  <si>
    <t>税率</t>
  </si>
  <si>
    <t>速算扣除数</t>
  </si>
  <si>
    <t>累计应纳税额</t>
  </si>
  <si>
    <t>累计减免税额</t>
  </si>
  <si>
    <t>累计应扣缴税额</t>
  </si>
  <si>
    <t>累计已预缴税额</t>
  </si>
  <si>
    <t>累计应补(退)税额</t>
  </si>
  <si>
    <t>备注</t>
  </si>
  <si>
    <t/>
  </si>
  <si>
    <t>居民身份证</t>
  </si>
  <si>
    <t>正常工资薪金</t>
  </si>
  <si>
    <t>范冰澎</t>
  </si>
  <si>
    <t>盖春歌</t>
  </si>
  <si>
    <t>员工实发工资</t>
    <phoneticPr fontId="2" type="noConversion"/>
  </si>
  <si>
    <t>单位大病</t>
    <phoneticPr fontId="2" type="noConversion"/>
  </si>
  <si>
    <t>6222620910057473468</t>
    <phoneticPr fontId="2" type="noConversion"/>
  </si>
  <si>
    <t>交通银行北京兴华大街支行</t>
    <phoneticPr fontId="2" type="noConversion"/>
  </si>
  <si>
    <t>6222620910057473476</t>
    <phoneticPr fontId="2" type="noConversion"/>
  </si>
  <si>
    <t>6217000010156167879</t>
  </si>
  <si>
    <t>建设银行</t>
  </si>
  <si>
    <t>建设银行北京西红门支行</t>
    <phoneticPr fontId="2" type="noConversion"/>
  </si>
  <si>
    <t>6228480019040027377</t>
    <phoneticPr fontId="7" type="noConversion"/>
  </si>
  <si>
    <t>6214836012550188</t>
  </si>
  <si>
    <t>招商银行福州分行白马支行</t>
    <phoneticPr fontId="2" type="noConversion"/>
  </si>
  <si>
    <t>6214835499497715</t>
  </si>
  <si>
    <t>招商银行高新区支行</t>
  </si>
  <si>
    <t>6214835495617746</t>
  </si>
  <si>
    <t>招商银行合肥分行南七支行</t>
  </si>
  <si>
    <t>6225880160071339</t>
  </si>
  <si>
    <t>招商银行北京分行大运村支行</t>
  </si>
  <si>
    <t>6217856300036425414</t>
  </si>
  <si>
    <t>中国银行</t>
    <phoneticPr fontId="2" type="noConversion"/>
  </si>
  <si>
    <t>中国银行合肥政府广场支行</t>
    <phoneticPr fontId="2" type="noConversion"/>
  </si>
  <si>
    <t>6230580000327022104</t>
    <phoneticPr fontId="2" type="noConversion"/>
  </si>
  <si>
    <t>6214835515640959</t>
  </si>
  <si>
    <t>招商银行合肥分行高新区支行</t>
  </si>
  <si>
    <t>6222620250005047795</t>
    <phoneticPr fontId="2" type="noConversion"/>
  </si>
  <si>
    <t>交通银行合肥滨湖支行</t>
  </si>
  <si>
    <t>6214835511496612</t>
  </si>
  <si>
    <t>招商银行合肥分行创新大道支行</t>
  </si>
  <si>
    <t>6214835474458013</t>
  </si>
  <si>
    <t>招商银行合肥繁华大道支行</t>
  </si>
  <si>
    <t>赵云峰</t>
  </si>
  <si>
    <t>342601199310204632</t>
  </si>
  <si>
    <t>郭正荣</t>
  </si>
  <si>
    <t>340825199510124311</t>
  </si>
  <si>
    <t>王润</t>
  </si>
  <si>
    <t>智慧融科</t>
    <phoneticPr fontId="2" type="noConversion"/>
  </si>
  <si>
    <t>合肥</t>
    <phoneticPr fontId="2" type="noConversion"/>
  </si>
  <si>
    <t>缴费起始时间</t>
    <phoneticPr fontId="2" type="noConversion"/>
  </si>
  <si>
    <t>本月账单时间</t>
    <phoneticPr fontId="2" type="noConversion"/>
  </si>
  <si>
    <t>服务费</t>
    <phoneticPr fontId="2" type="noConversion"/>
  </si>
  <si>
    <t>社保、公积金</t>
    <phoneticPr fontId="2" type="noConversion"/>
  </si>
  <si>
    <t>工资、管理服务费</t>
    <phoneticPr fontId="2" type="noConversion"/>
  </si>
  <si>
    <t>小计</t>
    <phoneticPr fontId="2" type="noConversion"/>
  </si>
  <si>
    <t>税金(6.72%)</t>
    <phoneticPr fontId="2" type="noConversion"/>
  </si>
  <si>
    <t xml:space="preserve">2022年    </t>
    <phoneticPr fontId="2" type="noConversion"/>
  </si>
  <si>
    <t>月账单</t>
    <phoneticPr fontId="2" type="noConversion"/>
  </si>
  <si>
    <t>备注</t>
    <phoneticPr fontId="2" type="noConversion"/>
  </si>
  <si>
    <t>社保（单位+个人）</t>
    <phoneticPr fontId="2" type="noConversion"/>
  </si>
  <si>
    <t>公积金（单位+个人）</t>
    <phoneticPr fontId="2" type="noConversion"/>
  </si>
  <si>
    <t>社保(单位+个人）</t>
    <phoneticPr fontId="2" type="noConversion"/>
  </si>
  <si>
    <t>公积金(单位+个人）</t>
    <phoneticPr fontId="2" type="noConversion"/>
  </si>
  <si>
    <t>社保合计</t>
  </si>
  <si>
    <t>社保个人合计</t>
    <phoneticPr fontId="2" type="noConversion"/>
  </si>
  <si>
    <t>社保单位</t>
    <phoneticPr fontId="2" type="noConversion"/>
  </si>
  <si>
    <t>社保个人</t>
  </si>
  <si>
    <t>社保个人</t>
    <phoneticPr fontId="2" type="noConversion"/>
  </si>
  <si>
    <t>缴费公司</t>
    <phoneticPr fontId="2" type="noConversion"/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</si>
  <si>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</si>
  <si>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</si>
  <si>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</si>
  <si>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</si>
  <si>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</si>
  <si>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</si>
  <si>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</si>
  <si>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</si>
  <si>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</si>
  <si>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</si>
  <si>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住房公积金</t>
  </si>
  <si>
    <t>补充医疗保险</t>
  </si>
  <si>
    <t>缴纳小计</t>
  </si>
  <si>
    <t>公积金合计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</si>
  <si>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</si>
  <si>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</si>
  <si>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</si>
  <si>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</si>
  <si>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</si>
  <si>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</si>
  <si>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</si>
  <si>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金额</t>
  </si>
  <si>
    <t>个人</t>
  </si>
  <si>
    <t>社保公司</t>
  </si>
  <si>
    <t>公积金公司</t>
  </si>
  <si>
    <t>小计</t>
  </si>
  <si>
    <t>北京创联致信科技有限公司海淀分公司</t>
  </si>
  <si>
    <t>代理</t>
  </si>
  <si>
    <t>易才</t>
  </si>
  <si>
    <t>202203</t>
  </si>
  <si>
    <t>2月付3月</t>
    <phoneticPr fontId="2" type="noConversion"/>
  </si>
  <si>
    <t>社保公积金合计</t>
    <phoneticPr fontId="2" type="noConversion"/>
  </si>
  <si>
    <t>基本工资比例</t>
  </si>
  <si>
    <t>浮动工资比例</t>
  </si>
  <si>
    <t>基本工资</t>
  </si>
  <si>
    <t>月度绩效工资</t>
  </si>
  <si>
    <t>入职当月考勤调整</t>
  </si>
  <si>
    <t>补助</t>
  </si>
  <si>
    <t>体检费</t>
  </si>
  <si>
    <t>跟投扣除</t>
  </si>
  <si>
    <t>参保地</t>
  </si>
  <si>
    <t>年薪</t>
  </si>
  <si>
    <t>应发合计</t>
  </si>
  <si>
    <t>北京</t>
  </si>
  <si>
    <t>张静</t>
  </si>
  <si>
    <t>总计金额</t>
    <phoneticPr fontId="2" type="noConversion"/>
  </si>
  <si>
    <t>交通银行</t>
    <phoneticPr fontId="2" type="noConversion"/>
  </si>
  <si>
    <t>342427198605132216</t>
  </si>
  <si>
    <t>342427198605132216</t>
    <phoneticPr fontId="2" type="noConversion"/>
  </si>
  <si>
    <t>511221198205020014</t>
  </si>
  <si>
    <t>18856890927</t>
  </si>
  <si>
    <t>13395519887</t>
  </si>
  <si>
    <t>18911192317</t>
  </si>
  <si>
    <t>6226220221161895</t>
    <phoneticPr fontId="2" type="noConversion"/>
  </si>
  <si>
    <t>中国民生银行股份有限公司上海市北支行</t>
    <phoneticPr fontId="2" type="noConversion"/>
  </si>
  <si>
    <t>民生银行</t>
    <phoneticPr fontId="2" type="noConversion"/>
  </si>
  <si>
    <t>6222620250019452635</t>
    <phoneticPr fontId="2" type="noConversion"/>
  </si>
  <si>
    <t>交通银行合肥高新区支行</t>
    <phoneticPr fontId="2" type="noConversion"/>
  </si>
  <si>
    <t>6222620250020066820</t>
  </si>
  <si>
    <t>交通银行合肥滨湖新区支行</t>
  </si>
  <si>
    <t>银行帐号</t>
    <phoneticPr fontId="2" type="noConversion"/>
  </si>
  <si>
    <t>光大银行</t>
  </si>
  <si>
    <t>新源支行</t>
  </si>
  <si>
    <t>翼水数科</t>
    <phoneticPr fontId="2" type="noConversion"/>
  </si>
  <si>
    <t>北京</t>
    <phoneticPr fontId="2" type="noConversion"/>
  </si>
  <si>
    <t>511221198205020014</t>
    <phoneticPr fontId="2" type="noConversion"/>
  </si>
  <si>
    <t>性别</t>
  </si>
  <si>
    <t>出生日期</t>
  </si>
  <si>
    <t>联系电话</t>
  </si>
  <si>
    <t>应发工资</t>
  </si>
  <si>
    <t>社保个人合计</t>
  </si>
  <si>
    <t>社保公积金合计</t>
  </si>
  <si>
    <t>员工实发工资</t>
  </si>
  <si>
    <t>银行手续费</t>
  </si>
  <si>
    <t>企业应支付费用合计（税前）</t>
  </si>
  <si>
    <t>银行帐号</t>
  </si>
  <si>
    <t>开户银行名称</t>
  </si>
  <si>
    <t>开户行信息</t>
  </si>
  <si>
    <t>翼水数科</t>
    <phoneticPr fontId="2" type="noConversion"/>
  </si>
  <si>
    <t>伍申</t>
  </si>
  <si>
    <t>汪积烊</t>
  </si>
  <si>
    <t>342623199602135016</t>
    <phoneticPr fontId="2" type="noConversion"/>
  </si>
  <si>
    <t>342623199602135016</t>
    <phoneticPr fontId="2" type="noConversion"/>
  </si>
  <si>
    <t>340123199109103150</t>
    <phoneticPr fontId="2" type="noConversion"/>
  </si>
  <si>
    <t>预付费用</t>
    <phoneticPr fontId="2" type="noConversion"/>
  </si>
  <si>
    <t>身份证号</t>
  </si>
  <si>
    <t>入职时间</t>
  </si>
  <si>
    <t>人员类别</t>
  </si>
  <si>
    <t>项目编号</t>
  </si>
  <si>
    <t>项目名称</t>
  </si>
  <si>
    <t>二级部门</t>
  </si>
  <si>
    <t>岗位</t>
  </si>
  <si>
    <t>月薪</t>
  </si>
  <si>
    <t>34112619950926691X</t>
  </si>
  <si>
    <t>李硕</t>
  </si>
  <si>
    <t>342623199602135016</t>
  </si>
  <si>
    <t>340123199109103150</t>
  </si>
  <si>
    <t>其他</t>
    <phoneticPr fontId="2" type="noConversion"/>
  </si>
  <si>
    <t>202204</t>
  </si>
  <si>
    <t>3月付4月</t>
    <phoneticPr fontId="2" type="noConversion"/>
  </si>
  <si>
    <t>342427198605132246</t>
  </si>
  <si>
    <t>补缴</t>
  </si>
  <si>
    <t>分项合计</t>
  </si>
  <si>
    <t>202202</t>
    <phoneticPr fontId="2" type="noConversion"/>
  </si>
  <si>
    <t>202202</t>
    <phoneticPr fontId="2" type="noConversion"/>
  </si>
  <si>
    <t>闫驰</t>
  </si>
  <si>
    <t>黄震</t>
  </si>
  <si>
    <t>章柏顺</t>
  </si>
  <si>
    <t>杨大帅</t>
  </si>
  <si>
    <t>罗志远</t>
  </si>
  <si>
    <t>吴其峰</t>
  </si>
  <si>
    <t>田志民</t>
  </si>
  <si>
    <t>潘浪</t>
  </si>
  <si>
    <t>王龙</t>
  </si>
  <si>
    <t>侯佩宏</t>
  </si>
  <si>
    <t>北京</t>
    <phoneticPr fontId="2" type="noConversion"/>
  </si>
  <si>
    <t>340121198905029134</t>
    <phoneticPr fontId="2" type="noConversion"/>
  </si>
  <si>
    <t>340402199709200215</t>
    <phoneticPr fontId="2" type="noConversion"/>
  </si>
  <si>
    <t>340123199310161096</t>
    <phoneticPr fontId="2" type="noConversion"/>
  </si>
  <si>
    <t>341126199411113210</t>
    <phoneticPr fontId="2" type="noConversion"/>
  </si>
  <si>
    <t>342401199211201873</t>
    <phoneticPr fontId="2" type="noConversion"/>
  </si>
  <si>
    <t>340823199507302532</t>
    <phoneticPr fontId="2" type="noConversion"/>
  </si>
  <si>
    <t>341203199512023119</t>
    <phoneticPr fontId="2" type="noConversion"/>
  </si>
  <si>
    <t>34010319911128301X</t>
    <phoneticPr fontId="2" type="noConversion"/>
  </si>
  <si>
    <t>411321199311303911</t>
    <phoneticPr fontId="2" type="noConversion"/>
  </si>
  <si>
    <t>410521199304221512</t>
    <phoneticPr fontId="2" type="noConversion"/>
  </si>
  <si>
    <t>社保、公积金（5月预付款）</t>
    <phoneticPr fontId="2" type="noConversion"/>
  </si>
  <si>
    <t>6214835514662699</t>
    <phoneticPr fontId="2" type="noConversion"/>
  </si>
  <si>
    <t>招商银行</t>
    <phoneticPr fontId="2" type="noConversion"/>
  </si>
  <si>
    <t>6217001240029769960</t>
    <phoneticPr fontId="2" type="noConversion"/>
  </si>
  <si>
    <t>招商银行合肥市高新区支行</t>
    <phoneticPr fontId="2" type="noConversion"/>
  </si>
  <si>
    <t>建设银行江苏无锡落霞苑支行</t>
    <phoneticPr fontId="2" type="noConversion"/>
  </si>
  <si>
    <t>建设银行</t>
    <phoneticPr fontId="2" type="noConversion"/>
  </si>
  <si>
    <t>15055162305</t>
  </si>
  <si>
    <t>18255403861</t>
  </si>
  <si>
    <t>14755159042</t>
  </si>
  <si>
    <t>18862807411</t>
  </si>
  <si>
    <t>18762961264</t>
  </si>
  <si>
    <t>17356922898</t>
  </si>
  <si>
    <t>18815592988</t>
  </si>
  <si>
    <t>18963715485</t>
  </si>
  <si>
    <t>15726618328</t>
  </si>
  <si>
    <t>18201058540</t>
  </si>
  <si>
    <t>翼水数科</t>
    <phoneticPr fontId="2" type="noConversion"/>
  </si>
  <si>
    <t>511221198205020014</t>
    <phoneticPr fontId="2" type="noConversion"/>
  </si>
  <si>
    <t>6214920203081714</t>
    <phoneticPr fontId="2" type="noConversion"/>
  </si>
  <si>
    <t>光大银行</t>
    <phoneticPr fontId="2" type="noConversion"/>
  </si>
  <si>
    <t>光大银行新源支行</t>
    <phoneticPr fontId="2" type="noConversion"/>
  </si>
  <si>
    <t>智慧融科</t>
    <phoneticPr fontId="2" type="noConversion"/>
  </si>
  <si>
    <t>340402199709200215</t>
    <phoneticPr fontId="2" type="noConversion"/>
  </si>
  <si>
    <t>340123199310161096</t>
    <phoneticPr fontId="2" type="noConversion"/>
  </si>
  <si>
    <t>341126199411113210</t>
    <phoneticPr fontId="2" type="noConversion"/>
  </si>
  <si>
    <t>智慧融科</t>
    <phoneticPr fontId="2" type="noConversion"/>
  </si>
  <si>
    <t>342401199211201873</t>
    <phoneticPr fontId="2" type="noConversion"/>
  </si>
  <si>
    <t>341203199512023119</t>
    <phoneticPr fontId="2" type="noConversion"/>
  </si>
  <si>
    <t>34010319911128301X</t>
    <phoneticPr fontId="2" type="noConversion"/>
  </si>
  <si>
    <t>411321199311303911</t>
    <phoneticPr fontId="2" type="noConversion"/>
  </si>
  <si>
    <t>410521199304221512</t>
    <phoneticPr fontId="2" type="noConversion"/>
  </si>
  <si>
    <t>340823199507302532</t>
    <phoneticPr fontId="2" type="noConversion"/>
  </si>
  <si>
    <t>6214835470445907</t>
    <phoneticPr fontId="2" type="noConversion"/>
  </si>
  <si>
    <t>兴业银行</t>
    <phoneticPr fontId="2" type="noConversion"/>
  </si>
  <si>
    <t>招商银行合肥南七支行</t>
  </si>
  <si>
    <t>6236681540018836663</t>
  </si>
  <si>
    <t>622​908493067870619</t>
  </si>
  <si>
    <t>兴业银行合肥长江中路支行</t>
  </si>
  <si>
    <t>6222600340005534811</t>
  </si>
  <si>
    <t>6217001630059198603</t>
  </si>
  <si>
    <t>中国建设银行股份有限公司合肥华侨城支行</t>
  </si>
  <si>
    <t>6222620250014707546</t>
  </si>
  <si>
    <t>交通银行合肥繁华支行</t>
  </si>
  <si>
    <t>6222031302003101521</t>
  </si>
  <si>
    <t>6222620910058248042</t>
    <phoneticPr fontId="2" type="noConversion"/>
  </si>
  <si>
    <t>交通银行北京兴华大街支行</t>
  </si>
  <si>
    <t>交通银行长春明珠支行</t>
    <phoneticPr fontId="2" type="noConversion"/>
  </si>
  <si>
    <t>中国建设银行杭州吴山支行</t>
    <phoneticPr fontId="2" type="noConversion"/>
  </si>
  <si>
    <t>工商银行</t>
    <phoneticPr fontId="2" type="noConversion"/>
  </si>
  <si>
    <t>工商银行合肥五里墩支行</t>
    <phoneticPr fontId="2" type="noConversion"/>
  </si>
  <si>
    <t>410521199304221512</t>
  </si>
  <si>
    <t>34010319911128301X</t>
  </si>
  <si>
    <t>341203199512023119</t>
  </si>
  <si>
    <t>342401199211201873</t>
  </si>
  <si>
    <t>340121198905029134</t>
  </si>
  <si>
    <t>340402199709200215</t>
  </si>
  <si>
    <t>340823199507302532</t>
  </si>
  <si>
    <t>341126199411113210</t>
  </si>
  <si>
    <t>411321199311303911</t>
  </si>
  <si>
    <t>340123199310161096</t>
  </si>
  <si>
    <t>智慧融科</t>
    <phoneticPr fontId="2" type="noConversion"/>
  </si>
  <si>
    <t>李硕</t>
    <phoneticPr fontId="2" type="noConversion"/>
  </si>
  <si>
    <t>34112619950926691X</t>
    <phoneticPr fontId="2" type="noConversion"/>
  </si>
  <si>
    <t>累计3岁以下婴幼儿照护</t>
  </si>
  <si>
    <t>6216696300002481314</t>
    <phoneticPr fontId="2" type="noConversion"/>
  </si>
  <si>
    <t>中国银行</t>
    <phoneticPr fontId="2" type="noConversion"/>
  </si>
  <si>
    <t>6222620250014519677</t>
    <phoneticPr fontId="2" type="noConversion"/>
  </si>
  <si>
    <t>交通银行合肥合裕路支行</t>
    <phoneticPr fontId="2" type="noConversion"/>
  </si>
  <si>
    <t>6222620910058248059</t>
    <phoneticPr fontId="2" type="noConversion"/>
  </si>
  <si>
    <t>431027199109072019</t>
  </si>
  <si>
    <t>411323199002036330</t>
  </si>
  <si>
    <t>511113198906072313</t>
  </si>
  <si>
    <t>342623199303201925</t>
  </si>
  <si>
    <t>福州</t>
    <phoneticPr fontId="2" type="noConversion"/>
  </si>
  <si>
    <t>智慧融科</t>
    <phoneticPr fontId="2" type="noConversion"/>
  </si>
  <si>
    <t>34112619950926691X</t>
    <phoneticPr fontId="2" type="noConversion"/>
  </si>
  <si>
    <t>合肥</t>
    <phoneticPr fontId="2" type="noConversion"/>
  </si>
  <si>
    <t>预付费用</t>
    <phoneticPr fontId="2" type="noConversion"/>
  </si>
  <si>
    <t>431027199109072019</t>
    <phoneticPr fontId="2" type="noConversion"/>
  </si>
  <si>
    <t>411323199002036330</t>
    <phoneticPr fontId="2" type="noConversion"/>
  </si>
  <si>
    <t>北京</t>
    <phoneticPr fontId="2" type="noConversion"/>
  </si>
  <si>
    <t>511113198906072313</t>
    <phoneticPr fontId="2" type="noConversion"/>
  </si>
  <si>
    <t>342623199303201925</t>
    <phoneticPr fontId="2" type="noConversion"/>
  </si>
  <si>
    <t>钟坤</t>
    <phoneticPr fontId="2" type="noConversion"/>
  </si>
  <si>
    <t>王柳</t>
    <phoneticPr fontId="2" type="noConversion"/>
  </si>
  <si>
    <t>胡永康</t>
    <phoneticPr fontId="2" type="noConversion"/>
  </si>
  <si>
    <t>陈蓉</t>
    <phoneticPr fontId="2" type="noConversion"/>
  </si>
  <si>
    <t>钟坤</t>
  </si>
  <si>
    <t>王柳</t>
  </si>
  <si>
    <t>胡永康</t>
  </si>
  <si>
    <t>陈蓉</t>
  </si>
  <si>
    <t>其他工资</t>
  </si>
  <si>
    <t>6225880154917943</t>
  </si>
  <si>
    <t>6214831000499266</t>
  </si>
  <si>
    <t>6214830167177848</t>
  </si>
  <si>
    <t>6217000010165463707</t>
  </si>
  <si>
    <t>招商银行</t>
    <phoneticPr fontId="2" type="noConversion"/>
  </si>
  <si>
    <t>中国建设银行</t>
    <phoneticPr fontId="2" type="noConversion"/>
  </si>
  <si>
    <t>中国银行安徽分行</t>
    <phoneticPr fontId="2" type="noConversion"/>
  </si>
  <si>
    <t>招商银行北京分行华贸中心支行</t>
    <phoneticPr fontId="2" type="noConversion"/>
  </si>
  <si>
    <t>招商银行北京分行慧忠北里支行</t>
    <phoneticPr fontId="2" type="noConversion"/>
  </si>
  <si>
    <t>招商银行北京分行方庄支行</t>
    <phoneticPr fontId="2" type="noConversion"/>
  </si>
  <si>
    <t>中国建设银行股份有限公司北京西红门支行</t>
    <phoneticPr fontId="2" type="noConversion"/>
  </si>
  <si>
    <t>刘浪</t>
    <phoneticPr fontId="2" type="noConversion"/>
  </si>
  <si>
    <t>430621199109109030</t>
    <phoneticPr fontId="2" type="noConversion"/>
  </si>
  <si>
    <t>北京</t>
    <phoneticPr fontId="2" type="noConversion"/>
  </si>
  <si>
    <t>当月增员费用</t>
    <phoneticPr fontId="2" type="noConversion"/>
  </si>
  <si>
    <t>丁善志</t>
    <phoneticPr fontId="2" type="noConversion"/>
  </si>
  <si>
    <t>342625199901180012</t>
    <phoneticPr fontId="2" type="noConversion"/>
  </si>
  <si>
    <t>刘浪</t>
    <phoneticPr fontId="2" type="noConversion"/>
  </si>
  <si>
    <t>430621199109109030</t>
    <phoneticPr fontId="2" type="noConversion"/>
  </si>
  <si>
    <t>6222620910036170680</t>
  </si>
  <si>
    <t>北京市东直门支行</t>
  </si>
  <si>
    <t>交通银行</t>
    <phoneticPr fontId="2" type="noConversion"/>
  </si>
  <si>
    <t>端午加班工资</t>
    <phoneticPr fontId="2" type="noConversion"/>
  </si>
  <si>
    <t>智慧融科分公司外包类2022年6月应付费用明细表</t>
    <phoneticPr fontId="2" type="noConversion"/>
  </si>
  <si>
    <t>2022-06-01</t>
  </si>
  <si>
    <t>2022-06-30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</si>
</sst>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76" formatCode="0.00_);[Red]\(0.00\)"/>
    <numFmt numFmtId="177" formatCode="0.00_ "/>
    <numFmt numFmtId="178" formatCode="#,##0_);[Red]\(#,##0\)"/>
    <numFmt numFmtId="179" formatCode="[$-F800]dddd\,\ mmmm\ dd\,\ yyyy"/>
    <numFmt numFmtId="180" formatCode="0.0000_);[Red]\(0.0000\)"/>
    <numFmt numFmtId="181" formatCode="0.00_);\(0.00\)"/>
    <numFmt numFmtId="182" formatCode="yyyy/mm"/>
    <numFmt numFmtId="183" formatCode="[$-10432]yyyy/mm/dd;@"/>
    <numFmt numFmtId="184" formatCode="0;[Red]0"/>
  </numFmts>
  <fonts count="75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sz val="10"/>
      <name val="宋体"/>
      <family val="3"/>
      <charset val="134"/>
      <scheme val="major"/>
    </font>
    <font>
      <sz val="9"/>
      <name val="宋体"/>
      <family val="3"/>
      <charset val="134"/>
    </font>
    <font>
      <sz val="10"/>
      <name val="Arial"/>
      <family val="2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0"/>
      <name val="Geneva"/>
      <family val="1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name val="Helv"/>
      <family val="2"/>
    </font>
    <font>
      <sz val="11"/>
      <color indexed="60"/>
      <name val="宋体"/>
      <family val="3"/>
      <charset val="134"/>
    </font>
    <font>
      <sz val="12"/>
      <color indexed="8"/>
      <name val="Verdana"/>
      <family val="2"/>
    </font>
    <font>
      <b/>
      <sz val="15"/>
      <color indexed="56"/>
      <name val="宋体"/>
      <family val="3"/>
      <charset val="134"/>
    </font>
    <font>
      <sz val="10"/>
      <color indexed="8"/>
      <name val="Arial"/>
      <family val="2"/>
    </font>
    <font>
      <sz val="12"/>
      <name val="Times New Roman"/>
      <family val="1"/>
    </font>
    <font>
      <u/>
      <sz val="10"/>
      <color indexed="12"/>
      <name val="新細明體"/>
      <charset val="134"/>
    </font>
    <font>
      <b/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b/>
      <sz val="16"/>
      <name val="宋体"/>
      <family val="3"/>
      <charset val="134"/>
      <scheme val="major"/>
    </font>
    <font>
      <sz val="11"/>
      <color indexed="8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b/>
      <sz val="9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9"/>
      <color indexed="8"/>
      <name val="宋体"/>
      <family val="3"/>
      <charset val="134"/>
    </font>
    <font>
      <b/>
      <sz val="9"/>
      <color indexed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8"/>
      <name val="微软雅黑"/>
      <family val="2"/>
      <charset val="134"/>
    </font>
    <font>
      <sz val="9"/>
      <color indexed="10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SimSun"/>
      <charset val="134"/>
    </font>
    <font>
      <sz val="10.5"/>
      <name val="宋体"/>
      <family val="3"/>
      <charset val="134"/>
    </font>
    <font>
      <sz val="9"/>
      <name val="Segoe UI"/>
      <family val="2"/>
    </font>
    <font>
      <sz val="6"/>
      <name val="Arial"/>
      <family val="2"/>
    </font>
    <font>
      <sz val="10"/>
      <name val="微软雅黑"/>
      <family val="2"/>
      <charset val="134"/>
    </font>
    <font>
      <sz val="11"/>
      <name val="宋体"/>
      <family val="3"/>
      <charset val="134"/>
    </font>
    <font>
      <sz val="10.5"/>
      <color rgb="FF191F25"/>
      <name val="Segoe UI"/>
      <family val="2"/>
    </font>
    <font>
      <sz val="11"/>
      <color indexed="8"/>
      <name val="微软雅黑"/>
      <family val="2"/>
      <charset val="134"/>
    </font>
    <font>
      <b/>
      <sz val="11"/>
      <color indexed="10"/>
      <name val="宋体"/>
      <family val="3"/>
      <charset val="134"/>
    </font>
    <font>
      <sz val="9"/>
      <name val="Arial"/>
      <family val="2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9"/>
      <color rgb="FF191F25"/>
      <name val="Segoe UI"/>
      <family val="2"/>
    </font>
    <font>
      <sz val="6"/>
      <color indexed="8"/>
      <name val="Arial"/>
      <family val="2"/>
    </font>
    <font>
      <sz val="10"/>
      <color theme="1"/>
      <name val="宋体"/>
      <family val="3"/>
      <charset val="134"/>
      <scheme val="major"/>
    </font>
    <font>
      <sz val="10"/>
      <color theme="1"/>
      <name val="微软雅黑"/>
      <family val="2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rgb="FF000A0A"/>
      </left>
      <right style="thin">
        <color rgb="FF000A0A"/>
      </right>
      <top style="thin">
        <color rgb="FF000A0A"/>
      </top>
      <bottom style="thin">
        <color rgb="FF000A0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77">
    <xf numFmtId="179" fontId="0" fillId="0" borderId="0">
      <alignment vertical="center"/>
    </xf>
    <xf numFmtId="179" fontId="3" fillId="0" borderId="0">
      <alignment vertical="center"/>
    </xf>
    <xf numFmtId="179" fontId="23" fillId="0" borderId="12" applyNumberFormat="0" applyFill="0" applyAlignment="0" applyProtection="0">
      <alignment vertical="center"/>
    </xf>
    <xf numFmtId="179" fontId="8" fillId="10" borderId="0" applyNumberFormat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16" fillId="0" borderId="0">
      <alignment vertical="center"/>
    </xf>
    <xf numFmtId="179" fontId="22" fillId="15" borderId="11" applyNumberFormat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8" fillId="0" borderId="0">
      <alignment vertical="center"/>
    </xf>
    <xf numFmtId="179" fontId="21" fillId="15" borderId="10" applyNumberFormat="0" applyAlignment="0" applyProtection="0">
      <alignment vertical="center"/>
    </xf>
    <xf numFmtId="179" fontId="19" fillId="0" borderId="0"/>
    <xf numFmtId="179" fontId="18" fillId="20" borderId="0" applyNumberFormat="0" applyBorder="0" applyAlignment="0" applyProtection="0">
      <alignment vertical="center"/>
    </xf>
    <xf numFmtId="179" fontId="8" fillId="0" borderId="0">
      <alignment vertical="center"/>
    </xf>
    <xf numFmtId="179" fontId="18" fillId="14" borderId="0" applyNumberFormat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3" fillId="0" borderId="0">
      <alignment vertical="center"/>
    </xf>
    <xf numFmtId="179" fontId="18" fillId="1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9" fontId="29" fillId="0" borderId="0"/>
    <xf numFmtId="179" fontId="8" fillId="9" borderId="8" applyNumberFormat="0" applyFont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19" fillId="0" borderId="0">
      <alignment vertical="center"/>
    </xf>
    <xf numFmtId="179" fontId="8" fillId="9" borderId="8" applyNumberFormat="0" applyFont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19" fillId="0" borderId="0">
      <alignment vertical="center"/>
    </xf>
    <xf numFmtId="179" fontId="20" fillId="2" borderId="9" applyNumberFormat="0" applyAlignment="0" applyProtection="0">
      <alignment vertical="center"/>
    </xf>
    <xf numFmtId="179" fontId="19" fillId="0" borderId="0"/>
    <xf numFmtId="179" fontId="8" fillId="9" borderId="8" applyNumberFormat="0" applyFont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16" fillId="0" borderId="0"/>
    <xf numFmtId="179" fontId="22" fillId="15" borderId="11" applyNumberFormat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16" fillId="0" borderId="0"/>
    <xf numFmtId="179" fontId="24" fillId="16" borderId="0" applyNumberFormat="0" applyBorder="0" applyAlignment="0" applyProtection="0">
      <alignment vertical="center"/>
    </xf>
    <xf numFmtId="179" fontId="8" fillId="10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16" fillId="0" borderId="0"/>
    <xf numFmtId="179" fontId="8" fillId="10" borderId="0" applyNumberFormat="0" applyBorder="0" applyAlignment="0" applyProtection="0">
      <alignment vertical="center"/>
    </xf>
    <xf numFmtId="179" fontId="8" fillId="10" borderId="0" applyNumberFormat="0" applyBorder="0" applyAlignment="0" applyProtection="0">
      <alignment vertical="center"/>
    </xf>
    <xf numFmtId="179" fontId="8" fillId="10" borderId="0" applyNumberFormat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179" fontId="19" fillId="0" borderId="0">
      <alignment vertical="center"/>
    </xf>
    <xf numFmtId="179" fontId="16" fillId="0" borderId="0"/>
    <xf numFmtId="179" fontId="8" fillId="10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9" fillId="0" borderId="0"/>
    <xf numFmtId="179" fontId="8" fillId="0" borderId="0"/>
    <xf numFmtId="179" fontId="8" fillId="10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0" borderId="0">
      <alignment vertical="center"/>
    </xf>
    <xf numFmtId="179" fontId="8" fillId="18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0" borderId="0">
      <alignment vertical="center"/>
    </xf>
    <xf numFmtId="179" fontId="8" fillId="18" borderId="0" applyNumberFormat="0" applyBorder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8" fillId="0" borderId="0">
      <alignment vertical="center"/>
    </xf>
    <xf numFmtId="179" fontId="8" fillId="18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0" borderId="0">
      <alignment vertical="center"/>
    </xf>
    <xf numFmtId="179" fontId="8" fillId="18" borderId="0" applyNumberFormat="0" applyBorder="0" applyAlignment="0" applyProtection="0">
      <alignment vertical="center"/>
    </xf>
    <xf numFmtId="179" fontId="8" fillId="0" borderId="0">
      <alignment vertical="center"/>
    </xf>
    <xf numFmtId="179" fontId="8" fillId="18" borderId="0" applyNumberFormat="0" applyBorder="0" applyAlignment="0" applyProtection="0">
      <alignment vertical="center"/>
    </xf>
    <xf numFmtId="179" fontId="3" fillId="0" borderId="0"/>
    <xf numFmtId="179" fontId="18" fillId="14" borderId="0" applyNumberFormat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19" fillId="0" borderId="0"/>
    <xf numFmtId="179" fontId="8" fillId="6" borderId="0" applyNumberFormat="0" applyBorder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19" fillId="0" borderId="0"/>
    <xf numFmtId="179" fontId="21" fillId="15" borderId="10" applyNumberFormat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24" fillId="16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18" fillId="14" borderId="0" applyNumberFormat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0" borderId="0">
      <alignment vertical="center"/>
    </xf>
    <xf numFmtId="179" fontId="18" fillId="14" borderId="0" applyNumberFormat="0" applyBorder="0" applyAlignment="0" applyProtection="0">
      <alignment vertical="center"/>
    </xf>
    <xf numFmtId="179" fontId="3" fillId="0" borderId="0">
      <alignment vertical="center"/>
    </xf>
    <xf numFmtId="179" fontId="18" fillId="14" borderId="0" applyNumberFormat="0" applyBorder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19" fillId="0" borderId="0">
      <alignment vertical="center"/>
    </xf>
    <xf numFmtId="179" fontId="18" fillId="14" borderId="0" applyNumberFormat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8" fillId="0" borderId="0">
      <alignment vertical="center"/>
    </xf>
    <xf numFmtId="179" fontId="18" fillId="20" borderId="0" applyNumberFormat="0" applyBorder="0" applyAlignment="0" applyProtection="0">
      <alignment vertical="center"/>
    </xf>
    <xf numFmtId="179" fontId="37" fillId="0" borderId="0" applyNumberFormat="0" applyFill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7" fontId="8" fillId="0" borderId="0">
      <alignment vertical="center"/>
    </xf>
    <xf numFmtId="179" fontId="31" fillId="23" borderId="0" applyNumberFormat="0" applyBorder="0" applyAlignment="0" applyProtection="0">
      <alignment vertical="center"/>
    </xf>
    <xf numFmtId="9" fontId="8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24" fillId="16" borderId="0" applyNumberFormat="0" applyBorder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8" fillId="0" borderId="0">
      <alignment vertical="center"/>
    </xf>
    <xf numFmtId="179" fontId="30" fillId="0" borderId="13" applyNumberFormat="0" applyFill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179" fontId="24" fillId="16" borderId="0" applyNumberFormat="0" applyBorder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179" fontId="33" fillId="0" borderId="0"/>
    <xf numFmtId="179" fontId="25" fillId="0" borderId="14" applyNumberFormat="0" applyFill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179" fontId="8" fillId="0" borderId="0">
      <alignment vertical="center"/>
    </xf>
    <xf numFmtId="179" fontId="19" fillId="0" borderId="0">
      <alignment vertical="center"/>
    </xf>
    <xf numFmtId="179" fontId="8" fillId="0" borderId="0">
      <alignment vertical="center"/>
    </xf>
    <xf numFmtId="179" fontId="19" fillId="0" borderId="0"/>
    <xf numFmtId="179" fontId="19" fillId="0" borderId="0">
      <alignment vertical="center"/>
    </xf>
    <xf numFmtId="179" fontId="19" fillId="0" borderId="0">
      <alignment vertical="center"/>
    </xf>
    <xf numFmtId="179" fontId="18" fillId="12" borderId="0" applyNumberFormat="0" applyBorder="0" applyAlignment="0" applyProtection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179" fontId="6" fillId="0" borderId="0">
      <alignment vertical="center"/>
    </xf>
    <xf numFmtId="179" fontId="35" fillId="0" borderId="0" applyNumberFormat="0" applyFill="0" applyBorder="0" applyProtection="0">
      <alignment vertical="top" wrapText="1"/>
    </xf>
    <xf numFmtId="179" fontId="6" fillId="0" borderId="0">
      <alignment vertical="center"/>
    </xf>
    <xf numFmtId="179" fontId="8" fillId="0" borderId="0"/>
    <xf numFmtId="179" fontId="8" fillId="0" borderId="0"/>
    <xf numFmtId="179" fontId="27" fillId="19" borderId="10" applyNumberFormat="0" applyAlignment="0" applyProtection="0">
      <alignment vertical="center"/>
    </xf>
    <xf numFmtId="179" fontId="6" fillId="0" borderId="0">
      <alignment vertical="center"/>
    </xf>
    <xf numFmtId="179" fontId="27" fillId="19" borderId="10" applyNumberFormat="0" applyAlignment="0" applyProtection="0">
      <alignment vertical="center"/>
    </xf>
    <xf numFmtId="179" fontId="19" fillId="0" borderId="0">
      <alignment vertical="center"/>
    </xf>
    <xf numFmtId="179" fontId="5" fillId="0" borderId="0">
      <alignment vertical="center"/>
    </xf>
    <xf numFmtId="179" fontId="8" fillId="0" borderId="0"/>
    <xf numFmtId="179" fontId="27" fillId="19" borderId="10" applyNumberFormat="0" applyAlignment="0" applyProtection="0">
      <alignment vertical="center"/>
    </xf>
    <xf numFmtId="179" fontId="6" fillId="0" borderId="0">
      <alignment vertical="center"/>
    </xf>
    <xf numFmtId="179" fontId="8" fillId="0" borderId="0"/>
    <xf numFmtId="179" fontId="18" fillId="24" borderId="0" applyNumberFormat="0" applyBorder="0" applyAlignment="0" applyProtection="0">
      <alignment vertical="center"/>
    </xf>
    <xf numFmtId="179" fontId="5" fillId="0" borderId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0" borderId="0"/>
    <xf numFmtId="179" fontId="18" fillId="24" borderId="0" applyNumberFormat="0" applyBorder="0" applyAlignment="0" applyProtection="0">
      <alignment vertical="center"/>
    </xf>
    <xf numFmtId="179" fontId="19" fillId="0" borderId="0"/>
    <xf numFmtId="179" fontId="18" fillId="24" borderId="0" applyNumberFormat="0" applyBorder="0" applyAlignment="0" applyProtection="0">
      <alignment vertical="center"/>
    </xf>
    <xf numFmtId="179" fontId="19" fillId="0" borderId="0"/>
    <xf numFmtId="179" fontId="19" fillId="0" borderId="0"/>
    <xf numFmtId="179" fontId="8" fillId="0" borderId="0">
      <alignment vertical="center"/>
    </xf>
    <xf numFmtId="179" fontId="34" fillId="26" borderId="0" applyNumberFormat="0" applyBorder="0" applyAlignment="0" applyProtection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179" fontId="3" fillId="0" borderId="0">
      <alignment vertical="center"/>
    </xf>
    <xf numFmtId="179" fontId="18" fillId="11" borderId="0" applyNumberFormat="0" applyBorder="0" applyAlignment="0" applyProtection="0">
      <alignment vertical="center"/>
    </xf>
    <xf numFmtId="179" fontId="3" fillId="0" borderId="0">
      <alignment vertical="center"/>
    </xf>
    <xf numFmtId="179" fontId="18" fillId="11" borderId="0" applyNumberFormat="0" applyBorder="0" applyAlignment="0" applyProtection="0">
      <alignment vertical="center"/>
    </xf>
    <xf numFmtId="179" fontId="3" fillId="0" borderId="0">
      <alignment vertical="center"/>
    </xf>
    <xf numFmtId="179" fontId="19" fillId="0" borderId="0"/>
    <xf numFmtId="179" fontId="19" fillId="0" borderId="0"/>
    <xf numFmtId="179" fontId="27" fillId="19" borderId="10" applyNumberFormat="0" applyAlignment="0" applyProtection="0">
      <alignment vertical="center"/>
    </xf>
    <xf numFmtId="179" fontId="8" fillId="0" borderId="0">
      <alignment vertical="center"/>
    </xf>
    <xf numFmtId="179" fontId="19" fillId="0" borderId="0"/>
    <xf numFmtId="179" fontId="18" fillId="7" borderId="0" applyNumberFormat="0" applyBorder="0" applyAlignment="0" applyProtection="0">
      <alignment vertical="center"/>
    </xf>
    <xf numFmtId="179" fontId="16" fillId="0" borderId="0">
      <alignment vertical="center"/>
    </xf>
    <xf numFmtId="179" fontId="3" fillId="0" borderId="0">
      <alignment vertical="center"/>
    </xf>
    <xf numFmtId="179" fontId="8" fillId="9" borderId="8" applyNumberFormat="0" applyFont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33" fillId="0" borderId="0"/>
    <xf numFmtId="179" fontId="24" fillId="16" borderId="0" applyNumberFormat="0" applyBorder="0" applyAlignment="0" applyProtection="0">
      <alignment vertical="center"/>
    </xf>
    <xf numFmtId="179" fontId="24" fillId="16" borderId="0" applyNumberFormat="0" applyBorder="0" applyAlignment="0" applyProtection="0">
      <alignment vertical="center"/>
    </xf>
    <xf numFmtId="179" fontId="24" fillId="16" borderId="0" applyNumberFormat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8" fillId="13" borderId="0" applyNumberFormat="0" applyBorder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29" fillId="0" borderId="0"/>
    <xf numFmtId="179" fontId="27" fillId="19" borderId="10" applyNumberFormat="0" applyAlignment="0" applyProtection="0">
      <alignment vertical="center"/>
    </xf>
    <xf numFmtId="179" fontId="29" fillId="0" borderId="0"/>
    <xf numFmtId="179" fontId="27" fillId="19" borderId="10" applyNumberFormat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38" fillId="0" borderId="0"/>
    <xf numFmtId="179" fontId="16" fillId="0" borderId="0"/>
    <xf numFmtId="179" fontId="29" fillId="0" borderId="0"/>
    <xf numFmtId="179" fontId="29" fillId="0" borderId="0"/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39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179" fontId="15" fillId="0" borderId="0">
      <alignment vertical="center"/>
    </xf>
    <xf numFmtId="179" fontId="19" fillId="0" borderId="0"/>
    <xf numFmtId="179" fontId="3" fillId="0" borderId="0">
      <alignment vertical="center"/>
    </xf>
    <xf numFmtId="179" fontId="3" fillId="0" borderId="0">
      <alignment vertical="center"/>
    </xf>
    <xf numFmtId="179" fontId="3" fillId="0" borderId="0">
      <alignment vertical="center"/>
    </xf>
    <xf numFmtId="179" fontId="42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179" fontId="8" fillId="0" borderId="0">
      <alignment vertical="center"/>
    </xf>
    <xf numFmtId="179" fontId="19" fillId="0" borderId="0"/>
    <xf numFmtId="9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9" fontId="1" fillId="0" borderId="0">
      <alignment vertical="center"/>
    </xf>
    <xf numFmtId="9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179" fontId="3" fillId="0" borderId="0">
      <alignment vertical="center"/>
    </xf>
    <xf numFmtId="43" fontId="19" fillId="0" borderId="0" applyFont="0" applyFill="0" applyBorder="0" applyAlignment="0" applyProtection="0"/>
    <xf numFmtId="179" fontId="3" fillId="0" borderId="0">
      <alignment vertical="center"/>
    </xf>
    <xf numFmtId="179" fontId="8" fillId="0" borderId="0">
      <alignment vertical="center"/>
    </xf>
    <xf numFmtId="179" fontId="19" fillId="0" borderId="0"/>
    <xf numFmtId="179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179" fontId="3" fillId="0" borderId="0">
      <alignment vertical="center"/>
    </xf>
    <xf numFmtId="179" fontId="3" fillId="0" borderId="0">
      <alignment vertical="center"/>
    </xf>
    <xf numFmtId="179" fontId="3" fillId="0" borderId="0">
      <alignment vertical="center"/>
    </xf>
    <xf numFmtId="179" fontId="19" fillId="0" borderId="0">
      <alignment vertical="center"/>
    </xf>
    <xf numFmtId="179" fontId="16" fillId="0" borderId="0" applyBorder="0">
      <alignment vertical="center"/>
    </xf>
    <xf numFmtId="179" fontId="8" fillId="0" borderId="0">
      <alignment vertical="center"/>
    </xf>
    <xf numFmtId="179" fontId="19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32">
    <xf numFmtId="179" fontId="0" fillId="0" borderId="0" xfId="0">
      <alignment vertical="center"/>
    </xf>
    <xf numFmtId="179" fontId="3" fillId="0" borderId="0" xfId="468">
      <alignment vertical="center"/>
    </xf>
    <xf numFmtId="179" fontId="3" fillId="0" borderId="0" xfId="468" applyAlignment="1">
      <alignment vertical="center" wrapText="1"/>
    </xf>
    <xf numFmtId="179" fontId="3" fillId="0" borderId="16" xfId="468" applyBorder="1">
      <alignment vertical="center"/>
    </xf>
    <xf numFmtId="179" fontId="3" fillId="0" borderId="16" xfId="468" applyFont="1" applyBorder="1">
      <alignment vertical="center"/>
    </xf>
    <xf numFmtId="179" fontId="3" fillId="0" borderId="16" xfId="468" applyFont="1" applyBorder="1" applyAlignment="1">
      <alignment vertical="center" wrapText="1"/>
    </xf>
    <xf numFmtId="10" fontId="3" fillId="0" borderId="16" xfId="468" applyNumberFormat="1" applyFont="1" applyBorder="1" applyAlignment="1">
      <alignment vertical="center" wrapText="1"/>
    </xf>
    <xf numFmtId="10" fontId="3" fillId="0" borderId="16" xfId="468" applyNumberFormat="1" applyBorder="1">
      <alignment vertical="center"/>
    </xf>
    <xf numFmtId="10" fontId="3" fillId="0" borderId="16" xfId="468" applyNumberFormat="1" applyFill="1" applyBorder="1">
      <alignment vertical="center"/>
    </xf>
    <xf numFmtId="179" fontId="3" fillId="0" borderId="3" xfId="468" applyFont="1" applyBorder="1" applyAlignment="1">
      <alignment vertical="center" wrapText="1"/>
    </xf>
    <xf numFmtId="179" fontId="3" fillId="0" borderId="3" xfId="468" applyBorder="1">
      <alignment vertical="center"/>
    </xf>
    <xf numFmtId="179" fontId="3" fillId="0" borderId="0" xfId="468" applyFont="1" applyBorder="1" applyAlignment="1">
      <alignment vertical="center" wrapText="1"/>
    </xf>
    <xf numFmtId="179" fontId="44" fillId="0" borderId="2" xfId="472" applyFont="1" applyFill="1" applyBorder="1" applyAlignment="1">
      <alignment horizontal="left" vertical="center"/>
    </xf>
    <xf numFmtId="10" fontId="28" fillId="0" borderId="16" xfId="468" applyNumberFormat="1" applyFont="1" applyBorder="1">
      <alignment vertical="center"/>
    </xf>
    <xf numFmtId="179" fontId="43" fillId="27" borderId="2" xfId="1" applyFont="1" applyFill="1" applyBorder="1" applyAlignment="1">
      <alignment horizontal="left" vertical="center"/>
    </xf>
    <xf numFmtId="49" fontId="12" fillId="27" borderId="2" xfId="474" applyNumberFormat="1" applyFont="1" applyFill="1" applyBorder="1" applyAlignment="1">
      <alignment horizontal="left" vertical="center" wrapText="1"/>
    </xf>
    <xf numFmtId="179" fontId="44" fillId="0" borderId="2" xfId="475" applyFont="1" applyFill="1" applyBorder="1" applyAlignment="1">
      <alignment horizontal="left" vertical="center"/>
    </xf>
    <xf numFmtId="49" fontId="14" fillId="0" borderId="2" xfId="303" applyNumberFormat="1" applyFont="1" applyFill="1" applyBorder="1" applyAlignment="1">
      <alignment horizontal="left" vertical="center"/>
    </xf>
    <xf numFmtId="179" fontId="44" fillId="0" borderId="2" xfId="472" applyFont="1" applyFill="1" applyBorder="1" applyAlignment="1">
      <alignment horizontal="left" vertical="center"/>
    </xf>
    <xf numFmtId="179" fontId="44" fillId="0" borderId="5" xfId="475" applyFont="1" applyFill="1" applyBorder="1" applyAlignment="1">
      <alignment horizontal="left" vertical="center"/>
    </xf>
    <xf numFmtId="49" fontId="14" fillId="0" borderId="2" xfId="473" applyNumberFormat="1" applyFont="1" applyFill="1" applyBorder="1" applyAlignment="1">
      <alignment horizontal="left" vertical="center"/>
    </xf>
    <xf numFmtId="49" fontId="14" fillId="0" borderId="2" xfId="474" applyNumberFormat="1" applyFont="1" applyFill="1" applyBorder="1" applyAlignment="1">
      <alignment horizontal="left" vertical="center"/>
    </xf>
    <xf numFmtId="179" fontId="45" fillId="27" borderId="2" xfId="474" applyFont="1" applyFill="1" applyBorder="1" applyAlignment="1">
      <alignment vertical="center" wrapText="1"/>
    </xf>
    <xf numFmtId="179" fontId="43" fillId="27" borderId="2" xfId="1" applyFont="1" applyFill="1" applyBorder="1" applyAlignment="1">
      <alignment horizontal="left" vertical="center"/>
    </xf>
    <xf numFmtId="49" fontId="12" fillId="27" borderId="2" xfId="474" applyNumberFormat="1" applyFont="1" applyFill="1" applyBorder="1" applyAlignment="1">
      <alignment horizontal="left" vertical="center" wrapText="1"/>
    </xf>
    <xf numFmtId="179" fontId="44" fillId="0" borderId="2" xfId="475" applyFont="1" applyFill="1" applyBorder="1" applyAlignment="1">
      <alignment horizontal="left" vertical="center"/>
    </xf>
    <xf numFmtId="49" fontId="14" fillId="0" borderId="2" xfId="303" applyNumberFormat="1" applyFont="1" applyFill="1" applyBorder="1" applyAlignment="1">
      <alignment horizontal="left" vertical="center"/>
    </xf>
    <xf numFmtId="179" fontId="44" fillId="0" borderId="2" xfId="472" applyFont="1" applyFill="1" applyBorder="1" applyAlignment="1">
      <alignment horizontal="left" vertical="center"/>
    </xf>
    <xf numFmtId="179" fontId="44" fillId="0" borderId="5" xfId="475" applyFont="1" applyFill="1" applyBorder="1" applyAlignment="1">
      <alignment horizontal="left" vertical="center"/>
    </xf>
    <xf numFmtId="49" fontId="14" fillId="0" borderId="2" xfId="473" applyNumberFormat="1" applyFont="1" applyFill="1" applyBorder="1" applyAlignment="1">
      <alignment horizontal="left" vertical="center"/>
    </xf>
    <xf numFmtId="49" fontId="14" fillId="0" borderId="2" xfId="474" applyNumberFormat="1" applyFont="1" applyFill="1" applyBorder="1" applyAlignment="1">
      <alignment horizontal="left" vertical="center"/>
    </xf>
    <xf numFmtId="179" fontId="45" fillId="27" borderId="2" xfId="474" applyFont="1" applyFill="1" applyBorder="1" applyAlignment="1">
      <alignment vertical="center" wrapText="1"/>
    </xf>
    <xf numFmtId="14" fontId="7" fillId="28" borderId="0" xfId="446" applyNumberFormat="1" applyFont="1" applyFill="1" applyBorder="1" applyAlignment="1">
      <alignment horizontal="left" vertical="center"/>
    </xf>
    <xf numFmtId="179" fontId="41" fillId="0" borderId="0" xfId="446" applyFont="1">
      <alignment vertical="center"/>
    </xf>
    <xf numFmtId="179" fontId="40" fillId="0" borderId="0" xfId="446" applyNumberFormat="1" applyFont="1" applyFill="1" applyBorder="1" applyAlignment="1">
      <alignment horizontal="left" wrapText="1"/>
    </xf>
    <xf numFmtId="179" fontId="41" fillId="0" borderId="0" xfId="470" applyFont="1" applyBorder="1" applyAlignment="1">
      <alignment horizontal="left" vertical="center"/>
    </xf>
    <xf numFmtId="49" fontId="41" fillId="0" borderId="0" xfId="303" applyNumberFormat="1" applyFont="1" applyFill="1" applyBorder="1" applyAlignment="1">
      <alignment horizontal="left" vertical="center"/>
    </xf>
    <xf numFmtId="179" fontId="40" fillId="0" borderId="0" xfId="446" applyNumberFormat="1" applyFont="1" applyFill="1" applyBorder="1" applyAlignment="1">
      <alignment horizontal="left"/>
    </xf>
    <xf numFmtId="176" fontId="40" fillId="28" borderId="0" xfId="446" applyNumberFormat="1" applyFont="1" applyFill="1" applyBorder="1" applyAlignment="1">
      <alignment horizontal="left" wrapText="1"/>
    </xf>
    <xf numFmtId="2" fontId="40" fillId="28" borderId="0" xfId="446" applyNumberFormat="1" applyFont="1" applyFill="1" applyBorder="1" applyAlignment="1">
      <alignment horizontal="left" wrapText="1"/>
    </xf>
    <xf numFmtId="179" fontId="40" fillId="0" borderId="0" xfId="446" applyNumberFormat="1" applyFont="1" applyFill="1" applyBorder="1" applyAlignment="1">
      <alignment horizontal="left"/>
    </xf>
    <xf numFmtId="179" fontId="40" fillId="0" borderId="0" xfId="446" applyFont="1" applyFill="1" applyBorder="1" applyAlignment="1">
      <alignment horizontal="left"/>
    </xf>
    <xf numFmtId="179" fontId="41" fillId="0" borderId="0" xfId="0" applyFont="1">
      <alignment vertical="center"/>
    </xf>
    <xf numFmtId="2" fontId="7" fillId="28" borderId="0" xfId="446" applyNumberFormat="1" applyFont="1" applyFill="1" applyBorder="1" applyAlignment="1">
      <alignment horizontal="left" vertical="center"/>
    </xf>
    <xf numFmtId="179" fontId="7" fillId="0" borderId="0" xfId="446" applyNumberFormat="1" applyFont="1" applyFill="1" applyAlignment="1">
      <alignment horizontal="left" vertical="center"/>
    </xf>
    <xf numFmtId="177" fontId="7" fillId="0" borderId="0" xfId="446" applyNumberFormat="1" applyFont="1" applyFill="1" applyAlignment="1">
      <alignment horizontal="left" vertical="center"/>
    </xf>
    <xf numFmtId="179" fontId="7" fillId="0" borderId="0" xfId="446" applyFont="1" applyFill="1" applyAlignment="1">
      <alignment horizontal="left" vertical="center"/>
    </xf>
    <xf numFmtId="176" fontId="7" fillId="0" borderId="0" xfId="446" applyNumberFormat="1" applyFont="1" applyFill="1" applyAlignment="1">
      <alignment horizontal="left" vertical="center"/>
    </xf>
    <xf numFmtId="176" fontId="46" fillId="28" borderId="0" xfId="446" applyNumberFormat="1" applyFont="1" applyFill="1" applyBorder="1" applyAlignment="1">
      <alignment horizontal="left" vertical="center" wrapText="1"/>
    </xf>
    <xf numFmtId="179" fontId="41" fillId="0" borderId="0" xfId="261" applyFont="1" applyFill="1" applyBorder="1" applyAlignment="1">
      <alignment horizontal="center" vertical="center" wrapText="1"/>
    </xf>
    <xf numFmtId="179" fontId="4" fillId="5" borderId="16" xfId="303" applyFont="1" applyFill="1" applyBorder="1" applyAlignment="1">
      <alignment horizontal="center" vertical="center"/>
    </xf>
    <xf numFmtId="178" fontId="11" fillId="0" borderId="16" xfId="261" applyNumberFormat="1" applyFont="1" applyFill="1" applyBorder="1" applyAlignment="1" applyProtection="1">
      <alignment horizontal="center" vertical="center"/>
    </xf>
    <xf numFmtId="179" fontId="4" fillId="0" borderId="16" xfId="261" applyFont="1" applyFill="1" applyBorder="1" applyAlignment="1">
      <alignment horizontal="center" vertical="center" wrapText="1"/>
    </xf>
    <xf numFmtId="179" fontId="9" fillId="4" borderId="16" xfId="261" applyNumberFormat="1" applyFont="1" applyFill="1" applyBorder="1" applyAlignment="1">
      <alignment horizontal="center" vertical="center" wrapText="1"/>
    </xf>
    <xf numFmtId="178" fontId="11" fillId="4" borderId="16" xfId="261" applyNumberFormat="1" applyFont="1" applyFill="1" applyBorder="1" applyAlignment="1" applyProtection="1">
      <alignment horizontal="center" vertical="center" shrinkToFit="1"/>
    </xf>
    <xf numFmtId="178" fontId="47" fillId="4" borderId="16" xfId="261" applyNumberFormat="1" applyFont="1" applyFill="1" applyBorder="1" applyAlignment="1" applyProtection="1">
      <alignment horizontal="center" vertical="center" shrinkToFit="1"/>
    </xf>
    <xf numFmtId="179" fontId="9" fillId="4" borderId="16" xfId="261" applyNumberFormat="1" applyFont="1" applyFill="1" applyBorder="1" applyAlignment="1">
      <alignment horizontal="center" vertical="center" shrinkToFit="1"/>
    </xf>
    <xf numFmtId="179" fontId="11" fillId="4" borderId="16" xfId="261" applyNumberFormat="1" applyFont="1" applyFill="1" applyBorder="1" applyAlignment="1" applyProtection="1">
      <alignment horizontal="center" vertical="center" shrinkToFit="1"/>
    </xf>
    <xf numFmtId="14" fontId="11" fillId="4" borderId="16" xfId="261" applyNumberFormat="1" applyFont="1" applyFill="1" applyBorder="1" applyAlignment="1" applyProtection="1">
      <alignment horizontal="center" vertical="center" shrinkToFit="1"/>
    </xf>
    <xf numFmtId="179" fontId="4" fillId="0" borderId="0" xfId="1" applyFont="1" applyAlignment="1">
      <alignment horizontal="center" vertical="center"/>
    </xf>
    <xf numFmtId="179" fontId="4" fillId="0" borderId="0" xfId="0" applyFont="1" applyAlignment="1">
      <alignment horizontal="center" vertical="center"/>
    </xf>
    <xf numFmtId="179" fontId="4" fillId="0" borderId="16" xfId="470" applyFont="1" applyBorder="1" applyAlignment="1">
      <alignment horizontal="center" vertical="center"/>
    </xf>
    <xf numFmtId="14" fontId="11" fillId="0" borderId="16" xfId="261" applyNumberFormat="1" applyFont="1" applyFill="1" applyBorder="1" applyAlignment="1">
      <alignment horizontal="center" vertical="center"/>
    </xf>
    <xf numFmtId="179" fontId="9" fillId="0" borderId="16" xfId="303" quotePrefix="1" applyNumberFormat="1" applyFont="1" applyBorder="1" applyAlignment="1">
      <alignment horizontal="center" vertical="center"/>
    </xf>
    <xf numFmtId="49" fontId="4" fillId="0" borderId="16" xfId="303" applyNumberFormat="1" applyFont="1" applyFill="1" applyBorder="1" applyAlignment="1">
      <alignment horizontal="center" vertical="center"/>
    </xf>
    <xf numFmtId="14" fontId="9" fillId="4" borderId="16" xfId="261" applyNumberFormat="1" applyFont="1" applyFill="1" applyBorder="1" applyAlignment="1">
      <alignment horizontal="center" vertical="center" wrapText="1"/>
    </xf>
    <xf numFmtId="181" fontId="0" fillId="0" borderId="0" xfId="0" applyNumberFormat="1" applyAlignment="1"/>
    <xf numFmtId="181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179" fontId="0" fillId="0" borderId="0" xfId="0" applyAlignment="1">
      <alignment vertical="center"/>
    </xf>
    <xf numFmtId="10" fontId="0" fillId="0" borderId="0" xfId="0" applyNumberFormat="1" applyAlignment="1">
      <alignment vertical="center"/>
    </xf>
    <xf numFmtId="179" fontId="0" fillId="0" borderId="0" xfId="0" applyAlignment="1"/>
    <xf numFmtId="49" fontId="0" fillId="0" borderId="0" xfId="0" applyNumberFormat="1" applyAlignment="1"/>
    <xf numFmtId="49" fontId="0" fillId="0" borderId="0" xfId="0" applyNumberFormat="1" applyFill="1" applyAlignment="1"/>
    <xf numFmtId="10" fontId="0" fillId="0" borderId="0" xfId="0" applyNumberFormat="1" applyAlignment="1"/>
    <xf numFmtId="179" fontId="9" fillId="5" borderId="16" xfId="303" applyFont="1" applyFill="1" applyBorder="1" applyAlignment="1">
      <alignment horizontal="center" vertical="center"/>
    </xf>
    <xf numFmtId="179" fontId="7" fillId="0" borderId="0" xfId="303" quotePrefix="1" applyNumberFormat="1" applyFont="1" applyFill="1" applyBorder="1">
      <alignment vertical="center"/>
    </xf>
    <xf numFmtId="179" fontId="41" fillId="0" borderId="0" xfId="303" applyFont="1" applyFill="1" applyBorder="1" applyAlignment="1">
      <alignment horizontal="center" vertical="center"/>
    </xf>
    <xf numFmtId="179" fontId="7" fillId="0" borderId="0" xfId="303" applyFont="1" applyFill="1" applyBorder="1" applyAlignment="1">
      <alignment horizontal="center" vertical="center"/>
    </xf>
    <xf numFmtId="179" fontId="7" fillId="0" borderId="0" xfId="470" applyFont="1" applyFill="1" applyBorder="1" applyAlignment="1">
      <alignment horizontal="left" vertical="center"/>
    </xf>
    <xf numFmtId="182" fontId="7" fillId="28" borderId="0" xfId="446" applyNumberFormat="1" applyFont="1" applyFill="1" applyBorder="1" applyAlignment="1">
      <alignment horizontal="left" vertical="center"/>
    </xf>
    <xf numFmtId="14" fontId="40" fillId="28" borderId="0" xfId="446" applyNumberFormat="1" applyFont="1" applyFill="1" applyBorder="1" applyAlignment="1">
      <alignment horizontal="left" wrapText="1"/>
    </xf>
    <xf numFmtId="2" fontId="40" fillId="31" borderId="0" xfId="446" applyNumberFormat="1" applyFont="1" applyFill="1" applyBorder="1" applyAlignment="1">
      <alignment horizontal="left" wrapText="1"/>
    </xf>
    <xf numFmtId="2" fontId="7" fillId="31" borderId="0" xfId="446" applyNumberFormat="1" applyFont="1" applyFill="1" applyBorder="1" applyAlignment="1">
      <alignment horizontal="left" vertical="center"/>
    </xf>
    <xf numFmtId="179" fontId="41" fillId="31" borderId="0" xfId="0" applyFont="1" applyFill="1">
      <alignment vertical="center"/>
    </xf>
    <xf numFmtId="2" fontId="40" fillId="33" borderId="0" xfId="446" applyNumberFormat="1" applyFont="1" applyFill="1" applyBorder="1" applyAlignment="1">
      <alignment horizontal="left" wrapText="1"/>
    </xf>
    <xf numFmtId="2" fontId="7" fillId="33" borderId="0" xfId="446" applyNumberFormat="1" applyFont="1" applyFill="1" applyBorder="1" applyAlignment="1">
      <alignment horizontal="left" vertical="center"/>
    </xf>
    <xf numFmtId="179" fontId="41" fillId="33" borderId="0" xfId="0" applyFont="1" applyFill="1">
      <alignment vertical="center"/>
    </xf>
    <xf numFmtId="179" fontId="8" fillId="0" borderId="0" xfId="0" applyFont="1" applyFill="1" applyAlignment="1">
      <alignment horizontal="center" vertical="center"/>
    </xf>
    <xf numFmtId="179" fontId="8" fillId="0" borderId="0" xfId="0" applyFont="1" applyFill="1" applyAlignment="1">
      <alignment vertical="center"/>
    </xf>
    <xf numFmtId="179" fontId="56" fillId="0" borderId="16" xfId="0" applyFont="1" applyFill="1" applyBorder="1" applyAlignment="1">
      <alignment horizontal="center"/>
    </xf>
    <xf numFmtId="49" fontId="56" fillId="0" borderId="16" xfId="0" applyNumberFormat="1" applyFont="1" applyFill="1" applyBorder="1" applyAlignment="1">
      <alignment horizontal="left" vertical="center"/>
    </xf>
    <xf numFmtId="179" fontId="9" fillId="0" borderId="16" xfId="0" applyFont="1" applyFill="1" applyBorder="1" applyAlignment="1" applyProtection="1">
      <alignment horizontal="center" vertical="center"/>
      <protection locked="0"/>
    </xf>
    <xf numFmtId="49" fontId="56" fillId="0" borderId="16" xfId="0" applyNumberFormat="1" applyFont="1" applyFill="1" applyBorder="1" applyAlignment="1">
      <alignment horizontal="center"/>
    </xf>
    <xf numFmtId="49" fontId="56" fillId="0" borderId="16" xfId="0" applyNumberFormat="1" applyFont="1" applyFill="1" applyBorder="1" applyAlignment="1">
      <alignment horizontal="center" vertical="center"/>
    </xf>
    <xf numFmtId="179" fontId="57" fillId="0" borderId="16" xfId="0" applyFont="1" applyFill="1" applyBorder="1" applyAlignment="1">
      <alignment horizontal="center" vertical="center"/>
    </xf>
    <xf numFmtId="49" fontId="58" fillId="0" borderId="16" xfId="0" applyNumberFormat="1" applyFont="1" applyFill="1" applyBorder="1" applyAlignment="1">
      <alignment horizontal="center" vertical="center"/>
    </xf>
    <xf numFmtId="179" fontId="61" fillId="0" borderId="0" xfId="0" applyFont="1" applyFill="1" applyAlignment="1">
      <alignment vertical="center"/>
    </xf>
    <xf numFmtId="179" fontId="59" fillId="0" borderId="0" xfId="0" applyFont="1" applyFill="1" applyAlignment="1">
      <alignment vertical="center"/>
    </xf>
    <xf numFmtId="179" fontId="8" fillId="0" borderId="0" xfId="0" applyFont="1" applyFill="1" applyAlignment="1"/>
    <xf numFmtId="179" fontId="62" fillId="0" borderId="0" xfId="0" applyFont="1" applyFill="1" applyAlignment="1">
      <alignment vertical="center"/>
    </xf>
    <xf numFmtId="179" fontId="64" fillId="0" borderId="0" xfId="0" applyFont="1" applyFill="1" applyAlignment="1">
      <alignment vertical="center"/>
    </xf>
    <xf numFmtId="179" fontId="13" fillId="0" borderId="0" xfId="0" applyFont="1" applyFill="1" applyAlignment="1">
      <alignment vertical="center"/>
    </xf>
    <xf numFmtId="179" fontId="0" fillId="0" borderId="28" xfId="0" applyBorder="1">
      <alignment vertical="center"/>
    </xf>
    <xf numFmtId="179" fontId="44" fillId="0" borderId="2" xfId="475" applyFont="1" applyFill="1" applyBorder="1" applyAlignment="1">
      <alignment vertical="center"/>
    </xf>
    <xf numFmtId="49" fontId="14" fillId="0" borderId="2" xfId="303" applyNumberFormat="1" applyFont="1" applyFill="1" applyBorder="1" applyAlignment="1">
      <alignment vertical="center"/>
    </xf>
    <xf numFmtId="179" fontId="44" fillId="0" borderId="2" xfId="472" applyFont="1" applyFill="1" applyBorder="1" applyAlignment="1">
      <alignment vertical="center"/>
    </xf>
    <xf numFmtId="179" fontId="44" fillId="0" borderId="5" xfId="475" applyFont="1" applyFill="1" applyBorder="1" applyAlignment="1">
      <alignment vertical="center"/>
    </xf>
    <xf numFmtId="49" fontId="14" fillId="0" borderId="2" xfId="473" applyNumberFormat="1" applyFont="1" applyFill="1" applyBorder="1" applyAlignment="1">
      <alignment vertical="center"/>
    </xf>
    <xf numFmtId="49" fontId="14" fillId="0" borderId="2" xfId="474" applyNumberFormat="1" applyFont="1" applyFill="1" applyBorder="1" applyAlignment="1">
      <alignment vertical="center"/>
    </xf>
    <xf numFmtId="179" fontId="4" fillId="5" borderId="28" xfId="303" applyFont="1" applyFill="1" applyBorder="1" applyAlignment="1">
      <alignment horizontal="center" vertical="center"/>
    </xf>
    <xf numFmtId="179" fontId="41" fillId="5" borderId="28" xfId="303" applyFont="1" applyFill="1" applyBorder="1" applyAlignment="1">
      <alignment horizontal="center" vertical="center"/>
    </xf>
    <xf numFmtId="179" fontId="4" fillId="0" borderId="16" xfId="303" applyNumberFormat="1" applyFont="1" applyFill="1" applyBorder="1" applyAlignment="1">
      <alignment horizontal="center" vertical="center"/>
    </xf>
    <xf numFmtId="179" fontId="4" fillId="0" borderId="28" xfId="0" applyFont="1" applyBorder="1">
      <alignment vertical="center"/>
    </xf>
    <xf numFmtId="14" fontId="9" fillId="4" borderId="28" xfId="261" applyNumberFormat="1" applyFont="1" applyFill="1" applyBorder="1" applyAlignment="1">
      <alignment horizontal="center" vertical="center" wrapText="1"/>
    </xf>
    <xf numFmtId="179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2" fillId="3" borderId="2" xfId="353" applyNumberFormat="1" applyFont="1" applyFill="1" applyBorder="1" applyAlignment="1" applyProtection="1">
      <alignment horizontal="center" vertical="center" wrapText="1"/>
    </xf>
    <xf numFmtId="0" fontId="9" fillId="0" borderId="16" xfId="303" applyNumberFormat="1" applyFont="1" applyBorder="1" applyAlignment="1">
      <alignment horizontal="center" vertical="center"/>
    </xf>
    <xf numFmtId="0" fontId="11" fillId="0" borderId="16" xfId="261" applyNumberFormat="1" applyFont="1" applyFill="1" applyBorder="1" applyAlignment="1">
      <alignment horizontal="center" vertical="center"/>
    </xf>
    <xf numFmtId="0" fontId="4" fillId="5" borderId="16" xfId="303" applyNumberFormat="1" applyFont="1" applyFill="1" applyBorder="1" applyAlignment="1">
      <alignment horizontal="center" vertical="center"/>
    </xf>
    <xf numFmtId="0" fontId="4" fillId="5" borderId="28" xfId="476" applyNumberFormat="1" applyFont="1" applyFill="1" applyBorder="1" applyAlignment="1">
      <alignment horizontal="center" vertical="center"/>
    </xf>
    <xf numFmtId="0" fontId="4" fillId="5" borderId="28" xfId="303" applyNumberFormat="1" applyFont="1" applyFill="1" applyBorder="1" applyAlignment="1">
      <alignment horizontal="center" vertical="center"/>
    </xf>
    <xf numFmtId="0" fontId="48" fillId="5" borderId="16" xfId="303" applyNumberFormat="1" applyFont="1" applyFill="1" applyBorder="1" applyAlignment="1">
      <alignment horizontal="center" vertical="center"/>
    </xf>
    <xf numFmtId="0" fontId="11" fillId="29" borderId="16" xfId="261" applyNumberFormat="1" applyFont="1" applyFill="1" applyBorder="1" applyAlignment="1">
      <alignment horizontal="center" vertical="center"/>
    </xf>
    <xf numFmtId="0" fontId="11" fillId="4" borderId="16" xfId="261" applyNumberFormat="1" applyFont="1" applyFill="1" applyBorder="1" applyAlignment="1">
      <alignment horizontal="center" vertical="center"/>
    </xf>
    <xf numFmtId="0" fontId="11" fillId="4" borderId="16" xfId="261" applyNumberFormat="1" applyFont="1" applyFill="1" applyBorder="1" applyAlignment="1" applyProtection="1">
      <alignment horizontal="center" vertical="center"/>
    </xf>
    <xf numFmtId="0" fontId="9" fillId="0" borderId="16" xfId="261" applyNumberFormat="1" applyFont="1" applyFill="1" applyBorder="1" applyAlignment="1">
      <alignment horizontal="center" vertical="center" wrapText="1"/>
    </xf>
    <xf numFmtId="0" fontId="11" fillId="30" borderId="16" xfId="261" applyNumberFormat="1" applyFont="1" applyFill="1" applyBorder="1" applyAlignment="1" applyProtection="1">
      <alignment horizontal="center" vertical="center"/>
    </xf>
    <xf numFmtId="0" fontId="11" fillId="31" borderId="16" xfId="261" applyNumberFormat="1" applyFont="1" applyFill="1" applyBorder="1" applyAlignment="1">
      <alignment horizontal="center" vertical="center"/>
    </xf>
    <xf numFmtId="0" fontId="11" fillId="0" borderId="16" xfId="261" quotePrefix="1" applyNumberFormat="1" applyFont="1" applyFill="1" applyBorder="1" applyAlignment="1" applyProtection="1">
      <alignment horizontal="left" vertical="center"/>
    </xf>
    <xf numFmtId="0" fontId="11" fillId="0" borderId="16" xfId="261" applyNumberFormat="1" applyFont="1" applyFill="1" applyBorder="1" applyAlignment="1" applyProtection="1">
      <alignment horizontal="left" vertical="center"/>
    </xf>
    <xf numFmtId="0" fontId="11" fillId="0" borderId="28" xfId="261" applyNumberFormat="1" applyFont="1" applyFill="1" applyBorder="1" applyAlignment="1" applyProtection="1">
      <alignment horizontal="left" vertical="center"/>
    </xf>
    <xf numFmtId="0" fontId="9" fillId="4" borderId="16" xfId="261" applyNumberFormat="1" applyFont="1" applyFill="1" applyBorder="1" applyAlignment="1">
      <alignment horizontal="center" vertical="center"/>
    </xf>
    <xf numFmtId="0" fontId="4" fillId="0" borderId="16" xfId="0" quotePrefix="1" applyNumberFormat="1" applyFont="1" applyBorder="1">
      <alignment vertical="center"/>
    </xf>
    <xf numFmtId="0" fontId="4" fillId="0" borderId="16" xfId="0" applyNumberFormat="1" applyFont="1" applyBorder="1">
      <alignment vertical="center"/>
    </xf>
    <xf numFmtId="0" fontId="4" fillId="0" borderId="28" xfId="0" applyNumberFormat="1" applyFont="1" applyBorder="1">
      <alignment vertical="center"/>
    </xf>
    <xf numFmtId="0" fontId="4" fillId="0" borderId="0" xfId="0" quotePrefix="1" applyNumberFormat="1" applyFont="1" applyAlignment="1">
      <alignment horizontal="left" vertical="center"/>
    </xf>
    <xf numFmtId="0" fontId="4" fillId="0" borderId="16" xfId="303" applyNumberFormat="1" applyFont="1" applyFill="1" applyBorder="1" applyAlignment="1">
      <alignment horizontal="center" vertical="center"/>
    </xf>
    <xf numFmtId="0" fontId="11" fillId="0" borderId="16" xfId="303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/>
    <xf numFmtId="0" fontId="11" fillId="0" borderId="16" xfId="303" applyNumberFormat="1" applyFont="1" applyFill="1" applyBorder="1" applyAlignment="1">
      <alignment horizontal="center"/>
    </xf>
    <xf numFmtId="0" fontId="11" fillId="0" borderId="28" xfId="303" applyNumberFormat="1" applyFont="1" applyFill="1" applyBorder="1" applyAlignment="1">
      <alignment horizontal="center" vertical="center"/>
    </xf>
    <xf numFmtId="0" fontId="11" fillId="0" borderId="28" xfId="261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9" fillId="0" borderId="28" xfId="261" applyNumberFormat="1" applyFont="1" applyFill="1" applyBorder="1" applyAlignment="1">
      <alignment horizontal="center" vertical="center" wrapText="1"/>
    </xf>
    <xf numFmtId="0" fontId="11" fillId="29" borderId="28" xfId="261" applyNumberFormat="1" applyFont="1" applyFill="1" applyBorder="1" applyAlignment="1">
      <alignment horizontal="center" vertical="center"/>
    </xf>
    <xf numFmtId="0" fontId="11" fillId="4" borderId="16" xfId="261" applyNumberFormat="1" applyFont="1" applyFill="1" applyBorder="1" applyAlignment="1">
      <alignment horizontal="center" vertical="center" shrinkToFit="1"/>
    </xf>
    <xf numFmtId="0" fontId="11" fillId="4" borderId="16" xfId="261" applyNumberFormat="1" applyFont="1" applyFill="1" applyBorder="1" applyAlignment="1" applyProtection="1">
      <alignment horizontal="center" vertical="center" shrinkToFit="1"/>
    </xf>
    <xf numFmtId="0" fontId="11" fillId="4" borderId="28" xfId="476" applyNumberFormat="1" applyFont="1" applyFill="1" applyBorder="1" applyAlignment="1" applyProtection="1">
      <alignment horizontal="center" vertical="center" shrinkToFit="1"/>
    </xf>
    <xf numFmtId="0" fontId="11" fillId="4" borderId="28" xfId="261" applyNumberFormat="1" applyFont="1" applyFill="1" applyBorder="1" applyAlignment="1" applyProtection="1">
      <alignment horizontal="center" vertical="center" shrinkToFit="1"/>
    </xf>
    <xf numFmtId="0" fontId="47" fillId="4" borderId="16" xfId="261" applyNumberFormat="1" applyFont="1" applyFill="1" applyBorder="1" applyAlignment="1" applyProtection="1">
      <alignment horizontal="center" vertical="center" shrinkToFit="1"/>
    </xf>
    <xf numFmtId="0" fontId="47" fillId="30" borderId="16" xfId="261" applyNumberFormat="1" applyFont="1" applyFill="1" applyBorder="1" applyAlignment="1" applyProtection="1">
      <alignment horizontal="center" vertical="center" shrinkToFit="1"/>
    </xf>
    <xf numFmtId="0" fontId="11" fillId="4" borderId="16" xfId="261" applyNumberFormat="1" applyFont="1" applyFill="1" applyBorder="1" applyAlignment="1" applyProtection="1">
      <alignment horizontal="left" vertical="center" shrinkToFit="1"/>
    </xf>
    <xf numFmtId="0" fontId="11" fillId="4" borderId="28" xfId="261" applyNumberFormat="1" applyFont="1" applyFill="1" applyBorder="1" applyAlignment="1" applyProtection="1">
      <alignment horizontal="left" vertical="center" shrinkToFit="1"/>
    </xf>
    <xf numFmtId="0" fontId="4" fillId="0" borderId="0" xfId="1" applyNumberFormat="1" applyFont="1" applyAlignment="1">
      <alignment horizontal="center" vertical="center"/>
    </xf>
    <xf numFmtId="0" fontId="4" fillId="0" borderId="0" xfId="476" applyNumberFormat="1" applyFont="1" applyAlignment="1">
      <alignment horizontal="center" vertical="center"/>
    </xf>
    <xf numFmtId="0" fontId="11" fillId="0" borderId="0" xfId="26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14" fontId="4" fillId="0" borderId="0" xfId="1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83" fontId="9" fillId="4" borderId="28" xfId="261" applyNumberFormat="1" applyFont="1" applyFill="1" applyBorder="1" applyAlignment="1">
      <alignment horizontal="center" vertical="center" wrapText="1"/>
    </xf>
    <xf numFmtId="0" fontId="66" fillId="0" borderId="30" xfId="0" applyNumberFormat="1" applyFont="1" applyBorder="1" applyAlignment="1">
      <alignment horizontal="center" vertical="center"/>
    </xf>
    <xf numFmtId="183" fontId="67" fillId="5" borderId="28" xfId="0" applyNumberFormat="1" applyFont="1" applyFill="1" applyBorder="1" applyAlignment="1">
      <alignment horizontal="center" vertical="center"/>
    </xf>
    <xf numFmtId="0" fontId="68" fillId="0" borderId="28" xfId="0" applyNumberFormat="1" applyFont="1" applyBorder="1">
      <alignment vertical="center"/>
    </xf>
    <xf numFmtId="184" fontId="66" fillId="0" borderId="31" xfId="0" applyNumberFormat="1" applyFont="1" applyBorder="1" applyAlignment="1">
      <alignment horizontal="left" vertical="center"/>
    </xf>
    <xf numFmtId="0" fontId="66" fillId="0" borderId="31" xfId="0" applyNumberFormat="1" applyFont="1" applyBorder="1" applyAlignment="1">
      <alignment horizontal="left" vertical="center"/>
    </xf>
    <xf numFmtId="179" fontId="4" fillId="0" borderId="28" xfId="0" applyFont="1" applyFill="1" applyBorder="1" applyAlignment="1">
      <alignment horizontal="center" vertical="center"/>
    </xf>
    <xf numFmtId="179" fontId="4" fillId="0" borderId="28" xfId="0" quotePrefix="1" applyFont="1" applyBorder="1" applyAlignment="1">
      <alignment horizontal="center" vertical="center"/>
    </xf>
    <xf numFmtId="0" fontId="67" fillId="5" borderId="28" xfId="0" applyNumberFormat="1" applyFont="1" applyFill="1" applyBorder="1" applyAlignment="1">
      <alignment horizontal="center" vertical="center"/>
    </xf>
    <xf numFmtId="0" fontId="7" fillId="27" borderId="0" xfId="303" applyNumberFormat="1" applyFont="1" applyFill="1" applyBorder="1" applyAlignment="1">
      <alignment horizontal="center" vertical="center"/>
    </xf>
    <xf numFmtId="0" fontId="40" fillId="27" borderId="0" xfId="446" applyNumberFormat="1" applyFont="1" applyFill="1" applyBorder="1" applyAlignment="1">
      <alignment horizontal="left" wrapText="1"/>
    </xf>
    <xf numFmtId="0" fontId="41" fillId="27" borderId="0" xfId="0" applyNumberFormat="1" applyFont="1" applyFill="1">
      <alignment vertical="center"/>
    </xf>
    <xf numFmtId="179" fontId="4" fillId="0" borderId="0" xfId="0" applyFont="1" applyFill="1" applyAlignment="1">
      <alignment horizontal="center" vertical="center"/>
    </xf>
    <xf numFmtId="183" fontId="12" fillId="0" borderId="28" xfId="353" applyNumberFormat="1" applyFont="1" applyFill="1" applyBorder="1" applyAlignment="1" applyProtection="1">
      <alignment horizontal="center" vertical="center" wrapText="1"/>
    </xf>
    <xf numFmtId="0" fontId="0" fillId="0" borderId="28" xfId="0" applyNumberFormat="1" applyBorder="1">
      <alignment vertical="center"/>
    </xf>
    <xf numFmtId="183" fontId="4" fillId="0" borderId="28" xfId="0" applyNumberFormat="1" applyFont="1" applyBorder="1">
      <alignment vertical="center"/>
    </xf>
    <xf numFmtId="183" fontId="0" fillId="0" borderId="0" xfId="0" applyNumberFormat="1">
      <alignment vertical="center"/>
    </xf>
    <xf numFmtId="0" fontId="48" fillId="0" borderId="28" xfId="261" applyNumberFormat="1" applyFont="1" applyFill="1" applyBorder="1" applyAlignment="1">
      <alignment horizontal="center" vertical="center" wrapText="1"/>
    </xf>
    <xf numFmtId="179" fontId="49" fillId="0" borderId="28" xfId="0" applyFont="1" applyBorder="1" applyAlignment="1">
      <alignment vertical="center"/>
    </xf>
    <xf numFmtId="0" fontId="65" fillId="33" borderId="28" xfId="309" applyNumberFormat="1" applyFont="1" applyFill="1" applyBorder="1" applyAlignment="1">
      <alignment horizontal="center" vertical="center" wrapText="1"/>
    </xf>
    <xf numFmtId="0" fontId="15" fillId="33" borderId="28" xfId="309" applyNumberFormat="1" applyFont="1" applyFill="1" applyBorder="1" applyAlignment="1">
      <alignment horizontal="center" vertical="center" wrapText="1"/>
    </xf>
    <xf numFmtId="0" fontId="0" fillId="5" borderId="28" xfId="0" applyNumberFormat="1" applyFill="1" applyBorder="1">
      <alignment vertical="center"/>
    </xf>
    <xf numFmtId="0" fontId="49" fillId="0" borderId="28" xfId="0" applyNumberFormat="1" applyFont="1" applyBorder="1" applyAlignment="1">
      <alignment horizontal="center" vertical="center"/>
    </xf>
    <xf numFmtId="179" fontId="48" fillId="36" borderId="0" xfId="0" applyFont="1" applyFill="1" applyAlignment="1">
      <alignment horizontal="center" vertical="center"/>
    </xf>
    <xf numFmtId="0" fontId="48" fillId="36" borderId="0" xfId="0" applyNumberFormat="1" applyFont="1" applyFill="1" applyAlignment="1">
      <alignment horizontal="center" vertical="center"/>
    </xf>
    <xf numFmtId="179" fontId="48" fillId="36" borderId="28" xfId="0" applyFont="1" applyFill="1" applyBorder="1" applyAlignment="1">
      <alignment horizontal="center" vertical="center"/>
    </xf>
    <xf numFmtId="0" fontId="48" fillId="36" borderId="28" xfId="0" applyNumberFormat="1" applyFont="1" applyFill="1" applyBorder="1" applyAlignment="1">
      <alignment horizontal="center" vertical="center"/>
    </xf>
    <xf numFmtId="14" fontId="48" fillId="36" borderId="28" xfId="0" applyNumberFormat="1" applyFont="1" applyFill="1" applyBorder="1" applyAlignment="1">
      <alignment horizontal="center" vertical="center"/>
    </xf>
    <xf numFmtId="0" fontId="48" fillId="36" borderId="28" xfId="476" applyNumberFormat="1" applyFont="1" applyFill="1" applyBorder="1" applyAlignment="1">
      <alignment horizontal="center" vertical="center"/>
    </xf>
    <xf numFmtId="0" fontId="48" fillId="36" borderId="28" xfId="0" applyNumberFormat="1" applyFont="1" applyFill="1" applyBorder="1" applyAlignment="1">
      <alignment horizontal="left" vertical="center"/>
    </xf>
    <xf numFmtId="176" fontId="3" fillId="0" borderId="16" xfId="468" applyNumberFormat="1" applyFont="1" applyBorder="1" applyAlignment="1">
      <alignment vertical="center" wrapText="1"/>
    </xf>
    <xf numFmtId="176" fontId="3" fillId="0" borderId="16" xfId="468" applyNumberFormat="1" applyBorder="1" applyAlignment="1">
      <alignment vertical="center" wrapText="1"/>
    </xf>
    <xf numFmtId="176" fontId="3" fillId="0" borderId="16" xfId="468" applyNumberFormat="1" applyBorder="1">
      <alignment vertical="center"/>
    </xf>
    <xf numFmtId="176" fontId="3" fillId="0" borderId="16" xfId="468" applyNumberFormat="1" applyFill="1" applyBorder="1">
      <alignment vertical="center"/>
    </xf>
    <xf numFmtId="176" fontId="0" fillId="0" borderId="0" xfId="0" applyNumberFormat="1">
      <alignment vertical="center"/>
    </xf>
    <xf numFmtId="176" fontId="3" fillId="0" borderId="0" xfId="468" applyNumberFormat="1">
      <alignment vertical="center"/>
    </xf>
    <xf numFmtId="176" fontId="45" fillId="27" borderId="2" xfId="474" applyNumberFormat="1" applyFont="1" applyFill="1" applyBorder="1" applyAlignment="1">
      <alignment vertical="center" wrapText="1"/>
    </xf>
    <xf numFmtId="176" fontId="5" fillId="0" borderId="5" xfId="1" applyNumberFormat="1" applyFont="1" applyFill="1" applyBorder="1" applyAlignment="1">
      <alignment vertical="center"/>
    </xf>
    <xf numFmtId="176" fontId="55" fillId="34" borderId="16" xfId="0" applyNumberFormat="1" applyFont="1" applyFill="1" applyBorder="1" applyAlignment="1">
      <alignment horizontal="center" vertical="center" wrapText="1"/>
    </xf>
    <xf numFmtId="176" fontId="56" fillId="0" borderId="16" xfId="0" applyNumberFormat="1" applyFont="1" applyFill="1" applyBorder="1" applyAlignment="1">
      <alignment horizontal="center"/>
    </xf>
    <xf numFmtId="176" fontId="59" fillId="0" borderId="16" xfId="0" applyNumberFormat="1" applyFont="1" applyFill="1" applyBorder="1" applyAlignment="1">
      <alignment vertical="center"/>
    </xf>
    <xf numFmtId="176" fontId="56" fillId="0" borderId="16" xfId="0" applyNumberFormat="1" applyFont="1" applyFill="1" applyBorder="1" applyAlignment="1">
      <alignment horizontal="center" vertical="center"/>
    </xf>
    <xf numFmtId="176" fontId="14" fillId="0" borderId="16" xfId="0" applyNumberFormat="1" applyFont="1" applyFill="1" applyBorder="1" applyAlignment="1">
      <alignment horizontal="left" vertical="center"/>
    </xf>
    <xf numFmtId="176" fontId="15" fillId="0" borderId="16" xfId="0" applyNumberFormat="1" applyFont="1" applyFill="1" applyBorder="1" applyAlignment="1">
      <alignment horizontal="center" vertical="center" wrapText="1"/>
    </xf>
    <xf numFmtId="176" fontId="60" fillId="0" borderId="26" xfId="0" applyNumberFormat="1" applyFont="1" applyFill="1" applyBorder="1" applyAlignment="1">
      <alignment horizontal="center"/>
    </xf>
    <xf numFmtId="176" fontId="8" fillId="0" borderId="0" xfId="0" applyNumberFormat="1" applyFont="1" applyFill="1" applyAlignment="1"/>
    <xf numFmtId="176" fontId="63" fillId="0" borderId="0" xfId="0" applyNumberFormat="1" applyFont="1" applyFill="1" applyAlignment="1"/>
    <xf numFmtId="176" fontId="8" fillId="0" borderId="0" xfId="0" applyNumberFormat="1" applyFont="1" applyFill="1" applyAlignment="1">
      <alignment vertical="center"/>
    </xf>
    <xf numFmtId="176" fontId="63" fillId="0" borderId="0" xfId="0" applyNumberFormat="1" applyFont="1" applyFill="1" applyAlignment="1">
      <alignment vertical="center"/>
    </xf>
    <xf numFmtId="176" fontId="15" fillId="0" borderId="16" xfId="0" applyNumberFormat="1" applyFont="1" applyFill="1" applyBorder="1" applyAlignment="1">
      <alignment horizontal="center" vertical="center" wrapText="1"/>
    </xf>
    <xf numFmtId="0" fontId="67" fillId="33" borderId="28" xfId="309" applyNumberFormat="1" applyFont="1" applyFill="1" applyBorder="1" applyAlignment="1">
      <alignment horizontal="center" vertical="center" wrapText="1"/>
    </xf>
    <xf numFmtId="0" fontId="65" fillId="5" borderId="28" xfId="309" applyNumberFormat="1" applyFont="1" applyFill="1" applyBorder="1" applyAlignment="1">
      <alignment horizontal="center" vertical="center" wrapText="1"/>
    </xf>
    <xf numFmtId="0" fontId="11" fillId="5" borderId="28" xfId="303" applyNumberFormat="1" applyFont="1" applyFill="1" applyBorder="1" applyAlignment="1">
      <alignment horizontal="center" vertical="center"/>
    </xf>
    <xf numFmtId="0" fontId="11" fillId="5" borderId="28" xfId="303" applyNumberFormat="1" applyFont="1" applyFill="1" applyBorder="1" applyAlignment="1">
      <alignment horizontal="center"/>
    </xf>
    <xf numFmtId="0" fontId="0" fillId="0" borderId="28" xfId="0" applyNumberFormat="1" applyFill="1" applyBorder="1" applyAlignment="1">
      <alignment vertical="center"/>
    </xf>
    <xf numFmtId="0" fontId="4" fillId="0" borderId="26" xfId="470" applyNumberFormat="1" applyFont="1" applyBorder="1" applyAlignment="1">
      <alignment horizontal="center" vertical="center"/>
    </xf>
    <xf numFmtId="0" fontId="9" fillId="5" borderId="28" xfId="261" applyNumberFormat="1" applyFont="1" applyFill="1" applyBorder="1" applyAlignment="1">
      <alignment horizontal="center" vertical="center" wrapText="1"/>
    </xf>
    <xf numFmtId="0" fontId="9" fillId="5" borderId="28" xfId="303" applyNumberFormat="1" applyFont="1" applyFill="1" applyBorder="1" applyAlignment="1">
      <alignment horizontal="center" vertical="center"/>
    </xf>
    <xf numFmtId="0" fontId="41" fillId="0" borderId="28" xfId="303" applyNumberFormat="1" applyFont="1" applyFill="1" applyBorder="1" applyAlignment="1">
      <alignment horizontal="left" vertical="center"/>
    </xf>
    <xf numFmtId="0" fontId="4" fillId="0" borderId="32" xfId="303" applyNumberFormat="1" applyFont="1" applyFill="1" applyBorder="1" applyAlignment="1">
      <alignment horizontal="center" vertical="center"/>
    </xf>
    <xf numFmtId="14" fontId="0" fillId="0" borderId="28" xfId="0" applyNumberFormat="1" applyBorder="1">
      <alignment vertical="center"/>
    </xf>
    <xf numFmtId="14" fontId="0" fillId="5" borderId="28" xfId="0" applyNumberFormat="1" applyFill="1" applyBorder="1">
      <alignment vertical="center"/>
    </xf>
    <xf numFmtId="0" fontId="55" fillId="34" borderId="28" xfId="0" applyNumberFormat="1" applyFont="1" applyFill="1" applyBorder="1" applyAlignment="1">
      <alignment horizontal="center" vertical="center" wrapText="1"/>
    </xf>
    <xf numFmtId="0" fontId="56" fillId="0" borderId="28" xfId="0" applyNumberFormat="1" applyFont="1" applyFill="1" applyBorder="1" applyAlignment="1">
      <alignment horizontal="center"/>
    </xf>
    <xf numFmtId="0" fontId="15" fillId="0" borderId="28" xfId="0" applyNumberFormat="1" applyFont="1" applyFill="1" applyBorder="1" applyAlignment="1">
      <alignment horizontal="center" vertical="center" wrapText="1"/>
    </xf>
    <xf numFmtId="0" fontId="56" fillId="31" borderId="28" xfId="0" applyNumberFormat="1" applyFont="1" applyFill="1" applyBorder="1" applyAlignment="1">
      <alignment horizontal="center"/>
    </xf>
    <xf numFmtId="0" fontId="15" fillId="31" borderId="28" xfId="0" applyNumberFormat="1" applyFont="1" applyFill="1" applyBorder="1" applyAlignment="1">
      <alignment horizontal="center" vertical="center" wrapText="1"/>
    </xf>
    <xf numFmtId="0" fontId="69" fillId="0" borderId="20" xfId="0" applyNumberFormat="1" applyFont="1" applyFill="1" applyBorder="1" applyAlignment="1">
      <alignment horizontal="center"/>
    </xf>
    <xf numFmtId="0" fontId="55" fillId="0" borderId="20" xfId="0" applyNumberFormat="1" applyFont="1" applyFill="1" applyBorder="1" applyAlignment="1">
      <alignment horizontal="center" vertical="center" wrapText="1"/>
    </xf>
    <xf numFmtId="0" fontId="50" fillId="34" borderId="41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Alignment="1"/>
    <xf numFmtId="0" fontId="8" fillId="0" borderId="0" xfId="0" applyNumberFormat="1" applyFont="1" applyFill="1" applyAlignment="1">
      <alignment vertical="center"/>
    </xf>
    <xf numFmtId="0" fontId="69" fillId="0" borderId="17" xfId="0" applyNumberFormat="1" applyFont="1" applyFill="1" applyBorder="1" applyAlignment="1">
      <alignment horizontal="center"/>
    </xf>
    <xf numFmtId="0" fontId="50" fillId="34" borderId="33" xfId="0" applyNumberFormat="1" applyFont="1" applyFill="1" applyBorder="1" applyAlignment="1">
      <alignment horizontal="left" vertical="center"/>
    </xf>
    <xf numFmtId="0" fontId="50" fillId="34" borderId="37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Alignment="1">
      <alignment horizontal="center" vertical="center"/>
    </xf>
    <xf numFmtId="0" fontId="56" fillId="0" borderId="28" xfId="0" applyNumberFormat="1" applyFont="1" applyFill="1" applyBorder="1" applyAlignment="1">
      <alignment horizontal="left" vertical="center"/>
    </xf>
    <xf numFmtId="0" fontId="9" fillId="0" borderId="28" xfId="0" applyNumberFormat="1" applyFont="1" applyFill="1" applyBorder="1" applyAlignment="1" applyProtection="1">
      <alignment horizontal="center" vertical="center"/>
      <protection locked="0"/>
    </xf>
    <xf numFmtId="0" fontId="56" fillId="0" borderId="28" xfId="0" applyNumberFormat="1" applyFont="1" applyFill="1" applyBorder="1" applyAlignment="1">
      <alignment horizontal="center" vertical="center"/>
    </xf>
    <xf numFmtId="0" fontId="57" fillId="0" borderId="28" xfId="0" applyNumberFormat="1" applyFont="1" applyFill="1" applyBorder="1" applyAlignment="1">
      <alignment horizontal="center" vertical="center"/>
    </xf>
    <xf numFmtId="0" fontId="58" fillId="0" borderId="28" xfId="0" applyNumberFormat="1" applyFont="1" applyFill="1" applyBorder="1" applyAlignment="1">
      <alignment horizontal="center" vertical="center"/>
    </xf>
    <xf numFmtId="0" fontId="59" fillId="0" borderId="28" xfId="0" applyNumberFormat="1" applyFont="1" applyFill="1" applyBorder="1" applyAlignment="1">
      <alignment vertical="center"/>
    </xf>
    <xf numFmtId="0" fontId="14" fillId="0" borderId="28" xfId="0" applyNumberFormat="1" applyFont="1" applyFill="1" applyBorder="1" applyAlignment="1">
      <alignment horizontal="left" vertical="center"/>
    </xf>
    <xf numFmtId="0" fontId="60" fillId="0" borderId="26" xfId="0" applyNumberFormat="1" applyFont="1" applyFill="1" applyBorder="1" applyAlignment="1">
      <alignment horizontal="center"/>
    </xf>
    <xf numFmtId="0" fontId="61" fillId="0" borderId="0" xfId="0" applyNumberFormat="1" applyFont="1" applyFill="1" applyAlignment="1">
      <alignment vertical="center"/>
    </xf>
    <xf numFmtId="0" fontId="59" fillId="0" borderId="0" xfId="0" applyNumberFormat="1" applyFont="1" applyFill="1" applyAlignment="1">
      <alignment vertical="center"/>
    </xf>
    <xf numFmtId="0" fontId="56" fillId="31" borderId="28" xfId="0" applyNumberFormat="1" applyFont="1" applyFill="1" applyBorder="1" applyAlignment="1">
      <alignment horizontal="left" vertical="center"/>
    </xf>
    <xf numFmtId="0" fontId="9" fillId="31" borderId="28" xfId="0" applyNumberFormat="1" applyFont="1" applyFill="1" applyBorder="1" applyAlignment="1" applyProtection="1">
      <alignment horizontal="center" vertical="center"/>
      <protection locked="0"/>
    </xf>
    <xf numFmtId="0" fontId="56" fillId="31" borderId="28" xfId="0" applyNumberFormat="1" applyFont="1" applyFill="1" applyBorder="1" applyAlignment="1">
      <alignment horizontal="center" vertical="center"/>
    </xf>
    <xf numFmtId="0" fontId="57" fillId="31" borderId="28" xfId="0" applyNumberFormat="1" applyFont="1" applyFill="1" applyBorder="1" applyAlignment="1">
      <alignment horizontal="center" vertical="center"/>
    </xf>
    <xf numFmtId="0" fontId="58" fillId="31" borderId="28" xfId="0" quotePrefix="1" applyNumberFormat="1" applyFont="1" applyFill="1" applyBorder="1" applyAlignment="1">
      <alignment horizontal="center" vertical="center"/>
    </xf>
    <xf numFmtId="0" fontId="59" fillId="31" borderId="28" xfId="0" applyNumberFormat="1" applyFont="1" applyFill="1" applyBorder="1" applyAlignment="1">
      <alignment vertical="center"/>
    </xf>
    <xf numFmtId="0" fontId="14" fillId="31" borderId="28" xfId="0" applyNumberFormat="1" applyFont="1" applyFill="1" applyBorder="1" applyAlignment="1">
      <alignment horizontal="left" vertical="center"/>
    </xf>
    <xf numFmtId="0" fontId="60" fillId="31" borderId="26" xfId="0" applyNumberFormat="1" applyFont="1" applyFill="1" applyBorder="1" applyAlignment="1">
      <alignment horizontal="center"/>
    </xf>
    <xf numFmtId="0" fontId="61" fillId="31" borderId="0" xfId="0" applyNumberFormat="1" applyFont="1" applyFill="1" applyAlignment="1">
      <alignment vertical="center"/>
    </xf>
    <xf numFmtId="0" fontId="59" fillId="31" borderId="0" xfId="0" applyNumberFormat="1" applyFont="1" applyFill="1" applyAlignment="1">
      <alignment vertical="center"/>
    </xf>
    <xf numFmtId="0" fontId="69" fillId="0" borderId="17" xfId="0" applyNumberFormat="1" applyFont="1" applyFill="1" applyBorder="1" applyAlignment="1">
      <alignment horizontal="center" vertical="center"/>
    </xf>
    <xf numFmtId="0" fontId="9" fillId="0" borderId="19" xfId="0" applyNumberFormat="1" applyFont="1" applyFill="1" applyBorder="1" applyAlignment="1" applyProtection="1">
      <alignment horizontal="center" vertical="center"/>
      <protection locked="0"/>
    </xf>
    <xf numFmtId="0" fontId="69" fillId="0" borderId="19" xfId="0" applyNumberFormat="1" applyFont="1" applyFill="1" applyBorder="1" applyAlignment="1">
      <alignment horizontal="center"/>
    </xf>
    <xf numFmtId="0" fontId="70" fillId="0" borderId="20" xfId="0" applyNumberFormat="1" applyFont="1" applyFill="1" applyBorder="1" applyAlignment="1">
      <alignment horizontal="center" vertical="center"/>
    </xf>
    <xf numFmtId="0" fontId="62" fillId="0" borderId="19" xfId="0" applyNumberFormat="1" applyFont="1" applyFill="1" applyBorder="1" applyAlignment="1">
      <alignment horizontal="center" vertical="center"/>
    </xf>
    <xf numFmtId="0" fontId="71" fillId="0" borderId="19" xfId="0" applyNumberFormat="1" applyFont="1" applyFill="1" applyBorder="1" applyAlignment="1">
      <alignment horizontal="center" vertical="center"/>
    </xf>
    <xf numFmtId="0" fontId="70" fillId="0" borderId="19" xfId="0" applyNumberFormat="1" applyFont="1" applyFill="1" applyBorder="1" applyAlignment="1">
      <alignment horizontal="center"/>
    </xf>
    <xf numFmtId="0" fontId="70" fillId="0" borderId="20" xfId="0" applyNumberFormat="1" applyFont="1" applyFill="1" applyBorder="1" applyAlignment="1">
      <alignment horizontal="center"/>
    </xf>
    <xf numFmtId="0" fontId="69" fillId="3" borderId="20" xfId="0" applyNumberFormat="1" applyFont="1" applyFill="1" applyBorder="1" applyAlignment="1">
      <alignment horizontal="center"/>
    </xf>
    <xf numFmtId="0" fontId="70" fillId="3" borderId="20" xfId="0" applyNumberFormat="1" applyFont="1" applyFill="1" applyBorder="1" applyAlignment="1">
      <alignment horizontal="center"/>
    </xf>
    <xf numFmtId="0" fontId="72" fillId="0" borderId="20" xfId="0" applyNumberFormat="1" applyFont="1" applyFill="1" applyBorder="1" applyAlignment="1">
      <alignment vertical="center"/>
    </xf>
    <xf numFmtId="0" fontId="69" fillId="0" borderId="20" xfId="0" applyNumberFormat="1" applyFont="1" applyFill="1" applyBorder="1" applyAlignment="1">
      <alignment horizontal="center" vertical="center"/>
    </xf>
    <xf numFmtId="0" fontId="73" fillId="0" borderId="20" xfId="0" applyNumberFormat="1" applyFont="1" applyFill="1" applyBorder="1" applyAlignment="1">
      <alignment horizontal="left" vertical="center"/>
    </xf>
    <xf numFmtId="0" fontId="55" fillId="0" borderId="17" xfId="0" applyNumberFormat="1" applyFont="1" applyFill="1" applyBorder="1" applyAlignment="1">
      <alignment horizontal="center" vertical="center" wrapText="1"/>
    </xf>
    <xf numFmtId="0" fontId="55" fillId="0" borderId="28" xfId="0" applyNumberFormat="1" applyFont="1" applyFill="1" applyBorder="1" applyAlignment="1">
      <alignment horizontal="center" vertical="center" wrapText="1"/>
    </xf>
    <xf numFmtId="0" fontId="74" fillId="0" borderId="26" xfId="0" applyNumberFormat="1" applyFont="1" applyFill="1" applyBorder="1" applyAlignment="1">
      <alignment horizontal="center"/>
    </xf>
    <xf numFmtId="0" fontId="72" fillId="0" borderId="0" xfId="0" applyNumberFormat="1" applyFont="1" applyFill="1" applyAlignment="1">
      <alignment vertical="center"/>
    </xf>
    <xf numFmtId="0" fontId="50" fillId="34" borderId="34" xfId="0" applyNumberFormat="1" applyFont="1" applyFill="1" applyBorder="1" applyAlignment="1">
      <alignment horizontal="right" vertical="center"/>
    </xf>
    <xf numFmtId="0" fontId="50" fillId="34" borderId="35" xfId="0" applyNumberFormat="1" applyFont="1" applyFill="1" applyBorder="1" applyAlignment="1">
      <alignment horizontal="right" vertical="center"/>
    </xf>
    <xf numFmtId="0" fontId="50" fillId="34" borderId="36" xfId="0" applyNumberFormat="1" applyFont="1" applyFill="1" applyBorder="1" applyAlignment="1">
      <alignment horizontal="right" vertical="center"/>
    </xf>
    <xf numFmtId="0" fontId="53" fillId="34" borderId="28" xfId="0" applyNumberFormat="1" applyFont="1" applyFill="1" applyBorder="1" applyAlignment="1">
      <alignment horizontal="right" vertical="center"/>
    </xf>
    <xf numFmtId="0" fontId="50" fillId="34" borderId="38" xfId="0" applyNumberFormat="1" applyFont="1" applyFill="1" applyBorder="1" applyAlignment="1">
      <alignment horizontal="right" vertical="center"/>
    </xf>
    <xf numFmtId="0" fontId="50" fillId="34" borderId="39" xfId="0" applyNumberFormat="1" applyFont="1" applyFill="1" applyBorder="1" applyAlignment="1">
      <alignment horizontal="right" vertical="center"/>
    </xf>
    <xf numFmtId="0" fontId="50" fillId="34" borderId="40" xfId="0" applyNumberFormat="1" applyFont="1" applyFill="1" applyBorder="1" applyAlignment="1">
      <alignment horizontal="right" vertical="center"/>
    </xf>
    <xf numFmtId="0" fontId="53" fillId="34" borderId="42" xfId="0" applyNumberFormat="1" applyFont="1" applyFill="1" applyBorder="1" applyAlignment="1">
      <alignment horizontal="right" vertical="center"/>
    </xf>
    <xf numFmtId="0" fontId="62" fillId="0" borderId="0" xfId="0" applyNumberFormat="1" applyFont="1" applyFill="1" applyAlignment="1">
      <alignment vertical="center"/>
    </xf>
    <xf numFmtId="0" fontId="63" fillId="0" borderId="0" xfId="0" applyNumberFormat="1" applyFont="1" applyFill="1" applyAlignment="1"/>
    <xf numFmtId="0" fontId="64" fillId="0" borderId="0" xfId="0" applyNumberFormat="1" applyFont="1" applyFill="1" applyAlignment="1">
      <alignment vertical="center"/>
    </xf>
    <xf numFmtId="0" fontId="63" fillId="0" borderId="0" xfId="0" applyNumberFormat="1" applyFont="1" applyFill="1" applyAlignment="1">
      <alignment vertical="center"/>
    </xf>
    <xf numFmtId="0" fontId="13" fillId="0" borderId="0" xfId="0" applyNumberFormat="1" applyFont="1" applyFill="1" applyAlignment="1">
      <alignment vertical="center"/>
    </xf>
    <xf numFmtId="49" fontId="66" fillId="0" borderId="31" xfId="0" quotePrefix="1" applyNumberFormat="1" applyFont="1" applyBorder="1" applyAlignment="1">
      <alignment horizontal="left"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9" fontId="6" fillId="0" borderId="28" xfId="0" applyFont="1" applyFill="1" applyBorder="1" applyAlignment="1" applyProtection="1">
      <alignment horizontal="center" vertical="center"/>
      <protection locked="0"/>
    </xf>
    <xf numFmtId="14" fontId="0" fillId="0" borderId="0" xfId="0" applyNumberFormat="1">
      <alignment vertical="center"/>
    </xf>
    <xf numFmtId="0" fontId="4" fillId="0" borderId="16" xfId="303" quotePrefix="1" applyNumberFormat="1" applyFont="1" applyFill="1" applyBorder="1" applyAlignment="1">
      <alignment horizontal="center" vertical="center"/>
    </xf>
    <xf numFmtId="179" fontId="40" fillId="0" borderId="0" xfId="446" applyFont="1" applyFill="1" applyBorder="1" applyAlignment="1">
      <alignment horizontal="center" wrapText="1"/>
    </xf>
    <xf numFmtId="179" fontId="41" fillId="0" borderId="0" xfId="0" applyFont="1" applyAlignment="1">
      <alignment horizontal="center" vertical="center"/>
    </xf>
    <xf numFmtId="0" fontId="66" fillId="0" borderId="31" xfId="0" quotePrefix="1" applyNumberFormat="1" applyFont="1" applyBorder="1" applyAlignment="1">
      <alignment horizontal="left" vertical="center"/>
    </xf>
    <xf numFmtId="0" fontId="4" fillId="0" borderId="0" xfId="0" applyNumberFormat="1" applyFont="1" applyAlignment="1">
      <alignment horizontal="center" vertical="center"/>
    </xf>
    <xf numFmtId="179" fontId="4" fillId="0" borderId="28" xfId="261" applyFont="1" applyFill="1" applyBorder="1" applyAlignment="1">
      <alignment horizontal="center" vertical="center" wrapText="1"/>
    </xf>
    <xf numFmtId="179" fontId="4" fillId="0" borderId="28" xfId="303" quotePrefix="1" applyNumberFormat="1" applyFont="1" applyFill="1" applyBorder="1" applyAlignment="1">
      <alignment horizontal="center" vertical="center"/>
    </xf>
    <xf numFmtId="0" fontId="11" fillId="3" borderId="28" xfId="261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0" fillId="0" borderId="28" xfId="0" applyNumberFormat="1" applyBorder="1" applyAlignment="1">
      <alignment horizontal="right" vertical="center"/>
    </xf>
    <xf numFmtId="0" fontId="0" fillId="0" borderId="28" xfId="0" applyNumberFormat="1" applyFont="1" applyFill="1" applyBorder="1" applyAlignment="1" applyProtection="1">
      <alignment vertical="center"/>
    </xf>
    <xf numFmtId="179" fontId="9" fillId="0" borderId="28" xfId="303" applyFont="1" applyFill="1" applyBorder="1" applyAlignment="1">
      <alignment horizontal="center" vertical="center"/>
    </xf>
    <xf numFmtId="179" fontId="4" fillId="0" borderId="28" xfId="303" applyFont="1" applyFill="1" applyBorder="1" applyAlignment="1">
      <alignment horizontal="center" vertical="center"/>
    </xf>
    <xf numFmtId="14" fontId="15" fillId="33" borderId="28" xfId="309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vertical="center"/>
    </xf>
    <xf numFmtId="0" fontId="66" fillId="0" borderId="43" xfId="0" quotePrefix="1" applyNumberFormat="1" applyFont="1" applyBorder="1" applyAlignment="1">
      <alignment horizontal="left" vertical="center"/>
    </xf>
    <xf numFmtId="0" fontId="11" fillId="0" borderId="44" xfId="261" applyNumberFormat="1" applyFont="1" applyFill="1" applyBorder="1" applyAlignment="1" applyProtection="1">
      <alignment horizontal="left" vertical="center"/>
    </xf>
    <xf numFmtId="0" fontId="66" fillId="0" borderId="43" xfId="0" applyNumberFormat="1" applyFont="1" applyBorder="1" applyAlignment="1">
      <alignment horizontal="left" vertical="center"/>
    </xf>
    <xf numFmtId="49" fontId="66" fillId="0" borderId="45" xfId="0" quotePrefix="1" applyNumberFormat="1" applyFont="1" applyBorder="1" applyAlignment="1">
      <alignment horizontal="left" vertical="center"/>
    </xf>
    <xf numFmtId="0" fontId="66" fillId="0" borderId="45" xfId="0" applyNumberFormat="1" applyFont="1" applyBorder="1" applyAlignment="1">
      <alignment horizontal="left" vertical="center"/>
    </xf>
    <xf numFmtId="0" fontId="4" fillId="0" borderId="0" xfId="0" applyNumberFormat="1" applyFont="1" applyAlignment="1">
      <alignment horizontal="center" vertical="center"/>
    </xf>
    <xf numFmtId="49" fontId="67" fillId="0" borderId="46" xfId="0" applyNumberFormat="1" applyFont="1" applyBorder="1" applyAlignment="1">
      <alignment vertical="center" wrapText="1"/>
    </xf>
    <xf numFmtId="179" fontId="0" fillId="0" borderId="28" xfId="0" applyBorder="1" applyAlignment="1">
      <alignment horizontal="center" vertical="center"/>
    </xf>
    <xf numFmtId="179" fontId="49" fillId="0" borderId="28" xfId="0" applyFont="1" applyBorder="1" applyAlignment="1">
      <alignment horizontal="center" vertical="center" wrapText="1"/>
    </xf>
    <xf numFmtId="179" fontId="17" fillId="3" borderId="28" xfId="261" applyFont="1" applyFill="1" applyBorder="1" applyAlignment="1">
      <alignment horizontal="center" vertical="center"/>
    </xf>
    <xf numFmtId="179" fontId="0" fillId="36" borderId="25" xfId="0" applyFill="1" applyBorder="1" applyAlignment="1">
      <alignment horizontal="center" vertical="center"/>
    </xf>
    <xf numFmtId="179" fontId="0" fillId="36" borderId="27" xfId="0" applyFill="1" applyBorder="1" applyAlignment="1">
      <alignment horizontal="center" vertical="center"/>
    </xf>
    <xf numFmtId="179" fontId="0" fillId="36" borderId="26" xfId="0" applyFill="1" applyBorder="1" applyAlignment="1">
      <alignment horizontal="center" vertical="center"/>
    </xf>
    <xf numFmtId="179" fontId="49" fillId="36" borderId="25" xfId="0" applyFont="1" applyFill="1" applyBorder="1" applyAlignment="1">
      <alignment horizontal="center" vertical="center"/>
    </xf>
    <xf numFmtId="179" fontId="49" fillId="36" borderId="27" xfId="0" applyFont="1" applyFill="1" applyBorder="1" applyAlignment="1">
      <alignment horizontal="center" vertical="center"/>
    </xf>
    <xf numFmtId="179" fontId="49" fillId="36" borderId="26" xfId="0" applyFont="1" applyFill="1" applyBorder="1" applyAlignment="1">
      <alignment horizontal="center" vertical="center"/>
    </xf>
    <xf numFmtId="0" fontId="4" fillId="0" borderId="29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2" fillId="3" borderId="1" xfId="353" applyNumberFormat="1" applyFont="1" applyFill="1" applyBorder="1" applyAlignment="1" applyProtection="1">
      <alignment horizontal="center" vertical="center" wrapText="1"/>
    </xf>
    <xf numFmtId="0" fontId="12" fillId="3" borderId="4" xfId="353" applyNumberFormat="1" applyFont="1" applyFill="1" applyBorder="1" applyAlignment="1" applyProtection="1">
      <alignment horizontal="center" vertical="center" wrapText="1"/>
    </xf>
    <xf numFmtId="0" fontId="10" fillId="3" borderId="1" xfId="353" applyNumberFormat="1" applyFont="1" applyFill="1" applyBorder="1" applyAlignment="1" applyProtection="1">
      <alignment horizontal="left" vertical="center" wrapText="1"/>
    </xf>
    <xf numFmtId="0" fontId="10" fillId="3" borderId="4" xfId="353" applyNumberFormat="1" applyFont="1" applyFill="1" applyBorder="1" applyAlignment="1" applyProtection="1">
      <alignment horizontal="left" vertical="center" wrapText="1"/>
    </xf>
    <xf numFmtId="0" fontId="10" fillId="3" borderId="1" xfId="353" applyNumberFormat="1" applyFont="1" applyFill="1" applyBorder="1" applyAlignment="1" applyProtection="1">
      <alignment horizontal="center" vertical="center" wrapText="1"/>
    </xf>
    <xf numFmtId="0" fontId="10" fillId="3" borderId="19" xfId="353" applyNumberFormat="1" applyFont="1" applyFill="1" applyBorder="1" applyAlignment="1" applyProtection="1">
      <alignment horizontal="center" vertical="center" wrapText="1"/>
    </xf>
    <xf numFmtId="0" fontId="12" fillId="3" borderId="5" xfId="353" applyNumberFormat="1" applyFont="1" applyFill="1" applyBorder="1" applyAlignment="1" applyProtection="1">
      <alignment horizontal="center" vertical="center" wrapText="1"/>
    </xf>
    <xf numFmtId="0" fontId="12" fillId="3" borderId="6" xfId="353" applyNumberFormat="1" applyFont="1" applyFill="1" applyBorder="1" applyAlignment="1" applyProtection="1">
      <alignment horizontal="center" vertical="center" wrapText="1"/>
    </xf>
    <xf numFmtId="0" fontId="12" fillId="3" borderId="3" xfId="353" applyNumberFormat="1" applyFont="1" applyFill="1" applyBorder="1" applyAlignment="1" applyProtection="1">
      <alignment horizontal="center" vertical="center" wrapText="1"/>
    </xf>
    <xf numFmtId="0" fontId="10" fillId="3" borderId="4" xfId="353" applyNumberFormat="1" applyFont="1" applyFill="1" applyBorder="1" applyAlignment="1" applyProtection="1">
      <alignment horizontal="center" vertical="center" wrapText="1"/>
    </xf>
    <xf numFmtId="0" fontId="12" fillId="3" borderId="23" xfId="353" applyNumberFormat="1" applyFont="1" applyFill="1" applyBorder="1" applyAlignment="1" applyProtection="1">
      <alignment horizontal="center" vertical="center" wrapText="1"/>
    </xf>
    <xf numFmtId="0" fontId="12" fillId="3" borderId="20" xfId="353" applyNumberFormat="1" applyFont="1" applyFill="1" applyBorder="1" applyAlignment="1" applyProtection="1">
      <alignment horizontal="center" vertical="center" wrapText="1"/>
    </xf>
    <xf numFmtId="0" fontId="12" fillId="3" borderId="22" xfId="353" applyNumberFormat="1" applyFont="1" applyFill="1" applyBorder="1" applyAlignment="1" applyProtection="1">
      <alignment horizontal="center" vertical="center" wrapText="1"/>
    </xf>
    <xf numFmtId="0" fontId="12" fillId="3" borderId="17" xfId="353" applyNumberFormat="1" applyFont="1" applyFill="1" applyBorder="1" applyAlignment="1" applyProtection="1">
      <alignment horizontal="center" vertical="center" wrapText="1"/>
    </xf>
    <xf numFmtId="0" fontId="12" fillId="32" borderId="22" xfId="353" applyNumberFormat="1" applyFont="1" applyFill="1" applyBorder="1" applyAlignment="1" applyProtection="1">
      <alignment horizontal="center" vertical="center" wrapText="1"/>
    </xf>
    <xf numFmtId="0" fontId="12" fillId="32" borderId="17" xfId="353" applyNumberFormat="1" applyFont="1" applyFill="1" applyBorder="1" applyAlignment="1" applyProtection="1">
      <alignment horizontal="center" vertical="center" wrapText="1"/>
    </xf>
    <xf numFmtId="0" fontId="12" fillId="35" borderId="1" xfId="353" applyNumberFormat="1" applyFont="1" applyFill="1" applyBorder="1" applyAlignment="1" applyProtection="1">
      <alignment horizontal="center" vertical="center" wrapText="1"/>
    </xf>
    <xf numFmtId="0" fontId="12" fillId="35" borderId="4" xfId="353" applyNumberFormat="1" applyFont="1" applyFill="1" applyBorder="1" applyAlignment="1" applyProtection="1">
      <alignment horizontal="center" vertical="center" wrapText="1"/>
    </xf>
    <xf numFmtId="0" fontId="12" fillId="3" borderId="24" xfId="353" applyNumberFormat="1" applyFont="1" applyFill="1" applyBorder="1" applyAlignment="1" applyProtection="1">
      <alignment horizontal="center" vertical="center" wrapText="1"/>
    </xf>
    <xf numFmtId="0" fontId="12" fillId="3" borderId="18" xfId="353" applyNumberFormat="1" applyFont="1" applyFill="1" applyBorder="1" applyAlignment="1" applyProtection="1">
      <alignment horizontal="center" vertical="center" wrapText="1"/>
    </xf>
    <xf numFmtId="0" fontId="65" fillId="33" borderId="1" xfId="476" applyNumberFormat="1" applyFont="1" applyFill="1" applyBorder="1" applyAlignment="1">
      <alignment horizontal="center" vertical="center" wrapText="1"/>
    </xf>
    <xf numFmtId="0" fontId="65" fillId="33" borderId="19" xfId="476" applyNumberFormat="1" applyFont="1" applyFill="1" applyBorder="1" applyAlignment="1">
      <alignment horizontal="center" vertical="center" wrapText="1"/>
    </xf>
    <xf numFmtId="0" fontId="65" fillId="33" borderId="1" xfId="309" applyNumberFormat="1" applyFont="1" applyFill="1" applyBorder="1" applyAlignment="1">
      <alignment horizontal="center" vertical="center" wrapText="1"/>
    </xf>
    <xf numFmtId="0" fontId="65" fillId="33" borderId="19" xfId="309" applyNumberFormat="1" applyFont="1" applyFill="1" applyBorder="1" applyAlignment="1">
      <alignment horizontal="center" vertical="center" wrapText="1"/>
    </xf>
    <xf numFmtId="0" fontId="15" fillId="33" borderId="1" xfId="309" applyNumberFormat="1" applyFont="1" applyFill="1" applyBorder="1" applyAlignment="1">
      <alignment horizontal="center" vertical="center" wrapText="1"/>
    </xf>
    <xf numFmtId="0" fontId="15" fillId="33" borderId="19" xfId="309" applyNumberFormat="1" applyFont="1" applyFill="1" applyBorder="1" applyAlignment="1">
      <alignment horizontal="center" vertical="center" wrapText="1"/>
    </xf>
    <xf numFmtId="179" fontId="12" fillId="3" borderId="1" xfId="353" applyNumberFormat="1" applyFont="1" applyFill="1" applyBorder="1" applyAlignment="1" applyProtection="1">
      <alignment horizontal="center" vertical="center" wrapText="1"/>
    </xf>
    <xf numFmtId="179" fontId="12" fillId="3" borderId="4" xfId="353" applyNumberFormat="1" applyFont="1" applyFill="1" applyBorder="1" applyAlignment="1" applyProtection="1">
      <alignment horizontal="center" vertical="center" wrapText="1"/>
    </xf>
    <xf numFmtId="0" fontId="10" fillId="3" borderId="21" xfId="353" applyNumberFormat="1" applyFont="1" applyFill="1" applyBorder="1" applyAlignment="1" applyProtection="1">
      <alignment horizontal="center" vertical="center" wrapText="1"/>
    </xf>
    <xf numFmtId="14" fontId="10" fillId="3" borderId="1" xfId="353" applyNumberFormat="1" applyFont="1" applyFill="1" applyBorder="1" applyAlignment="1" applyProtection="1">
      <alignment horizontal="center" vertical="center" wrapText="1"/>
    </xf>
    <xf numFmtId="14" fontId="10" fillId="3" borderId="4" xfId="353" applyNumberFormat="1" applyFont="1" applyFill="1" applyBorder="1" applyAlignment="1" applyProtection="1">
      <alignment horizontal="center" vertical="center" wrapText="1"/>
    </xf>
    <xf numFmtId="178" fontId="12" fillId="3" borderId="1" xfId="64" applyNumberFormat="1" applyFont="1" applyFill="1" applyBorder="1" applyAlignment="1" applyProtection="1">
      <alignment horizontal="center" vertical="center"/>
    </xf>
    <xf numFmtId="178" fontId="12" fillId="3" borderId="4" xfId="64" applyNumberFormat="1" applyFont="1" applyFill="1" applyBorder="1" applyAlignment="1" applyProtection="1">
      <alignment horizontal="center" vertical="center"/>
    </xf>
    <xf numFmtId="178" fontId="10" fillId="3" borderId="1" xfId="64" applyNumberFormat="1" applyFont="1" applyFill="1" applyBorder="1" applyAlignment="1" applyProtection="1">
      <alignment horizontal="center" vertical="center"/>
    </xf>
    <xf numFmtId="178" fontId="10" fillId="3" borderId="4" xfId="64" applyNumberFormat="1" applyFont="1" applyFill="1" applyBorder="1" applyAlignment="1" applyProtection="1">
      <alignment horizontal="center" vertical="center"/>
    </xf>
    <xf numFmtId="179" fontId="10" fillId="3" borderId="1" xfId="64" applyNumberFormat="1" applyFont="1" applyFill="1" applyBorder="1" applyAlignment="1" applyProtection="1">
      <alignment horizontal="center" vertical="center" wrapText="1"/>
    </xf>
    <xf numFmtId="179" fontId="10" fillId="3" borderId="4" xfId="64" applyNumberFormat="1" applyFont="1" applyFill="1" applyBorder="1" applyAlignment="1" applyProtection="1">
      <alignment horizontal="center" vertical="center" wrapText="1"/>
    </xf>
    <xf numFmtId="179" fontId="10" fillId="3" borderId="1" xfId="353" applyNumberFormat="1" applyFont="1" applyFill="1" applyBorder="1" applyAlignment="1" applyProtection="1">
      <alignment horizontal="center" vertical="center" wrapText="1"/>
    </xf>
    <xf numFmtId="179" fontId="10" fillId="3" borderId="4" xfId="353" applyNumberFormat="1" applyFont="1" applyFill="1" applyBorder="1" applyAlignment="1" applyProtection="1">
      <alignment horizontal="center" vertical="center" wrapText="1"/>
    </xf>
    <xf numFmtId="179" fontId="12" fillId="3" borderId="21" xfId="353" applyNumberFormat="1" applyFont="1" applyFill="1" applyBorder="1" applyAlignment="1" applyProtection="1">
      <alignment horizontal="center" vertical="center" wrapText="1"/>
    </xf>
    <xf numFmtId="179" fontId="12" fillId="3" borderId="19" xfId="353" applyNumberFormat="1" applyFont="1" applyFill="1" applyBorder="1" applyAlignment="1" applyProtection="1">
      <alignment horizontal="center" vertical="center" wrapText="1"/>
    </xf>
    <xf numFmtId="0" fontId="12" fillId="3" borderId="1" xfId="64" applyNumberFormat="1" applyFont="1" applyFill="1" applyBorder="1" applyAlignment="1" applyProtection="1">
      <alignment horizontal="center" vertical="center" wrapText="1"/>
    </xf>
    <xf numFmtId="0" fontId="12" fillId="3" borderId="4" xfId="64" applyNumberFormat="1" applyFont="1" applyFill="1" applyBorder="1" applyAlignment="1" applyProtection="1">
      <alignment horizontal="center" vertical="center" wrapText="1"/>
    </xf>
    <xf numFmtId="0" fontId="12" fillId="3" borderId="21" xfId="64" applyNumberFormat="1" applyFont="1" applyFill="1" applyBorder="1" applyAlignment="1" applyProtection="1">
      <alignment horizontal="center" vertical="center" wrapText="1"/>
    </xf>
    <xf numFmtId="0" fontId="12" fillId="3" borderId="19" xfId="64" applyNumberFormat="1" applyFont="1" applyFill="1" applyBorder="1" applyAlignment="1" applyProtection="1">
      <alignment horizontal="center" vertical="center" wrapText="1"/>
    </xf>
    <xf numFmtId="0" fontId="12" fillId="30" borderId="1" xfId="64" applyNumberFormat="1" applyFont="1" applyFill="1" applyBorder="1" applyAlignment="1" applyProtection="1">
      <alignment horizontal="center" vertical="center" wrapText="1"/>
    </xf>
    <xf numFmtId="0" fontId="12" fillId="30" borderId="4" xfId="64" applyNumberFormat="1" applyFont="1" applyFill="1" applyBorder="1" applyAlignment="1" applyProtection="1">
      <alignment horizontal="center" vertical="center" wrapText="1"/>
    </xf>
    <xf numFmtId="179" fontId="8" fillId="0" borderId="22" xfId="1" applyFont="1" applyFill="1" applyBorder="1" applyAlignment="1">
      <alignment horizontal="center" vertical="center" wrapText="1"/>
    </xf>
    <xf numFmtId="179" fontId="8" fillId="0" borderId="0" xfId="1" applyFont="1" applyFill="1" applyAlignment="1">
      <alignment horizontal="center" vertical="center" wrapText="1"/>
    </xf>
    <xf numFmtId="179" fontId="8" fillId="0" borderId="16" xfId="1" applyFont="1" applyFill="1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center"/>
    </xf>
    <xf numFmtId="183" fontId="12" fillId="0" borderId="1" xfId="353" applyNumberFormat="1" applyFont="1" applyFill="1" applyBorder="1" applyAlignment="1" applyProtection="1">
      <alignment horizontal="center" vertical="center" wrapText="1"/>
    </xf>
    <xf numFmtId="183" fontId="12" fillId="0" borderId="19" xfId="353" applyNumberFormat="1" applyFont="1" applyFill="1" applyBorder="1" applyAlignment="1" applyProtection="1">
      <alignment horizontal="center" vertical="center" wrapText="1"/>
    </xf>
    <xf numFmtId="0" fontId="12" fillId="0" borderId="1" xfId="64" applyNumberFormat="1" applyFont="1" applyFill="1" applyBorder="1" applyAlignment="1" applyProtection="1">
      <alignment horizontal="center" vertical="center"/>
    </xf>
    <xf numFmtId="0" fontId="12" fillId="0" borderId="19" xfId="64" applyNumberFormat="1" applyFont="1" applyFill="1" applyBorder="1" applyAlignment="1" applyProtection="1">
      <alignment horizontal="center" vertical="center"/>
    </xf>
    <xf numFmtId="178" fontId="12" fillId="0" borderId="1" xfId="64" applyNumberFormat="1" applyFont="1" applyFill="1" applyBorder="1" applyAlignment="1" applyProtection="1">
      <alignment horizontal="center" vertical="center"/>
    </xf>
    <xf numFmtId="178" fontId="12" fillId="0" borderId="19" xfId="64" applyNumberFormat="1" applyFont="1" applyFill="1" applyBorder="1" applyAlignment="1" applyProtection="1">
      <alignment horizontal="center" vertical="center"/>
    </xf>
    <xf numFmtId="183" fontId="10" fillId="0" borderId="1" xfId="64" applyNumberFormat="1" applyFont="1" applyFill="1" applyBorder="1" applyAlignment="1" applyProtection="1">
      <alignment horizontal="center" vertical="center" wrapText="1"/>
    </xf>
    <xf numFmtId="183" fontId="10" fillId="0" borderId="19" xfId="64" applyNumberFormat="1" applyFont="1" applyFill="1" applyBorder="1" applyAlignment="1" applyProtection="1">
      <alignment horizontal="center" vertical="center" wrapText="1"/>
    </xf>
    <xf numFmtId="183" fontId="10" fillId="0" borderId="1" xfId="353" applyNumberFormat="1" applyFont="1" applyFill="1" applyBorder="1" applyAlignment="1" applyProtection="1">
      <alignment horizontal="center" vertical="center" wrapText="1"/>
    </xf>
    <xf numFmtId="183" fontId="10" fillId="0" borderId="19" xfId="353" applyNumberFormat="1" applyFont="1" applyFill="1" applyBorder="1" applyAlignment="1" applyProtection="1">
      <alignment horizontal="center" vertical="center" wrapText="1"/>
    </xf>
    <xf numFmtId="0" fontId="12" fillId="0" borderId="1" xfId="353" applyNumberFormat="1" applyFont="1" applyFill="1" applyBorder="1" applyAlignment="1" applyProtection="1">
      <alignment horizontal="center" vertical="center" wrapText="1"/>
    </xf>
    <xf numFmtId="0" fontId="12" fillId="0" borderId="19" xfId="353" applyNumberFormat="1" applyFont="1" applyFill="1" applyBorder="1" applyAlignment="1" applyProtection="1">
      <alignment horizontal="center" vertical="center" wrapText="1"/>
    </xf>
    <xf numFmtId="0" fontId="10" fillId="0" borderId="1" xfId="353" applyNumberFormat="1" applyFont="1" applyFill="1" applyBorder="1" applyAlignment="1" applyProtection="1">
      <alignment horizontal="center" vertical="center" wrapText="1"/>
    </xf>
    <xf numFmtId="0" fontId="10" fillId="0" borderId="19" xfId="353" applyNumberFormat="1" applyFont="1" applyFill="1" applyBorder="1" applyAlignment="1" applyProtection="1">
      <alignment horizontal="center" vertical="center" wrapText="1"/>
    </xf>
    <xf numFmtId="183" fontId="10" fillId="0" borderId="28" xfId="353" applyNumberFormat="1" applyFont="1" applyFill="1" applyBorder="1" applyAlignment="1" applyProtection="1">
      <alignment horizontal="center" vertical="center" wrapText="1"/>
    </xf>
    <xf numFmtId="0" fontId="10" fillId="0" borderId="28" xfId="353" applyNumberFormat="1" applyFont="1" applyFill="1" applyBorder="1" applyAlignment="1" applyProtection="1">
      <alignment horizontal="center" vertical="center" wrapText="1"/>
    </xf>
    <xf numFmtId="183" fontId="12" fillId="0" borderId="22" xfId="353" applyNumberFormat="1" applyFont="1" applyFill="1" applyBorder="1" applyAlignment="1" applyProtection="1">
      <alignment horizontal="center" vertical="center" wrapText="1"/>
    </xf>
    <xf numFmtId="183" fontId="12" fillId="0" borderId="17" xfId="353" applyNumberFormat="1" applyFont="1" applyFill="1" applyBorder="1" applyAlignment="1" applyProtection="1">
      <alignment horizontal="center" vertical="center" wrapText="1"/>
    </xf>
    <xf numFmtId="183" fontId="12" fillId="0" borderId="32" xfId="353" applyNumberFormat="1" applyFont="1" applyFill="1" applyBorder="1" applyAlignment="1" applyProtection="1">
      <alignment horizontal="center" vertical="center" wrapText="1"/>
    </xf>
    <xf numFmtId="183" fontId="12" fillId="0" borderId="18" xfId="353" applyNumberFormat="1" applyFont="1" applyFill="1" applyBorder="1" applyAlignment="1" applyProtection="1">
      <alignment horizontal="center" vertical="center" wrapText="1"/>
    </xf>
    <xf numFmtId="176" fontId="12" fillId="0" borderId="1" xfId="64" applyNumberFormat="1" applyFont="1" applyFill="1" applyBorder="1" applyAlignment="1" applyProtection="1">
      <alignment horizontal="center" vertical="center" wrapText="1"/>
    </xf>
    <xf numFmtId="176" fontId="12" fillId="0" borderId="19" xfId="64" applyNumberFormat="1" applyFont="1" applyFill="1" applyBorder="1" applyAlignment="1" applyProtection="1">
      <alignment horizontal="center" vertical="center" wrapText="1"/>
    </xf>
    <xf numFmtId="176" fontId="12" fillId="0" borderId="1" xfId="353" applyNumberFormat="1" applyFont="1" applyFill="1" applyBorder="1" applyAlignment="1" applyProtection="1">
      <alignment horizontal="center" vertical="center" wrapText="1"/>
    </xf>
    <xf numFmtId="176" fontId="12" fillId="0" borderId="19" xfId="353" applyNumberFormat="1" applyFont="1" applyFill="1" applyBorder="1" applyAlignment="1" applyProtection="1">
      <alignment horizontal="center" vertical="center" wrapText="1"/>
    </xf>
    <xf numFmtId="183" fontId="12" fillId="0" borderId="25" xfId="353" applyNumberFormat="1" applyFont="1" applyFill="1" applyBorder="1" applyAlignment="1" applyProtection="1">
      <alignment horizontal="center" vertical="center" wrapText="1"/>
    </xf>
    <xf numFmtId="183" fontId="12" fillId="0" borderId="27" xfId="353" applyNumberFormat="1" applyFont="1" applyFill="1" applyBorder="1" applyAlignment="1" applyProtection="1">
      <alignment horizontal="center" vertical="center" wrapText="1"/>
    </xf>
    <xf numFmtId="183" fontId="12" fillId="0" borderId="26" xfId="353" applyNumberFormat="1" applyFont="1" applyFill="1" applyBorder="1" applyAlignment="1" applyProtection="1">
      <alignment horizontal="center" vertical="center" wrapText="1"/>
    </xf>
    <xf numFmtId="183" fontId="10" fillId="0" borderId="1" xfId="353" applyNumberFormat="1" applyFont="1" applyFill="1" applyBorder="1" applyAlignment="1" applyProtection="1">
      <alignment horizontal="left" vertical="center" wrapText="1"/>
    </xf>
    <xf numFmtId="183" fontId="10" fillId="0" borderId="19" xfId="353" applyNumberFormat="1" applyFont="1" applyFill="1" applyBorder="1" applyAlignment="1" applyProtection="1">
      <alignment horizontal="left" vertical="center" wrapText="1"/>
    </xf>
    <xf numFmtId="183" fontId="12" fillId="0" borderId="1" xfId="64" applyNumberFormat="1" applyFont="1" applyFill="1" applyBorder="1" applyAlignment="1" applyProtection="1">
      <alignment horizontal="center" vertical="center" wrapText="1"/>
    </xf>
    <xf numFmtId="183" fontId="12" fillId="0" borderId="19" xfId="64" applyNumberFormat="1" applyFont="1" applyFill="1" applyBorder="1" applyAlignment="1" applyProtection="1">
      <alignment horizontal="center" vertical="center" wrapText="1"/>
    </xf>
    <xf numFmtId="180" fontId="12" fillId="0" borderId="1" xfId="64" applyNumberFormat="1" applyFont="1" applyFill="1" applyBorder="1" applyAlignment="1" applyProtection="1">
      <alignment horizontal="center" vertical="center" wrapText="1"/>
    </xf>
    <xf numFmtId="180" fontId="12" fillId="0" borderId="19" xfId="64" applyNumberFormat="1" applyFont="1" applyFill="1" applyBorder="1" applyAlignment="1" applyProtection="1">
      <alignment horizontal="center" vertical="center" wrapText="1"/>
    </xf>
    <xf numFmtId="49" fontId="10" fillId="0" borderId="1" xfId="353" applyNumberFormat="1" applyFont="1" applyFill="1" applyBorder="1" applyAlignment="1" applyProtection="1">
      <alignment horizontal="left" vertical="center" wrapText="1"/>
    </xf>
    <xf numFmtId="49" fontId="10" fillId="0" borderId="19" xfId="353" applyNumberFormat="1" applyFont="1" applyFill="1" applyBorder="1" applyAlignment="1" applyProtection="1">
      <alignment horizontal="left" vertical="center" wrapText="1"/>
    </xf>
    <xf numFmtId="179" fontId="51" fillId="34" borderId="16" xfId="0" applyFont="1" applyFill="1" applyBorder="1" applyAlignment="1">
      <alignment horizontal="center" vertical="center" wrapText="1"/>
    </xf>
    <xf numFmtId="179" fontId="54" fillId="34" borderId="16" xfId="0" applyFont="1" applyFill="1" applyBorder="1" applyAlignment="1">
      <alignment horizontal="center" vertical="center" wrapText="1"/>
    </xf>
    <xf numFmtId="179" fontId="50" fillId="34" borderId="16" xfId="0" applyFont="1" applyFill="1" applyBorder="1" applyAlignment="1">
      <alignment horizontal="center" vertical="center" wrapText="1"/>
    </xf>
    <xf numFmtId="179" fontId="13" fillId="0" borderId="16" xfId="0" applyFont="1" applyFill="1" applyBorder="1" applyAlignment="1"/>
    <xf numFmtId="176" fontId="50" fillId="34" borderId="16" xfId="0" applyNumberFormat="1" applyFont="1" applyFill="1" applyBorder="1" applyAlignment="1">
      <alignment horizontal="center" vertical="center" wrapText="1"/>
    </xf>
    <xf numFmtId="176" fontId="52" fillId="34" borderId="16" xfId="0" applyNumberFormat="1" applyFont="1" applyFill="1" applyBorder="1" applyAlignment="1">
      <alignment horizontal="center" vertical="center" wrapText="1"/>
    </xf>
    <xf numFmtId="176" fontId="15" fillId="0" borderId="16" xfId="0" applyNumberFormat="1" applyFont="1" applyFill="1" applyBorder="1" applyAlignment="1">
      <alignment horizontal="center" vertical="center" wrapText="1"/>
    </xf>
    <xf numFmtId="176" fontId="53" fillId="34" borderId="26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0" fontId="51" fillId="34" borderId="28" xfId="0" applyNumberFormat="1" applyFont="1" applyFill="1" applyBorder="1" applyAlignment="1">
      <alignment horizontal="center" vertical="center" wrapText="1"/>
    </xf>
    <xf numFmtId="0" fontId="54" fillId="34" borderId="28" xfId="0" applyNumberFormat="1" applyFont="1" applyFill="1" applyBorder="1" applyAlignment="1">
      <alignment horizontal="center" vertical="center" wrapText="1"/>
    </xf>
    <xf numFmtId="0" fontId="50" fillId="34" borderId="28" xfId="0" applyNumberFormat="1" applyFont="1" applyFill="1" applyBorder="1" applyAlignment="1">
      <alignment horizontal="center" vertical="center" wrapText="1"/>
    </xf>
    <xf numFmtId="0" fontId="13" fillId="0" borderId="28" xfId="0" applyNumberFormat="1" applyFont="1" applyFill="1" applyBorder="1" applyAlignment="1"/>
    <xf numFmtId="0" fontId="52" fillId="34" borderId="28" xfId="0" applyNumberFormat="1" applyFont="1" applyFill="1" applyBorder="1" applyAlignment="1">
      <alignment horizontal="center" vertical="center" wrapText="1"/>
    </xf>
    <xf numFmtId="0" fontId="15" fillId="0" borderId="28" xfId="0" applyNumberFormat="1" applyFont="1" applyFill="1" applyBorder="1" applyAlignment="1">
      <alignment horizontal="center" vertical="center" wrapText="1"/>
    </xf>
    <xf numFmtId="0" fontId="53" fillId="34" borderId="26" xfId="0" applyNumberFormat="1" applyFont="1" applyFill="1" applyBorder="1" applyAlignment="1">
      <alignment horizontal="center" vertical="center" wrapText="1"/>
    </xf>
    <xf numFmtId="0" fontId="15" fillId="31" borderId="28" xfId="0" applyNumberFormat="1" applyFont="1" applyFill="1" applyBorder="1" applyAlignment="1">
      <alignment horizontal="center" vertical="center" wrapText="1"/>
    </xf>
    <xf numFmtId="0" fontId="50" fillId="34" borderId="2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</cellXfs>
  <cellStyles count="477">
    <cellStyle name=" 3]_x000d__x000a_Zoomed=1_x000d__x000a_Row=128_x000d__x000a_Column=101_x000d__x000a_Height=300_x000d__x000a_Width=301_x000d__x000a_FontName=System_x000d__x000a_FontStyle=1_x000d__x000a_FontSize=12_x000d__x000a_PrtFontNa" xfId="37"/>
    <cellStyle name="??&amp;O龡&amp;H?_x0008_??_x0007__x0001__x0001_" xfId="42"/>
    <cellStyle name="??_x005f_x0011_?_x005f_x0010_?" xfId="64"/>
    <cellStyle name="_ET_STYLE_NoName_00_" xfId="55"/>
    <cellStyle name="_ET_STYLE_NoName_00__北区长促工资1004_3" xfId="65"/>
    <cellStyle name="_ET_STYLE_NoName_00__南区长促工资1004_5" xfId="59"/>
    <cellStyle name="_ET_STYLE_NoName_-01_ 3 3 3 2" xfId="6"/>
    <cellStyle name="0,0_x000a__x000a_NA_x000a__x000a_" xfId="68"/>
    <cellStyle name="0,0_x000d__x000a_NA_x000d__x000a_" xfId="23"/>
    <cellStyle name="20% - 强调文字颜色 1 2" xfId="3"/>
    <cellStyle name="20% - 强调文字颜色 1 2 2" xfId="70"/>
    <cellStyle name="20% - 强调文字颜色 1 2 3" xfId="60"/>
    <cellStyle name="20% - 强调文字颜色 1 3" xfId="62"/>
    <cellStyle name="20% - 强调文字颜色 1 3 2" xfId="66"/>
    <cellStyle name="20% - 强调文字颜色 1 4" xfId="61"/>
    <cellStyle name="20% - 强调文字颜色 1 5" xfId="57"/>
    <cellStyle name="20% - 强调文字颜色 2 2" xfId="72"/>
    <cellStyle name="20% - 强调文字颜色 2 2 2" xfId="74"/>
    <cellStyle name="20% - 强调文字颜色 2 2 3" xfId="76"/>
    <cellStyle name="20% - 强调文字颜色 2 3" xfId="78"/>
    <cellStyle name="20% - 强调文字颜色 2 3 2" xfId="80"/>
    <cellStyle name="20% - 强调文字颜色 2 4" xfId="82"/>
    <cellStyle name="20% - 强调文字颜色 2 5" xfId="84"/>
    <cellStyle name="20% - 强调文字颜色 3 2" xfId="86"/>
    <cellStyle name="20% - 强调文字颜色 3 2 2" xfId="88"/>
    <cellStyle name="20% - 强调文字颜色 3 2 3" xfId="90"/>
    <cellStyle name="20% - 强调文字颜色 3 3" xfId="33"/>
    <cellStyle name="20% - 强调文字颜色 3 3 2" xfId="53"/>
    <cellStyle name="20% - 强调文字颜色 3 4" xfId="93"/>
    <cellStyle name="20% - 强调文字颜色 3 5" xfId="95"/>
    <cellStyle name="20% - 强调文字颜色 4 2" xfId="98"/>
    <cellStyle name="20% - 强调文字颜色 4 2 2" xfId="101"/>
    <cellStyle name="20% - 强调文字颜色 4 2 3" xfId="104"/>
    <cellStyle name="20% - 强调文字颜色 4 3" xfId="107"/>
    <cellStyle name="20% - 强调文字颜色 4 3 2" xfId="109"/>
    <cellStyle name="20% - 强调文字颜色 4 4" xfId="112"/>
    <cellStyle name="20% - 强调文字颜色 4 5" xfId="16"/>
    <cellStyle name="20% - 强调文字颜色 5 2" xfId="114"/>
    <cellStyle name="20% - 强调文字颜色 5 2 2" xfId="117"/>
    <cellStyle name="20% - 强调文字颜色 5 2 3" xfId="118"/>
    <cellStyle name="20% - 强调文字颜色 5 3" xfId="120"/>
    <cellStyle name="20% - 强调文字颜色 5 3 2" xfId="123"/>
    <cellStyle name="20% - 强调文字颜色 5 4" xfId="125"/>
    <cellStyle name="20% - 强调文字颜色 5 5" xfId="127"/>
    <cellStyle name="20% - 强调文字颜色 6 2" xfId="128"/>
    <cellStyle name="20% - 强调文字颜色 6 2 2" xfId="130"/>
    <cellStyle name="20% - 强调文字颜色 6 2 3" xfId="132"/>
    <cellStyle name="20% - 强调文字颜色 6 3" xfId="133"/>
    <cellStyle name="20% - 强调文字颜色 6 3 2" xfId="135"/>
    <cellStyle name="20% - 强调文字颜色 6 4" xfId="138"/>
    <cellStyle name="20% - 强调文字颜色 6 5" xfId="141"/>
    <cellStyle name="3232" xfId="116"/>
    <cellStyle name="40% - 强调文字颜色 1 2" xfId="142"/>
    <cellStyle name="40% - 强调文字颜色 1 2 2" xfId="143"/>
    <cellStyle name="40% - 强调文字颜色 1 2 3" xfId="144"/>
    <cellStyle name="40% - 强调文字颜色 1 3" xfId="145"/>
    <cellStyle name="40% - 强调文字颜色 1 3 2" xfId="146"/>
    <cellStyle name="40% - 强调文字颜色 1 4" xfId="147"/>
    <cellStyle name="40% - 强调文字颜色 1 5" xfId="148"/>
    <cellStyle name="40% - 强调文字颜色 2 2" xfId="58"/>
    <cellStyle name="40% - 强调文字颜色 2 2 2" xfId="149"/>
    <cellStyle name="40% - 强调文字颜色 2 2 3" xfId="150"/>
    <cellStyle name="40% - 强调文字颜色 2 3" xfId="151"/>
    <cellStyle name="40% - 强调文字颜色 2 3 2" xfId="152"/>
    <cellStyle name="40% - 强调文字颜色 2 4" xfId="153"/>
    <cellStyle name="40% - 强调文字颜色 2 5" xfId="154"/>
    <cellStyle name="40% - 强调文字颜色 3 2" xfId="156"/>
    <cellStyle name="40% - 强调文字颜色 3 2 2" xfId="158"/>
    <cellStyle name="40% - 强调文字颜色 3 2 3" xfId="159"/>
    <cellStyle name="40% - 强调文字颜色 3 3" xfId="161"/>
    <cellStyle name="40% - 强调文字颜色 3 3 2" xfId="163"/>
    <cellStyle name="40% - 强调文字颜色 3 4" xfId="166"/>
    <cellStyle name="40% - 强调文字颜色 3 5" xfId="167"/>
    <cellStyle name="40% - 强调文字颜色 4 2" xfId="27"/>
    <cellStyle name="40% - 强调文字颜色 4 2 2" xfId="172"/>
    <cellStyle name="40% - 强调文字颜色 4 2 3" xfId="176"/>
    <cellStyle name="40% - 强调文字颜色 4 3" xfId="179"/>
    <cellStyle name="40% - 强调文字颜色 4 3 2" xfId="41"/>
    <cellStyle name="40% - 强调文字颜色 4 4" xfId="129"/>
    <cellStyle name="40% - 强调文字颜色 4 5" xfId="131"/>
    <cellStyle name="40% - 强调文字颜色 5 2" xfId="182"/>
    <cellStyle name="40% - 强调文字颜色 5 2 2" xfId="140"/>
    <cellStyle name="40% - 强调文字颜色 5 2 3" xfId="184"/>
    <cellStyle name="40% - 强调文字颜色 5 3" xfId="186"/>
    <cellStyle name="40% - 强调文字颜色 5 3 2" xfId="188"/>
    <cellStyle name="40% - 强调文字颜色 5 4" xfId="134"/>
    <cellStyle name="40% - 强调文字颜色 5 5" xfId="189"/>
    <cellStyle name="40% - 强调文字颜色 6 2" xfId="192"/>
    <cellStyle name="40% - 强调文字颜色 6 2 2" xfId="193"/>
    <cellStyle name="40% - 强调文字颜色 6 2 3" xfId="194"/>
    <cellStyle name="40% - 强调文字颜色 6 3" xfId="197"/>
    <cellStyle name="40% - 强调文字颜色 6 3 2" xfId="199"/>
    <cellStyle name="40% - 强调文字颜色 6 4" xfId="202"/>
    <cellStyle name="40% - 强调文字颜色 6 5" xfId="31"/>
    <cellStyle name="60% - 强调文字颜色 1 2" xfId="92"/>
    <cellStyle name="60% - 强调文字颜色 1 2 2" xfId="203"/>
    <cellStyle name="60% - 强调文字颜色 1 2 3" xfId="204"/>
    <cellStyle name="60% - 强调文字颜色 1 3" xfId="94"/>
    <cellStyle name="60% - 强调文字颜色 1 3 2" xfId="205"/>
    <cellStyle name="60% - 强调文字颜色 1 4" xfId="206"/>
    <cellStyle name="60% - 强调文字颜色 1 5" xfId="209"/>
    <cellStyle name="60% - 强调文字颜色 2 2" xfId="111"/>
    <cellStyle name="60% - 强调文字颜色 2 2 2" xfId="21"/>
    <cellStyle name="60% - 强调文字颜色 2 2 3" xfId="210"/>
    <cellStyle name="60% - 强调文字颜色 2 3" xfId="15"/>
    <cellStyle name="60% - 强调文字颜色 2 3 2" xfId="213"/>
    <cellStyle name="60% - 强调文字颜色 2 4" xfId="215"/>
    <cellStyle name="60% - 强调文字颜色 2 5" xfId="218"/>
    <cellStyle name="60% - 强调文字颜色 3 2" xfId="124"/>
    <cellStyle name="60% - 强调文字颜色 3 2 2" xfId="220"/>
    <cellStyle name="60% - 强调文字颜色 3 2 3" xfId="221"/>
    <cellStyle name="60% - 强调文字颜色 3 3" xfId="126"/>
    <cellStyle name="60% - 强调文字颜色 3 3 2" xfId="222"/>
    <cellStyle name="60% - 强调文字颜色 3 4" xfId="223"/>
    <cellStyle name="60% - 强调文字颜色 3 5" xfId="224"/>
    <cellStyle name="60% - 强调文字颜色 4 2" xfId="137"/>
    <cellStyle name="60% - 强调文字颜色 4 2 2" xfId="201"/>
    <cellStyle name="60% - 强调文字颜色 4 2 3" xfId="30"/>
    <cellStyle name="60% - 强调文字颜色 4 3" xfId="139"/>
    <cellStyle name="60% - 强调文字颜色 4 3 2" xfId="225"/>
    <cellStyle name="60% - 强调文字颜色 4 4" xfId="183"/>
    <cellStyle name="60% - 强调文字颜色 4 5" xfId="226"/>
    <cellStyle name="60% - 强调文字颜色 5 2" xfId="227"/>
    <cellStyle name="60% - 强调文字颜色 5 2 2" xfId="229"/>
    <cellStyle name="60% - 强调文字颜色 5 2 3" xfId="230"/>
    <cellStyle name="60% - 强调文字颜色 5 3" xfId="187"/>
    <cellStyle name="60% - 强调文字颜色 5 3 2" xfId="231"/>
    <cellStyle name="60% - 强调文字颜色 5 4" xfId="232"/>
    <cellStyle name="60% - 强调文字颜色 5 5" xfId="233"/>
    <cellStyle name="60% - 强调文字颜色 6 2" xfId="234"/>
    <cellStyle name="60% - 强调文字颜色 6 2 2" xfId="237"/>
    <cellStyle name="60% - 强调文字颜色 6 2 3" xfId="239"/>
    <cellStyle name="60% - 强调文字颜色 6 3" xfId="240"/>
    <cellStyle name="60% - 强调文字颜色 6 3 2" xfId="13"/>
    <cellStyle name="60% - 强调文字颜色 6 4" xfId="241"/>
    <cellStyle name="60% - 强调文字颜色 6 5" xfId="242"/>
    <cellStyle name="Comma_SALARYBJ" xfId="244"/>
    <cellStyle name="Normal_08'前程工资8月" xfId="238"/>
    <cellStyle name="百分比" xfId="476" builtinId="5"/>
    <cellStyle name="百分比 2" xfId="246"/>
    <cellStyle name="百分比 2 2" xfId="247"/>
    <cellStyle name="百分比 2 3" xfId="466"/>
    <cellStyle name="百分比 2 3 2" xfId="449"/>
    <cellStyle name="百分比 2 4" xfId="447"/>
    <cellStyle name="百分比 3" xfId="122"/>
    <cellStyle name="百分比 3 2" xfId="452"/>
    <cellStyle name="百分比 4" xfId="22"/>
    <cellStyle name="百分比 5" xfId="458"/>
    <cellStyle name="标题 1 2" xfId="248"/>
    <cellStyle name="标题 1 2 2" xfId="249"/>
    <cellStyle name="标题 1 2 3" xfId="250"/>
    <cellStyle name="标题 1 3" xfId="251"/>
    <cellStyle name="标题 1 3 2" xfId="253"/>
    <cellStyle name="标题 1 4" xfId="254"/>
    <cellStyle name="标题 1 5" xfId="255"/>
    <cellStyle name="标题 2 2" xfId="256"/>
    <cellStyle name="标题 2 2 2" xfId="257"/>
    <cellStyle name="标题 2 2 3" xfId="259"/>
    <cellStyle name="标题 2 3" xfId="260"/>
    <cellStyle name="标题 2 3 2" xfId="262"/>
    <cellStyle name="标题 2 4" xfId="263"/>
    <cellStyle name="标题 2 5" xfId="264"/>
    <cellStyle name="标题 3 2" xfId="265"/>
    <cellStyle name="标题 3 2 2" xfId="267"/>
    <cellStyle name="标题 3 2 3" xfId="268"/>
    <cellStyle name="标题 3 3" xfId="269"/>
    <cellStyle name="标题 3 3 2" xfId="271"/>
    <cellStyle name="标题 3 4" xfId="272"/>
    <cellStyle name="标题 3 5" xfId="273"/>
    <cellStyle name="标题 4 2" xfId="275"/>
    <cellStyle name="标题 4 2 2" xfId="54"/>
    <cellStyle name="标题 4 2 3" xfId="276"/>
    <cellStyle name="标题 4 3" xfId="278"/>
    <cellStyle name="标题 4 3 2" xfId="280"/>
    <cellStyle name="标题 4 4" xfId="171"/>
    <cellStyle name="标题 4 5" xfId="175"/>
    <cellStyle name="标题 5" xfId="282"/>
    <cellStyle name="标题 5 2" xfId="284"/>
    <cellStyle name="标题 5 3" xfId="287"/>
    <cellStyle name="标题 6" xfId="288"/>
    <cellStyle name="标题 6 2" xfId="290"/>
    <cellStyle name="标题 7" xfId="292"/>
    <cellStyle name="标题 8" xfId="293"/>
    <cellStyle name="差 2" xfId="295"/>
    <cellStyle name="差 2 2" xfId="296"/>
    <cellStyle name="差 2 3" xfId="63"/>
    <cellStyle name="差 3" xfId="297"/>
    <cellStyle name="差 3 2" xfId="298"/>
    <cellStyle name="差 4" xfId="245"/>
    <cellStyle name="差 5" xfId="121"/>
    <cellStyle name="常规" xfId="0" builtinId="0"/>
    <cellStyle name="常规 10" xfId="1"/>
    <cellStyle name="常规 10 2" xfId="446"/>
    <cellStyle name="常规 10 3" xfId="453"/>
    <cellStyle name="常规 11" xfId="261"/>
    <cellStyle name="常规 11 2" xfId="299"/>
    <cellStyle name="常规 11 2 2" xfId="450"/>
    <cellStyle name="常规 11 3" xfId="301"/>
    <cellStyle name="常规 11 4" xfId="463"/>
    <cellStyle name="常规 12" xfId="302"/>
    <cellStyle name="常规 12 2" xfId="303"/>
    <cellStyle name="常规 12 2 3 6" xfId="472"/>
    <cellStyle name="常规 12 3" xfId="304"/>
    <cellStyle name="常规 13" xfId="468"/>
    <cellStyle name="常规 14" xfId="306"/>
    <cellStyle name="常规 14 2" xfId="307"/>
    <cellStyle name="常规 14 3" xfId="308"/>
    <cellStyle name="常规 14 4" xfId="442"/>
    <cellStyle name="常规 2" xfId="309"/>
    <cellStyle name="常规 2 2" xfId="310"/>
    <cellStyle name="常规 2 2 2" xfId="311"/>
    <cellStyle name="常规 2 2 2 2" xfId="312"/>
    <cellStyle name="常规 2 2 3" xfId="313"/>
    <cellStyle name="常规 2 2 3 2" xfId="469"/>
    <cellStyle name="常规 2 2 4" xfId="451"/>
    <cellStyle name="常规 2 3" xfId="315"/>
    <cellStyle name="常规 2 3 2" xfId="317"/>
    <cellStyle name="常规 2 3 2 2" xfId="300"/>
    <cellStyle name="常规 2 3 2 3" xfId="69"/>
    <cellStyle name="常规 2 3 3" xfId="318"/>
    <cellStyle name="常规 2 3 4" xfId="319"/>
    <cellStyle name="常规 2 4" xfId="321"/>
    <cellStyle name="常规 2 4 2" xfId="322"/>
    <cellStyle name="常规 2 5" xfId="324"/>
    <cellStyle name="常规 2 5 2" xfId="326"/>
    <cellStyle name="常规 2 6" xfId="328"/>
    <cellStyle name="常规 2 6 2" xfId="330"/>
    <cellStyle name="常规 2 6 2 2" xfId="331"/>
    <cellStyle name="常规 2 6 3" xfId="475"/>
    <cellStyle name="常规 2 7" xfId="471"/>
    <cellStyle name="常规 2 8" xfId="464"/>
    <cellStyle name="常规 25" xfId="164"/>
    <cellStyle name="常规 25 2" xfId="440"/>
    <cellStyle name="常规 27" xfId="332"/>
    <cellStyle name="常规 3" xfId="97"/>
    <cellStyle name="常规 3 2" xfId="100"/>
    <cellStyle name="常规 3 2 2" xfId="334"/>
    <cellStyle name="常规 3 3" xfId="103"/>
    <cellStyle name="常规 3 3 2" xfId="335"/>
    <cellStyle name="常规 3 3 3" xfId="336"/>
    <cellStyle name="常规 3 4" xfId="337"/>
    <cellStyle name="常规 3 4 2" xfId="338"/>
    <cellStyle name="常规 3 4 3" xfId="10"/>
    <cellStyle name="常规 3 5" xfId="340"/>
    <cellStyle name="常规 3 5 2" xfId="342"/>
    <cellStyle name="常规 3 5 3" xfId="236"/>
    <cellStyle name="常规 3 6" xfId="462"/>
    <cellStyle name="常规 4" xfId="106"/>
    <cellStyle name="常规 4 2" xfId="108"/>
    <cellStyle name="常规 4 2 2" xfId="344"/>
    <cellStyle name="常规 4 2 3" xfId="455"/>
    <cellStyle name="常规 4 3" xfId="346"/>
    <cellStyle name="常规 4 4" xfId="343"/>
    <cellStyle name="常规 4 5" xfId="470"/>
    <cellStyle name="常规 4 6" xfId="460"/>
    <cellStyle name="常规 41" xfId="443"/>
    <cellStyle name="常规 5" xfId="110"/>
    <cellStyle name="常规 5 2" xfId="20"/>
    <cellStyle name="常规 5 3" xfId="459"/>
    <cellStyle name="常规 6" xfId="14"/>
    <cellStyle name="常规 6 2" xfId="212"/>
    <cellStyle name="常规 6 3" xfId="457"/>
    <cellStyle name="常规 7" xfId="214"/>
    <cellStyle name="常规 7 2" xfId="347"/>
    <cellStyle name="常规 7 3" xfId="12"/>
    <cellStyle name="常规 7 4" xfId="444"/>
    <cellStyle name="常规 7 5" xfId="474"/>
    <cellStyle name="常规 8" xfId="217"/>
    <cellStyle name="常规 8 2" xfId="35"/>
    <cellStyle name="常规 8 3" xfId="28"/>
    <cellStyle name="常规 8 4" xfId="349"/>
    <cellStyle name="常规 8 5" xfId="441"/>
    <cellStyle name="常规 9" xfId="350"/>
    <cellStyle name="常规 9 2" xfId="448"/>
    <cellStyle name="常规 9 3" xfId="465"/>
    <cellStyle name="常规_东方思雨  易才服务文件" xfId="473"/>
    <cellStyle name="常规_付款通知书智联（神数系统）" xfId="353"/>
    <cellStyle name="好 2" xfId="56"/>
    <cellStyle name="好 2 2" xfId="354"/>
    <cellStyle name="好 2 3" xfId="181"/>
    <cellStyle name="好 3" xfId="355"/>
    <cellStyle name="好 3 2" xfId="258"/>
    <cellStyle name="好 4" xfId="356"/>
    <cellStyle name="好 5" xfId="266"/>
    <cellStyle name="汇总 2" xfId="357"/>
    <cellStyle name="汇总 2 2" xfId="277"/>
    <cellStyle name="汇总 2 2 2" xfId="279"/>
    <cellStyle name="汇总 2 3" xfId="170"/>
    <cellStyle name="汇总 2 3 2" xfId="359"/>
    <cellStyle name="汇总 2 4" xfId="174"/>
    <cellStyle name="汇总 3" xfId="252"/>
    <cellStyle name="汇总 3 2" xfId="286"/>
    <cellStyle name="汇总 3 2 2" xfId="46"/>
    <cellStyle name="汇总 3 3" xfId="40"/>
    <cellStyle name="汇总 4" xfId="360"/>
    <cellStyle name="汇总 4 2" xfId="5"/>
    <cellStyle name="汇总 5" xfId="361"/>
    <cellStyle name="汇总 5 2" xfId="363"/>
    <cellStyle name="计算 2" xfId="11"/>
    <cellStyle name="计算 2 2" xfId="155"/>
    <cellStyle name="计算 2 2 2" xfId="157"/>
    <cellStyle name="计算 2 3" xfId="160"/>
    <cellStyle name="计算 2 3 2" xfId="162"/>
    <cellStyle name="计算 2 4" xfId="165"/>
    <cellStyle name="计算 3" xfId="47"/>
    <cellStyle name="计算 3 2" xfId="26"/>
    <cellStyle name="计算 3 2 2" xfId="169"/>
    <cellStyle name="计算 3 3" xfId="178"/>
    <cellStyle name="计算 4" xfId="48"/>
    <cellStyle name="计算 4 2" xfId="180"/>
    <cellStyle name="计算 5" xfId="52"/>
    <cellStyle name="计算 5 2" xfId="191"/>
    <cellStyle name="检查单元格 2" xfId="168"/>
    <cellStyle name="检查单元格 2 2" xfId="358"/>
    <cellStyle name="检查单元格 2 3" xfId="364"/>
    <cellStyle name="检查单元格 3" xfId="173"/>
    <cellStyle name="检查单元格 3 2" xfId="36"/>
    <cellStyle name="检查单元格 4" xfId="365"/>
    <cellStyle name="检查单元格 5" xfId="366"/>
    <cellStyle name="解释性文本 2" xfId="367"/>
    <cellStyle name="解释性文本 2 2" xfId="17"/>
    <cellStyle name="解释性文本 2 3" xfId="281"/>
    <cellStyle name="解释性文本 3" xfId="198"/>
    <cellStyle name="解释性文本 3 2" xfId="368"/>
    <cellStyle name="解释性文本 4" xfId="369"/>
    <cellStyle name="解释性文本 5" xfId="294"/>
    <cellStyle name="警告文本 2" xfId="352"/>
    <cellStyle name="警告文本 2 2" xfId="208"/>
    <cellStyle name="警告文本 2 3" xfId="243"/>
    <cellStyle name="警告文本 3" xfId="371"/>
    <cellStyle name="警告文本 3 2" xfId="216"/>
    <cellStyle name="警告文本 4" xfId="372"/>
    <cellStyle name="警告文本 5" xfId="373"/>
    <cellStyle name="链接单元格 2" xfId="375"/>
    <cellStyle name="链接单元格 2 2" xfId="377"/>
    <cellStyle name="链接单元格 2 3" xfId="378"/>
    <cellStyle name="链接单元格 3" xfId="39"/>
    <cellStyle name="链接单元格 3 2" xfId="2"/>
    <cellStyle name="链接单元格 4" xfId="44"/>
    <cellStyle name="链接单元格 5" xfId="8"/>
    <cellStyle name="千位分隔 2" xfId="379"/>
    <cellStyle name="千位分隔 2 2" xfId="380"/>
    <cellStyle name="千位分隔 2 2 2" xfId="461"/>
    <cellStyle name="千位分隔 2 3" xfId="445"/>
    <cellStyle name="千位分隔 3" xfId="274"/>
    <cellStyle name="千位分隔 3 2" xfId="454"/>
    <cellStyle name="千位分隔 4" xfId="456"/>
    <cellStyle name="千位分隔 5" xfId="467"/>
    <cellStyle name="强调文字颜色 1 2" xfId="381"/>
    <cellStyle name="强调文字颜色 1 2 2" xfId="382"/>
    <cellStyle name="强调文字颜色 1 2 3" xfId="19"/>
    <cellStyle name="强调文字颜色 1 3" xfId="383"/>
    <cellStyle name="强调文字颜色 1 3 2" xfId="384"/>
    <cellStyle name="强调文字颜色 1 4" xfId="283"/>
    <cellStyle name="强调文字颜色 1 5" xfId="285"/>
    <cellStyle name="强调文字颜色 2 2" xfId="385"/>
    <cellStyle name="强调文字颜色 2 2 2" xfId="386"/>
    <cellStyle name="强调文字颜色 2 2 3" xfId="219"/>
    <cellStyle name="强调文字颜色 2 3" xfId="387"/>
    <cellStyle name="强调文字颜色 2 3 2" xfId="9"/>
    <cellStyle name="强调文字颜色 2 4" xfId="289"/>
    <cellStyle name="强调文字颜色 2 5" xfId="4"/>
    <cellStyle name="强调文字颜色 3 2" xfId="389"/>
    <cellStyle name="强调文字颜色 3 2 2" xfId="196"/>
    <cellStyle name="强调文字颜色 3 2 3" xfId="200"/>
    <cellStyle name="强调文字颜色 3 3" xfId="390"/>
    <cellStyle name="强调文字颜色 3 3 2" xfId="305"/>
    <cellStyle name="强调文字颜色 3 4" xfId="391"/>
    <cellStyle name="强调文字颜色 3 5" xfId="362"/>
    <cellStyle name="强调文字颜色 4 2" xfId="323"/>
    <cellStyle name="强调文字颜色 4 2 2" xfId="325"/>
    <cellStyle name="强调文字颜色 4 2 3" xfId="228"/>
    <cellStyle name="强调文字颜色 4 3" xfId="327"/>
    <cellStyle name="强调文字颜色 4 3 2" xfId="329"/>
    <cellStyle name="强调文字颜色 4 4" xfId="392"/>
    <cellStyle name="强调文字颜色 4 5" xfId="394"/>
    <cellStyle name="强调文字颜色 5 2" xfId="339"/>
    <cellStyle name="强调文字颜色 5 2 2" xfId="341"/>
    <cellStyle name="强调文字颜色 5 2 3" xfId="235"/>
    <cellStyle name="强调文字颜色 5 3" xfId="395"/>
    <cellStyle name="强调文字颜色 5 3 2" xfId="396"/>
    <cellStyle name="强调文字颜色 5 4" xfId="397"/>
    <cellStyle name="强调文字颜色 5 5" xfId="67"/>
    <cellStyle name="强调文字颜色 6 2" xfId="398"/>
    <cellStyle name="强调文字颜色 6 2 2" xfId="399"/>
    <cellStyle name="强调文字颜色 6 2 3" xfId="400"/>
    <cellStyle name="强调文字颜色 6 3" xfId="401"/>
    <cellStyle name="强调文字颜色 6 3 2" xfId="348"/>
    <cellStyle name="强调文字颜色 6 4" xfId="402"/>
    <cellStyle name="强调文字颜色 6 5" xfId="403"/>
    <cellStyle name="适中 2" xfId="51"/>
    <cellStyle name="适中 2 2" xfId="190"/>
    <cellStyle name="适中 2 3" xfId="195"/>
    <cellStyle name="适中 3" xfId="404"/>
    <cellStyle name="适中 3 2" xfId="405"/>
    <cellStyle name="适中 4" xfId="333"/>
    <cellStyle name="适中 5" xfId="406"/>
    <cellStyle name="输出 2" xfId="43"/>
    <cellStyle name="输出 2 2" xfId="71"/>
    <cellStyle name="输出 2 2 2" xfId="73"/>
    <cellStyle name="输出 2 2 2 2" xfId="407"/>
    <cellStyle name="输出 2 2 3" xfId="75"/>
    <cellStyle name="输出 2 3" xfId="77"/>
    <cellStyle name="输出 2 3 2" xfId="79"/>
    <cellStyle name="输出 2 3 2 2" xfId="408"/>
    <cellStyle name="输出 2 3 3" xfId="409"/>
    <cellStyle name="输出 2 4" xfId="81"/>
    <cellStyle name="输出 2 4 2" xfId="25"/>
    <cellStyle name="输出 2 5" xfId="83"/>
    <cellStyle name="输出 3" xfId="7"/>
    <cellStyle name="输出 3 2" xfId="85"/>
    <cellStyle name="输出 3 2 2" xfId="87"/>
    <cellStyle name="输出 3 2 2 2" xfId="410"/>
    <cellStyle name="输出 3 2 3" xfId="89"/>
    <cellStyle name="输出 3 3" xfId="32"/>
    <cellStyle name="输出 3 3 2" xfId="50"/>
    <cellStyle name="输出 3 4" xfId="91"/>
    <cellStyle name="输出 4" xfId="45"/>
    <cellStyle name="输出 4 2" xfId="96"/>
    <cellStyle name="输出 4 2 2" xfId="99"/>
    <cellStyle name="输出 4 3" xfId="105"/>
    <cellStyle name="输出 5" xfId="34"/>
    <cellStyle name="输出 5 2" xfId="113"/>
    <cellStyle name="输出 5 2 2" xfId="115"/>
    <cellStyle name="输出 5 3" xfId="119"/>
    <cellStyle name="输入 2" xfId="393"/>
    <cellStyle name="输入 2 2" xfId="412"/>
    <cellStyle name="输入 2 2 2" xfId="177"/>
    <cellStyle name="输入 2 3" xfId="414"/>
    <cellStyle name="输入 2 3 2" xfId="185"/>
    <cellStyle name="输入 2 4" xfId="388"/>
    <cellStyle name="输入 3" xfId="415"/>
    <cellStyle name="输入 3 2" xfId="314"/>
    <cellStyle name="输入 3 2 2" xfId="316"/>
    <cellStyle name="输入 3 3" xfId="320"/>
    <cellStyle name="输入 4" xfId="416"/>
    <cellStyle name="输入 4 2" xfId="102"/>
    <cellStyle name="输入 5" xfId="417"/>
    <cellStyle name="输入 5 2" xfId="345"/>
    <cellStyle name="㼿㼿㼿㼿? 2" xfId="439"/>
    <cellStyle name="㼿㼿㼿㼿㼿" xfId="437"/>
    <cellStyle name="㼿㼿㼿㼿㼿㼿㼿" xfId="438"/>
    <cellStyle name="样式 1" xfId="270"/>
    <cellStyle name="样式 1 2" xfId="418"/>
    <cellStyle name="样式 2" xfId="419"/>
    <cellStyle name="样式 2 2" xfId="420"/>
    <cellStyle name="样式 2 3" xfId="421"/>
    <cellStyle name="样式 2 4" xfId="411"/>
    <cellStyle name="样式 2 5" xfId="413"/>
    <cellStyle name="注释 2" xfId="211"/>
    <cellStyle name="注释 2 2" xfId="422"/>
    <cellStyle name="注释 2 2 2" xfId="423"/>
    <cellStyle name="注释 2 2 2 2" xfId="424"/>
    <cellStyle name="注释 2 2 3" xfId="425"/>
    <cellStyle name="注释 2 3" xfId="29"/>
    <cellStyle name="注释 2 3 2" xfId="374"/>
    <cellStyle name="注释 2 3 2 2" xfId="376"/>
    <cellStyle name="注释 2 3 3" xfId="38"/>
    <cellStyle name="注释 2 4" xfId="426"/>
    <cellStyle name="注释 2 4 2" xfId="291"/>
    <cellStyle name="注释 2 5" xfId="427"/>
    <cellStyle name="注释 3" xfId="428"/>
    <cellStyle name="注释 3 2" xfId="429"/>
    <cellStyle name="注释 3 2 2" xfId="24"/>
    <cellStyle name="注释 3 2 2 2" xfId="136"/>
    <cellStyle name="注释 3 2 3" xfId="49"/>
    <cellStyle name="注释 3 3" xfId="430"/>
    <cellStyle name="注释 3 3 2" xfId="431"/>
    <cellStyle name="注释 3 4" xfId="432"/>
    <cellStyle name="注释 4" xfId="433"/>
    <cellStyle name="注释 4 2" xfId="434"/>
    <cellStyle name="注释 4 2 2" xfId="435"/>
    <cellStyle name="注释 4 3" xfId="436"/>
    <cellStyle name="注释 5" xfId="18"/>
    <cellStyle name="注释 5 2" xfId="351"/>
    <cellStyle name="注释 5 2 2" xfId="207"/>
    <cellStyle name="注释 5 3" xfId="370"/>
  </cellStyles>
  <dxfs count="80"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202_&#31246;&#27454;&#35745;&#31639;_&#24037;&#36164;&#34218;&#37329;&#25152;&#24471;&#65288;&#20462;&#25913;&#21518;&#65289;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4701;&#31185;/&#24212;&#21457;&#21512;&#35745;&#23545;&#36134;&#34920;2022&#24180;6&#263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019;&#32852;&#33268;&#20449;/&#24037;&#36164;&#12289;&#33457;&#21517;&#20876;&#12289;&#32489;&#25928;&#12289;&#31038;&#20445;/202201/&#30005;&#20449;&#26234;&#24935;&#34701;&#31185;&#8212;&#28023;&#28096;&#20998;&#20844;&#21496;/&#21019;&#32852;&#33268;&#20449;&#28023;&#28096;&#20998;&#20844;&#21496;&#39033;&#30446;202202&#20184;&#27454;&#30003;&#35831;&#2133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019;&#32852;&#33268;&#20449;/&#24037;&#36164;&#12289;&#33457;&#21517;&#20876;&#12289;&#32489;&#25928;&#12289;&#31038;&#20445;/202205/&#30005;&#20449;&#26234;&#24935;&#34701;&#31185;&#8212;&#28023;&#28096;&#20998;&#20844;&#21496;/100378679&#21019;&#32852;&#33268;&#20449;&#28023;&#28096;&#20998;&#20844;&#21496;&#39033;&#30446;202202&#20184;&#27454;&#30003;&#35831;&#213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综合所得申报税款计算"/>
      <sheetName val="Sheet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年6月"/>
      <sheetName val="Sheet2"/>
      <sheetName val="Sheet3"/>
    </sheetNames>
    <sheetDataSet>
      <sheetData sheetId="0">
        <row r="1">
          <cell r="B1" t="str">
            <v>姓名</v>
          </cell>
          <cell r="C1" t="str">
            <v>入职时间</v>
          </cell>
          <cell r="D1" t="str">
            <v>参保地</v>
          </cell>
          <cell r="E1" t="str">
            <v>年薪</v>
          </cell>
          <cell r="F1" t="str">
            <v>月薪</v>
          </cell>
          <cell r="G1" t="str">
            <v>基本工资比例</v>
          </cell>
          <cell r="H1" t="str">
            <v>浮动工资比例</v>
          </cell>
          <cell r="I1" t="str">
            <v>基本工资</v>
          </cell>
          <cell r="J1" t="str">
            <v>月度绩效工资</v>
          </cell>
          <cell r="K1" t="str">
            <v>补助</v>
          </cell>
          <cell r="L1" t="str">
            <v>端午节加班工资</v>
          </cell>
          <cell r="M1" t="str">
            <v>其他工资</v>
          </cell>
          <cell r="N1" t="str">
            <v>应发合计</v>
          </cell>
        </row>
        <row r="2">
          <cell r="B2" t="str">
            <v>韩金亮</v>
          </cell>
          <cell r="C2" t="str">
            <v>2022.1.1</v>
          </cell>
          <cell r="D2" t="str">
            <v>北京</v>
          </cell>
          <cell r="E2">
            <v>180000</v>
          </cell>
          <cell r="F2">
            <v>15000</v>
          </cell>
          <cell r="G2">
            <v>0.7</v>
          </cell>
          <cell r="H2">
            <v>0.3</v>
          </cell>
          <cell r="I2">
            <v>10500</v>
          </cell>
          <cell r="J2">
            <v>4500</v>
          </cell>
          <cell r="N2">
            <v>15000</v>
          </cell>
        </row>
        <row r="3">
          <cell r="B3" t="str">
            <v>范冰澎</v>
          </cell>
          <cell r="C3" t="str">
            <v>2022.1.1</v>
          </cell>
          <cell r="D3" t="str">
            <v>北京</v>
          </cell>
          <cell r="E3">
            <v>168000</v>
          </cell>
          <cell r="F3">
            <v>14000</v>
          </cell>
          <cell r="G3">
            <v>0.7</v>
          </cell>
          <cell r="H3">
            <v>0.3</v>
          </cell>
          <cell r="I3">
            <v>9800</v>
          </cell>
          <cell r="J3">
            <v>4200</v>
          </cell>
          <cell r="N3">
            <v>14000</v>
          </cell>
        </row>
        <row r="4">
          <cell r="B4" t="str">
            <v>马志伟</v>
          </cell>
          <cell r="C4" t="str">
            <v>2022.1.1</v>
          </cell>
          <cell r="D4" t="str">
            <v>北京</v>
          </cell>
          <cell r="E4">
            <v>144000</v>
          </cell>
          <cell r="F4">
            <v>12000</v>
          </cell>
          <cell r="G4">
            <v>0.7</v>
          </cell>
          <cell r="H4">
            <v>0.3</v>
          </cell>
          <cell r="I4">
            <v>8400</v>
          </cell>
          <cell r="J4">
            <v>3600</v>
          </cell>
          <cell r="N4">
            <v>12000</v>
          </cell>
        </row>
        <row r="5">
          <cell r="B5" t="str">
            <v>冯伟</v>
          </cell>
          <cell r="C5" t="str">
            <v>2022.1.1</v>
          </cell>
          <cell r="D5" t="str">
            <v>北京</v>
          </cell>
          <cell r="E5">
            <v>99600</v>
          </cell>
          <cell r="F5">
            <v>8300</v>
          </cell>
          <cell r="G5">
            <v>0.7</v>
          </cell>
          <cell r="H5">
            <v>0.3</v>
          </cell>
          <cell r="I5">
            <v>5810</v>
          </cell>
          <cell r="J5">
            <v>2490</v>
          </cell>
          <cell r="K5">
            <v>600</v>
          </cell>
          <cell r="N5">
            <v>8900</v>
          </cell>
        </row>
        <row r="6">
          <cell r="B6" t="str">
            <v>吕金吉</v>
          </cell>
          <cell r="C6" t="str">
            <v>2022.1.15</v>
          </cell>
          <cell r="D6" t="str">
            <v>北京</v>
          </cell>
          <cell r="E6">
            <v>105600</v>
          </cell>
          <cell r="F6">
            <v>8800</v>
          </cell>
          <cell r="G6">
            <v>0.5</v>
          </cell>
          <cell r="H6">
            <v>0.5</v>
          </cell>
          <cell r="I6">
            <v>4400</v>
          </cell>
          <cell r="J6">
            <v>4400</v>
          </cell>
          <cell r="N6">
            <v>8800</v>
          </cell>
        </row>
        <row r="7">
          <cell r="B7" t="str">
            <v>徐文洋</v>
          </cell>
          <cell r="C7" t="str">
            <v>2022.1.15</v>
          </cell>
          <cell r="D7" t="str">
            <v>北京</v>
          </cell>
          <cell r="E7">
            <v>71340</v>
          </cell>
          <cell r="F7">
            <v>5945</v>
          </cell>
          <cell r="G7">
            <v>0.5</v>
          </cell>
          <cell r="H7">
            <v>0.5</v>
          </cell>
          <cell r="I7">
            <v>2972.5</v>
          </cell>
          <cell r="J7">
            <v>2972.5</v>
          </cell>
          <cell r="N7">
            <v>5945</v>
          </cell>
        </row>
        <row r="8">
          <cell r="B8" t="str">
            <v>盖春歌</v>
          </cell>
          <cell r="C8" t="str">
            <v>2022.1.15</v>
          </cell>
          <cell r="D8" t="str">
            <v>北京</v>
          </cell>
          <cell r="E8">
            <v>132000</v>
          </cell>
          <cell r="F8">
            <v>11000</v>
          </cell>
          <cell r="G8">
            <v>0.5</v>
          </cell>
          <cell r="H8">
            <v>0.5</v>
          </cell>
          <cell r="I8">
            <v>5500</v>
          </cell>
          <cell r="J8">
            <v>5500</v>
          </cell>
          <cell r="N8">
            <v>11000</v>
          </cell>
        </row>
        <row r="9">
          <cell r="B9" t="str">
            <v>姚聪</v>
          </cell>
          <cell r="C9" t="str">
            <v>2022.1.1</v>
          </cell>
          <cell r="D9" t="str">
            <v>北京</v>
          </cell>
          <cell r="E9">
            <v>132000</v>
          </cell>
          <cell r="F9">
            <v>11000</v>
          </cell>
          <cell r="G9">
            <v>0.5</v>
          </cell>
          <cell r="H9">
            <v>0.5</v>
          </cell>
          <cell r="I9">
            <v>5500</v>
          </cell>
          <cell r="J9">
            <v>5500</v>
          </cell>
          <cell r="N9">
            <v>11000</v>
          </cell>
        </row>
        <row r="10">
          <cell r="B10" t="str">
            <v>周江</v>
          </cell>
          <cell r="C10" t="str">
            <v>2022.1.1</v>
          </cell>
          <cell r="D10" t="str">
            <v>福州</v>
          </cell>
          <cell r="E10">
            <v>72000</v>
          </cell>
          <cell r="F10">
            <v>6000</v>
          </cell>
          <cell r="G10">
            <v>0.7</v>
          </cell>
          <cell r="H10">
            <v>0.3</v>
          </cell>
          <cell r="I10">
            <v>4200</v>
          </cell>
          <cell r="J10">
            <v>1800</v>
          </cell>
          <cell r="N10">
            <v>6000</v>
          </cell>
        </row>
        <row r="11">
          <cell r="B11" t="str">
            <v>李成飞</v>
          </cell>
          <cell r="C11" t="str">
            <v>2022.1.1</v>
          </cell>
          <cell r="D11" t="str">
            <v>合肥</v>
          </cell>
          <cell r="E11">
            <v>228000</v>
          </cell>
          <cell r="F11">
            <v>19000</v>
          </cell>
          <cell r="G11">
            <v>0.7</v>
          </cell>
          <cell r="H11">
            <v>0.3</v>
          </cell>
          <cell r="I11">
            <v>13300</v>
          </cell>
          <cell r="J11">
            <v>5700</v>
          </cell>
          <cell r="K11">
            <v>1000</v>
          </cell>
          <cell r="N11">
            <v>20000</v>
          </cell>
        </row>
        <row r="12">
          <cell r="B12" t="str">
            <v>李凯</v>
          </cell>
          <cell r="C12" t="str">
            <v>2022.1.1</v>
          </cell>
          <cell r="D12" t="str">
            <v>合肥</v>
          </cell>
          <cell r="E12">
            <v>228000</v>
          </cell>
          <cell r="F12">
            <v>19000</v>
          </cell>
          <cell r="G12">
            <v>0.7</v>
          </cell>
          <cell r="H12">
            <v>0.3</v>
          </cell>
          <cell r="I12">
            <v>13300</v>
          </cell>
          <cell r="J12">
            <v>5700</v>
          </cell>
          <cell r="K12">
            <v>1000</v>
          </cell>
          <cell r="N12">
            <v>20000</v>
          </cell>
        </row>
        <row r="13">
          <cell r="B13" t="str">
            <v>王诗武</v>
          </cell>
          <cell r="C13" t="str">
            <v>2022.1.1</v>
          </cell>
          <cell r="D13" t="str">
            <v>合肥</v>
          </cell>
          <cell r="E13">
            <v>324000</v>
          </cell>
          <cell r="F13">
            <v>27000</v>
          </cell>
          <cell r="G13">
            <v>0.7</v>
          </cell>
          <cell r="H13">
            <v>0.3</v>
          </cell>
          <cell r="I13">
            <v>18900</v>
          </cell>
          <cell r="J13">
            <v>8100</v>
          </cell>
          <cell r="K13">
            <v>1000</v>
          </cell>
          <cell r="L13">
            <v>3724.14</v>
          </cell>
          <cell r="N13">
            <v>31724.14</v>
          </cell>
        </row>
        <row r="14">
          <cell r="B14" t="str">
            <v>张健康</v>
          </cell>
          <cell r="C14" t="str">
            <v>2022.1.1</v>
          </cell>
          <cell r="D14" t="str">
            <v>合肥</v>
          </cell>
          <cell r="E14">
            <v>240000</v>
          </cell>
          <cell r="F14">
            <v>20000</v>
          </cell>
          <cell r="G14">
            <v>0.7</v>
          </cell>
          <cell r="H14">
            <v>0.3</v>
          </cell>
          <cell r="I14">
            <v>14000</v>
          </cell>
          <cell r="J14">
            <v>6000</v>
          </cell>
          <cell r="K14">
            <v>1000</v>
          </cell>
          <cell r="N14">
            <v>21000</v>
          </cell>
        </row>
        <row r="15">
          <cell r="B15" t="str">
            <v>操汪炎</v>
          </cell>
          <cell r="C15" t="str">
            <v>2022.1.1</v>
          </cell>
          <cell r="D15" t="str">
            <v>合肥</v>
          </cell>
          <cell r="E15">
            <v>300000</v>
          </cell>
          <cell r="F15">
            <v>25000</v>
          </cell>
          <cell r="G15">
            <v>0.7</v>
          </cell>
          <cell r="H15">
            <v>0.3</v>
          </cell>
          <cell r="I15">
            <v>17500</v>
          </cell>
          <cell r="J15">
            <v>7500</v>
          </cell>
          <cell r="K15">
            <v>1000</v>
          </cell>
          <cell r="L15">
            <v>2298.85</v>
          </cell>
          <cell r="N15">
            <v>28298.85</v>
          </cell>
        </row>
        <row r="16">
          <cell r="B16" t="str">
            <v>秦松</v>
          </cell>
          <cell r="C16" t="str">
            <v>2022.1.1</v>
          </cell>
          <cell r="D16" t="str">
            <v>合肥</v>
          </cell>
          <cell r="E16">
            <v>288000</v>
          </cell>
          <cell r="F16">
            <v>24000</v>
          </cell>
          <cell r="G16">
            <v>0.7</v>
          </cell>
          <cell r="H16">
            <v>0.3</v>
          </cell>
          <cell r="I16">
            <v>16800</v>
          </cell>
          <cell r="J16">
            <v>7200</v>
          </cell>
          <cell r="K16">
            <v>1000</v>
          </cell>
          <cell r="L16">
            <v>3310.34</v>
          </cell>
          <cell r="N16">
            <v>28310.34</v>
          </cell>
        </row>
        <row r="17">
          <cell r="B17" t="str">
            <v>王笑飞</v>
          </cell>
          <cell r="C17" t="str">
            <v>2022.1.1</v>
          </cell>
          <cell r="D17" t="str">
            <v>合肥</v>
          </cell>
          <cell r="E17">
            <v>312000</v>
          </cell>
          <cell r="F17">
            <v>26000</v>
          </cell>
          <cell r="G17">
            <v>0.7</v>
          </cell>
          <cell r="H17">
            <v>0.3</v>
          </cell>
          <cell r="I17">
            <v>18200</v>
          </cell>
          <cell r="J17">
            <v>7800</v>
          </cell>
          <cell r="K17">
            <v>1000</v>
          </cell>
          <cell r="L17">
            <v>3586.21</v>
          </cell>
          <cell r="N17">
            <v>30586.21</v>
          </cell>
        </row>
        <row r="18">
          <cell r="B18" t="str">
            <v>吴胜</v>
          </cell>
          <cell r="C18" t="str">
            <v>2022.1.1</v>
          </cell>
          <cell r="D18" t="str">
            <v>合肥</v>
          </cell>
          <cell r="E18">
            <v>324000</v>
          </cell>
          <cell r="F18">
            <v>27000</v>
          </cell>
          <cell r="G18">
            <v>0.7</v>
          </cell>
          <cell r="H18">
            <v>0.3</v>
          </cell>
          <cell r="I18">
            <v>18900</v>
          </cell>
          <cell r="J18">
            <v>8100</v>
          </cell>
          <cell r="K18">
            <v>1000</v>
          </cell>
          <cell r="L18">
            <v>2482.7600000000002</v>
          </cell>
          <cell r="N18">
            <v>30482.760000000002</v>
          </cell>
        </row>
        <row r="19">
          <cell r="B19" t="str">
            <v>于森</v>
          </cell>
          <cell r="C19" t="str">
            <v>2022.1.1</v>
          </cell>
          <cell r="D19" t="str">
            <v>合肥</v>
          </cell>
          <cell r="E19">
            <v>228000</v>
          </cell>
          <cell r="F19">
            <v>19000</v>
          </cell>
          <cell r="G19">
            <v>0.7</v>
          </cell>
          <cell r="H19">
            <v>0.3</v>
          </cell>
          <cell r="I19">
            <v>13300</v>
          </cell>
          <cell r="J19">
            <v>5700</v>
          </cell>
          <cell r="K19">
            <v>1000</v>
          </cell>
          <cell r="N19">
            <v>20000</v>
          </cell>
        </row>
        <row r="20">
          <cell r="B20" t="str">
            <v>赵云峰</v>
          </cell>
          <cell r="C20" t="str">
            <v>2022.2.14</v>
          </cell>
          <cell r="D20" t="str">
            <v>合肥</v>
          </cell>
          <cell r="E20">
            <v>120000</v>
          </cell>
          <cell r="F20">
            <v>10000</v>
          </cell>
          <cell r="G20">
            <v>0.7</v>
          </cell>
          <cell r="H20">
            <v>0.3</v>
          </cell>
          <cell r="I20">
            <v>7000</v>
          </cell>
          <cell r="J20">
            <v>3000</v>
          </cell>
          <cell r="K20">
            <v>1000</v>
          </cell>
          <cell r="N20">
            <v>11000</v>
          </cell>
        </row>
        <row r="21">
          <cell r="B21" t="str">
            <v>郭正荣</v>
          </cell>
          <cell r="C21" t="str">
            <v>2022.2.22</v>
          </cell>
          <cell r="D21" t="str">
            <v>合肥</v>
          </cell>
          <cell r="E21">
            <v>168000</v>
          </cell>
          <cell r="F21">
            <v>14000</v>
          </cell>
          <cell r="G21">
            <v>0.7</v>
          </cell>
          <cell r="H21">
            <v>0.3</v>
          </cell>
          <cell r="I21">
            <v>9800</v>
          </cell>
          <cell r="J21">
            <v>4200</v>
          </cell>
          <cell r="K21">
            <v>1000</v>
          </cell>
          <cell r="L21">
            <v>1287.3599999999999</v>
          </cell>
          <cell r="N21">
            <v>16287.36</v>
          </cell>
        </row>
        <row r="22">
          <cell r="B22" t="str">
            <v>王润</v>
          </cell>
          <cell r="C22" t="str">
            <v>2022.2.14</v>
          </cell>
          <cell r="D22" t="str">
            <v>合肥</v>
          </cell>
          <cell r="E22">
            <v>144000</v>
          </cell>
          <cell r="F22">
            <v>12000</v>
          </cell>
          <cell r="G22">
            <v>0.7</v>
          </cell>
          <cell r="H22">
            <v>0.3</v>
          </cell>
          <cell r="I22">
            <v>8400</v>
          </cell>
          <cell r="J22">
            <v>3600</v>
          </cell>
          <cell r="K22">
            <v>1000</v>
          </cell>
          <cell r="N22">
            <v>13000</v>
          </cell>
        </row>
        <row r="23">
          <cell r="B23" t="str">
            <v>李硕</v>
          </cell>
          <cell r="C23" t="str">
            <v>2022.3.7</v>
          </cell>
          <cell r="D23" t="str">
            <v>合肥</v>
          </cell>
          <cell r="E23">
            <v>228000</v>
          </cell>
          <cell r="F23">
            <v>19000</v>
          </cell>
          <cell r="G23">
            <v>0.7</v>
          </cell>
          <cell r="H23">
            <v>0.3</v>
          </cell>
          <cell r="I23">
            <v>13300</v>
          </cell>
          <cell r="J23">
            <v>5700</v>
          </cell>
          <cell r="K23">
            <v>1000</v>
          </cell>
          <cell r="N23">
            <v>20000</v>
          </cell>
        </row>
        <row r="24">
          <cell r="B24" t="str">
            <v>伍申</v>
          </cell>
          <cell r="C24" t="str">
            <v>2022.3.7</v>
          </cell>
          <cell r="D24" t="str">
            <v>合肥</v>
          </cell>
          <cell r="E24">
            <v>144000</v>
          </cell>
          <cell r="F24">
            <v>12000</v>
          </cell>
          <cell r="G24">
            <v>0.7</v>
          </cell>
          <cell r="H24">
            <v>0.3</v>
          </cell>
          <cell r="I24">
            <v>8400</v>
          </cell>
          <cell r="J24">
            <v>3600</v>
          </cell>
          <cell r="K24">
            <v>1000</v>
          </cell>
          <cell r="L24">
            <v>1103.45</v>
          </cell>
          <cell r="N24">
            <v>14103.45</v>
          </cell>
        </row>
        <row r="25">
          <cell r="B25" t="str">
            <v>汪积烊</v>
          </cell>
          <cell r="C25" t="str">
            <v>2022.3.7</v>
          </cell>
          <cell r="D25" t="str">
            <v>合肥</v>
          </cell>
          <cell r="E25">
            <v>144000</v>
          </cell>
          <cell r="F25">
            <v>12000</v>
          </cell>
          <cell r="G25">
            <v>0.7</v>
          </cell>
          <cell r="H25">
            <v>0.3</v>
          </cell>
          <cell r="I25">
            <v>8400</v>
          </cell>
          <cell r="J25">
            <v>3600</v>
          </cell>
          <cell r="K25">
            <v>1000</v>
          </cell>
          <cell r="N25">
            <v>13000</v>
          </cell>
        </row>
        <row r="26">
          <cell r="B26" t="str">
            <v>闫驰</v>
          </cell>
          <cell r="C26" t="str">
            <v>2022.4.1</v>
          </cell>
          <cell r="D26" t="str">
            <v>合肥</v>
          </cell>
          <cell r="E26">
            <v>180000</v>
          </cell>
          <cell r="F26">
            <v>15000</v>
          </cell>
          <cell r="G26">
            <v>0.7</v>
          </cell>
          <cell r="H26">
            <v>0.3</v>
          </cell>
          <cell r="I26">
            <v>10500</v>
          </cell>
          <cell r="J26">
            <v>4500</v>
          </cell>
          <cell r="K26">
            <v>1000</v>
          </cell>
          <cell r="L26">
            <v>3448.28</v>
          </cell>
          <cell r="N26">
            <v>19448.28</v>
          </cell>
        </row>
        <row r="27">
          <cell r="B27" t="str">
            <v>黄震</v>
          </cell>
          <cell r="C27" t="str">
            <v>2022.4.1</v>
          </cell>
          <cell r="D27" t="str">
            <v>合肥</v>
          </cell>
          <cell r="E27">
            <v>252000</v>
          </cell>
          <cell r="F27">
            <v>21000</v>
          </cell>
          <cell r="G27">
            <v>0.7</v>
          </cell>
          <cell r="H27">
            <v>0.3</v>
          </cell>
          <cell r="I27">
            <v>14699.999999999998</v>
          </cell>
          <cell r="J27">
            <v>6300</v>
          </cell>
          <cell r="K27">
            <v>1000</v>
          </cell>
          <cell r="L27">
            <v>4827.58</v>
          </cell>
          <cell r="N27">
            <v>26827.58</v>
          </cell>
        </row>
        <row r="28">
          <cell r="B28" t="str">
            <v>章柏顺</v>
          </cell>
          <cell r="C28" t="str">
            <v>2022.4.1</v>
          </cell>
          <cell r="D28" t="str">
            <v>合肥</v>
          </cell>
          <cell r="E28">
            <v>228000</v>
          </cell>
          <cell r="F28">
            <v>19000</v>
          </cell>
          <cell r="G28">
            <v>0.7</v>
          </cell>
          <cell r="H28">
            <v>0.3</v>
          </cell>
          <cell r="I28">
            <v>13300</v>
          </cell>
          <cell r="J28">
            <v>5700</v>
          </cell>
          <cell r="K28">
            <v>1000</v>
          </cell>
          <cell r="L28">
            <v>6114.95</v>
          </cell>
          <cell r="N28">
            <v>26114.95</v>
          </cell>
        </row>
        <row r="29">
          <cell r="B29" t="str">
            <v>杨大帅</v>
          </cell>
          <cell r="C29" t="str">
            <v>2022.4.1</v>
          </cell>
          <cell r="D29" t="str">
            <v>合肥</v>
          </cell>
          <cell r="E29">
            <v>120000</v>
          </cell>
          <cell r="F29">
            <v>10000</v>
          </cell>
          <cell r="G29">
            <v>0.7</v>
          </cell>
          <cell r="H29">
            <v>0.3</v>
          </cell>
          <cell r="I29">
            <v>7000</v>
          </cell>
          <cell r="J29">
            <v>3000</v>
          </cell>
          <cell r="K29">
            <v>1000</v>
          </cell>
          <cell r="N29">
            <v>11000</v>
          </cell>
        </row>
        <row r="30">
          <cell r="B30" t="str">
            <v>罗志远</v>
          </cell>
          <cell r="C30" t="str">
            <v>2022.4.1</v>
          </cell>
          <cell r="D30" t="str">
            <v>合肥</v>
          </cell>
          <cell r="E30">
            <v>120000</v>
          </cell>
          <cell r="F30">
            <v>10000</v>
          </cell>
          <cell r="G30">
            <v>0.7</v>
          </cell>
          <cell r="H30">
            <v>0.3</v>
          </cell>
          <cell r="I30">
            <v>7000</v>
          </cell>
          <cell r="J30">
            <v>3000</v>
          </cell>
          <cell r="K30">
            <v>1000</v>
          </cell>
          <cell r="N30">
            <v>11000</v>
          </cell>
        </row>
        <row r="31">
          <cell r="B31" t="str">
            <v>吴其峰</v>
          </cell>
          <cell r="C31" t="str">
            <v>2022.4.1</v>
          </cell>
          <cell r="D31" t="str">
            <v>合肥</v>
          </cell>
          <cell r="E31">
            <v>120000</v>
          </cell>
          <cell r="F31">
            <v>10000</v>
          </cell>
          <cell r="G31">
            <v>0.7</v>
          </cell>
          <cell r="H31">
            <v>0.3</v>
          </cell>
          <cell r="I31">
            <v>7000</v>
          </cell>
          <cell r="J31">
            <v>3000</v>
          </cell>
          <cell r="K31">
            <v>1000</v>
          </cell>
          <cell r="L31">
            <v>919.54</v>
          </cell>
          <cell r="N31">
            <v>11919.54</v>
          </cell>
        </row>
        <row r="32">
          <cell r="B32" t="str">
            <v>田志民</v>
          </cell>
          <cell r="C32" t="str">
            <v>2022.4.1</v>
          </cell>
          <cell r="D32" t="str">
            <v>合肥</v>
          </cell>
          <cell r="E32">
            <v>120000</v>
          </cell>
          <cell r="F32">
            <v>10000</v>
          </cell>
          <cell r="G32">
            <v>0.7</v>
          </cell>
          <cell r="H32">
            <v>0.3</v>
          </cell>
          <cell r="I32">
            <v>7000</v>
          </cell>
          <cell r="J32">
            <v>3000</v>
          </cell>
          <cell r="K32">
            <v>1000</v>
          </cell>
          <cell r="L32">
            <v>919.54</v>
          </cell>
          <cell r="N32">
            <v>11919.54</v>
          </cell>
        </row>
        <row r="33">
          <cell r="B33" t="str">
            <v>潘浪</v>
          </cell>
          <cell r="C33" t="str">
            <v>2022.4.1</v>
          </cell>
          <cell r="D33" t="str">
            <v>合肥</v>
          </cell>
          <cell r="E33">
            <v>132000</v>
          </cell>
          <cell r="F33">
            <v>11000</v>
          </cell>
          <cell r="G33">
            <v>0.7</v>
          </cell>
          <cell r="H33">
            <v>0.3</v>
          </cell>
          <cell r="I33">
            <v>7699.9999999999991</v>
          </cell>
          <cell r="J33">
            <v>3300</v>
          </cell>
          <cell r="K33">
            <v>1000</v>
          </cell>
          <cell r="L33">
            <v>1517.24</v>
          </cell>
          <cell r="N33">
            <v>13517.24</v>
          </cell>
        </row>
        <row r="34">
          <cell r="B34" t="str">
            <v>王龙</v>
          </cell>
          <cell r="C34" t="str">
            <v>2022.4.1</v>
          </cell>
          <cell r="D34" t="str">
            <v>北京</v>
          </cell>
          <cell r="E34">
            <v>180000</v>
          </cell>
          <cell r="F34">
            <v>15000</v>
          </cell>
          <cell r="G34">
            <v>0.7</v>
          </cell>
          <cell r="H34">
            <v>0.3</v>
          </cell>
          <cell r="I34">
            <v>10500</v>
          </cell>
          <cell r="J34">
            <v>4500</v>
          </cell>
          <cell r="K34">
            <v>0</v>
          </cell>
          <cell r="M34">
            <v>500</v>
          </cell>
          <cell r="N34">
            <v>15500</v>
          </cell>
        </row>
        <row r="35">
          <cell r="B35" t="str">
            <v>侯佩宏</v>
          </cell>
          <cell r="C35" t="str">
            <v>2022.4.1</v>
          </cell>
          <cell r="D35" t="str">
            <v>北京</v>
          </cell>
          <cell r="E35">
            <v>180000</v>
          </cell>
          <cell r="F35">
            <v>15000</v>
          </cell>
          <cell r="G35">
            <v>0.7</v>
          </cell>
          <cell r="H35">
            <v>0.3</v>
          </cell>
          <cell r="I35">
            <v>10500</v>
          </cell>
          <cell r="J35">
            <v>4500</v>
          </cell>
          <cell r="K35">
            <v>0</v>
          </cell>
          <cell r="M35">
            <v>500</v>
          </cell>
          <cell r="N35">
            <v>15500</v>
          </cell>
        </row>
        <row r="36">
          <cell r="B36" t="str">
            <v>钟坤</v>
          </cell>
          <cell r="C36" t="str">
            <v>2022.5.1</v>
          </cell>
          <cell r="D36" t="str">
            <v>福州</v>
          </cell>
          <cell r="E36">
            <v>208800</v>
          </cell>
          <cell r="F36">
            <v>17400</v>
          </cell>
          <cell r="G36">
            <v>0.7</v>
          </cell>
          <cell r="H36">
            <v>0.3</v>
          </cell>
          <cell r="I36">
            <v>12180</v>
          </cell>
          <cell r="J36">
            <v>5220</v>
          </cell>
          <cell r="K36">
            <v>0</v>
          </cell>
          <cell r="N36">
            <v>17400</v>
          </cell>
        </row>
        <row r="37">
          <cell r="B37" t="str">
            <v>王柳</v>
          </cell>
          <cell r="C37" t="str">
            <v>2022.5.1</v>
          </cell>
          <cell r="D37" t="str">
            <v>北京</v>
          </cell>
          <cell r="E37">
            <v>121200</v>
          </cell>
          <cell r="F37">
            <v>10100</v>
          </cell>
          <cell r="G37">
            <v>0.7</v>
          </cell>
          <cell r="H37">
            <v>0.3</v>
          </cell>
          <cell r="I37">
            <v>7070</v>
          </cell>
          <cell r="J37">
            <v>3030</v>
          </cell>
          <cell r="K37">
            <v>0</v>
          </cell>
          <cell r="N37">
            <v>10100</v>
          </cell>
        </row>
        <row r="38">
          <cell r="B38" t="str">
            <v>胡永康</v>
          </cell>
          <cell r="C38" t="str">
            <v>2022.5.1</v>
          </cell>
          <cell r="D38" t="str">
            <v>北京</v>
          </cell>
          <cell r="E38">
            <v>127200</v>
          </cell>
          <cell r="F38">
            <v>10600</v>
          </cell>
          <cell r="G38">
            <v>0.7</v>
          </cell>
          <cell r="H38">
            <v>0.3</v>
          </cell>
          <cell r="I38">
            <v>7419.9999999999991</v>
          </cell>
          <cell r="J38">
            <v>3180</v>
          </cell>
          <cell r="K38">
            <v>0</v>
          </cell>
          <cell r="N38">
            <v>10600</v>
          </cell>
        </row>
        <row r="39">
          <cell r="B39" t="str">
            <v>陈蓉</v>
          </cell>
          <cell r="C39" t="str">
            <v>2022.5.1</v>
          </cell>
          <cell r="D39" t="str">
            <v>北京</v>
          </cell>
          <cell r="E39">
            <v>84000</v>
          </cell>
          <cell r="F39">
            <v>7000</v>
          </cell>
          <cell r="G39">
            <v>0.7</v>
          </cell>
          <cell r="H39">
            <v>0.3</v>
          </cell>
          <cell r="I39">
            <v>4900</v>
          </cell>
          <cell r="J39">
            <v>2100</v>
          </cell>
          <cell r="K39">
            <v>0</v>
          </cell>
          <cell r="M39">
            <v>2740</v>
          </cell>
          <cell r="N39">
            <v>9740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付款通知"/>
      <sheetName val="（居民）工资表-3月"/>
      <sheetName val="社保"/>
      <sheetName val="（居民）工资表-4月"/>
      <sheetName val="（居民）工资表-5月"/>
      <sheetName val="社保1"/>
      <sheetName val="（居民）工资表-6月"/>
      <sheetName val="（居民）工资表-7月"/>
      <sheetName val="增减"/>
      <sheetName val="（居民）工资表-8月"/>
      <sheetName val="（居民）工资表-9月"/>
      <sheetName val="（居民）工资表-10月"/>
      <sheetName val="（居民）工资表-11月"/>
      <sheetName val="（居民）工资表-1月"/>
      <sheetName val="（居民）工资表-12月"/>
      <sheetName val="（居民）工资表-2月"/>
      <sheetName val="增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4">
          <cell r="E14">
            <v>77156.09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付款通知"/>
      <sheetName val="（居民）工资表-3月"/>
      <sheetName val="社保"/>
      <sheetName val="（居民）工资表-4月"/>
      <sheetName val="（居民）工资表-5月"/>
      <sheetName val="社保1"/>
      <sheetName val="增"/>
      <sheetName val="（居民）工资表-6月"/>
      <sheetName val="（居民）工资表-7月"/>
      <sheetName val="增减"/>
      <sheetName val="（居民）工资表-8月"/>
      <sheetName val="（居民）工资表-9月"/>
      <sheetName val="（居民）工资表-10月"/>
      <sheetName val="（居民）工资表-11月"/>
      <sheetName val="（居民）工资表-1月"/>
      <sheetName val="（居民）工资表-12月"/>
      <sheetName val="（居民）工资表-2月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4">
          <cell r="E14">
            <v>77156.09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3"/>
  <sheetViews>
    <sheetView tabSelected="1" workbookViewId="0">
      <selection activeCell="H14" sqref="H14"/>
    </sheetView>
  </sheetViews>
  <sheetFormatPr defaultRowHeight="13.5"/>
  <cols>
    <col min="1" max="1" width="13" customWidth="1"/>
    <col min="2" max="2" width="4.125" customWidth="1"/>
    <col min="3" max="3" width="19.25" customWidth="1"/>
    <col min="4" max="4" width="17.875" style="144" customWidth="1"/>
    <col min="5" max="5" width="14.125" customWidth="1"/>
    <col min="6" max="7" width="14" style="144" customWidth="1"/>
    <col min="8" max="8" width="15.125" bestFit="1" customWidth="1"/>
    <col min="9" max="9" width="19.25" bestFit="1" customWidth="1"/>
  </cols>
  <sheetData>
    <row r="3" spans="1:5" ht="21" customHeight="1">
      <c r="A3" s="180" t="s">
        <v>244</v>
      </c>
      <c r="B3" s="184">
        <v>6</v>
      </c>
      <c r="C3" s="180" t="s">
        <v>245</v>
      </c>
      <c r="D3" s="179" t="s">
        <v>60</v>
      </c>
      <c r="E3" s="179" t="s">
        <v>335</v>
      </c>
    </row>
    <row r="4" spans="1:5" ht="13.5" customHeight="1">
      <c r="A4" s="317" t="s">
        <v>241</v>
      </c>
      <c r="B4" s="318" t="s">
        <v>24</v>
      </c>
      <c r="C4" s="318"/>
      <c r="D4" s="176">
        <f>SUMIF(海淀分公司工资表!$B:$B,D$3,海淀分公司工资表!$AS:$AS)</f>
        <v>566545.51</v>
      </c>
      <c r="E4" s="176">
        <f>SUMIF(海淀分公司工资表!$B:$B,E$3,海淀分公司工资表!$AS:$AS)</f>
        <v>16180.93</v>
      </c>
    </row>
    <row r="5" spans="1:5">
      <c r="A5" s="317"/>
      <c r="B5" s="318" t="s">
        <v>140</v>
      </c>
      <c r="C5" s="318"/>
      <c r="D5" s="176">
        <f>SUMIF(海淀分公司工资表!$B:$B,D$3,海淀分公司工资表!$AP:$AP)</f>
        <v>27016.880000000005</v>
      </c>
      <c r="E5" s="176">
        <f>SUMIF(海淀分公司工资表!$B:$B,E$3,海淀分公司工资表!$AP:$AP)</f>
        <v>263.51</v>
      </c>
    </row>
    <row r="6" spans="1:5">
      <c r="A6" s="317"/>
      <c r="B6" s="318" t="s">
        <v>146</v>
      </c>
      <c r="C6" s="318"/>
      <c r="D6" s="176">
        <f>SUMIF(海淀分公司工资表!$B:$B,D$3,海淀分公司工资表!$AU:$AU)</f>
        <v>66</v>
      </c>
      <c r="E6" s="176">
        <f>SUMIF(海淀分公司工资表!$B:$B,E$3,海淀分公司工资表!$AU:$AU)</f>
        <v>2</v>
      </c>
    </row>
    <row r="7" spans="1:5">
      <c r="A7" s="317"/>
      <c r="B7" s="318" t="s">
        <v>239</v>
      </c>
      <c r="C7" s="318"/>
      <c r="D7" s="176">
        <f>SUMIF(海淀分公司工资表!$B:$B,D$3,海淀分公司工资表!$AT:$AT)</f>
        <v>6710</v>
      </c>
      <c r="E7" s="176">
        <f>SUMIF(海淀分公司工资表!$B:$B,E$3,海淀分公司工资表!$AT:$AT)</f>
        <v>340</v>
      </c>
    </row>
    <row r="8" spans="1:5">
      <c r="A8" s="317"/>
      <c r="B8" s="318" t="s">
        <v>242</v>
      </c>
      <c r="C8" s="318"/>
      <c r="D8" s="176">
        <f>SUM(D4:D7)</f>
        <v>600338.39</v>
      </c>
      <c r="E8" s="176">
        <f>SUM(E4:E7)</f>
        <v>16786.439999999999</v>
      </c>
    </row>
    <row r="9" spans="1:5">
      <c r="A9" s="317"/>
      <c r="B9" s="318" t="s">
        <v>243</v>
      </c>
      <c r="C9" s="318"/>
      <c r="D9" s="176">
        <f>ROUND(D8*6.72%,2)</f>
        <v>40342.74</v>
      </c>
      <c r="E9" s="176">
        <f>ROUND(E8*6.72%,2)</f>
        <v>1128.05</v>
      </c>
    </row>
    <row r="10" spans="1:5">
      <c r="A10" s="317"/>
      <c r="B10" s="318" t="s">
        <v>141</v>
      </c>
      <c r="C10" s="318"/>
      <c r="D10" s="176">
        <f>ROUND(SUM(D8:D9),2)</f>
        <v>640681.13</v>
      </c>
      <c r="E10" s="176">
        <f>ROUND(SUM(E8:E9),2)</f>
        <v>17914.490000000002</v>
      </c>
    </row>
    <row r="11" spans="1:5" ht="9" customHeight="1">
      <c r="A11" s="322"/>
      <c r="B11" s="323"/>
      <c r="C11" s="323"/>
      <c r="D11" s="323"/>
      <c r="E11" s="324"/>
    </row>
    <row r="12" spans="1:5">
      <c r="A12" s="317" t="s">
        <v>240</v>
      </c>
      <c r="B12" s="318" t="s">
        <v>247</v>
      </c>
      <c r="C12" s="318"/>
      <c r="D12" s="176">
        <f>SUMIFS(社保!$X:$X,社保!$AA:$AA,"当月增员费用",社保!$A:$A,D$3)</f>
        <v>1167.4799999999998</v>
      </c>
      <c r="E12" s="176">
        <f>SUMIFS(社保!$X:$X,社保!$AA:$AA,"当月增员费用",社保!$A:$A,E$3)</f>
        <v>1986.2</v>
      </c>
    </row>
    <row r="13" spans="1:5">
      <c r="A13" s="317"/>
      <c r="B13" s="318" t="s">
        <v>248</v>
      </c>
      <c r="C13" s="318"/>
      <c r="D13" s="176">
        <f>SUMIFS(社保!$Y:$Y,社保!$AA:$AA,"当月增员费用",社保!$A:$A,D$3)</f>
        <v>165</v>
      </c>
      <c r="E13" s="176">
        <f>SUMIFS(社保!$Y:$Y,社保!$AA:$AA,"当月增员费用",社保!$A:$A,E$3)</f>
        <v>1286</v>
      </c>
    </row>
    <row r="14" spans="1:5">
      <c r="A14" s="317"/>
      <c r="B14" s="318" t="s">
        <v>242</v>
      </c>
      <c r="C14" s="318"/>
      <c r="D14" s="176">
        <f>SUM(D12:D13)</f>
        <v>1332.4799999999998</v>
      </c>
      <c r="E14" s="176">
        <f>SUM(E12:E13)</f>
        <v>3272.2</v>
      </c>
    </row>
    <row r="15" spans="1:5">
      <c r="A15" s="317"/>
      <c r="B15" s="318" t="s">
        <v>243</v>
      </c>
      <c r="C15" s="318"/>
      <c r="D15" s="176">
        <f>ROUND(D14*6.72%,2)</f>
        <v>89.54</v>
      </c>
      <c r="E15" s="176">
        <f>ROUND(E14*6.72%,2)</f>
        <v>219.89</v>
      </c>
    </row>
    <row r="16" spans="1:5">
      <c r="A16" s="317"/>
      <c r="B16" s="318" t="s">
        <v>141</v>
      </c>
      <c r="C16" s="318"/>
      <c r="D16" s="176">
        <f>SUM(D14:D15)</f>
        <v>1422.0199999999998</v>
      </c>
      <c r="E16" s="176">
        <f>SUM(E14:E15)</f>
        <v>3492.0899999999997</v>
      </c>
    </row>
    <row r="17" spans="1:5" ht="8.25" customHeight="1">
      <c r="A17" s="319"/>
      <c r="B17" s="320"/>
      <c r="C17" s="320"/>
      <c r="D17" s="320"/>
      <c r="E17" s="321"/>
    </row>
    <row r="18" spans="1:5">
      <c r="A18" s="317" t="s">
        <v>383</v>
      </c>
      <c r="B18" s="318" t="s">
        <v>247</v>
      </c>
      <c r="C18" s="318"/>
      <c r="D18" s="176">
        <f>SUMIFS(社保!$X:$X,社保!$AA:$AA,"预付费用",社保!$A:$A,D$3)</f>
        <v>57775.520000000026</v>
      </c>
      <c r="E18" s="176">
        <f>SUMIFS(社保!$X:$X,社保!$AA:$AA,"预付费用",社保!$A:$A,E$3)</f>
        <v>9200.8799999999992</v>
      </c>
    </row>
    <row r="19" spans="1:5">
      <c r="A19" s="317"/>
      <c r="B19" s="318" t="s">
        <v>248</v>
      </c>
      <c r="C19" s="318"/>
      <c r="D19" s="176">
        <f>SUMIFS(社保!$Y:$Y,社保!$AA:$AA,"预付费用",社保!$A:$A,D$3)</f>
        <v>21629</v>
      </c>
      <c r="E19" s="176">
        <f>SUMIFS(社保!$Y:$Y,社保!$AA:$AA,"预付费用",社保!$A:$A,E$3)</f>
        <v>5964</v>
      </c>
    </row>
    <row r="20" spans="1:5">
      <c r="A20" s="317"/>
      <c r="B20" s="318" t="s">
        <v>242</v>
      </c>
      <c r="C20" s="318"/>
      <c r="D20" s="176">
        <f>SUM(D18:D19)</f>
        <v>79404.520000000019</v>
      </c>
      <c r="E20" s="176">
        <f>SUM(E18:E19)</f>
        <v>15164.88</v>
      </c>
    </row>
    <row r="21" spans="1:5">
      <c r="A21" s="317"/>
      <c r="B21" s="318" t="s">
        <v>243</v>
      </c>
      <c r="C21" s="318"/>
      <c r="D21" s="176">
        <f>ROUND(D20*6.72%,2)</f>
        <v>5335.98</v>
      </c>
      <c r="E21" s="176">
        <f>ROUND(E20*6.72%,2)</f>
        <v>1019.08</v>
      </c>
    </row>
    <row r="22" spans="1:5">
      <c r="A22" s="317"/>
      <c r="B22" s="318" t="s">
        <v>141</v>
      </c>
      <c r="C22" s="318"/>
      <c r="D22" s="176">
        <f>SUM(D20:D21)</f>
        <v>84740.500000000015</v>
      </c>
      <c r="E22" s="176">
        <f>SUM(E20:E21)</f>
        <v>16183.96</v>
      </c>
    </row>
    <row r="23" spans="1:5" ht="26.25" customHeight="1">
      <c r="A23" s="316" t="s">
        <v>302</v>
      </c>
      <c r="B23" s="316"/>
      <c r="C23" s="316"/>
      <c r="D23" s="176">
        <f>D10+D16+D22-D24</f>
        <v>726843.65</v>
      </c>
      <c r="E23" s="176">
        <f>E10+E16+E22</f>
        <v>37590.54</v>
      </c>
    </row>
  </sheetData>
  <mergeCells count="23">
    <mergeCell ref="A17:E17"/>
    <mergeCell ref="A4:A10"/>
    <mergeCell ref="B4:C4"/>
    <mergeCell ref="B5:C5"/>
    <mergeCell ref="B6:C6"/>
    <mergeCell ref="B7:C7"/>
    <mergeCell ref="B8:C8"/>
    <mergeCell ref="B9:C9"/>
    <mergeCell ref="B10:C10"/>
    <mergeCell ref="A12:A16"/>
    <mergeCell ref="B14:C14"/>
    <mergeCell ref="B15:C15"/>
    <mergeCell ref="B16:C16"/>
    <mergeCell ref="B12:C12"/>
    <mergeCell ref="B13:C13"/>
    <mergeCell ref="A11:E11"/>
    <mergeCell ref="A23:C23"/>
    <mergeCell ref="A18:A22"/>
    <mergeCell ref="B18:C18"/>
    <mergeCell ref="B19:C19"/>
    <mergeCell ref="B20:C20"/>
    <mergeCell ref="B21:C21"/>
    <mergeCell ref="B22:C22"/>
  </mergeCells>
  <phoneticPr fontId="2" type="noConversion"/>
  <conditionalFormatting sqref="B5">
    <cfRule type="duplicateValues" dxfId="79" priority="18" stopIfTrue="1"/>
    <cfRule type="expression" dxfId="78" priority="19" stopIfTrue="1">
      <formula>AND(COUNTIF($D$8:$D$65445,B5)+COUNTIF($D$1:$D$1,B5)&gt;1,NOT(ISBLANK(B5)))</formula>
    </cfRule>
    <cfRule type="expression" dxfId="77" priority="20" stopIfTrue="1">
      <formula>AND(COUNTIF($D$20:$D$65396,B5)+COUNTIF($D$1:$D$19,B5)&gt;1,NOT(ISBLANK(B5)))</formula>
    </cfRule>
    <cfRule type="expression" dxfId="76" priority="21" stopIfTrue="1">
      <formula>AND(COUNTIF($D$8:$D$65434,B5)+COUNTIF($D$1:$D$1,B5)&gt;1,NOT(ISBLANK(B5)))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7" sqref="H17"/>
    </sheetView>
  </sheetViews>
  <sheetFormatPr defaultRowHeight="13.5"/>
  <sheetData/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2"/>
  <sheetViews>
    <sheetView workbookViewId="0">
      <selection activeCell="H4" sqref="H4:K12"/>
    </sheetView>
  </sheetViews>
  <sheetFormatPr defaultRowHeight="13.5"/>
  <sheetData>
    <row r="1" spans="1:60" s="88" customFormat="1">
      <c r="A1" s="415" t="s">
        <v>7</v>
      </c>
      <c r="B1" s="413" t="s">
        <v>257</v>
      </c>
      <c r="C1" s="413" t="s">
        <v>258</v>
      </c>
      <c r="D1" s="415" t="s">
        <v>259</v>
      </c>
      <c r="E1" s="413" t="s">
        <v>260</v>
      </c>
      <c r="F1" s="413" t="s">
        <v>261</v>
      </c>
      <c r="G1" s="413" t="s">
        <v>262</v>
      </c>
      <c r="H1" s="413" t="s">
        <v>263</v>
      </c>
      <c r="I1" s="413" t="s">
        <v>264</v>
      </c>
      <c r="J1" s="413" t="s">
        <v>265</v>
      </c>
      <c r="K1" s="413" t="s">
        <v>266</v>
      </c>
      <c r="L1" s="418" t="s">
        <v>89</v>
      </c>
      <c r="M1" s="418"/>
      <c r="N1" s="418"/>
      <c r="O1" s="418"/>
      <c r="P1" s="418"/>
      <c r="Q1" s="418" t="s">
        <v>96</v>
      </c>
      <c r="R1" s="418"/>
      <c r="S1" s="418"/>
      <c r="T1" s="418"/>
      <c r="U1" s="418"/>
      <c r="V1" s="418" t="s">
        <v>100</v>
      </c>
      <c r="W1" s="418"/>
      <c r="X1" s="418"/>
      <c r="Y1" s="418"/>
      <c r="Z1" s="418"/>
      <c r="AA1" s="417" t="s">
        <v>106</v>
      </c>
      <c r="AB1" s="417"/>
      <c r="AC1" s="417"/>
      <c r="AD1" s="417" t="s">
        <v>102</v>
      </c>
      <c r="AE1" s="417"/>
      <c r="AF1" s="417"/>
      <c r="AG1" s="418" t="s">
        <v>267</v>
      </c>
      <c r="AH1" s="418"/>
      <c r="AI1" s="418"/>
      <c r="AJ1" s="418"/>
      <c r="AK1" s="418"/>
      <c r="AL1" s="417" t="s">
        <v>268</v>
      </c>
      <c r="AM1" s="417"/>
      <c r="AN1" s="417"/>
      <c r="AO1" s="417"/>
      <c r="AP1" s="417"/>
      <c r="AQ1" s="417" t="s">
        <v>122</v>
      </c>
      <c r="AR1" s="417"/>
      <c r="AS1" s="417" t="s">
        <v>269</v>
      </c>
      <c r="AT1" s="417"/>
      <c r="AU1" s="417"/>
      <c r="AV1" s="417"/>
      <c r="AW1" s="417"/>
      <c r="AX1" s="417" t="s">
        <v>251</v>
      </c>
      <c r="AY1" s="417"/>
      <c r="AZ1" s="417" t="s">
        <v>270</v>
      </c>
      <c r="BA1" s="417"/>
      <c r="BB1" s="417" t="s">
        <v>25</v>
      </c>
      <c r="BC1" s="417" t="s">
        <v>271</v>
      </c>
      <c r="BD1" s="420" t="s">
        <v>195</v>
      </c>
    </row>
    <row r="2" spans="1:60" s="89" customFormat="1">
      <c r="A2" s="415"/>
      <c r="B2" s="416"/>
      <c r="C2" s="413"/>
      <c r="D2" s="415"/>
      <c r="E2" s="413"/>
      <c r="F2" s="414"/>
      <c r="G2" s="414"/>
      <c r="H2" s="413"/>
      <c r="I2" s="413"/>
      <c r="J2" s="413"/>
      <c r="K2" s="413"/>
      <c r="L2" s="200" t="s">
        <v>272</v>
      </c>
      <c r="M2" s="200" t="s">
        <v>273</v>
      </c>
      <c r="N2" s="200" t="s">
        <v>274</v>
      </c>
      <c r="O2" s="200" t="s">
        <v>275</v>
      </c>
      <c r="P2" s="200" t="s">
        <v>276</v>
      </c>
      <c r="Q2" s="200" t="s">
        <v>272</v>
      </c>
      <c r="R2" s="200" t="s">
        <v>273</v>
      </c>
      <c r="S2" s="200" t="s">
        <v>274</v>
      </c>
      <c r="T2" s="200" t="s">
        <v>275</v>
      </c>
      <c r="U2" s="200" t="s">
        <v>276</v>
      </c>
      <c r="V2" s="200" t="s">
        <v>272</v>
      </c>
      <c r="W2" s="200" t="s">
        <v>273</v>
      </c>
      <c r="X2" s="200" t="s">
        <v>274</v>
      </c>
      <c r="Y2" s="200" t="s">
        <v>275</v>
      </c>
      <c r="Z2" s="200" t="s">
        <v>276</v>
      </c>
      <c r="AA2" s="200" t="s">
        <v>272</v>
      </c>
      <c r="AB2" s="200" t="s">
        <v>277</v>
      </c>
      <c r="AC2" s="200" t="s">
        <v>278</v>
      </c>
      <c r="AD2" s="200" t="s">
        <v>272</v>
      </c>
      <c r="AE2" s="200" t="s">
        <v>277</v>
      </c>
      <c r="AF2" s="200" t="s">
        <v>278</v>
      </c>
      <c r="AG2" s="200" t="s">
        <v>272</v>
      </c>
      <c r="AH2" s="200" t="s">
        <v>273</v>
      </c>
      <c r="AI2" s="200" t="s">
        <v>274</v>
      </c>
      <c r="AJ2" s="200" t="s">
        <v>275</v>
      </c>
      <c r="AK2" s="200" t="s">
        <v>276</v>
      </c>
      <c r="AL2" s="200" t="s">
        <v>272</v>
      </c>
      <c r="AM2" s="200" t="s">
        <v>273</v>
      </c>
      <c r="AN2" s="200" t="s">
        <v>274</v>
      </c>
      <c r="AO2" s="200" t="s">
        <v>275</v>
      </c>
      <c r="AP2" s="200" t="s">
        <v>276</v>
      </c>
      <c r="AQ2" s="200" t="s">
        <v>67</v>
      </c>
      <c r="AR2" s="200" t="s">
        <v>279</v>
      </c>
      <c r="AS2" s="200" t="s">
        <v>280</v>
      </c>
      <c r="AT2" s="200" t="s">
        <v>254</v>
      </c>
      <c r="AU2" s="200" t="s">
        <v>281</v>
      </c>
      <c r="AV2" s="200" t="s">
        <v>30</v>
      </c>
      <c r="AW2" s="200" t="s">
        <v>282</v>
      </c>
      <c r="AX2" s="417"/>
      <c r="AY2" s="417"/>
      <c r="AZ2" s="417"/>
      <c r="BA2" s="417"/>
      <c r="BB2" s="417"/>
      <c r="BC2" s="417"/>
      <c r="BD2" s="420"/>
    </row>
    <row r="3" spans="1:60" s="98" customFormat="1" ht="16.5">
      <c r="A3" s="90" t="s">
        <v>356</v>
      </c>
      <c r="B3" s="91" t="s">
        <v>283</v>
      </c>
      <c r="C3" s="92" t="s">
        <v>65</v>
      </c>
      <c r="D3" s="93" t="s">
        <v>284</v>
      </c>
      <c r="E3" s="94" t="s">
        <v>285</v>
      </c>
      <c r="F3" s="95" t="s">
        <v>40</v>
      </c>
      <c r="G3" s="96" t="s">
        <v>41</v>
      </c>
      <c r="H3" s="93" t="s">
        <v>360</v>
      </c>
      <c r="I3" s="93" t="s">
        <v>360</v>
      </c>
      <c r="J3" s="93" t="s">
        <v>360</v>
      </c>
      <c r="K3" s="93" t="s">
        <v>360</v>
      </c>
      <c r="L3" s="201">
        <v>2075</v>
      </c>
      <c r="M3" s="201">
        <v>0.16</v>
      </c>
      <c r="N3" s="201">
        <f>ROUND(L3*M3,2)</f>
        <v>332</v>
      </c>
      <c r="O3" s="201">
        <v>0.08</v>
      </c>
      <c r="P3" s="201">
        <f>ROUND(L3*O3,2)</f>
        <v>166</v>
      </c>
      <c r="Q3" s="201">
        <v>3676</v>
      </c>
      <c r="R3" s="201">
        <v>0.08</v>
      </c>
      <c r="S3" s="201">
        <f>ROUND(Q3*R3,2)</f>
        <v>294.08</v>
      </c>
      <c r="T3" s="201">
        <v>0.02</v>
      </c>
      <c r="U3" s="201">
        <f>ROUND(Q3*T3,2)</f>
        <v>73.52</v>
      </c>
      <c r="V3" s="201">
        <v>2075</v>
      </c>
      <c r="W3" s="201">
        <v>5.0000000000000001E-3</v>
      </c>
      <c r="X3" s="201">
        <f>ROUND(V3*W3,2)</f>
        <v>10.38</v>
      </c>
      <c r="Y3" s="201">
        <v>5.0000000000000001E-3</v>
      </c>
      <c r="Z3" s="201">
        <f>ROUND(V3*Y3,2)</f>
        <v>10.38</v>
      </c>
      <c r="AA3" s="201">
        <v>3676</v>
      </c>
      <c r="AB3" s="201">
        <v>7.0000000000000001E-3</v>
      </c>
      <c r="AC3" s="201">
        <f>ROUND(AA3*AB3,2)</f>
        <v>25.73</v>
      </c>
      <c r="AD3" s="201">
        <v>3488.4</v>
      </c>
      <c r="AE3" s="201">
        <v>3.5000000000000001E-3</v>
      </c>
      <c r="AF3" s="201">
        <f>ROUND(AD3*AE3,2)</f>
        <v>12.21</v>
      </c>
      <c r="AG3" s="201">
        <v>1720</v>
      </c>
      <c r="AH3" s="201">
        <v>0.05</v>
      </c>
      <c r="AI3" s="201">
        <f>ROUND(AG3*AH3,2)</f>
        <v>86</v>
      </c>
      <c r="AJ3" s="201">
        <v>0.05</v>
      </c>
      <c r="AK3" s="201">
        <f>ROUND(AG3*AJ3,2)</f>
        <v>86</v>
      </c>
      <c r="AL3" s="202"/>
      <c r="AM3" s="201"/>
      <c r="AN3" s="201"/>
      <c r="AO3" s="201"/>
      <c r="AP3" s="203"/>
      <c r="AQ3" s="204"/>
      <c r="AR3" s="204"/>
      <c r="AS3" s="201">
        <f>N3+S3+X3+AC3+AF3+AN3+AQ3</f>
        <v>674.4</v>
      </c>
      <c r="AT3" s="201">
        <f>P3+U3+Z3</f>
        <v>249.89999999999998</v>
      </c>
      <c r="AU3" s="201">
        <f>AI3</f>
        <v>86</v>
      </c>
      <c r="AV3" s="201">
        <f>AK3</f>
        <v>86</v>
      </c>
      <c r="AW3" s="201">
        <f>AV3+AS3+AT3+AU3</f>
        <v>1096.3</v>
      </c>
      <c r="AX3" s="419">
        <f>AS3+AT3</f>
        <v>924.3</v>
      </c>
      <c r="AY3" s="419"/>
      <c r="AZ3" s="419">
        <f>AU3+AV3</f>
        <v>172</v>
      </c>
      <c r="BA3" s="419"/>
      <c r="BB3" s="211">
        <v>80</v>
      </c>
      <c r="BC3" s="211">
        <f>AX3+AZ3+BB3</f>
        <v>1176.3</v>
      </c>
      <c r="BD3" s="206"/>
      <c r="BE3" s="97"/>
      <c r="BF3" s="97"/>
      <c r="BG3" s="97"/>
      <c r="BH3" s="97"/>
    </row>
    <row r="4" spans="1:60" s="98" customFormat="1" ht="16.5">
      <c r="A4" s="90" t="s">
        <v>356</v>
      </c>
      <c r="B4" s="91" t="s">
        <v>283</v>
      </c>
      <c r="C4" s="92" t="s">
        <v>63</v>
      </c>
      <c r="D4" s="93" t="s">
        <v>284</v>
      </c>
      <c r="E4" s="94" t="s">
        <v>285</v>
      </c>
      <c r="F4" s="95" t="s">
        <v>42</v>
      </c>
      <c r="G4" s="96" t="s">
        <v>43</v>
      </c>
      <c r="H4" s="93" t="s">
        <v>360</v>
      </c>
      <c r="I4" s="93" t="s">
        <v>360</v>
      </c>
      <c r="J4" s="93" t="s">
        <v>360</v>
      </c>
      <c r="K4" s="93" t="s">
        <v>360</v>
      </c>
      <c r="L4" s="201">
        <v>3430</v>
      </c>
      <c r="M4" s="201">
        <v>0.16</v>
      </c>
      <c r="N4" s="201">
        <f>ROUND(L4*M4,2)</f>
        <v>548.79999999999995</v>
      </c>
      <c r="O4" s="201">
        <v>0.08</v>
      </c>
      <c r="P4" s="201">
        <f>ROUND(L4*O4,2)</f>
        <v>274.39999999999998</v>
      </c>
      <c r="Q4" s="201">
        <v>3430</v>
      </c>
      <c r="R4" s="201">
        <v>6.4000000000000001E-2</v>
      </c>
      <c r="S4" s="201">
        <f>ROUND(Q4*R4,2)</f>
        <v>219.52</v>
      </c>
      <c r="T4" s="201">
        <v>0.02</v>
      </c>
      <c r="U4" s="201">
        <f>ROUND(Q4*T4,2)</f>
        <v>68.599999999999994</v>
      </c>
      <c r="V4" s="201">
        <v>3430</v>
      </c>
      <c r="W4" s="201">
        <v>5.0000000000000001E-3</v>
      </c>
      <c r="X4" s="201">
        <f>ROUND(V4*W4,2)</f>
        <v>17.149999999999999</v>
      </c>
      <c r="Y4" s="201">
        <v>5.0000000000000001E-3</v>
      </c>
      <c r="Z4" s="201">
        <f>ROUND(V4*Y4,2)</f>
        <v>17.149999999999999</v>
      </c>
      <c r="AA4" s="201"/>
      <c r="AB4" s="201"/>
      <c r="AC4" s="201"/>
      <c r="AD4" s="201">
        <v>3430</v>
      </c>
      <c r="AE4" s="201">
        <v>2E-3</v>
      </c>
      <c r="AF4" s="201">
        <f>ROUND(AD4*AE4,2)</f>
        <v>6.86</v>
      </c>
      <c r="AG4" s="201">
        <v>1650</v>
      </c>
      <c r="AH4" s="201">
        <v>0.05</v>
      </c>
      <c r="AI4" s="201">
        <f>ROUND(AG4*AH4,2)</f>
        <v>82.5</v>
      </c>
      <c r="AJ4" s="201">
        <v>0.05</v>
      </c>
      <c r="AK4" s="201">
        <f>ROUND(AG4*AJ4,2)</f>
        <v>82.5</v>
      </c>
      <c r="AL4" s="202"/>
      <c r="AM4" s="201"/>
      <c r="AN4" s="201"/>
      <c r="AO4" s="201"/>
      <c r="AP4" s="203"/>
      <c r="AQ4" s="204">
        <v>15</v>
      </c>
      <c r="AR4" s="204"/>
      <c r="AS4" s="201">
        <f>N4+S4+X4+AC4+AF4+AN4+AQ4</f>
        <v>807.32999999999993</v>
      </c>
      <c r="AT4" s="201">
        <f>P4+U4+Z4</f>
        <v>360.15</v>
      </c>
      <c r="AU4" s="201">
        <f>AI4</f>
        <v>82.5</v>
      </c>
      <c r="AV4" s="201">
        <f>AK4</f>
        <v>82.5</v>
      </c>
      <c r="AW4" s="201">
        <f>AV4+AS4+AT4+AU4</f>
        <v>1332.48</v>
      </c>
      <c r="AX4" s="419">
        <f>AS4+AT4</f>
        <v>1167.48</v>
      </c>
      <c r="AY4" s="419"/>
      <c r="AZ4" s="419">
        <f>AU4+AV4</f>
        <v>165</v>
      </c>
      <c r="BA4" s="419"/>
      <c r="BB4" s="211">
        <v>80</v>
      </c>
      <c r="BC4" s="211">
        <f>AX4+AZ4+BB4</f>
        <v>1412.48</v>
      </c>
      <c r="BD4" s="206"/>
      <c r="BE4" s="97"/>
      <c r="BF4" s="97"/>
      <c r="BG4" s="97"/>
      <c r="BH4" s="97"/>
    </row>
    <row r="5" spans="1:60" s="98" customFormat="1" ht="16.5">
      <c r="A5" s="90" t="s">
        <v>356</v>
      </c>
      <c r="B5" s="91" t="s">
        <v>283</v>
      </c>
      <c r="C5" s="92" t="s">
        <v>63</v>
      </c>
      <c r="D5" s="93" t="s">
        <v>284</v>
      </c>
      <c r="E5" s="94" t="s">
        <v>285</v>
      </c>
      <c r="F5" s="95" t="s">
        <v>44</v>
      </c>
      <c r="G5" s="96" t="s">
        <v>45</v>
      </c>
      <c r="H5" s="93" t="s">
        <v>360</v>
      </c>
      <c r="I5" s="93" t="s">
        <v>360</v>
      </c>
      <c r="J5" s="93" t="s">
        <v>360</v>
      </c>
      <c r="K5" s="93" t="s">
        <v>360</v>
      </c>
      <c r="L5" s="201">
        <v>3430</v>
      </c>
      <c r="M5" s="201">
        <v>0.16</v>
      </c>
      <c r="N5" s="201">
        <f t="shared" ref="N5:N12" si="0">ROUND(L5*M5,2)</f>
        <v>548.79999999999995</v>
      </c>
      <c r="O5" s="201">
        <v>0.08</v>
      </c>
      <c r="P5" s="201">
        <f t="shared" ref="P5:P12" si="1">ROUND(L5*O5,2)</f>
        <v>274.39999999999998</v>
      </c>
      <c r="Q5" s="201">
        <v>3430</v>
      </c>
      <c r="R5" s="201">
        <v>6.4000000000000001E-2</v>
      </c>
      <c r="S5" s="201">
        <f t="shared" ref="S5:S12" si="2">ROUND(Q5*R5,2)</f>
        <v>219.52</v>
      </c>
      <c r="T5" s="201">
        <v>0.02</v>
      </c>
      <c r="U5" s="201">
        <f t="shared" ref="U5:U12" si="3">ROUND(Q5*T5,2)</f>
        <v>68.599999999999994</v>
      </c>
      <c r="V5" s="201">
        <v>3430</v>
      </c>
      <c r="W5" s="201">
        <v>5.0000000000000001E-3</v>
      </c>
      <c r="X5" s="201">
        <f t="shared" ref="X5:X12" si="4">ROUND(V5*W5,2)</f>
        <v>17.149999999999999</v>
      </c>
      <c r="Y5" s="201">
        <v>5.0000000000000001E-3</v>
      </c>
      <c r="Z5" s="201">
        <f t="shared" ref="Z5:Z12" si="5">ROUND(V5*Y5,2)</f>
        <v>17.149999999999999</v>
      </c>
      <c r="AA5" s="201"/>
      <c r="AB5" s="201"/>
      <c r="AC5" s="201"/>
      <c r="AD5" s="201">
        <v>3430</v>
      </c>
      <c r="AE5" s="201">
        <v>2E-3</v>
      </c>
      <c r="AF5" s="201">
        <f t="shared" ref="AF5:AF12" si="6">ROUND(AD5*AE5,2)</f>
        <v>6.86</v>
      </c>
      <c r="AG5" s="201">
        <v>1650</v>
      </c>
      <c r="AH5" s="201">
        <v>0.05</v>
      </c>
      <c r="AI5" s="201">
        <f t="shared" ref="AI5:AI12" si="7">ROUND(AG5*AH5,2)</f>
        <v>82.5</v>
      </c>
      <c r="AJ5" s="201">
        <v>0.05</v>
      </c>
      <c r="AK5" s="201">
        <f t="shared" ref="AK5:AK12" si="8">ROUND(AG5*AJ5,2)</f>
        <v>82.5</v>
      </c>
      <c r="AL5" s="202"/>
      <c r="AM5" s="201"/>
      <c r="AN5" s="201"/>
      <c r="AO5" s="201"/>
      <c r="AP5" s="203"/>
      <c r="AQ5" s="204">
        <v>15</v>
      </c>
      <c r="AR5" s="204"/>
      <c r="AS5" s="201">
        <f t="shared" ref="AS5:AS12" si="9">N5+S5+X5+AC5+AF5+AN5+AQ5</f>
        <v>807.32999999999993</v>
      </c>
      <c r="AT5" s="201">
        <f t="shared" ref="AT5:AT12" si="10">P5+U5+Z5</f>
        <v>360.15</v>
      </c>
      <c r="AU5" s="201">
        <f t="shared" ref="AU5:AU12" si="11">AI5</f>
        <v>82.5</v>
      </c>
      <c r="AV5" s="201">
        <f t="shared" ref="AV5:AV12" si="12">AK5</f>
        <v>82.5</v>
      </c>
      <c r="AW5" s="201">
        <f t="shared" ref="AW5:AW12" si="13">AV5+AS5+AT5+AU5</f>
        <v>1332.48</v>
      </c>
      <c r="AX5" s="419">
        <f t="shared" ref="AX5:AX12" si="14">AS5+AT5</f>
        <v>1167.48</v>
      </c>
      <c r="AY5" s="419"/>
      <c r="AZ5" s="419">
        <f t="shared" ref="AZ5:AZ12" si="15">AU5+AV5</f>
        <v>165</v>
      </c>
      <c r="BA5" s="419"/>
      <c r="BB5" s="211">
        <v>80</v>
      </c>
      <c r="BC5" s="211">
        <f t="shared" ref="BC5:BC12" si="16">AX5+AZ5+BB5</f>
        <v>1412.48</v>
      </c>
      <c r="BD5" s="206"/>
      <c r="BE5" s="97"/>
      <c r="BF5" s="97"/>
      <c r="BG5" s="97"/>
      <c r="BH5" s="97"/>
    </row>
    <row r="6" spans="1:60" s="98" customFormat="1" ht="16.5">
      <c r="A6" s="90" t="s">
        <v>356</v>
      </c>
      <c r="B6" s="91" t="s">
        <v>283</v>
      </c>
      <c r="C6" s="92" t="s">
        <v>63</v>
      </c>
      <c r="D6" s="93" t="s">
        <v>284</v>
      </c>
      <c r="E6" s="94" t="s">
        <v>285</v>
      </c>
      <c r="F6" s="95" t="s">
        <v>46</v>
      </c>
      <c r="G6" s="96" t="s">
        <v>47</v>
      </c>
      <c r="H6" s="93" t="s">
        <v>360</v>
      </c>
      <c r="I6" s="93" t="s">
        <v>360</v>
      </c>
      <c r="J6" s="93" t="s">
        <v>360</v>
      </c>
      <c r="K6" s="93" t="s">
        <v>360</v>
      </c>
      <c r="L6" s="201">
        <v>3430</v>
      </c>
      <c r="M6" s="201">
        <v>0.16</v>
      </c>
      <c r="N6" s="201">
        <f t="shared" si="0"/>
        <v>548.79999999999995</v>
      </c>
      <c r="O6" s="201">
        <v>0.08</v>
      </c>
      <c r="P6" s="201">
        <f t="shared" si="1"/>
        <v>274.39999999999998</v>
      </c>
      <c r="Q6" s="201">
        <v>3430</v>
      </c>
      <c r="R6" s="201">
        <v>6.4000000000000001E-2</v>
      </c>
      <c r="S6" s="201">
        <f t="shared" si="2"/>
        <v>219.52</v>
      </c>
      <c r="T6" s="201">
        <v>0.02</v>
      </c>
      <c r="U6" s="201">
        <f t="shared" si="3"/>
        <v>68.599999999999994</v>
      </c>
      <c r="V6" s="201">
        <v>3430</v>
      </c>
      <c r="W6" s="201">
        <v>5.0000000000000001E-3</v>
      </c>
      <c r="X6" s="201">
        <f t="shared" si="4"/>
        <v>17.149999999999999</v>
      </c>
      <c r="Y6" s="201">
        <v>5.0000000000000001E-3</v>
      </c>
      <c r="Z6" s="201">
        <f t="shared" si="5"/>
        <v>17.149999999999999</v>
      </c>
      <c r="AA6" s="201"/>
      <c r="AB6" s="201"/>
      <c r="AC6" s="201"/>
      <c r="AD6" s="201">
        <v>3430</v>
      </c>
      <c r="AE6" s="201">
        <v>2E-3</v>
      </c>
      <c r="AF6" s="201">
        <f t="shared" si="6"/>
        <v>6.86</v>
      </c>
      <c r="AG6" s="201">
        <v>1650</v>
      </c>
      <c r="AH6" s="201">
        <v>0.05</v>
      </c>
      <c r="AI6" s="201">
        <f t="shared" si="7"/>
        <v>82.5</v>
      </c>
      <c r="AJ6" s="201">
        <v>0.05</v>
      </c>
      <c r="AK6" s="201">
        <f t="shared" si="8"/>
        <v>82.5</v>
      </c>
      <c r="AL6" s="202"/>
      <c r="AM6" s="201"/>
      <c r="AN6" s="201"/>
      <c r="AO6" s="201"/>
      <c r="AP6" s="203"/>
      <c r="AQ6" s="204">
        <v>15</v>
      </c>
      <c r="AR6" s="204"/>
      <c r="AS6" s="201">
        <f t="shared" si="9"/>
        <v>807.32999999999993</v>
      </c>
      <c r="AT6" s="201">
        <f t="shared" si="10"/>
        <v>360.15</v>
      </c>
      <c r="AU6" s="201">
        <f t="shared" si="11"/>
        <v>82.5</v>
      </c>
      <c r="AV6" s="201">
        <f t="shared" si="12"/>
        <v>82.5</v>
      </c>
      <c r="AW6" s="201">
        <f t="shared" si="13"/>
        <v>1332.48</v>
      </c>
      <c r="AX6" s="419">
        <f t="shared" si="14"/>
        <v>1167.48</v>
      </c>
      <c r="AY6" s="419"/>
      <c r="AZ6" s="419">
        <f t="shared" si="15"/>
        <v>165</v>
      </c>
      <c r="BA6" s="419"/>
      <c r="BB6" s="211">
        <v>80</v>
      </c>
      <c r="BC6" s="211">
        <f t="shared" si="16"/>
        <v>1412.48</v>
      </c>
      <c r="BD6" s="206"/>
      <c r="BE6" s="97"/>
      <c r="BF6" s="97"/>
      <c r="BG6" s="97"/>
      <c r="BH6" s="97"/>
    </row>
    <row r="7" spans="1:60" s="98" customFormat="1" ht="16.5">
      <c r="A7" s="90" t="s">
        <v>356</v>
      </c>
      <c r="B7" s="91" t="s">
        <v>283</v>
      </c>
      <c r="C7" s="92" t="s">
        <v>63</v>
      </c>
      <c r="D7" s="93" t="s">
        <v>284</v>
      </c>
      <c r="E7" s="94" t="s">
        <v>285</v>
      </c>
      <c r="F7" s="95" t="s">
        <v>48</v>
      </c>
      <c r="G7" s="96" t="s">
        <v>49</v>
      </c>
      <c r="H7" s="93" t="s">
        <v>360</v>
      </c>
      <c r="I7" s="93" t="s">
        <v>360</v>
      </c>
      <c r="J7" s="93" t="s">
        <v>360</v>
      </c>
      <c r="K7" s="93" t="s">
        <v>360</v>
      </c>
      <c r="L7" s="201">
        <v>3430</v>
      </c>
      <c r="M7" s="201">
        <v>0.16</v>
      </c>
      <c r="N7" s="201">
        <f t="shared" si="0"/>
        <v>548.79999999999995</v>
      </c>
      <c r="O7" s="201">
        <v>0.08</v>
      </c>
      <c r="P7" s="201">
        <f t="shared" si="1"/>
        <v>274.39999999999998</v>
      </c>
      <c r="Q7" s="201">
        <v>3430</v>
      </c>
      <c r="R7" s="201">
        <v>6.4000000000000001E-2</v>
      </c>
      <c r="S7" s="201">
        <f t="shared" si="2"/>
        <v>219.52</v>
      </c>
      <c r="T7" s="201">
        <v>0.02</v>
      </c>
      <c r="U7" s="201">
        <f t="shared" si="3"/>
        <v>68.599999999999994</v>
      </c>
      <c r="V7" s="201">
        <v>3430</v>
      </c>
      <c r="W7" s="201">
        <v>5.0000000000000001E-3</v>
      </c>
      <c r="X7" s="201">
        <f t="shared" si="4"/>
        <v>17.149999999999999</v>
      </c>
      <c r="Y7" s="201">
        <v>5.0000000000000001E-3</v>
      </c>
      <c r="Z7" s="201">
        <f t="shared" si="5"/>
        <v>17.149999999999999</v>
      </c>
      <c r="AA7" s="201"/>
      <c r="AB7" s="201"/>
      <c r="AC7" s="201"/>
      <c r="AD7" s="201">
        <v>3430</v>
      </c>
      <c r="AE7" s="201">
        <v>2E-3</v>
      </c>
      <c r="AF7" s="201">
        <f t="shared" si="6"/>
        <v>6.86</v>
      </c>
      <c r="AG7" s="201">
        <v>1650</v>
      </c>
      <c r="AH7" s="201">
        <v>0.05</v>
      </c>
      <c r="AI7" s="201">
        <f t="shared" si="7"/>
        <v>82.5</v>
      </c>
      <c r="AJ7" s="201">
        <v>0.05</v>
      </c>
      <c r="AK7" s="201">
        <f t="shared" si="8"/>
        <v>82.5</v>
      </c>
      <c r="AL7" s="202"/>
      <c r="AM7" s="201"/>
      <c r="AN7" s="201"/>
      <c r="AO7" s="201"/>
      <c r="AP7" s="203"/>
      <c r="AQ7" s="204">
        <v>15</v>
      </c>
      <c r="AR7" s="204"/>
      <c r="AS7" s="201">
        <f t="shared" si="9"/>
        <v>807.32999999999993</v>
      </c>
      <c r="AT7" s="201">
        <f t="shared" si="10"/>
        <v>360.15</v>
      </c>
      <c r="AU7" s="201">
        <f t="shared" si="11"/>
        <v>82.5</v>
      </c>
      <c r="AV7" s="201">
        <f t="shared" si="12"/>
        <v>82.5</v>
      </c>
      <c r="AW7" s="201">
        <f t="shared" si="13"/>
        <v>1332.48</v>
      </c>
      <c r="AX7" s="419">
        <f t="shared" si="14"/>
        <v>1167.48</v>
      </c>
      <c r="AY7" s="419"/>
      <c r="AZ7" s="419">
        <f t="shared" si="15"/>
        <v>165</v>
      </c>
      <c r="BA7" s="419"/>
      <c r="BB7" s="211">
        <v>80</v>
      </c>
      <c r="BC7" s="211">
        <f t="shared" si="16"/>
        <v>1412.48</v>
      </c>
      <c r="BD7" s="206"/>
      <c r="BE7" s="97"/>
      <c r="BF7" s="97"/>
      <c r="BG7" s="97"/>
      <c r="BH7" s="97"/>
    </row>
    <row r="8" spans="1:60" s="98" customFormat="1" ht="16.5">
      <c r="A8" s="90" t="s">
        <v>356</v>
      </c>
      <c r="B8" s="91" t="s">
        <v>283</v>
      </c>
      <c r="C8" s="92" t="s">
        <v>63</v>
      </c>
      <c r="D8" s="93" t="s">
        <v>284</v>
      </c>
      <c r="E8" s="94" t="s">
        <v>285</v>
      </c>
      <c r="F8" s="95" t="s">
        <v>50</v>
      </c>
      <c r="G8" s="96" t="s">
        <v>51</v>
      </c>
      <c r="H8" s="93" t="s">
        <v>360</v>
      </c>
      <c r="I8" s="93" t="s">
        <v>360</v>
      </c>
      <c r="J8" s="93" t="s">
        <v>360</v>
      </c>
      <c r="K8" s="93" t="s">
        <v>360</v>
      </c>
      <c r="L8" s="201">
        <v>3430</v>
      </c>
      <c r="M8" s="201">
        <v>0.16</v>
      </c>
      <c r="N8" s="201">
        <f t="shared" si="0"/>
        <v>548.79999999999995</v>
      </c>
      <c r="O8" s="201">
        <v>0.08</v>
      </c>
      <c r="P8" s="201">
        <f t="shared" si="1"/>
        <v>274.39999999999998</v>
      </c>
      <c r="Q8" s="201">
        <v>3430</v>
      </c>
      <c r="R8" s="201">
        <v>6.4000000000000001E-2</v>
      </c>
      <c r="S8" s="201">
        <f t="shared" si="2"/>
        <v>219.52</v>
      </c>
      <c r="T8" s="201">
        <v>0.02</v>
      </c>
      <c r="U8" s="201">
        <f t="shared" si="3"/>
        <v>68.599999999999994</v>
      </c>
      <c r="V8" s="201">
        <v>3430</v>
      </c>
      <c r="W8" s="201">
        <v>5.0000000000000001E-3</v>
      </c>
      <c r="X8" s="201">
        <f t="shared" si="4"/>
        <v>17.149999999999999</v>
      </c>
      <c r="Y8" s="201">
        <v>5.0000000000000001E-3</v>
      </c>
      <c r="Z8" s="201">
        <f t="shared" si="5"/>
        <v>17.149999999999999</v>
      </c>
      <c r="AA8" s="201"/>
      <c r="AB8" s="201"/>
      <c r="AC8" s="201"/>
      <c r="AD8" s="201">
        <v>3430</v>
      </c>
      <c r="AE8" s="201">
        <v>2E-3</v>
      </c>
      <c r="AF8" s="201">
        <f t="shared" si="6"/>
        <v>6.86</v>
      </c>
      <c r="AG8" s="201">
        <v>1650</v>
      </c>
      <c r="AH8" s="201">
        <v>0.05</v>
      </c>
      <c r="AI8" s="201">
        <f t="shared" si="7"/>
        <v>82.5</v>
      </c>
      <c r="AJ8" s="201">
        <v>0.05</v>
      </c>
      <c r="AK8" s="201">
        <f t="shared" si="8"/>
        <v>82.5</v>
      </c>
      <c r="AL8" s="202"/>
      <c r="AM8" s="201"/>
      <c r="AN8" s="201"/>
      <c r="AO8" s="201"/>
      <c r="AP8" s="203"/>
      <c r="AQ8" s="204">
        <v>15</v>
      </c>
      <c r="AR8" s="204"/>
      <c r="AS8" s="201">
        <f t="shared" si="9"/>
        <v>807.32999999999993</v>
      </c>
      <c r="AT8" s="201">
        <f t="shared" si="10"/>
        <v>360.15</v>
      </c>
      <c r="AU8" s="201">
        <f t="shared" si="11"/>
        <v>82.5</v>
      </c>
      <c r="AV8" s="201">
        <f t="shared" si="12"/>
        <v>82.5</v>
      </c>
      <c r="AW8" s="201">
        <f t="shared" si="13"/>
        <v>1332.48</v>
      </c>
      <c r="AX8" s="419">
        <f t="shared" si="14"/>
        <v>1167.48</v>
      </c>
      <c r="AY8" s="419"/>
      <c r="AZ8" s="419">
        <f t="shared" si="15"/>
        <v>165</v>
      </c>
      <c r="BA8" s="419"/>
      <c r="BB8" s="211">
        <v>80</v>
      </c>
      <c r="BC8" s="211">
        <f t="shared" si="16"/>
        <v>1412.48</v>
      </c>
      <c r="BD8" s="206"/>
      <c r="BE8" s="97"/>
      <c r="BF8" s="97"/>
      <c r="BG8" s="97"/>
      <c r="BH8" s="97"/>
    </row>
    <row r="9" spans="1:60" s="98" customFormat="1" ht="16.5">
      <c r="A9" s="90" t="s">
        <v>356</v>
      </c>
      <c r="B9" s="91" t="s">
        <v>283</v>
      </c>
      <c r="C9" s="92" t="s">
        <v>63</v>
      </c>
      <c r="D9" s="93" t="s">
        <v>284</v>
      </c>
      <c r="E9" s="94" t="s">
        <v>285</v>
      </c>
      <c r="F9" s="95" t="s">
        <v>52</v>
      </c>
      <c r="G9" s="96" t="s">
        <v>53</v>
      </c>
      <c r="H9" s="93" t="s">
        <v>360</v>
      </c>
      <c r="I9" s="93" t="s">
        <v>360</v>
      </c>
      <c r="J9" s="93" t="s">
        <v>360</v>
      </c>
      <c r="K9" s="93" t="s">
        <v>360</v>
      </c>
      <c r="L9" s="201">
        <v>3430</v>
      </c>
      <c r="M9" s="201">
        <v>0.16</v>
      </c>
      <c r="N9" s="201">
        <f t="shared" si="0"/>
        <v>548.79999999999995</v>
      </c>
      <c r="O9" s="201">
        <v>0.08</v>
      </c>
      <c r="P9" s="201">
        <f t="shared" si="1"/>
        <v>274.39999999999998</v>
      </c>
      <c r="Q9" s="201">
        <v>3430</v>
      </c>
      <c r="R9" s="201">
        <v>6.4000000000000001E-2</v>
      </c>
      <c r="S9" s="201">
        <f t="shared" si="2"/>
        <v>219.52</v>
      </c>
      <c r="T9" s="201">
        <v>0.02</v>
      </c>
      <c r="U9" s="201">
        <f t="shared" si="3"/>
        <v>68.599999999999994</v>
      </c>
      <c r="V9" s="201">
        <v>3430</v>
      </c>
      <c r="W9" s="201">
        <v>5.0000000000000001E-3</v>
      </c>
      <c r="X9" s="201">
        <f t="shared" si="4"/>
        <v>17.149999999999999</v>
      </c>
      <c r="Y9" s="201">
        <v>5.0000000000000001E-3</v>
      </c>
      <c r="Z9" s="201">
        <f t="shared" si="5"/>
        <v>17.149999999999999</v>
      </c>
      <c r="AA9" s="201"/>
      <c r="AB9" s="201"/>
      <c r="AC9" s="201"/>
      <c r="AD9" s="201">
        <v>3430</v>
      </c>
      <c r="AE9" s="201">
        <v>2E-3</v>
      </c>
      <c r="AF9" s="201">
        <f t="shared" si="6"/>
        <v>6.86</v>
      </c>
      <c r="AG9" s="201">
        <v>11000</v>
      </c>
      <c r="AH9" s="201">
        <v>0.12</v>
      </c>
      <c r="AI9" s="201">
        <f t="shared" si="7"/>
        <v>1320</v>
      </c>
      <c r="AJ9" s="201">
        <v>0.12</v>
      </c>
      <c r="AK9" s="201">
        <f t="shared" si="8"/>
        <v>1320</v>
      </c>
      <c r="AL9" s="202"/>
      <c r="AM9" s="201"/>
      <c r="AN9" s="201"/>
      <c r="AO9" s="201"/>
      <c r="AP9" s="203"/>
      <c r="AQ9" s="204">
        <v>15</v>
      </c>
      <c r="AR9" s="204"/>
      <c r="AS9" s="201">
        <f t="shared" si="9"/>
        <v>807.32999999999993</v>
      </c>
      <c r="AT9" s="201">
        <f t="shared" si="10"/>
        <v>360.15</v>
      </c>
      <c r="AU9" s="201">
        <f t="shared" si="11"/>
        <v>1320</v>
      </c>
      <c r="AV9" s="201">
        <f t="shared" si="12"/>
        <v>1320</v>
      </c>
      <c r="AW9" s="201">
        <f t="shared" si="13"/>
        <v>3807.48</v>
      </c>
      <c r="AX9" s="419">
        <f t="shared" si="14"/>
        <v>1167.48</v>
      </c>
      <c r="AY9" s="419"/>
      <c r="AZ9" s="419">
        <f t="shared" si="15"/>
        <v>2640</v>
      </c>
      <c r="BA9" s="419"/>
      <c r="BB9" s="211">
        <v>80</v>
      </c>
      <c r="BC9" s="211">
        <f t="shared" si="16"/>
        <v>3887.48</v>
      </c>
      <c r="BD9" s="206"/>
      <c r="BE9" s="97"/>
      <c r="BF9" s="97"/>
      <c r="BG9" s="97"/>
      <c r="BH9" s="97"/>
    </row>
    <row r="10" spans="1:60" s="98" customFormat="1" ht="16.5">
      <c r="A10" s="90" t="s">
        <v>356</v>
      </c>
      <c r="B10" s="91" t="s">
        <v>283</v>
      </c>
      <c r="C10" s="92" t="s">
        <v>63</v>
      </c>
      <c r="D10" s="93" t="s">
        <v>284</v>
      </c>
      <c r="E10" s="94" t="s">
        <v>285</v>
      </c>
      <c r="F10" s="95" t="s">
        <v>54</v>
      </c>
      <c r="G10" s="96" t="s">
        <v>55</v>
      </c>
      <c r="H10" s="93" t="s">
        <v>360</v>
      </c>
      <c r="I10" s="93" t="s">
        <v>360</v>
      </c>
      <c r="J10" s="93" t="s">
        <v>360</v>
      </c>
      <c r="K10" s="93" t="s">
        <v>360</v>
      </c>
      <c r="L10" s="201">
        <v>3430</v>
      </c>
      <c r="M10" s="201">
        <v>0.16</v>
      </c>
      <c r="N10" s="201">
        <f t="shared" si="0"/>
        <v>548.79999999999995</v>
      </c>
      <c r="O10" s="201">
        <v>0.08</v>
      </c>
      <c r="P10" s="201">
        <f t="shared" si="1"/>
        <v>274.39999999999998</v>
      </c>
      <c r="Q10" s="201">
        <v>3430</v>
      </c>
      <c r="R10" s="201">
        <v>6.4000000000000001E-2</v>
      </c>
      <c r="S10" s="201">
        <f t="shared" si="2"/>
        <v>219.52</v>
      </c>
      <c r="T10" s="201">
        <v>0.02</v>
      </c>
      <c r="U10" s="201">
        <f t="shared" si="3"/>
        <v>68.599999999999994</v>
      </c>
      <c r="V10" s="201">
        <v>3430</v>
      </c>
      <c r="W10" s="201">
        <v>5.0000000000000001E-3</v>
      </c>
      <c r="X10" s="201">
        <f t="shared" si="4"/>
        <v>17.149999999999999</v>
      </c>
      <c r="Y10" s="201">
        <v>5.0000000000000001E-3</v>
      </c>
      <c r="Z10" s="201">
        <f t="shared" si="5"/>
        <v>17.149999999999999</v>
      </c>
      <c r="AA10" s="201"/>
      <c r="AB10" s="201"/>
      <c r="AC10" s="201"/>
      <c r="AD10" s="201">
        <v>3430</v>
      </c>
      <c r="AE10" s="201">
        <v>2E-3</v>
      </c>
      <c r="AF10" s="201">
        <f t="shared" si="6"/>
        <v>6.86</v>
      </c>
      <c r="AG10" s="201">
        <v>1650</v>
      </c>
      <c r="AH10" s="201">
        <v>0.05</v>
      </c>
      <c r="AI10" s="201">
        <f t="shared" si="7"/>
        <v>82.5</v>
      </c>
      <c r="AJ10" s="201">
        <v>0.05</v>
      </c>
      <c r="AK10" s="201">
        <f t="shared" si="8"/>
        <v>82.5</v>
      </c>
      <c r="AL10" s="202"/>
      <c r="AM10" s="201"/>
      <c r="AN10" s="201"/>
      <c r="AO10" s="201"/>
      <c r="AP10" s="203"/>
      <c r="AQ10" s="204">
        <v>15</v>
      </c>
      <c r="AR10" s="204"/>
      <c r="AS10" s="201">
        <f t="shared" si="9"/>
        <v>807.32999999999993</v>
      </c>
      <c r="AT10" s="201">
        <f t="shared" si="10"/>
        <v>360.15</v>
      </c>
      <c r="AU10" s="201">
        <f t="shared" si="11"/>
        <v>82.5</v>
      </c>
      <c r="AV10" s="201">
        <f t="shared" si="12"/>
        <v>82.5</v>
      </c>
      <c r="AW10" s="201">
        <f t="shared" si="13"/>
        <v>1332.48</v>
      </c>
      <c r="AX10" s="419">
        <f t="shared" si="14"/>
        <v>1167.48</v>
      </c>
      <c r="AY10" s="419"/>
      <c r="AZ10" s="419">
        <f t="shared" si="15"/>
        <v>165</v>
      </c>
      <c r="BA10" s="419"/>
      <c r="BB10" s="211">
        <v>80</v>
      </c>
      <c r="BC10" s="211">
        <f t="shared" si="16"/>
        <v>1412.48</v>
      </c>
      <c r="BD10" s="206"/>
      <c r="BE10" s="97"/>
      <c r="BF10" s="97"/>
      <c r="BG10" s="97"/>
      <c r="BH10" s="97"/>
    </row>
    <row r="11" spans="1:60" s="98" customFormat="1" ht="16.5">
      <c r="A11" s="90" t="s">
        <v>356</v>
      </c>
      <c r="B11" s="91" t="s">
        <v>283</v>
      </c>
      <c r="C11" s="92" t="s">
        <v>63</v>
      </c>
      <c r="D11" s="93" t="s">
        <v>284</v>
      </c>
      <c r="E11" s="94" t="s">
        <v>285</v>
      </c>
      <c r="F11" s="95" t="s">
        <v>56</v>
      </c>
      <c r="G11" s="96" t="s">
        <v>57</v>
      </c>
      <c r="H11" s="93" t="s">
        <v>360</v>
      </c>
      <c r="I11" s="93" t="s">
        <v>360</v>
      </c>
      <c r="J11" s="93" t="s">
        <v>360</v>
      </c>
      <c r="K11" s="93" t="s">
        <v>360</v>
      </c>
      <c r="L11" s="201">
        <v>3430</v>
      </c>
      <c r="M11" s="201">
        <v>0.16</v>
      </c>
      <c r="N11" s="201">
        <f t="shared" si="0"/>
        <v>548.79999999999995</v>
      </c>
      <c r="O11" s="201">
        <v>0.08</v>
      </c>
      <c r="P11" s="201">
        <f t="shared" si="1"/>
        <v>274.39999999999998</v>
      </c>
      <c r="Q11" s="201">
        <v>3430</v>
      </c>
      <c r="R11" s="201">
        <v>6.4000000000000001E-2</v>
      </c>
      <c r="S11" s="201">
        <f t="shared" si="2"/>
        <v>219.52</v>
      </c>
      <c r="T11" s="201">
        <v>0.02</v>
      </c>
      <c r="U11" s="201">
        <f t="shared" si="3"/>
        <v>68.599999999999994</v>
      </c>
      <c r="V11" s="201">
        <v>3430</v>
      </c>
      <c r="W11" s="201">
        <v>5.0000000000000001E-3</v>
      </c>
      <c r="X11" s="201">
        <f t="shared" si="4"/>
        <v>17.149999999999999</v>
      </c>
      <c r="Y11" s="201">
        <v>5.0000000000000001E-3</v>
      </c>
      <c r="Z11" s="201">
        <f t="shared" si="5"/>
        <v>17.149999999999999</v>
      </c>
      <c r="AA11" s="201"/>
      <c r="AB11" s="201"/>
      <c r="AC11" s="201"/>
      <c r="AD11" s="201">
        <v>3430</v>
      </c>
      <c r="AE11" s="201">
        <v>2E-3</v>
      </c>
      <c r="AF11" s="201">
        <f t="shared" si="6"/>
        <v>6.86</v>
      </c>
      <c r="AG11" s="201">
        <v>1650</v>
      </c>
      <c r="AH11" s="201">
        <v>0.05</v>
      </c>
      <c r="AI11" s="201">
        <f t="shared" si="7"/>
        <v>82.5</v>
      </c>
      <c r="AJ11" s="201">
        <v>0.05</v>
      </c>
      <c r="AK11" s="201">
        <f t="shared" si="8"/>
        <v>82.5</v>
      </c>
      <c r="AL11" s="202"/>
      <c r="AM11" s="201"/>
      <c r="AN11" s="201"/>
      <c r="AO11" s="201"/>
      <c r="AP11" s="203"/>
      <c r="AQ11" s="204">
        <v>15</v>
      </c>
      <c r="AR11" s="204"/>
      <c r="AS11" s="201">
        <f t="shared" si="9"/>
        <v>807.32999999999993</v>
      </c>
      <c r="AT11" s="201">
        <f t="shared" si="10"/>
        <v>360.15</v>
      </c>
      <c r="AU11" s="201">
        <f t="shared" si="11"/>
        <v>82.5</v>
      </c>
      <c r="AV11" s="201">
        <f t="shared" si="12"/>
        <v>82.5</v>
      </c>
      <c r="AW11" s="201">
        <f t="shared" si="13"/>
        <v>1332.48</v>
      </c>
      <c r="AX11" s="419">
        <f t="shared" si="14"/>
        <v>1167.48</v>
      </c>
      <c r="AY11" s="419"/>
      <c r="AZ11" s="419">
        <f t="shared" si="15"/>
        <v>165</v>
      </c>
      <c r="BA11" s="419"/>
      <c r="BB11" s="211">
        <v>80</v>
      </c>
      <c r="BC11" s="211">
        <f t="shared" si="16"/>
        <v>1412.48</v>
      </c>
      <c r="BD11" s="206"/>
      <c r="BE11" s="97"/>
      <c r="BF11" s="97"/>
      <c r="BG11" s="97"/>
      <c r="BH11" s="97"/>
    </row>
    <row r="12" spans="1:60" s="98" customFormat="1" ht="16.5">
      <c r="A12" s="90" t="s">
        <v>356</v>
      </c>
      <c r="B12" s="91" t="s">
        <v>283</v>
      </c>
      <c r="C12" s="92" t="s">
        <v>63</v>
      </c>
      <c r="D12" s="93" t="s">
        <v>284</v>
      </c>
      <c r="E12" s="94" t="s">
        <v>285</v>
      </c>
      <c r="F12" s="95" t="s">
        <v>58</v>
      </c>
      <c r="G12" s="96" t="s">
        <v>59</v>
      </c>
      <c r="H12" s="93" t="s">
        <v>360</v>
      </c>
      <c r="I12" s="93" t="s">
        <v>360</v>
      </c>
      <c r="J12" s="93" t="s">
        <v>360</v>
      </c>
      <c r="K12" s="93" t="s">
        <v>360</v>
      </c>
      <c r="L12" s="201">
        <v>3430</v>
      </c>
      <c r="M12" s="201">
        <v>0.16</v>
      </c>
      <c r="N12" s="201">
        <f t="shared" si="0"/>
        <v>548.79999999999995</v>
      </c>
      <c r="O12" s="201">
        <v>0.08</v>
      </c>
      <c r="P12" s="201">
        <f t="shared" si="1"/>
        <v>274.39999999999998</v>
      </c>
      <c r="Q12" s="201">
        <v>3430</v>
      </c>
      <c r="R12" s="201">
        <v>6.4000000000000001E-2</v>
      </c>
      <c r="S12" s="201">
        <f t="shared" si="2"/>
        <v>219.52</v>
      </c>
      <c r="T12" s="201">
        <v>0.02</v>
      </c>
      <c r="U12" s="201">
        <f t="shared" si="3"/>
        <v>68.599999999999994</v>
      </c>
      <c r="V12" s="201">
        <v>3430</v>
      </c>
      <c r="W12" s="201">
        <v>5.0000000000000001E-3</v>
      </c>
      <c r="X12" s="201">
        <f t="shared" si="4"/>
        <v>17.149999999999999</v>
      </c>
      <c r="Y12" s="201">
        <v>5.0000000000000001E-3</v>
      </c>
      <c r="Z12" s="201">
        <f t="shared" si="5"/>
        <v>17.149999999999999</v>
      </c>
      <c r="AA12" s="201"/>
      <c r="AB12" s="201"/>
      <c r="AC12" s="201"/>
      <c r="AD12" s="201">
        <v>3430</v>
      </c>
      <c r="AE12" s="201">
        <v>2E-3</v>
      </c>
      <c r="AF12" s="201">
        <f t="shared" si="6"/>
        <v>6.86</v>
      </c>
      <c r="AG12" s="201">
        <v>1650</v>
      </c>
      <c r="AH12" s="201">
        <v>0.05</v>
      </c>
      <c r="AI12" s="201">
        <f t="shared" si="7"/>
        <v>82.5</v>
      </c>
      <c r="AJ12" s="201">
        <v>0.05</v>
      </c>
      <c r="AK12" s="201">
        <f t="shared" si="8"/>
        <v>82.5</v>
      </c>
      <c r="AL12" s="202"/>
      <c r="AM12" s="201"/>
      <c r="AN12" s="201"/>
      <c r="AO12" s="201"/>
      <c r="AP12" s="203"/>
      <c r="AQ12" s="204">
        <v>15</v>
      </c>
      <c r="AR12" s="204"/>
      <c r="AS12" s="201">
        <f t="shared" si="9"/>
        <v>807.32999999999993</v>
      </c>
      <c r="AT12" s="201">
        <f t="shared" si="10"/>
        <v>360.15</v>
      </c>
      <c r="AU12" s="201">
        <f t="shared" si="11"/>
        <v>82.5</v>
      </c>
      <c r="AV12" s="201">
        <f t="shared" si="12"/>
        <v>82.5</v>
      </c>
      <c r="AW12" s="201">
        <f t="shared" si="13"/>
        <v>1332.48</v>
      </c>
      <c r="AX12" s="419">
        <f t="shared" si="14"/>
        <v>1167.48</v>
      </c>
      <c r="AY12" s="419"/>
      <c r="AZ12" s="419">
        <f t="shared" si="15"/>
        <v>165</v>
      </c>
      <c r="BA12" s="419"/>
      <c r="BB12" s="211">
        <v>80</v>
      </c>
      <c r="BC12" s="211">
        <f t="shared" si="16"/>
        <v>1412.48</v>
      </c>
      <c r="BD12" s="206"/>
      <c r="BE12" s="97"/>
      <c r="BF12" s="97"/>
      <c r="BG12" s="97"/>
      <c r="BH12" s="97"/>
    </row>
  </sheetData>
  <mergeCells count="45">
    <mergeCell ref="AX12:AY12"/>
    <mergeCell ref="AZ12:BA12"/>
    <mergeCell ref="AX9:AY9"/>
    <mergeCell ref="AZ9:BA9"/>
    <mergeCell ref="AX10:AY10"/>
    <mergeCell ref="AZ10:BA10"/>
    <mergeCell ref="AX11:AY11"/>
    <mergeCell ref="AZ11:BA11"/>
    <mergeCell ref="AX6:AY6"/>
    <mergeCell ref="AZ6:BA6"/>
    <mergeCell ref="AX7:AY7"/>
    <mergeCell ref="AZ7:BA7"/>
    <mergeCell ref="AX8:AY8"/>
    <mergeCell ref="AZ8:BA8"/>
    <mergeCell ref="BD1:BD2"/>
    <mergeCell ref="AX3:AY3"/>
    <mergeCell ref="AZ3:BA3"/>
    <mergeCell ref="AX4:AY4"/>
    <mergeCell ref="AZ4:BA4"/>
    <mergeCell ref="BB1:BB2"/>
    <mergeCell ref="BC1:BC2"/>
    <mergeCell ref="AX5:AY5"/>
    <mergeCell ref="AZ5:BA5"/>
    <mergeCell ref="AQ1:AR1"/>
    <mergeCell ref="AS1:AW1"/>
    <mergeCell ref="AX1:AY2"/>
    <mergeCell ref="AZ1:BA2"/>
    <mergeCell ref="AL1:AP1"/>
    <mergeCell ref="G1:G2"/>
    <mergeCell ref="H1:H2"/>
    <mergeCell ref="I1:I2"/>
    <mergeCell ref="J1:J2"/>
    <mergeCell ref="K1:K2"/>
    <mergeCell ref="L1:P1"/>
    <mergeCell ref="Q1:U1"/>
    <mergeCell ref="V1:Z1"/>
    <mergeCell ref="AA1:AC1"/>
    <mergeCell ref="AD1:AF1"/>
    <mergeCell ref="AG1:AK1"/>
    <mergeCell ref="F1:F2"/>
    <mergeCell ref="A1:A2"/>
    <mergeCell ref="B1:B2"/>
    <mergeCell ref="C1:C2"/>
    <mergeCell ref="D1:D2"/>
    <mergeCell ref="E1:E2"/>
  </mergeCells>
  <phoneticPr fontId="2" type="noConversion"/>
  <conditionalFormatting sqref="H1:I1">
    <cfRule type="expression" dxfId="17" priority="1" stopIfTrue="1">
      <formula>AND(COUNTIF($J$1:$J$1,H1)&gt;1,NOT(ISBLANK(H1)))</formula>
    </cfRule>
  </conditionalFormatting>
  <conditionalFormatting sqref="J1">
    <cfRule type="duplicateValues" dxfId="16" priority="2" stopIfTrue="1"/>
  </conditionalFormatting>
  <conditionalFormatting sqref="K1:L1">
    <cfRule type="duplicateValues" dxfId="15" priority="3" stopIfTrue="1"/>
  </conditionalFormatting>
  <conditionalFormatting sqref="Q1">
    <cfRule type="duplicateValues" dxfId="14" priority="4" stopIfTrue="1"/>
  </conditionalFormatting>
  <conditionalFormatting sqref="V1">
    <cfRule type="duplicateValues" dxfId="13" priority="5" stopIfTrue="1"/>
  </conditionalFormatting>
  <conditionalFormatting sqref="AG1">
    <cfRule type="duplicateValues" dxfId="12" priority="6" stopIfTrue="1"/>
  </conditionalFormatting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6"/>
  <sheetViews>
    <sheetView workbookViewId="0">
      <selection activeCell="L15" sqref="L15"/>
    </sheetView>
  </sheetViews>
  <sheetFormatPr defaultColWidth="9" defaultRowHeight="16.5"/>
  <cols>
    <col min="1" max="1" width="10" style="89" customWidth="1"/>
    <col min="2" max="2" width="31.25" style="89" bestFit="1" customWidth="1"/>
    <col min="3" max="3" width="6" style="89" customWidth="1"/>
    <col min="4" max="4" width="8.5" style="89" hidden="1" customWidth="1"/>
    <col min="5" max="5" width="8.25" style="89" hidden="1" customWidth="1"/>
    <col min="6" max="6" width="11.875" style="89" customWidth="1"/>
    <col min="7" max="7" width="16.375" style="89" customWidth="1"/>
    <col min="8" max="11" width="8.5" style="89" customWidth="1"/>
    <col min="12" max="12" width="9.125" style="209" customWidth="1"/>
    <col min="13" max="14" width="9.25" style="209" customWidth="1"/>
    <col min="15" max="15" width="7.5" style="209" customWidth="1"/>
    <col min="16" max="16" width="11.25" style="209" customWidth="1"/>
    <col min="17" max="17" width="9.125" style="209" customWidth="1"/>
    <col min="18" max="21" width="9.25" style="209" customWidth="1"/>
    <col min="22" max="22" width="9.125" style="209" customWidth="1"/>
    <col min="23" max="26" width="9.25" style="209" customWidth="1"/>
    <col min="27" max="28" width="9.125" style="209" customWidth="1"/>
    <col min="29" max="29" width="9" style="209" customWidth="1"/>
    <col min="30" max="30" width="9.125" style="209" customWidth="1"/>
    <col min="31" max="31" width="9.25" style="209" customWidth="1"/>
    <col min="32" max="32" width="8.875" style="209" customWidth="1"/>
    <col min="33" max="33" width="9.125" style="209" customWidth="1"/>
    <col min="34" max="34" width="9.25" style="209" customWidth="1"/>
    <col min="35" max="35" width="11.125" style="209" customWidth="1"/>
    <col min="36" max="36" width="9.25" style="209" customWidth="1"/>
    <col min="37" max="37" width="8.25" style="209" customWidth="1"/>
    <col min="38" max="38" width="9.125" style="209" hidden="1" customWidth="1"/>
    <col min="39" max="39" width="9.25" style="209" hidden="1" customWidth="1"/>
    <col min="40" max="40" width="9.25" style="209" customWidth="1"/>
    <col min="41" max="42" width="9.25" style="209" hidden="1" customWidth="1"/>
    <col min="43" max="43" width="9.875" style="209" customWidth="1"/>
    <col min="44" max="44" width="9.375" style="209" customWidth="1"/>
    <col min="45" max="45" width="10.25" style="209" customWidth="1"/>
    <col min="46" max="46" width="10" style="209" customWidth="1"/>
    <col min="47" max="50" width="9.25" style="209" customWidth="1"/>
    <col min="51" max="51" width="5.875" style="209" customWidth="1"/>
    <col min="52" max="52" width="8.375" style="209" customWidth="1"/>
    <col min="53" max="53" width="5.875" style="209" customWidth="1"/>
    <col min="54" max="54" width="8.875" style="209" customWidth="1"/>
    <col min="55" max="55" width="10.875" style="209" customWidth="1"/>
    <col min="56" max="56" width="40.25" style="210" customWidth="1"/>
    <col min="57" max="57" width="10.625" style="89" customWidth="1"/>
    <col min="58" max="16384" width="9" style="89"/>
  </cols>
  <sheetData>
    <row r="1" spans="1:60" s="88" customFormat="1" ht="13.5">
      <c r="A1" s="415" t="s">
        <v>7</v>
      </c>
      <c r="B1" s="413" t="s">
        <v>257</v>
      </c>
      <c r="C1" s="413" t="s">
        <v>258</v>
      </c>
      <c r="D1" s="415" t="s">
        <v>259</v>
      </c>
      <c r="E1" s="413" t="s">
        <v>260</v>
      </c>
      <c r="F1" s="413" t="s">
        <v>261</v>
      </c>
      <c r="G1" s="413" t="s">
        <v>262</v>
      </c>
      <c r="H1" s="413" t="s">
        <v>263</v>
      </c>
      <c r="I1" s="413" t="s">
        <v>264</v>
      </c>
      <c r="J1" s="413" t="s">
        <v>265</v>
      </c>
      <c r="K1" s="413" t="s">
        <v>266</v>
      </c>
      <c r="L1" s="418" t="s">
        <v>89</v>
      </c>
      <c r="M1" s="418"/>
      <c r="N1" s="418"/>
      <c r="O1" s="418"/>
      <c r="P1" s="418"/>
      <c r="Q1" s="418" t="s">
        <v>96</v>
      </c>
      <c r="R1" s="418"/>
      <c r="S1" s="418"/>
      <c r="T1" s="418"/>
      <c r="U1" s="418"/>
      <c r="V1" s="418" t="s">
        <v>100</v>
      </c>
      <c r="W1" s="418"/>
      <c r="X1" s="418"/>
      <c r="Y1" s="418"/>
      <c r="Z1" s="418"/>
      <c r="AA1" s="417" t="s">
        <v>106</v>
      </c>
      <c r="AB1" s="417"/>
      <c r="AC1" s="417"/>
      <c r="AD1" s="417" t="s">
        <v>102</v>
      </c>
      <c r="AE1" s="417"/>
      <c r="AF1" s="417"/>
      <c r="AG1" s="418" t="s">
        <v>267</v>
      </c>
      <c r="AH1" s="418"/>
      <c r="AI1" s="418"/>
      <c r="AJ1" s="418"/>
      <c r="AK1" s="418"/>
      <c r="AL1" s="417" t="s">
        <v>268</v>
      </c>
      <c r="AM1" s="417"/>
      <c r="AN1" s="417"/>
      <c r="AO1" s="417"/>
      <c r="AP1" s="417"/>
      <c r="AQ1" s="417" t="s">
        <v>122</v>
      </c>
      <c r="AR1" s="417"/>
      <c r="AS1" s="417" t="s">
        <v>269</v>
      </c>
      <c r="AT1" s="417"/>
      <c r="AU1" s="417"/>
      <c r="AV1" s="417"/>
      <c r="AW1" s="417"/>
      <c r="AX1" s="417" t="s">
        <v>251</v>
      </c>
      <c r="AY1" s="417"/>
      <c r="AZ1" s="417" t="s">
        <v>270</v>
      </c>
      <c r="BA1" s="417"/>
      <c r="BB1" s="417" t="s">
        <v>25</v>
      </c>
      <c r="BC1" s="417" t="s">
        <v>271</v>
      </c>
      <c r="BD1" s="420" t="s">
        <v>195</v>
      </c>
    </row>
    <row r="2" spans="1:60" ht="13.5">
      <c r="A2" s="415"/>
      <c r="B2" s="416"/>
      <c r="C2" s="413"/>
      <c r="D2" s="415"/>
      <c r="E2" s="413"/>
      <c r="F2" s="414"/>
      <c r="G2" s="414"/>
      <c r="H2" s="413"/>
      <c r="I2" s="413"/>
      <c r="J2" s="413"/>
      <c r="K2" s="413"/>
      <c r="L2" s="200" t="s">
        <v>272</v>
      </c>
      <c r="M2" s="200" t="s">
        <v>273</v>
      </c>
      <c r="N2" s="200" t="s">
        <v>274</v>
      </c>
      <c r="O2" s="200" t="s">
        <v>275</v>
      </c>
      <c r="P2" s="200" t="s">
        <v>276</v>
      </c>
      <c r="Q2" s="200" t="s">
        <v>272</v>
      </c>
      <c r="R2" s="200" t="s">
        <v>273</v>
      </c>
      <c r="S2" s="200" t="s">
        <v>274</v>
      </c>
      <c r="T2" s="200" t="s">
        <v>275</v>
      </c>
      <c r="U2" s="200" t="s">
        <v>276</v>
      </c>
      <c r="V2" s="200" t="s">
        <v>272</v>
      </c>
      <c r="W2" s="200" t="s">
        <v>273</v>
      </c>
      <c r="X2" s="200" t="s">
        <v>274</v>
      </c>
      <c r="Y2" s="200" t="s">
        <v>275</v>
      </c>
      <c r="Z2" s="200" t="s">
        <v>276</v>
      </c>
      <c r="AA2" s="200" t="s">
        <v>272</v>
      </c>
      <c r="AB2" s="200" t="s">
        <v>277</v>
      </c>
      <c r="AC2" s="200" t="s">
        <v>278</v>
      </c>
      <c r="AD2" s="200" t="s">
        <v>272</v>
      </c>
      <c r="AE2" s="200" t="s">
        <v>277</v>
      </c>
      <c r="AF2" s="200" t="s">
        <v>278</v>
      </c>
      <c r="AG2" s="200" t="s">
        <v>272</v>
      </c>
      <c r="AH2" s="200" t="s">
        <v>273</v>
      </c>
      <c r="AI2" s="200" t="s">
        <v>274</v>
      </c>
      <c r="AJ2" s="200" t="s">
        <v>275</v>
      </c>
      <c r="AK2" s="200" t="s">
        <v>276</v>
      </c>
      <c r="AL2" s="200" t="s">
        <v>272</v>
      </c>
      <c r="AM2" s="200" t="s">
        <v>273</v>
      </c>
      <c r="AN2" s="200" t="s">
        <v>274</v>
      </c>
      <c r="AO2" s="200" t="s">
        <v>275</v>
      </c>
      <c r="AP2" s="200" t="s">
        <v>276</v>
      </c>
      <c r="AQ2" s="200" t="s">
        <v>67</v>
      </c>
      <c r="AR2" s="200" t="s">
        <v>279</v>
      </c>
      <c r="AS2" s="200" t="s">
        <v>280</v>
      </c>
      <c r="AT2" s="200" t="s">
        <v>254</v>
      </c>
      <c r="AU2" s="200" t="s">
        <v>281</v>
      </c>
      <c r="AV2" s="200" t="s">
        <v>30</v>
      </c>
      <c r="AW2" s="200" t="s">
        <v>282</v>
      </c>
      <c r="AX2" s="417"/>
      <c r="AY2" s="417"/>
      <c r="AZ2" s="417"/>
      <c r="BA2" s="417"/>
      <c r="BB2" s="417"/>
      <c r="BC2" s="417"/>
      <c r="BD2" s="420"/>
    </row>
    <row r="3" spans="1:60" s="98" customFormat="1">
      <c r="A3" s="90" t="s">
        <v>287</v>
      </c>
      <c r="B3" s="91" t="s">
        <v>283</v>
      </c>
      <c r="C3" s="92" t="s">
        <v>65</v>
      </c>
      <c r="D3" s="93" t="s">
        <v>284</v>
      </c>
      <c r="E3" s="94" t="s">
        <v>285</v>
      </c>
      <c r="F3" s="95" t="s">
        <v>40</v>
      </c>
      <c r="G3" s="96" t="s">
        <v>41</v>
      </c>
      <c r="H3" s="93" t="s">
        <v>361</v>
      </c>
      <c r="I3" s="93" t="s">
        <v>361</v>
      </c>
      <c r="J3" s="93" t="s">
        <v>286</v>
      </c>
      <c r="K3" s="93" t="s">
        <v>286</v>
      </c>
      <c r="L3" s="201">
        <v>2075</v>
      </c>
      <c r="M3" s="201">
        <v>0.16</v>
      </c>
      <c r="N3" s="201">
        <f>ROUND(L3*M3,2)</f>
        <v>332</v>
      </c>
      <c r="O3" s="201">
        <v>0.08</v>
      </c>
      <c r="P3" s="201">
        <f>ROUND(L3*O3,2)</f>
        <v>166</v>
      </c>
      <c r="Q3" s="201">
        <v>3676</v>
      </c>
      <c r="R3" s="201">
        <v>0.08</v>
      </c>
      <c r="S3" s="201">
        <f>ROUND(Q3*R3,2)</f>
        <v>294.08</v>
      </c>
      <c r="T3" s="201">
        <v>0.02</v>
      </c>
      <c r="U3" s="201">
        <f>ROUND(Q3*T3,2)</f>
        <v>73.52</v>
      </c>
      <c r="V3" s="201">
        <v>2075</v>
      </c>
      <c r="W3" s="201">
        <v>5.0000000000000001E-3</v>
      </c>
      <c r="X3" s="201">
        <f>ROUND(V3*W3,2)</f>
        <v>10.38</v>
      </c>
      <c r="Y3" s="201">
        <v>5.0000000000000001E-3</v>
      </c>
      <c r="Z3" s="201">
        <f>ROUND(V3*Y3,2)</f>
        <v>10.38</v>
      </c>
      <c r="AA3" s="201">
        <v>3676</v>
      </c>
      <c r="AB3" s="201">
        <v>7.0000000000000001E-3</v>
      </c>
      <c r="AC3" s="201">
        <f>ROUND(AA3*AB3,2)</f>
        <v>25.73</v>
      </c>
      <c r="AD3" s="201">
        <v>3488.4</v>
      </c>
      <c r="AE3" s="201">
        <v>3.5000000000000001E-3</v>
      </c>
      <c r="AF3" s="201">
        <f>ROUND(AD3*AE3,2)</f>
        <v>12.21</v>
      </c>
      <c r="AG3" s="201">
        <v>1720</v>
      </c>
      <c r="AH3" s="201">
        <v>0.05</v>
      </c>
      <c r="AI3" s="201">
        <f>ROUND(AG3*AH3,2)</f>
        <v>86</v>
      </c>
      <c r="AJ3" s="201">
        <v>0.05</v>
      </c>
      <c r="AK3" s="201">
        <f>ROUND(AG3*AJ3,2)</f>
        <v>86</v>
      </c>
      <c r="AL3" s="202"/>
      <c r="AM3" s="201"/>
      <c r="AN3" s="201"/>
      <c r="AO3" s="201"/>
      <c r="AP3" s="203"/>
      <c r="AQ3" s="204"/>
      <c r="AR3" s="204"/>
      <c r="AS3" s="201">
        <f>N3+S3+X3+AC3+AF3+AN3+AQ3</f>
        <v>674.4</v>
      </c>
      <c r="AT3" s="201">
        <f>P3+U3+Z3</f>
        <v>249.89999999999998</v>
      </c>
      <c r="AU3" s="201">
        <f>AI3</f>
        <v>86</v>
      </c>
      <c r="AV3" s="201">
        <f>AK3</f>
        <v>86</v>
      </c>
      <c r="AW3" s="201">
        <f>AV3+AS3+AT3+AU3</f>
        <v>1096.3</v>
      </c>
      <c r="AX3" s="419">
        <f>AS3+AT3</f>
        <v>924.3</v>
      </c>
      <c r="AY3" s="419"/>
      <c r="AZ3" s="419">
        <f>AU3+AV3</f>
        <v>172</v>
      </c>
      <c r="BA3" s="419"/>
      <c r="BB3" s="205">
        <v>80</v>
      </c>
      <c r="BC3" s="205">
        <f>AX3+AZ3+BB3</f>
        <v>1176.3</v>
      </c>
      <c r="BD3" s="206"/>
      <c r="BE3" s="97"/>
      <c r="BF3" s="97"/>
      <c r="BG3" s="97"/>
      <c r="BH3" s="97"/>
    </row>
    <row r="4" spans="1:60" s="98" customFormat="1">
      <c r="A4" s="90" t="s">
        <v>287</v>
      </c>
      <c r="B4" s="91" t="s">
        <v>283</v>
      </c>
      <c r="C4" s="92" t="s">
        <v>63</v>
      </c>
      <c r="D4" s="93" t="s">
        <v>284</v>
      </c>
      <c r="E4" s="94" t="s">
        <v>285</v>
      </c>
      <c r="F4" s="95" t="s">
        <v>42</v>
      </c>
      <c r="G4" s="96" t="s">
        <v>43</v>
      </c>
      <c r="H4" s="93" t="s">
        <v>361</v>
      </c>
      <c r="I4" s="93" t="s">
        <v>361</v>
      </c>
      <c r="J4" s="93" t="s">
        <v>286</v>
      </c>
      <c r="K4" s="93" t="s">
        <v>286</v>
      </c>
      <c r="L4" s="201">
        <v>3430</v>
      </c>
      <c r="M4" s="201">
        <v>0.16</v>
      </c>
      <c r="N4" s="201">
        <f>ROUND(L4*M4,2)</f>
        <v>548.79999999999995</v>
      </c>
      <c r="O4" s="201">
        <v>0.08</v>
      </c>
      <c r="P4" s="201">
        <f>ROUND(L4*O4,2)</f>
        <v>274.39999999999998</v>
      </c>
      <c r="Q4" s="201">
        <v>3430</v>
      </c>
      <c r="R4" s="201">
        <v>6.4000000000000001E-2</v>
      </c>
      <c r="S4" s="201">
        <f>ROUND(Q4*R4,2)</f>
        <v>219.52</v>
      </c>
      <c r="T4" s="201">
        <v>0.02</v>
      </c>
      <c r="U4" s="201">
        <f>ROUND(Q4*T4,2)</f>
        <v>68.599999999999994</v>
      </c>
      <c r="V4" s="201">
        <v>3430</v>
      </c>
      <c r="W4" s="201">
        <v>5.0000000000000001E-3</v>
      </c>
      <c r="X4" s="201">
        <f>ROUND(V4*W4,2)</f>
        <v>17.149999999999999</v>
      </c>
      <c r="Y4" s="201">
        <v>5.0000000000000001E-3</v>
      </c>
      <c r="Z4" s="201">
        <f>ROUND(V4*Y4,2)</f>
        <v>17.149999999999999</v>
      </c>
      <c r="AA4" s="201"/>
      <c r="AB4" s="201"/>
      <c r="AC4" s="201"/>
      <c r="AD4" s="201">
        <v>3430</v>
      </c>
      <c r="AE4" s="201">
        <v>2E-3</v>
      </c>
      <c r="AF4" s="201">
        <f>ROUND(AD4*AE4,2)</f>
        <v>6.86</v>
      </c>
      <c r="AG4" s="201">
        <v>1650</v>
      </c>
      <c r="AH4" s="201">
        <v>0.05</v>
      </c>
      <c r="AI4" s="201">
        <f>ROUND(AG4*AH4,2)</f>
        <v>82.5</v>
      </c>
      <c r="AJ4" s="201">
        <v>0.05</v>
      </c>
      <c r="AK4" s="201">
        <f>ROUND(AG4*AJ4,2)</f>
        <v>82.5</v>
      </c>
      <c r="AL4" s="202"/>
      <c r="AM4" s="201"/>
      <c r="AN4" s="201"/>
      <c r="AO4" s="201"/>
      <c r="AP4" s="203"/>
      <c r="AQ4" s="204">
        <v>15</v>
      </c>
      <c r="AR4" s="204"/>
      <c r="AS4" s="201">
        <f>N4+S4+X4+AC4+AF4+AN4+AQ4</f>
        <v>807.32999999999993</v>
      </c>
      <c r="AT4" s="201">
        <f>P4+U4+Z4</f>
        <v>360.15</v>
      </c>
      <c r="AU4" s="201">
        <f>AI4</f>
        <v>82.5</v>
      </c>
      <c r="AV4" s="201">
        <f>AK4</f>
        <v>82.5</v>
      </c>
      <c r="AW4" s="201">
        <f>AV4+AS4+AT4+AU4</f>
        <v>1332.48</v>
      </c>
      <c r="AX4" s="419">
        <f>AS4+AT4</f>
        <v>1167.48</v>
      </c>
      <c r="AY4" s="419"/>
      <c r="AZ4" s="419">
        <f>AU4+AV4</f>
        <v>165</v>
      </c>
      <c r="BA4" s="419"/>
      <c r="BB4" s="205">
        <v>80</v>
      </c>
      <c r="BC4" s="205">
        <f>AX4+AZ4+BB4</f>
        <v>1412.48</v>
      </c>
      <c r="BD4" s="206"/>
      <c r="BE4" s="97"/>
      <c r="BF4" s="97"/>
      <c r="BG4" s="97"/>
      <c r="BH4" s="97"/>
    </row>
    <row r="5" spans="1:60" s="98" customFormat="1">
      <c r="A5" s="90" t="s">
        <v>287</v>
      </c>
      <c r="B5" s="91" t="s">
        <v>283</v>
      </c>
      <c r="C5" s="92" t="s">
        <v>63</v>
      </c>
      <c r="D5" s="93" t="s">
        <v>284</v>
      </c>
      <c r="E5" s="94" t="s">
        <v>285</v>
      </c>
      <c r="F5" s="95" t="s">
        <v>44</v>
      </c>
      <c r="G5" s="96" t="s">
        <v>45</v>
      </c>
      <c r="H5" s="93" t="s">
        <v>361</v>
      </c>
      <c r="I5" s="93" t="s">
        <v>361</v>
      </c>
      <c r="J5" s="93" t="s">
        <v>286</v>
      </c>
      <c r="K5" s="93" t="s">
        <v>286</v>
      </c>
      <c r="L5" s="201">
        <v>3430</v>
      </c>
      <c r="M5" s="201">
        <v>0.16</v>
      </c>
      <c r="N5" s="201">
        <f t="shared" ref="N5:N12" si="0">ROUND(L5*M5,2)</f>
        <v>548.79999999999995</v>
      </c>
      <c r="O5" s="201">
        <v>0.08</v>
      </c>
      <c r="P5" s="201">
        <f t="shared" ref="P5:P12" si="1">ROUND(L5*O5,2)</f>
        <v>274.39999999999998</v>
      </c>
      <c r="Q5" s="201">
        <v>3430</v>
      </c>
      <c r="R5" s="201">
        <v>6.4000000000000001E-2</v>
      </c>
      <c r="S5" s="201">
        <f t="shared" ref="S5:S12" si="2">ROUND(Q5*R5,2)</f>
        <v>219.52</v>
      </c>
      <c r="T5" s="201">
        <v>0.02</v>
      </c>
      <c r="U5" s="201">
        <f t="shared" ref="U5:U12" si="3">ROUND(Q5*T5,2)</f>
        <v>68.599999999999994</v>
      </c>
      <c r="V5" s="201">
        <v>3430</v>
      </c>
      <c r="W5" s="201">
        <v>5.0000000000000001E-3</v>
      </c>
      <c r="X5" s="201">
        <f t="shared" ref="X5:X12" si="4">ROUND(V5*W5,2)</f>
        <v>17.149999999999999</v>
      </c>
      <c r="Y5" s="201">
        <v>5.0000000000000001E-3</v>
      </c>
      <c r="Z5" s="201">
        <f t="shared" ref="Z5:Z12" si="5">ROUND(V5*Y5,2)</f>
        <v>17.149999999999999</v>
      </c>
      <c r="AA5" s="201"/>
      <c r="AB5" s="201"/>
      <c r="AC5" s="201"/>
      <c r="AD5" s="201">
        <v>3430</v>
      </c>
      <c r="AE5" s="201">
        <v>2E-3</v>
      </c>
      <c r="AF5" s="201">
        <f t="shared" ref="AF5:AF12" si="6">ROUND(AD5*AE5,2)</f>
        <v>6.86</v>
      </c>
      <c r="AG5" s="201">
        <v>1650</v>
      </c>
      <c r="AH5" s="201">
        <v>0.05</v>
      </c>
      <c r="AI5" s="201">
        <f t="shared" ref="AI5:AI12" si="7">ROUND(AG5*AH5,2)</f>
        <v>82.5</v>
      </c>
      <c r="AJ5" s="201">
        <v>0.05</v>
      </c>
      <c r="AK5" s="201">
        <f t="shared" ref="AK5:AK12" si="8">ROUND(AG5*AJ5,2)</f>
        <v>82.5</v>
      </c>
      <c r="AL5" s="202"/>
      <c r="AM5" s="201"/>
      <c r="AN5" s="201"/>
      <c r="AO5" s="201"/>
      <c r="AP5" s="203"/>
      <c r="AQ5" s="204">
        <v>15</v>
      </c>
      <c r="AR5" s="204"/>
      <c r="AS5" s="201">
        <f t="shared" ref="AS5:AS12" si="9">N5+S5+X5+AC5+AF5+AN5+AQ5</f>
        <v>807.32999999999993</v>
      </c>
      <c r="AT5" s="201">
        <f t="shared" ref="AT5:AT12" si="10">P5+U5+Z5</f>
        <v>360.15</v>
      </c>
      <c r="AU5" s="201">
        <f t="shared" ref="AU5:AU12" si="11">AI5</f>
        <v>82.5</v>
      </c>
      <c r="AV5" s="201">
        <f t="shared" ref="AV5:AV12" si="12">AK5</f>
        <v>82.5</v>
      </c>
      <c r="AW5" s="201">
        <f t="shared" ref="AW5:AW12" si="13">AV5+AS5+AT5+AU5</f>
        <v>1332.48</v>
      </c>
      <c r="AX5" s="419">
        <f t="shared" ref="AX5:AX12" si="14">AS5+AT5</f>
        <v>1167.48</v>
      </c>
      <c r="AY5" s="419"/>
      <c r="AZ5" s="419">
        <f t="shared" ref="AZ5:AZ12" si="15">AU5+AV5</f>
        <v>165</v>
      </c>
      <c r="BA5" s="419"/>
      <c r="BB5" s="205">
        <v>80</v>
      </c>
      <c r="BC5" s="205">
        <f t="shared" ref="BC5:BC12" si="16">AX5+AZ5+BB5</f>
        <v>1412.48</v>
      </c>
      <c r="BD5" s="206"/>
      <c r="BE5" s="97"/>
      <c r="BF5" s="97"/>
      <c r="BG5" s="97"/>
      <c r="BH5" s="97"/>
    </row>
    <row r="6" spans="1:60" s="98" customFormat="1">
      <c r="A6" s="90" t="s">
        <v>287</v>
      </c>
      <c r="B6" s="91" t="s">
        <v>283</v>
      </c>
      <c r="C6" s="92" t="s">
        <v>63</v>
      </c>
      <c r="D6" s="93" t="s">
        <v>284</v>
      </c>
      <c r="E6" s="94" t="s">
        <v>285</v>
      </c>
      <c r="F6" s="95" t="s">
        <v>46</v>
      </c>
      <c r="G6" s="96" t="s">
        <v>47</v>
      </c>
      <c r="H6" s="93" t="s">
        <v>361</v>
      </c>
      <c r="I6" s="93" t="s">
        <v>361</v>
      </c>
      <c r="J6" s="93" t="s">
        <v>286</v>
      </c>
      <c r="K6" s="93" t="s">
        <v>286</v>
      </c>
      <c r="L6" s="201">
        <v>3430</v>
      </c>
      <c r="M6" s="201">
        <v>0.16</v>
      </c>
      <c r="N6" s="201">
        <f t="shared" si="0"/>
        <v>548.79999999999995</v>
      </c>
      <c r="O6" s="201">
        <v>0.08</v>
      </c>
      <c r="P6" s="201">
        <f t="shared" si="1"/>
        <v>274.39999999999998</v>
      </c>
      <c r="Q6" s="201">
        <v>3430</v>
      </c>
      <c r="R6" s="201">
        <v>6.4000000000000001E-2</v>
      </c>
      <c r="S6" s="201">
        <f t="shared" si="2"/>
        <v>219.52</v>
      </c>
      <c r="T6" s="201">
        <v>0.02</v>
      </c>
      <c r="U6" s="201">
        <f t="shared" si="3"/>
        <v>68.599999999999994</v>
      </c>
      <c r="V6" s="201">
        <v>3430</v>
      </c>
      <c r="W6" s="201">
        <v>5.0000000000000001E-3</v>
      </c>
      <c r="X6" s="201">
        <f t="shared" si="4"/>
        <v>17.149999999999999</v>
      </c>
      <c r="Y6" s="201">
        <v>5.0000000000000001E-3</v>
      </c>
      <c r="Z6" s="201">
        <f t="shared" si="5"/>
        <v>17.149999999999999</v>
      </c>
      <c r="AA6" s="201"/>
      <c r="AB6" s="201"/>
      <c r="AC6" s="201"/>
      <c r="AD6" s="201">
        <v>3430</v>
      </c>
      <c r="AE6" s="201">
        <v>2E-3</v>
      </c>
      <c r="AF6" s="201">
        <f t="shared" si="6"/>
        <v>6.86</v>
      </c>
      <c r="AG6" s="201">
        <v>1650</v>
      </c>
      <c r="AH6" s="201">
        <v>0.05</v>
      </c>
      <c r="AI6" s="201">
        <f t="shared" si="7"/>
        <v>82.5</v>
      </c>
      <c r="AJ6" s="201">
        <v>0.05</v>
      </c>
      <c r="AK6" s="201">
        <f t="shared" si="8"/>
        <v>82.5</v>
      </c>
      <c r="AL6" s="202"/>
      <c r="AM6" s="201"/>
      <c r="AN6" s="201"/>
      <c r="AO6" s="201"/>
      <c r="AP6" s="203"/>
      <c r="AQ6" s="204">
        <v>15</v>
      </c>
      <c r="AR6" s="204"/>
      <c r="AS6" s="201">
        <f t="shared" si="9"/>
        <v>807.32999999999993</v>
      </c>
      <c r="AT6" s="201">
        <f t="shared" si="10"/>
        <v>360.15</v>
      </c>
      <c r="AU6" s="201">
        <f t="shared" si="11"/>
        <v>82.5</v>
      </c>
      <c r="AV6" s="201">
        <f t="shared" si="12"/>
        <v>82.5</v>
      </c>
      <c r="AW6" s="201">
        <f t="shared" si="13"/>
        <v>1332.48</v>
      </c>
      <c r="AX6" s="419">
        <f t="shared" si="14"/>
        <v>1167.48</v>
      </c>
      <c r="AY6" s="419"/>
      <c r="AZ6" s="419">
        <f t="shared" si="15"/>
        <v>165</v>
      </c>
      <c r="BA6" s="419"/>
      <c r="BB6" s="205">
        <v>80</v>
      </c>
      <c r="BC6" s="205">
        <f t="shared" si="16"/>
        <v>1412.48</v>
      </c>
      <c r="BD6" s="206"/>
      <c r="BE6" s="97"/>
      <c r="BF6" s="97"/>
      <c r="BG6" s="97"/>
      <c r="BH6" s="97"/>
    </row>
    <row r="7" spans="1:60" s="98" customFormat="1">
      <c r="A7" s="90" t="s">
        <v>287</v>
      </c>
      <c r="B7" s="91" t="s">
        <v>283</v>
      </c>
      <c r="C7" s="92" t="s">
        <v>63</v>
      </c>
      <c r="D7" s="93" t="s">
        <v>284</v>
      </c>
      <c r="E7" s="94" t="s">
        <v>285</v>
      </c>
      <c r="F7" s="95" t="s">
        <v>48</v>
      </c>
      <c r="G7" s="96" t="s">
        <v>49</v>
      </c>
      <c r="H7" s="93" t="s">
        <v>361</v>
      </c>
      <c r="I7" s="93" t="s">
        <v>361</v>
      </c>
      <c r="J7" s="93" t="s">
        <v>286</v>
      </c>
      <c r="K7" s="93" t="s">
        <v>286</v>
      </c>
      <c r="L7" s="201">
        <v>3430</v>
      </c>
      <c r="M7" s="201">
        <v>0.16</v>
      </c>
      <c r="N7" s="201">
        <f t="shared" si="0"/>
        <v>548.79999999999995</v>
      </c>
      <c r="O7" s="201">
        <v>0.08</v>
      </c>
      <c r="P7" s="201">
        <f t="shared" si="1"/>
        <v>274.39999999999998</v>
      </c>
      <c r="Q7" s="201">
        <v>3430</v>
      </c>
      <c r="R7" s="201">
        <v>6.4000000000000001E-2</v>
      </c>
      <c r="S7" s="201">
        <f t="shared" si="2"/>
        <v>219.52</v>
      </c>
      <c r="T7" s="201">
        <v>0.02</v>
      </c>
      <c r="U7" s="201">
        <f t="shared" si="3"/>
        <v>68.599999999999994</v>
      </c>
      <c r="V7" s="201">
        <v>3430</v>
      </c>
      <c r="W7" s="201">
        <v>5.0000000000000001E-3</v>
      </c>
      <c r="X7" s="201">
        <f t="shared" si="4"/>
        <v>17.149999999999999</v>
      </c>
      <c r="Y7" s="201">
        <v>5.0000000000000001E-3</v>
      </c>
      <c r="Z7" s="201">
        <f t="shared" si="5"/>
        <v>17.149999999999999</v>
      </c>
      <c r="AA7" s="201"/>
      <c r="AB7" s="201"/>
      <c r="AC7" s="201"/>
      <c r="AD7" s="201">
        <v>3430</v>
      </c>
      <c r="AE7" s="201">
        <v>2E-3</v>
      </c>
      <c r="AF7" s="201">
        <f t="shared" si="6"/>
        <v>6.86</v>
      </c>
      <c r="AG7" s="201">
        <v>1650</v>
      </c>
      <c r="AH7" s="201">
        <v>0.05</v>
      </c>
      <c r="AI7" s="201">
        <f t="shared" si="7"/>
        <v>82.5</v>
      </c>
      <c r="AJ7" s="201">
        <v>0.05</v>
      </c>
      <c r="AK7" s="201">
        <f t="shared" si="8"/>
        <v>82.5</v>
      </c>
      <c r="AL7" s="202"/>
      <c r="AM7" s="201"/>
      <c r="AN7" s="201"/>
      <c r="AO7" s="201"/>
      <c r="AP7" s="203"/>
      <c r="AQ7" s="204">
        <v>15</v>
      </c>
      <c r="AR7" s="204"/>
      <c r="AS7" s="201">
        <f t="shared" si="9"/>
        <v>807.32999999999993</v>
      </c>
      <c r="AT7" s="201">
        <f t="shared" si="10"/>
        <v>360.15</v>
      </c>
      <c r="AU7" s="201">
        <f t="shared" si="11"/>
        <v>82.5</v>
      </c>
      <c r="AV7" s="201">
        <f t="shared" si="12"/>
        <v>82.5</v>
      </c>
      <c r="AW7" s="201">
        <f t="shared" si="13"/>
        <v>1332.48</v>
      </c>
      <c r="AX7" s="419">
        <f t="shared" si="14"/>
        <v>1167.48</v>
      </c>
      <c r="AY7" s="419"/>
      <c r="AZ7" s="419">
        <f t="shared" si="15"/>
        <v>165</v>
      </c>
      <c r="BA7" s="419"/>
      <c r="BB7" s="205">
        <v>80</v>
      </c>
      <c r="BC7" s="205">
        <f t="shared" si="16"/>
        <v>1412.48</v>
      </c>
      <c r="BD7" s="206"/>
      <c r="BE7" s="97"/>
      <c r="BF7" s="97"/>
      <c r="BG7" s="97"/>
      <c r="BH7" s="97"/>
    </row>
    <row r="8" spans="1:60" s="98" customFormat="1">
      <c r="A8" s="90" t="s">
        <v>287</v>
      </c>
      <c r="B8" s="91" t="s">
        <v>283</v>
      </c>
      <c r="C8" s="92" t="s">
        <v>63</v>
      </c>
      <c r="D8" s="93" t="s">
        <v>284</v>
      </c>
      <c r="E8" s="94" t="s">
        <v>285</v>
      </c>
      <c r="F8" s="95" t="s">
        <v>50</v>
      </c>
      <c r="G8" s="96" t="s">
        <v>51</v>
      </c>
      <c r="H8" s="93" t="s">
        <v>361</v>
      </c>
      <c r="I8" s="93" t="s">
        <v>361</v>
      </c>
      <c r="J8" s="93" t="s">
        <v>286</v>
      </c>
      <c r="K8" s="93" t="s">
        <v>286</v>
      </c>
      <c r="L8" s="201">
        <v>3430</v>
      </c>
      <c r="M8" s="201">
        <v>0.16</v>
      </c>
      <c r="N8" s="201">
        <f t="shared" si="0"/>
        <v>548.79999999999995</v>
      </c>
      <c r="O8" s="201">
        <v>0.08</v>
      </c>
      <c r="P8" s="201">
        <f t="shared" si="1"/>
        <v>274.39999999999998</v>
      </c>
      <c r="Q8" s="201">
        <v>3430</v>
      </c>
      <c r="R8" s="201">
        <v>6.4000000000000001E-2</v>
      </c>
      <c r="S8" s="201">
        <f t="shared" si="2"/>
        <v>219.52</v>
      </c>
      <c r="T8" s="201">
        <v>0.02</v>
      </c>
      <c r="U8" s="201">
        <f t="shared" si="3"/>
        <v>68.599999999999994</v>
      </c>
      <c r="V8" s="201">
        <v>3430</v>
      </c>
      <c r="W8" s="201">
        <v>5.0000000000000001E-3</v>
      </c>
      <c r="X8" s="201">
        <f t="shared" si="4"/>
        <v>17.149999999999999</v>
      </c>
      <c r="Y8" s="201">
        <v>5.0000000000000001E-3</v>
      </c>
      <c r="Z8" s="201">
        <f t="shared" si="5"/>
        <v>17.149999999999999</v>
      </c>
      <c r="AA8" s="201"/>
      <c r="AB8" s="201"/>
      <c r="AC8" s="201"/>
      <c r="AD8" s="201">
        <v>3430</v>
      </c>
      <c r="AE8" s="201">
        <v>2E-3</v>
      </c>
      <c r="AF8" s="201">
        <f t="shared" si="6"/>
        <v>6.86</v>
      </c>
      <c r="AG8" s="201">
        <v>1650</v>
      </c>
      <c r="AH8" s="201">
        <v>0.05</v>
      </c>
      <c r="AI8" s="201">
        <f t="shared" si="7"/>
        <v>82.5</v>
      </c>
      <c r="AJ8" s="201">
        <v>0.05</v>
      </c>
      <c r="AK8" s="201">
        <f t="shared" si="8"/>
        <v>82.5</v>
      </c>
      <c r="AL8" s="202"/>
      <c r="AM8" s="201"/>
      <c r="AN8" s="201"/>
      <c r="AO8" s="201"/>
      <c r="AP8" s="203"/>
      <c r="AQ8" s="204">
        <v>15</v>
      </c>
      <c r="AR8" s="204"/>
      <c r="AS8" s="201">
        <f t="shared" si="9"/>
        <v>807.32999999999993</v>
      </c>
      <c r="AT8" s="201">
        <f t="shared" si="10"/>
        <v>360.15</v>
      </c>
      <c r="AU8" s="201">
        <f t="shared" si="11"/>
        <v>82.5</v>
      </c>
      <c r="AV8" s="201">
        <f t="shared" si="12"/>
        <v>82.5</v>
      </c>
      <c r="AW8" s="201">
        <f t="shared" si="13"/>
        <v>1332.48</v>
      </c>
      <c r="AX8" s="419">
        <f t="shared" si="14"/>
        <v>1167.48</v>
      </c>
      <c r="AY8" s="419"/>
      <c r="AZ8" s="419">
        <f t="shared" si="15"/>
        <v>165</v>
      </c>
      <c r="BA8" s="419"/>
      <c r="BB8" s="205">
        <v>80</v>
      </c>
      <c r="BC8" s="205">
        <f t="shared" si="16"/>
        <v>1412.48</v>
      </c>
      <c r="BD8" s="206"/>
      <c r="BE8" s="97"/>
      <c r="BF8" s="97"/>
      <c r="BG8" s="97"/>
      <c r="BH8" s="97"/>
    </row>
    <row r="9" spans="1:60" s="98" customFormat="1">
      <c r="A9" s="90" t="s">
        <v>287</v>
      </c>
      <c r="B9" s="91" t="s">
        <v>283</v>
      </c>
      <c r="C9" s="92" t="s">
        <v>63</v>
      </c>
      <c r="D9" s="93" t="s">
        <v>284</v>
      </c>
      <c r="E9" s="94" t="s">
        <v>285</v>
      </c>
      <c r="F9" s="95" t="s">
        <v>52</v>
      </c>
      <c r="G9" s="96" t="s">
        <v>53</v>
      </c>
      <c r="H9" s="93" t="s">
        <v>361</v>
      </c>
      <c r="I9" s="93" t="s">
        <v>361</v>
      </c>
      <c r="J9" s="93" t="s">
        <v>286</v>
      </c>
      <c r="K9" s="93" t="s">
        <v>286</v>
      </c>
      <c r="L9" s="201">
        <v>3430</v>
      </c>
      <c r="M9" s="201">
        <v>0.16</v>
      </c>
      <c r="N9" s="201">
        <f t="shared" si="0"/>
        <v>548.79999999999995</v>
      </c>
      <c r="O9" s="201">
        <v>0.08</v>
      </c>
      <c r="P9" s="201">
        <f t="shared" si="1"/>
        <v>274.39999999999998</v>
      </c>
      <c r="Q9" s="201">
        <v>3430</v>
      </c>
      <c r="R9" s="201">
        <v>6.4000000000000001E-2</v>
      </c>
      <c r="S9" s="201">
        <f t="shared" si="2"/>
        <v>219.52</v>
      </c>
      <c r="T9" s="201">
        <v>0.02</v>
      </c>
      <c r="U9" s="201">
        <f t="shared" si="3"/>
        <v>68.599999999999994</v>
      </c>
      <c r="V9" s="201">
        <v>3430</v>
      </c>
      <c r="W9" s="201">
        <v>5.0000000000000001E-3</v>
      </c>
      <c r="X9" s="201">
        <f t="shared" si="4"/>
        <v>17.149999999999999</v>
      </c>
      <c r="Y9" s="201">
        <v>5.0000000000000001E-3</v>
      </c>
      <c r="Z9" s="201">
        <f t="shared" si="5"/>
        <v>17.149999999999999</v>
      </c>
      <c r="AA9" s="201"/>
      <c r="AB9" s="201"/>
      <c r="AC9" s="201"/>
      <c r="AD9" s="201">
        <v>3430</v>
      </c>
      <c r="AE9" s="201">
        <v>2E-3</v>
      </c>
      <c r="AF9" s="201">
        <f t="shared" si="6"/>
        <v>6.86</v>
      </c>
      <c r="AG9" s="201">
        <v>11000</v>
      </c>
      <c r="AH9" s="201">
        <v>0.12</v>
      </c>
      <c r="AI9" s="201">
        <f t="shared" si="7"/>
        <v>1320</v>
      </c>
      <c r="AJ9" s="201">
        <v>0.12</v>
      </c>
      <c r="AK9" s="201">
        <f t="shared" si="8"/>
        <v>1320</v>
      </c>
      <c r="AL9" s="202"/>
      <c r="AM9" s="201"/>
      <c r="AN9" s="201"/>
      <c r="AO9" s="201"/>
      <c r="AP9" s="203"/>
      <c r="AQ9" s="204">
        <v>15</v>
      </c>
      <c r="AR9" s="204"/>
      <c r="AS9" s="201">
        <f t="shared" si="9"/>
        <v>807.32999999999993</v>
      </c>
      <c r="AT9" s="201">
        <f t="shared" si="10"/>
        <v>360.15</v>
      </c>
      <c r="AU9" s="201">
        <f t="shared" si="11"/>
        <v>1320</v>
      </c>
      <c r="AV9" s="201">
        <f t="shared" si="12"/>
        <v>1320</v>
      </c>
      <c r="AW9" s="201">
        <f t="shared" si="13"/>
        <v>3807.48</v>
      </c>
      <c r="AX9" s="419">
        <f t="shared" si="14"/>
        <v>1167.48</v>
      </c>
      <c r="AY9" s="419"/>
      <c r="AZ9" s="419">
        <f t="shared" si="15"/>
        <v>2640</v>
      </c>
      <c r="BA9" s="419"/>
      <c r="BB9" s="205">
        <v>80</v>
      </c>
      <c r="BC9" s="205">
        <f t="shared" si="16"/>
        <v>3887.48</v>
      </c>
      <c r="BD9" s="206"/>
      <c r="BE9" s="97"/>
      <c r="BF9" s="97"/>
      <c r="BG9" s="97"/>
      <c r="BH9" s="97"/>
    </row>
    <row r="10" spans="1:60" s="98" customFormat="1">
      <c r="A10" s="90" t="s">
        <v>287</v>
      </c>
      <c r="B10" s="91" t="s">
        <v>283</v>
      </c>
      <c r="C10" s="92" t="s">
        <v>63</v>
      </c>
      <c r="D10" s="93" t="s">
        <v>284</v>
      </c>
      <c r="E10" s="94" t="s">
        <v>285</v>
      </c>
      <c r="F10" s="95" t="s">
        <v>54</v>
      </c>
      <c r="G10" s="96" t="s">
        <v>55</v>
      </c>
      <c r="H10" s="93" t="s">
        <v>361</v>
      </c>
      <c r="I10" s="93" t="s">
        <v>361</v>
      </c>
      <c r="J10" s="93" t="s">
        <v>286</v>
      </c>
      <c r="K10" s="93" t="s">
        <v>286</v>
      </c>
      <c r="L10" s="201">
        <v>3430</v>
      </c>
      <c r="M10" s="201">
        <v>0.16</v>
      </c>
      <c r="N10" s="201">
        <f t="shared" si="0"/>
        <v>548.79999999999995</v>
      </c>
      <c r="O10" s="201">
        <v>0.08</v>
      </c>
      <c r="P10" s="201">
        <f t="shared" si="1"/>
        <v>274.39999999999998</v>
      </c>
      <c r="Q10" s="201">
        <v>3430</v>
      </c>
      <c r="R10" s="201">
        <v>6.4000000000000001E-2</v>
      </c>
      <c r="S10" s="201">
        <f t="shared" si="2"/>
        <v>219.52</v>
      </c>
      <c r="T10" s="201">
        <v>0.02</v>
      </c>
      <c r="U10" s="201">
        <f t="shared" si="3"/>
        <v>68.599999999999994</v>
      </c>
      <c r="V10" s="201">
        <v>3430</v>
      </c>
      <c r="W10" s="201">
        <v>5.0000000000000001E-3</v>
      </c>
      <c r="X10" s="201">
        <f t="shared" si="4"/>
        <v>17.149999999999999</v>
      </c>
      <c r="Y10" s="201">
        <v>5.0000000000000001E-3</v>
      </c>
      <c r="Z10" s="201">
        <f t="shared" si="5"/>
        <v>17.149999999999999</v>
      </c>
      <c r="AA10" s="201"/>
      <c r="AB10" s="201"/>
      <c r="AC10" s="201"/>
      <c r="AD10" s="201">
        <v>3430</v>
      </c>
      <c r="AE10" s="201">
        <v>2E-3</v>
      </c>
      <c r="AF10" s="201">
        <f t="shared" si="6"/>
        <v>6.86</v>
      </c>
      <c r="AG10" s="201">
        <v>1650</v>
      </c>
      <c r="AH10" s="201">
        <v>0.05</v>
      </c>
      <c r="AI10" s="201">
        <f t="shared" si="7"/>
        <v>82.5</v>
      </c>
      <c r="AJ10" s="201">
        <v>0.05</v>
      </c>
      <c r="AK10" s="201">
        <f t="shared" si="8"/>
        <v>82.5</v>
      </c>
      <c r="AL10" s="202"/>
      <c r="AM10" s="201"/>
      <c r="AN10" s="201"/>
      <c r="AO10" s="201"/>
      <c r="AP10" s="203"/>
      <c r="AQ10" s="204">
        <v>15</v>
      </c>
      <c r="AR10" s="204"/>
      <c r="AS10" s="201">
        <f t="shared" si="9"/>
        <v>807.32999999999993</v>
      </c>
      <c r="AT10" s="201">
        <f t="shared" si="10"/>
        <v>360.15</v>
      </c>
      <c r="AU10" s="201">
        <f t="shared" si="11"/>
        <v>82.5</v>
      </c>
      <c r="AV10" s="201">
        <f t="shared" si="12"/>
        <v>82.5</v>
      </c>
      <c r="AW10" s="201">
        <f t="shared" si="13"/>
        <v>1332.48</v>
      </c>
      <c r="AX10" s="419">
        <f t="shared" si="14"/>
        <v>1167.48</v>
      </c>
      <c r="AY10" s="419"/>
      <c r="AZ10" s="419">
        <f t="shared" si="15"/>
        <v>165</v>
      </c>
      <c r="BA10" s="419"/>
      <c r="BB10" s="205">
        <v>80</v>
      </c>
      <c r="BC10" s="205">
        <f t="shared" si="16"/>
        <v>1412.48</v>
      </c>
      <c r="BD10" s="206"/>
      <c r="BE10" s="97"/>
      <c r="BF10" s="97"/>
      <c r="BG10" s="97"/>
      <c r="BH10" s="97"/>
    </row>
    <row r="11" spans="1:60" s="98" customFormat="1">
      <c r="A11" s="90" t="s">
        <v>287</v>
      </c>
      <c r="B11" s="91" t="s">
        <v>283</v>
      </c>
      <c r="C11" s="92" t="s">
        <v>63</v>
      </c>
      <c r="D11" s="93" t="s">
        <v>284</v>
      </c>
      <c r="E11" s="94" t="s">
        <v>285</v>
      </c>
      <c r="F11" s="95" t="s">
        <v>56</v>
      </c>
      <c r="G11" s="96" t="s">
        <v>57</v>
      </c>
      <c r="H11" s="93" t="s">
        <v>361</v>
      </c>
      <c r="I11" s="93" t="s">
        <v>361</v>
      </c>
      <c r="J11" s="93" t="s">
        <v>286</v>
      </c>
      <c r="K11" s="93" t="s">
        <v>286</v>
      </c>
      <c r="L11" s="201">
        <v>3430</v>
      </c>
      <c r="M11" s="201">
        <v>0.16</v>
      </c>
      <c r="N11" s="201">
        <f t="shared" si="0"/>
        <v>548.79999999999995</v>
      </c>
      <c r="O11" s="201">
        <v>0.08</v>
      </c>
      <c r="P11" s="201">
        <f t="shared" si="1"/>
        <v>274.39999999999998</v>
      </c>
      <c r="Q11" s="201">
        <v>3430</v>
      </c>
      <c r="R11" s="201">
        <v>6.4000000000000001E-2</v>
      </c>
      <c r="S11" s="201">
        <f t="shared" si="2"/>
        <v>219.52</v>
      </c>
      <c r="T11" s="201">
        <v>0.02</v>
      </c>
      <c r="U11" s="201">
        <f t="shared" si="3"/>
        <v>68.599999999999994</v>
      </c>
      <c r="V11" s="201">
        <v>3430</v>
      </c>
      <c r="W11" s="201">
        <v>5.0000000000000001E-3</v>
      </c>
      <c r="X11" s="201">
        <f t="shared" si="4"/>
        <v>17.149999999999999</v>
      </c>
      <c r="Y11" s="201">
        <v>5.0000000000000001E-3</v>
      </c>
      <c r="Z11" s="201">
        <f t="shared" si="5"/>
        <v>17.149999999999999</v>
      </c>
      <c r="AA11" s="201"/>
      <c r="AB11" s="201"/>
      <c r="AC11" s="201"/>
      <c r="AD11" s="201">
        <v>3430</v>
      </c>
      <c r="AE11" s="201">
        <v>2E-3</v>
      </c>
      <c r="AF11" s="201">
        <f t="shared" si="6"/>
        <v>6.86</v>
      </c>
      <c r="AG11" s="201">
        <v>1650</v>
      </c>
      <c r="AH11" s="201">
        <v>0.05</v>
      </c>
      <c r="AI11" s="201">
        <f t="shared" si="7"/>
        <v>82.5</v>
      </c>
      <c r="AJ11" s="201">
        <v>0.05</v>
      </c>
      <c r="AK11" s="201">
        <f t="shared" si="8"/>
        <v>82.5</v>
      </c>
      <c r="AL11" s="202"/>
      <c r="AM11" s="201"/>
      <c r="AN11" s="201"/>
      <c r="AO11" s="201"/>
      <c r="AP11" s="203"/>
      <c r="AQ11" s="204">
        <v>15</v>
      </c>
      <c r="AR11" s="204"/>
      <c r="AS11" s="201">
        <f t="shared" si="9"/>
        <v>807.32999999999993</v>
      </c>
      <c r="AT11" s="201">
        <f t="shared" si="10"/>
        <v>360.15</v>
      </c>
      <c r="AU11" s="201">
        <f t="shared" si="11"/>
        <v>82.5</v>
      </c>
      <c r="AV11" s="201">
        <f t="shared" si="12"/>
        <v>82.5</v>
      </c>
      <c r="AW11" s="201">
        <f t="shared" si="13"/>
        <v>1332.48</v>
      </c>
      <c r="AX11" s="419">
        <f t="shared" si="14"/>
        <v>1167.48</v>
      </c>
      <c r="AY11" s="419"/>
      <c r="AZ11" s="419">
        <f t="shared" si="15"/>
        <v>165</v>
      </c>
      <c r="BA11" s="419"/>
      <c r="BB11" s="205">
        <v>80</v>
      </c>
      <c r="BC11" s="205">
        <f t="shared" si="16"/>
        <v>1412.48</v>
      </c>
      <c r="BD11" s="206"/>
      <c r="BE11" s="97"/>
      <c r="BF11" s="97"/>
      <c r="BG11" s="97"/>
      <c r="BH11" s="97"/>
    </row>
    <row r="12" spans="1:60" s="98" customFormat="1">
      <c r="A12" s="90" t="s">
        <v>287</v>
      </c>
      <c r="B12" s="91" t="s">
        <v>283</v>
      </c>
      <c r="C12" s="92" t="s">
        <v>63</v>
      </c>
      <c r="D12" s="93" t="s">
        <v>284</v>
      </c>
      <c r="E12" s="94" t="s">
        <v>285</v>
      </c>
      <c r="F12" s="95" t="s">
        <v>58</v>
      </c>
      <c r="G12" s="96" t="s">
        <v>59</v>
      </c>
      <c r="H12" s="93" t="s">
        <v>361</v>
      </c>
      <c r="I12" s="93" t="s">
        <v>361</v>
      </c>
      <c r="J12" s="93" t="s">
        <v>286</v>
      </c>
      <c r="K12" s="93" t="s">
        <v>286</v>
      </c>
      <c r="L12" s="201">
        <v>3430</v>
      </c>
      <c r="M12" s="201">
        <v>0.16</v>
      </c>
      <c r="N12" s="201">
        <f t="shared" si="0"/>
        <v>548.79999999999995</v>
      </c>
      <c r="O12" s="201">
        <v>0.08</v>
      </c>
      <c r="P12" s="201">
        <f t="shared" si="1"/>
        <v>274.39999999999998</v>
      </c>
      <c r="Q12" s="201">
        <v>3430</v>
      </c>
      <c r="R12" s="201">
        <v>6.4000000000000001E-2</v>
      </c>
      <c r="S12" s="201">
        <f t="shared" si="2"/>
        <v>219.52</v>
      </c>
      <c r="T12" s="201">
        <v>0.02</v>
      </c>
      <c r="U12" s="201">
        <f t="shared" si="3"/>
        <v>68.599999999999994</v>
      </c>
      <c r="V12" s="201">
        <v>3430</v>
      </c>
      <c r="W12" s="201">
        <v>5.0000000000000001E-3</v>
      </c>
      <c r="X12" s="201">
        <f t="shared" si="4"/>
        <v>17.149999999999999</v>
      </c>
      <c r="Y12" s="201">
        <v>5.0000000000000001E-3</v>
      </c>
      <c r="Z12" s="201">
        <f t="shared" si="5"/>
        <v>17.149999999999999</v>
      </c>
      <c r="AA12" s="201"/>
      <c r="AB12" s="201"/>
      <c r="AC12" s="201"/>
      <c r="AD12" s="201">
        <v>3430</v>
      </c>
      <c r="AE12" s="201">
        <v>2E-3</v>
      </c>
      <c r="AF12" s="201">
        <f t="shared" si="6"/>
        <v>6.86</v>
      </c>
      <c r="AG12" s="201">
        <v>1650</v>
      </c>
      <c r="AH12" s="201">
        <v>0.05</v>
      </c>
      <c r="AI12" s="201">
        <f t="shared" si="7"/>
        <v>82.5</v>
      </c>
      <c r="AJ12" s="201">
        <v>0.05</v>
      </c>
      <c r="AK12" s="201">
        <f t="shared" si="8"/>
        <v>82.5</v>
      </c>
      <c r="AL12" s="202"/>
      <c r="AM12" s="201"/>
      <c r="AN12" s="201"/>
      <c r="AO12" s="201"/>
      <c r="AP12" s="203"/>
      <c r="AQ12" s="204">
        <v>15</v>
      </c>
      <c r="AR12" s="204"/>
      <c r="AS12" s="201">
        <f t="shared" si="9"/>
        <v>807.32999999999993</v>
      </c>
      <c r="AT12" s="201">
        <f t="shared" si="10"/>
        <v>360.15</v>
      </c>
      <c r="AU12" s="201">
        <f t="shared" si="11"/>
        <v>82.5</v>
      </c>
      <c r="AV12" s="201">
        <f t="shared" si="12"/>
        <v>82.5</v>
      </c>
      <c r="AW12" s="201">
        <f t="shared" si="13"/>
        <v>1332.48</v>
      </c>
      <c r="AX12" s="419">
        <f t="shared" si="14"/>
        <v>1167.48</v>
      </c>
      <c r="AY12" s="419"/>
      <c r="AZ12" s="419">
        <f t="shared" si="15"/>
        <v>165</v>
      </c>
      <c r="BA12" s="419"/>
      <c r="BB12" s="205">
        <v>80</v>
      </c>
      <c r="BC12" s="205">
        <f t="shared" si="16"/>
        <v>1412.48</v>
      </c>
      <c r="BD12" s="206"/>
      <c r="BE12" s="97"/>
      <c r="BF12" s="97"/>
      <c r="BG12" s="97"/>
      <c r="BH12" s="97"/>
    </row>
    <row r="13" spans="1:60" s="101" customFormat="1">
      <c r="A13" s="99"/>
      <c r="B13" s="99"/>
      <c r="C13" s="99"/>
      <c r="D13" s="99"/>
      <c r="E13" s="99"/>
      <c r="F13" s="100"/>
      <c r="G13" s="99"/>
      <c r="H13" s="99"/>
      <c r="I13" s="99"/>
      <c r="J13" s="99"/>
      <c r="K13" s="99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>
        <f>'[3]（居民）工资表-1月'!E14</f>
        <v>77156.09</v>
      </c>
      <c r="BD13" s="208"/>
    </row>
    <row r="14" spans="1:60" s="102" customFormat="1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09"/>
      <c r="BB14" s="209"/>
      <c r="BC14" s="209"/>
      <c r="BD14" s="210"/>
    </row>
    <row r="16" spans="1:60">
      <c r="AX16" s="421"/>
      <c r="AY16" s="421"/>
    </row>
  </sheetData>
  <mergeCells count="46">
    <mergeCell ref="F1:F2"/>
    <mergeCell ref="A1:A2"/>
    <mergeCell ref="B1:B2"/>
    <mergeCell ref="C1:C2"/>
    <mergeCell ref="D1:D2"/>
    <mergeCell ref="E1:E2"/>
    <mergeCell ref="AL1:AP1"/>
    <mergeCell ref="G1:G2"/>
    <mergeCell ref="H1:H2"/>
    <mergeCell ref="I1:I2"/>
    <mergeCell ref="J1:J2"/>
    <mergeCell ref="K1:K2"/>
    <mergeCell ref="L1:P1"/>
    <mergeCell ref="Q1:U1"/>
    <mergeCell ref="V1:Z1"/>
    <mergeCell ref="AA1:AC1"/>
    <mergeCell ref="AD1:AF1"/>
    <mergeCell ref="AG1:AK1"/>
    <mergeCell ref="AX5:AY5"/>
    <mergeCell ref="AZ5:BA5"/>
    <mergeCell ref="AQ1:AR1"/>
    <mergeCell ref="AS1:AW1"/>
    <mergeCell ref="AX1:AY2"/>
    <mergeCell ref="AZ1:BA2"/>
    <mergeCell ref="BD1:BD2"/>
    <mergeCell ref="AX3:AY3"/>
    <mergeCell ref="AZ3:BA3"/>
    <mergeCell ref="AX4:AY4"/>
    <mergeCell ref="AZ4:BA4"/>
    <mergeCell ref="BB1:BB2"/>
    <mergeCell ref="BC1:BC2"/>
    <mergeCell ref="AX6:AY6"/>
    <mergeCell ref="AZ6:BA6"/>
    <mergeCell ref="AX7:AY7"/>
    <mergeCell ref="AZ7:BA7"/>
    <mergeCell ref="AX8:AY8"/>
    <mergeCell ref="AZ8:BA8"/>
    <mergeCell ref="AX12:AY12"/>
    <mergeCell ref="AZ12:BA12"/>
    <mergeCell ref="AX16:AY16"/>
    <mergeCell ref="AX9:AY9"/>
    <mergeCell ref="AZ9:BA9"/>
    <mergeCell ref="AX10:AY10"/>
    <mergeCell ref="AZ10:BA10"/>
    <mergeCell ref="AX11:AY11"/>
    <mergeCell ref="AZ11:BA11"/>
  </mergeCells>
  <phoneticPr fontId="2" type="noConversion"/>
  <conditionalFormatting sqref="H1:I1">
    <cfRule type="expression" dxfId="11" priority="1" stopIfTrue="1">
      <formula>AND(COUNTIF($J$1:$J$1,H1)&gt;1,NOT(ISBLANK(H1)))</formula>
    </cfRule>
  </conditionalFormatting>
  <conditionalFormatting sqref="J1">
    <cfRule type="duplicateValues" dxfId="10" priority="2" stopIfTrue="1"/>
  </conditionalFormatting>
  <conditionalFormatting sqref="K1:L1">
    <cfRule type="duplicateValues" dxfId="9" priority="3" stopIfTrue="1"/>
  </conditionalFormatting>
  <conditionalFormatting sqref="Q1">
    <cfRule type="duplicateValues" dxfId="8" priority="4" stopIfTrue="1"/>
  </conditionalFormatting>
  <conditionalFormatting sqref="V1">
    <cfRule type="duplicateValues" dxfId="7" priority="5" stopIfTrue="1"/>
  </conditionalFormatting>
  <conditionalFormatting sqref="AG1">
    <cfRule type="duplicateValues" dxfId="6" priority="6" stopIfTrue="1"/>
  </conditionalFormatting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25"/>
  <sheetViews>
    <sheetView topLeftCell="AK1" workbookViewId="0">
      <selection activeCell="Q19" sqref="Q19"/>
    </sheetView>
  </sheetViews>
  <sheetFormatPr defaultColWidth="9" defaultRowHeight="16.5"/>
  <cols>
    <col min="1" max="1" width="5.625" style="233" customWidth="1"/>
    <col min="2" max="2" width="19.25" style="233" customWidth="1"/>
    <col min="3" max="3" width="6" style="233" customWidth="1"/>
    <col min="4" max="4" width="8.5" style="233" hidden="1" customWidth="1"/>
    <col min="5" max="5" width="8.25" style="233" hidden="1" customWidth="1"/>
    <col min="6" max="6" width="11.875" style="233" customWidth="1"/>
    <col min="7" max="7" width="16.375" style="233" customWidth="1"/>
    <col min="8" max="11" width="8.5" style="233" customWidth="1"/>
    <col min="12" max="12" width="9.125" style="233" customWidth="1"/>
    <col min="13" max="14" width="9.25" style="233" customWidth="1"/>
    <col min="15" max="15" width="7.5" style="233" customWidth="1"/>
    <col min="16" max="16" width="11.25" style="233" customWidth="1"/>
    <col min="17" max="17" width="9.125" style="233" customWidth="1"/>
    <col min="18" max="21" width="9.25" style="233" customWidth="1"/>
    <col min="22" max="22" width="9.125" style="233" customWidth="1"/>
    <col min="23" max="26" width="9.25" style="233" customWidth="1"/>
    <col min="27" max="28" width="9.125" style="233" customWidth="1"/>
    <col min="29" max="29" width="9" style="233" customWidth="1"/>
    <col min="30" max="30" width="9.125" style="233" customWidth="1"/>
    <col min="31" max="31" width="9.25" style="233" customWidth="1"/>
    <col min="32" max="32" width="8.875" style="233" customWidth="1"/>
    <col min="33" max="33" width="9.125" style="233" customWidth="1"/>
    <col min="34" max="34" width="9.25" style="233" customWidth="1"/>
    <col min="35" max="35" width="11.125" style="233" customWidth="1"/>
    <col min="36" max="36" width="9.25" style="233" customWidth="1"/>
    <col min="37" max="37" width="8.25" style="233" customWidth="1"/>
    <col min="38" max="38" width="9.125" style="233" hidden="1" customWidth="1"/>
    <col min="39" max="39" width="9.25" style="233" hidden="1" customWidth="1"/>
    <col min="40" max="40" width="9.25" style="233" customWidth="1"/>
    <col min="41" max="42" width="9.25" style="233" hidden="1" customWidth="1"/>
    <col min="43" max="43" width="9.875" style="233" customWidth="1"/>
    <col min="44" max="44" width="9.375" style="233" customWidth="1"/>
    <col min="45" max="45" width="10.25" style="233" customWidth="1"/>
    <col min="46" max="46" width="10" style="233" customWidth="1"/>
    <col min="47" max="50" width="9.25" style="233" customWidth="1"/>
    <col min="51" max="51" width="5.875" style="233" customWidth="1"/>
    <col min="52" max="52" width="8.375" style="233" customWidth="1"/>
    <col min="53" max="53" width="5.875" style="233" customWidth="1"/>
    <col min="54" max="54" width="8.875" style="233" customWidth="1"/>
    <col min="55" max="55" width="10.875" style="233" customWidth="1"/>
    <col min="56" max="56" width="40.25" style="286" customWidth="1"/>
    <col min="57" max="57" width="10.625" style="233" customWidth="1"/>
    <col min="58" max="16384" width="9" style="233"/>
  </cols>
  <sheetData>
    <row r="1" spans="1:60" s="237" customFormat="1" ht="13.5">
      <c r="A1" s="424" t="s">
        <v>7</v>
      </c>
      <c r="B1" s="422" t="s">
        <v>257</v>
      </c>
      <c r="C1" s="422" t="s">
        <v>258</v>
      </c>
      <c r="D1" s="424" t="s">
        <v>259</v>
      </c>
      <c r="E1" s="422" t="s">
        <v>260</v>
      </c>
      <c r="F1" s="422" t="s">
        <v>261</v>
      </c>
      <c r="G1" s="422" t="s">
        <v>262</v>
      </c>
      <c r="H1" s="422" t="s">
        <v>263</v>
      </c>
      <c r="I1" s="422" t="s">
        <v>264</v>
      </c>
      <c r="J1" s="422" t="s">
        <v>265</v>
      </c>
      <c r="K1" s="422" t="s">
        <v>266</v>
      </c>
      <c r="L1" s="426" t="s">
        <v>89</v>
      </c>
      <c r="M1" s="426"/>
      <c r="N1" s="426"/>
      <c r="O1" s="426"/>
      <c r="P1" s="426"/>
      <c r="Q1" s="426" t="s">
        <v>96</v>
      </c>
      <c r="R1" s="426"/>
      <c r="S1" s="426"/>
      <c r="T1" s="426"/>
      <c r="U1" s="426"/>
      <c r="V1" s="426" t="s">
        <v>100</v>
      </c>
      <c r="W1" s="426"/>
      <c r="X1" s="426"/>
      <c r="Y1" s="426"/>
      <c r="Z1" s="426"/>
      <c r="AA1" s="424" t="s">
        <v>106</v>
      </c>
      <c r="AB1" s="424"/>
      <c r="AC1" s="424"/>
      <c r="AD1" s="424" t="s">
        <v>102</v>
      </c>
      <c r="AE1" s="424"/>
      <c r="AF1" s="424"/>
      <c r="AG1" s="426" t="s">
        <v>267</v>
      </c>
      <c r="AH1" s="426"/>
      <c r="AI1" s="426"/>
      <c r="AJ1" s="426"/>
      <c r="AK1" s="426"/>
      <c r="AL1" s="424" t="s">
        <v>268</v>
      </c>
      <c r="AM1" s="424"/>
      <c r="AN1" s="424"/>
      <c r="AO1" s="424"/>
      <c r="AP1" s="424"/>
      <c r="AQ1" s="424" t="s">
        <v>122</v>
      </c>
      <c r="AR1" s="424"/>
      <c r="AS1" s="424" t="s">
        <v>269</v>
      </c>
      <c r="AT1" s="424"/>
      <c r="AU1" s="424"/>
      <c r="AV1" s="424"/>
      <c r="AW1" s="424"/>
      <c r="AX1" s="424" t="s">
        <v>251</v>
      </c>
      <c r="AY1" s="424"/>
      <c r="AZ1" s="424" t="s">
        <v>270</v>
      </c>
      <c r="BA1" s="424"/>
      <c r="BB1" s="424" t="s">
        <v>25</v>
      </c>
      <c r="BC1" s="424" t="s">
        <v>271</v>
      </c>
      <c r="BD1" s="428" t="s">
        <v>195</v>
      </c>
    </row>
    <row r="2" spans="1:60" ht="13.5">
      <c r="A2" s="424"/>
      <c r="B2" s="425"/>
      <c r="C2" s="422"/>
      <c r="D2" s="424"/>
      <c r="E2" s="422"/>
      <c r="F2" s="423"/>
      <c r="G2" s="423"/>
      <c r="H2" s="422"/>
      <c r="I2" s="422"/>
      <c r="J2" s="422"/>
      <c r="K2" s="422"/>
      <c r="L2" s="224" t="s">
        <v>272</v>
      </c>
      <c r="M2" s="224" t="s">
        <v>273</v>
      </c>
      <c r="N2" s="224" t="s">
        <v>274</v>
      </c>
      <c r="O2" s="224" t="s">
        <v>275</v>
      </c>
      <c r="P2" s="224" t="s">
        <v>276</v>
      </c>
      <c r="Q2" s="224" t="s">
        <v>272</v>
      </c>
      <c r="R2" s="224" t="s">
        <v>273</v>
      </c>
      <c r="S2" s="224" t="s">
        <v>274</v>
      </c>
      <c r="T2" s="224" t="s">
        <v>275</v>
      </c>
      <c r="U2" s="224" t="s">
        <v>276</v>
      </c>
      <c r="V2" s="224" t="s">
        <v>272</v>
      </c>
      <c r="W2" s="224" t="s">
        <v>273</v>
      </c>
      <c r="X2" s="224" t="s">
        <v>274</v>
      </c>
      <c r="Y2" s="224" t="s">
        <v>275</v>
      </c>
      <c r="Z2" s="224" t="s">
        <v>276</v>
      </c>
      <c r="AA2" s="224" t="s">
        <v>272</v>
      </c>
      <c r="AB2" s="224" t="s">
        <v>277</v>
      </c>
      <c r="AC2" s="224" t="s">
        <v>278</v>
      </c>
      <c r="AD2" s="224" t="s">
        <v>272</v>
      </c>
      <c r="AE2" s="224" t="s">
        <v>277</v>
      </c>
      <c r="AF2" s="224" t="s">
        <v>278</v>
      </c>
      <c r="AG2" s="224" t="s">
        <v>272</v>
      </c>
      <c r="AH2" s="224" t="s">
        <v>273</v>
      </c>
      <c r="AI2" s="224" t="s">
        <v>274</v>
      </c>
      <c r="AJ2" s="224" t="s">
        <v>275</v>
      </c>
      <c r="AK2" s="224" t="s">
        <v>276</v>
      </c>
      <c r="AL2" s="224" t="s">
        <v>272</v>
      </c>
      <c r="AM2" s="224" t="s">
        <v>273</v>
      </c>
      <c r="AN2" s="224" t="s">
        <v>274</v>
      </c>
      <c r="AO2" s="224" t="s">
        <v>275</v>
      </c>
      <c r="AP2" s="224" t="s">
        <v>276</v>
      </c>
      <c r="AQ2" s="224" t="s">
        <v>67</v>
      </c>
      <c r="AR2" s="224" t="s">
        <v>279</v>
      </c>
      <c r="AS2" s="224" t="s">
        <v>280</v>
      </c>
      <c r="AT2" s="224" t="s">
        <v>254</v>
      </c>
      <c r="AU2" s="224" t="s">
        <v>281</v>
      </c>
      <c r="AV2" s="224" t="s">
        <v>30</v>
      </c>
      <c r="AW2" s="224" t="s">
        <v>282</v>
      </c>
      <c r="AX2" s="424"/>
      <c r="AY2" s="424"/>
      <c r="AZ2" s="424"/>
      <c r="BA2" s="424"/>
      <c r="BB2" s="424"/>
      <c r="BC2" s="424"/>
      <c r="BD2" s="428"/>
    </row>
    <row r="3" spans="1:60" s="247" customFormat="1">
      <c r="A3" s="225">
        <v>1</v>
      </c>
      <c r="B3" s="238" t="s">
        <v>283</v>
      </c>
      <c r="C3" s="239" t="s">
        <v>65</v>
      </c>
      <c r="D3" s="225" t="s">
        <v>284</v>
      </c>
      <c r="E3" s="240" t="s">
        <v>285</v>
      </c>
      <c r="F3" s="241" t="s">
        <v>40</v>
      </c>
      <c r="G3" s="242" t="s">
        <v>41</v>
      </c>
      <c r="H3" s="225" t="s">
        <v>286</v>
      </c>
      <c r="I3" s="225" t="s">
        <v>286</v>
      </c>
      <c r="J3" s="225" t="s">
        <v>355</v>
      </c>
      <c r="K3" s="225" t="s">
        <v>355</v>
      </c>
      <c r="L3" s="225">
        <v>2075</v>
      </c>
      <c r="M3" s="225">
        <v>0.16</v>
      </c>
      <c r="N3" s="225">
        <f t="shared" ref="N3:N18" si="0">ROUND(L3*M3,2)</f>
        <v>332</v>
      </c>
      <c r="O3" s="225">
        <v>0.08</v>
      </c>
      <c r="P3" s="225">
        <f t="shared" ref="P3:P18" si="1">ROUND(L3*O3,2)</f>
        <v>166</v>
      </c>
      <c r="Q3" s="225">
        <v>3676</v>
      </c>
      <c r="R3" s="225">
        <v>0.08</v>
      </c>
      <c r="S3" s="225">
        <f t="shared" ref="S3:S18" si="2">ROUND(Q3*R3,2)</f>
        <v>294.08</v>
      </c>
      <c r="T3" s="225">
        <v>0.02</v>
      </c>
      <c r="U3" s="225">
        <f t="shared" ref="U3:U18" si="3">ROUND(Q3*T3,2)</f>
        <v>73.52</v>
      </c>
      <c r="V3" s="225">
        <v>2075</v>
      </c>
      <c r="W3" s="225">
        <v>5.0000000000000001E-3</v>
      </c>
      <c r="X3" s="225">
        <f t="shared" ref="X3:X18" si="4">ROUND(V3*W3,2)</f>
        <v>10.38</v>
      </c>
      <c r="Y3" s="225">
        <v>5.0000000000000001E-3</v>
      </c>
      <c r="Z3" s="225">
        <f t="shared" ref="Z3:Z18" si="5">ROUND(V3*Y3,2)</f>
        <v>10.38</v>
      </c>
      <c r="AA3" s="225">
        <v>3676</v>
      </c>
      <c r="AB3" s="225">
        <v>7.0000000000000001E-3</v>
      </c>
      <c r="AC3" s="225">
        <f>ROUND(AA3*AB3,2)</f>
        <v>25.73</v>
      </c>
      <c r="AD3" s="225">
        <v>3488.4</v>
      </c>
      <c r="AE3" s="225">
        <v>3.5000000000000001E-3</v>
      </c>
      <c r="AF3" s="225">
        <f t="shared" ref="AF3:AF18" si="6">ROUND(AD3*AE3,2)</f>
        <v>12.21</v>
      </c>
      <c r="AG3" s="225">
        <v>1720</v>
      </c>
      <c r="AH3" s="225">
        <v>0.05</v>
      </c>
      <c r="AI3" s="225">
        <f t="shared" ref="AI3:AI18" si="7">ROUND(AG3*AH3,2)</f>
        <v>86</v>
      </c>
      <c r="AJ3" s="225">
        <v>0.05</v>
      </c>
      <c r="AK3" s="225">
        <f t="shared" ref="AK3:AK18" si="8">ROUND(AG3*AJ3,2)</f>
        <v>86</v>
      </c>
      <c r="AL3" s="243"/>
      <c r="AM3" s="225"/>
      <c r="AN3" s="225"/>
      <c r="AO3" s="225"/>
      <c r="AP3" s="240"/>
      <c r="AQ3" s="244"/>
      <c r="AR3" s="244"/>
      <c r="AS3" s="225">
        <f t="shared" ref="AS3:AS18" si="9">N3+S3+X3+AC3+AF3+AN3+AQ3</f>
        <v>674.4</v>
      </c>
      <c r="AT3" s="225">
        <f t="shared" ref="AT3:AT18" si="10">P3+U3+Z3</f>
        <v>249.89999999999998</v>
      </c>
      <c r="AU3" s="225">
        <f t="shared" ref="AU3:AU18" si="11">AI3</f>
        <v>86</v>
      </c>
      <c r="AV3" s="225">
        <f t="shared" ref="AV3:AV18" si="12">AK3</f>
        <v>86</v>
      </c>
      <c r="AW3" s="225">
        <f t="shared" ref="AW3:AW18" si="13">AV3+AS3+AT3+AU3</f>
        <v>1096.3</v>
      </c>
      <c r="AX3" s="427">
        <f t="shared" ref="AX3:AX18" si="14">AS3+AT3</f>
        <v>924.3</v>
      </c>
      <c r="AY3" s="427"/>
      <c r="AZ3" s="427">
        <f t="shared" ref="AZ3:AZ18" si="15">AU3+AV3</f>
        <v>172</v>
      </c>
      <c r="BA3" s="427"/>
      <c r="BB3" s="226">
        <v>80</v>
      </c>
      <c r="BC3" s="226">
        <f t="shared" ref="BC3:BC18" si="16">AX3+AZ3+BB3</f>
        <v>1176.3</v>
      </c>
      <c r="BD3" s="245"/>
      <c r="BE3" s="246"/>
      <c r="BF3" s="246"/>
      <c r="BG3" s="246"/>
      <c r="BH3" s="246"/>
    </row>
    <row r="4" spans="1:60" s="247" customFormat="1">
      <c r="A4" s="225">
        <v>2</v>
      </c>
      <c r="B4" s="238" t="s">
        <v>283</v>
      </c>
      <c r="C4" s="239" t="s">
        <v>63</v>
      </c>
      <c r="D4" s="225" t="s">
        <v>284</v>
      </c>
      <c r="E4" s="240" t="s">
        <v>285</v>
      </c>
      <c r="F4" s="241" t="s">
        <v>42</v>
      </c>
      <c r="G4" s="242" t="s">
        <v>43</v>
      </c>
      <c r="H4" s="225" t="s">
        <v>286</v>
      </c>
      <c r="I4" s="225" t="s">
        <v>286</v>
      </c>
      <c r="J4" s="225" t="s">
        <v>355</v>
      </c>
      <c r="K4" s="225" t="s">
        <v>355</v>
      </c>
      <c r="L4" s="225">
        <v>3430</v>
      </c>
      <c r="M4" s="225">
        <v>0.16</v>
      </c>
      <c r="N4" s="225">
        <f t="shared" si="0"/>
        <v>548.79999999999995</v>
      </c>
      <c r="O4" s="225">
        <v>0.08</v>
      </c>
      <c r="P4" s="225">
        <f t="shared" si="1"/>
        <v>274.39999999999998</v>
      </c>
      <c r="Q4" s="225">
        <v>3430</v>
      </c>
      <c r="R4" s="225">
        <v>6.4000000000000001E-2</v>
      </c>
      <c r="S4" s="225">
        <f t="shared" si="2"/>
        <v>219.52</v>
      </c>
      <c r="T4" s="225">
        <v>0.02</v>
      </c>
      <c r="U4" s="225">
        <f t="shared" si="3"/>
        <v>68.599999999999994</v>
      </c>
      <c r="V4" s="225">
        <v>3430</v>
      </c>
      <c r="W4" s="225">
        <v>5.0000000000000001E-3</v>
      </c>
      <c r="X4" s="225">
        <f t="shared" si="4"/>
        <v>17.149999999999999</v>
      </c>
      <c r="Y4" s="225">
        <v>5.0000000000000001E-3</v>
      </c>
      <c r="Z4" s="225">
        <f t="shared" si="5"/>
        <v>17.149999999999999</v>
      </c>
      <c r="AA4" s="225"/>
      <c r="AB4" s="225"/>
      <c r="AC4" s="225"/>
      <c r="AD4" s="225">
        <v>3430</v>
      </c>
      <c r="AE4" s="225">
        <v>2E-3</v>
      </c>
      <c r="AF4" s="225">
        <f t="shared" si="6"/>
        <v>6.86</v>
      </c>
      <c r="AG4" s="225">
        <v>1650</v>
      </c>
      <c r="AH4" s="225">
        <v>0.05</v>
      </c>
      <c r="AI4" s="225">
        <f t="shared" si="7"/>
        <v>82.5</v>
      </c>
      <c r="AJ4" s="225">
        <v>0.05</v>
      </c>
      <c r="AK4" s="225">
        <f t="shared" si="8"/>
        <v>82.5</v>
      </c>
      <c r="AL4" s="243"/>
      <c r="AM4" s="225"/>
      <c r="AN4" s="225"/>
      <c r="AO4" s="225"/>
      <c r="AP4" s="240"/>
      <c r="AQ4" s="244">
        <v>15</v>
      </c>
      <c r="AR4" s="244"/>
      <c r="AS4" s="225">
        <f t="shared" si="9"/>
        <v>807.32999999999993</v>
      </c>
      <c r="AT4" s="225">
        <f t="shared" si="10"/>
        <v>360.15</v>
      </c>
      <c r="AU4" s="225">
        <f t="shared" si="11"/>
        <v>82.5</v>
      </c>
      <c r="AV4" s="225">
        <f t="shared" si="12"/>
        <v>82.5</v>
      </c>
      <c r="AW4" s="225">
        <f t="shared" si="13"/>
        <v>1332.48</v>
      </c>
      <c r="AX4" s="427">
        <f t="shared" si="14"/>
        <v>1167.48</v>
      </c>
      <c r="AY4" s="427"/>
      <c r="AZ4" s="427">
        <f t="shared" si="15"/>
        <v>165</v>
      </c>
      <c r="BA4" s="427"/>
      <c r="BB4" s="226">
        <v>80</v>
      </c>
      <c r="BC4" s="226">
        <f t="shared" si="16"/>
        <v>1412.48</v>
      </c>
      <c r="BD4" s="245"/>
      <c r="BE4" s="246"/>
      <c r="BF4" s="246"/>
      <c r="BG4" s="246"/>
      <c r="BH4" s="246"/>
    </row>
    <row r="5" spans="1:60" s="247" customFormat="1">
      <c r="A5" s="225">
        <v>3</v>
      </c>
      <c r="B5" s="238" t="s">
        <v>283</v>
      </c>
      <c r="C5" s="239" t="s">
        <v>63</v>
      </c>
      <c r="D5" s="225" t="s">
        <v>284</v>
      </c>
      <c r="E5" s="240" t="s">
        <v>285</v>
      </c>
      <c r="F5" s="241" t="s">
        <v>44</v>
      </c>
      <c r="G5" s="242" t="s">
        <v>45</v>
      </c>
      <c r="H5" s="225" t="s">
        <v>286</v>
      </c>
      <c r="I5" s="225" t="s">
        <v>286</v>
      </c>
      <c r="J5" s="225" t="s">
        <v>355</v>
      </c>
      <c r="K5" s="225" t="s">
        <v>355</v>
      </c>
      <c r="L5" s="225">
        <v>3430</v>
      </c>
      <c r="M5" s="225">
        <v>0.16</v>
      </c>
      <c r="N5" s="225">
        <f t="shared" si="0"/>
        <v>548.79999999999995</v>
      </c>
      <c r="O5" s="225">
        <v>0.08</v>
      </c>
      <c r="P5" s="225">
        <f t="shared" si="1"/>
        <v>274.39999999999998</v>
      </c>
      <c r="Q5" s="225">
        <v>3430</v>
      </c>
      <c r="R5" s="225">
        <v>6.4000000000000001E-2</v>
      </c>
      <c r="S5" s="225">
        <f t="shared" si="2"/>
        <v>219.52</v>
      </c>
      <c r="T5" s="225">
        <v>0.02</v>
      </c>
      <c r="U5" s="225">
        <f t="shared" si="3"/>
        <v>68.599999999999994</v>
      </c>
      <c r="V5" s="225">
        <v>3430</v>
      </c>
      <c r="W5" s="225">
        <v>5.0000000000000001E-3</v>
      </c>
      <c r="X5" s="225">
        <f t="shared" si="4"/>
        <v>17.149999999999999</v>
      </c>
      <c r="Y5" s="225">
        <v>5.0000000000000001E-3</v>
      </c>
      <c r="Z5" s="225">
        <f t="shared" si="5"/>
        <v>17.149999999999999</v>
      </c>
      <c r="AA5" s="225"/>
      <c r="AB5" s="225"/>
      <c r="AC5" s="225"/>
      <c r="AD5" s="225">
        <v>3430</v>
      </c>
      <c r="AE5" s="225">
        <v>2E-3</v>
      </c>
      <c r="AF5" s="225">
        <f t="shared" si="6"/>
        <v>6.86</v>
      </c>
      <c r="AG5" s="225">
        <v>1650</v>
      </c>
      <c r="AH5" s="225">
        <v>0.05</v>
      </c>
      <c r="AI5" s="225">
        <f t="shared" si="7"/>
        <v>82.5</v>
      </c>
      <c r="AJ5" s="225">
        <v>0.05</v>
      </c>
      <c r="AK5" s="225">
        <f t="shared" si="8"/>
        <v>82.5</v>
      </c>
      <c r="AL5" s="243"/>
      <c r="AM5" s="225"/>
      <c r="AN5" s="225"/>
      <c r="AO5" s="225"/>
      <c r="AP5" s="240"/>
      <c r="AQ5" s="244">
        <v>15</v>
      </c>
      <c r="AR5" s="244"/>
      <c r="AS5" s="225">
        <f t="shared" si="9"/>
        <v>807.32999999999993</v>
      </c>
      <c r="AT5" s="225">
        <f t="shared" si="10"/>
        <v>360.15</v>
      </c>
      <c r="AU5" s="225">
        <f t="shared" si="11"/>
        <v>82.5</v>
      </c>
      <c r="AV5" s="225">
        <f t="shared" si="12"/>
        <v>82.5</v>
      </c>
      <c r="AW5" s="225">
        <f t="shared" si="13"/>
        <v>1332.48</v>
      </c>
      <c r="AX5" s="427">
        <f t="shared" si="14"/>
        <v>1167.48</v>
      </c>
      <c r="AY5" s="427"/>
      <c r="AZ5" s="427">
        <f t="shared" si="15"/>
        <v>165</v>
      </c>
      <c r="BA5" s="427"/>
      <c r="BB5" s="226">
        <v>80</v>
      </c>
      <c r="BC5" s="226">
        <f t="shared" si="16"/>
        <v>1412.48</v>
      </c>
      <c r="BD5" s="245"/>
      <c r="BE5" s="246"/>
      <c r="BF5" s="246"/>
      <c r="BG5" s="246"/>
      <c r="BH5" s="246"/>
    </row>
    <row r="6" spans="1:60" s="247" customFormat="1">
      <c r="A6" s="225">
        <v>4</v>
      </c>
      <c r="B6" s="238" t="s">
        <v>283</v>
      </c>
      <c r="C6" s="239" t="s">
        <v>63</v>
      </c>
      <c r="D6" s="225" t="s">
        <v>284</v>
      </c>
      <c r="E6" s="240" t="s">
        <v>285</v>
      </c>
      <c r="F6" s="241" t="s">
        <v>46</v>
      </c>
      <c r="G6" s="242" t="s">
        <v>47</v>
      </c>
      <c r="H6" s="225" t="s">
        <v>286</v>
      </c>
      <c r="I6" s="225" t="s">
        <v>286</v>
      </c>
      <c r="J6" s="225" t="s">
        <v>355</v>
      </c>
      <c r="K6" s="225" t="s">
        <v>355</v>
      </c>
      <c r="L6" s="225">
        <v>3430</v>
      </c>
      <c r="M6" s="225">
        <v>0.16</v>
      </c>
      <c r="N6" s="225">
        <f t="shared" si="0"/>
        <v>548.79999999999995</v>
      </c>
      <c r="O6" s="225">
        <v>0.08</v>
      </c>
      <c r="P6" s="225">
        <f t="shared" si="1"/>
        <v>274.39999999999998</v>
      </c>
      <c r="Q6" s="225">
        <v>3430</v>
      </c>
      <c r="R6" s="225">
        <v>6.4000000000000001E-2</v>
      </c>
      <c r="S6" s="225">
        <f t="shared" si="2"/>
        <v>219.52</v>
      </c>
      <c r="T6" s="225">
        <v>0.02</v>
      </c>
      <c r="U6" s="225">
        <f t="shared" si="3"/>
        <v>68.599999999999994</v>
      </c>
      <c r="V6" s="225">
        <v>3430</v>
      </c>
      <c r="W6" s="225">
        <v>5.0000000000000001E-3</v>
      </c>
      <c r="X6" s="225">
        <f t="shared" si="4"/>
        <v>17.149999999999999</v>
      </c>
      <c r="Y6" s="225">
        <v>5.0000000000000001E-3</v>
      </c>
      <c r="Z6" s="225">
        <f t="shared" si="5"/>
        <v>17.149999999999999</v>
      </c>
      <c r="AA6" s="225"/>
      <c r="AB6" s="225"/>
      <c r="AC6" s="225"/>
      <c r="AD6" s="225">
        <v>3430</v>
      </c>
      <c r="AE6" s="225">
        <v>2E-3</v>
      </c>
      <c r="AF6" s="225">
        <f t="shared" si="6"/>
        <v>6.86</v>
      </c>
      <c r="AG6" s="225">
        <v>1650</v>
      </c>
      <c r="AH6" s="225">
        <v>0.05</v>
      </c>
      <c r="AI6" s="225">
        <f t="shared" si="7"/>
        <v>82.5</v>
      </c>
      <c r="AJ6" s="225">
        <v>0.05</v>
      </c>
      <c r="AK6" s="225">
        <f t="shared" si="8"/>
        <v>82.5</v>
      </c>
      <c r="AL6" s="243"/>
      <c r="AM6" s="225"/>
      <c r="AN6" s="225"/>
      <c r="AO6" s="225"/>
      <c r="AP6" s="240"/>
      <c r="AQ6" s="244">
        <v>15</v>
      </c>
      <c r="AR6" s="244"/>
      <c r="AS6" s="225">
        <f t="shared" si="9"/>
        <v>807.32999999999993</v>
      </c>
      <c r="AT6" s="225">
        <f t="shared" si="10"/>
        <v>360.15</v>
      </c>
      <c r="AU6" s="225">
        <f t="shared" si="11"/>
        <v>82.5</v>
      </c>
      <c r="AV6" s="225">
        <f t="shared" si="12"/>
        <v>82.5</v>
      </c>
      <c r="AW6" s="225">
        <f t="shared" si="13"/>
        <v>1332.48</v>
      </c>
      <c r="AX6" s="427">
        <f t="shared" si="14"/>
        <v>1167.48</v>
      </c>
      <c r="AY6" s="427"/>
      <c r="AZ6" s="427">
        <f t="shared" si="15"/>
        <v>165</v>
      </c>
      <c r="BA6" s="427"/>
      <c r="BB6" s="226">
        <v>80</v>
      </c>
      <c r="BC6" s="226">
        <f t="shared" si="16"/>
        <v>1412.48</v>
      </c>
      <c r="BD6" s="245"/>
      <c r="BE6" s="246"/>
      <c r="BF6" s="246"/>
      <c r="BG6" s="246"/>
      <c r="BH6" s="246"/>
    </row>
    <row r="7" spans="1:60" s="247" customFormat="1">
      <c r="A7" s="225">
        <v>5</v>
      </c>
      <c r="B7" s="238" t="s">
        <v>283</v>
      </c>
      <c r="C7" s="239" t="s">
        <v>63</v>
      </c>
      <c r="D7" s="225" t="s">
        <v>284</v>
      </c>
      <c r="E7" s="240" t="s">
        <v>285</v>
      </c>
      <c r="F7" s="241" t="s">
        <v>48</v>
      </c>
      <c r="G7" s="242" t="s">
        <v>49</v>
      </c>
      <c r="H7" s="225" t="s">
        <v>286</v>
      </c>
      <c r="I7" s="225" t="s">
        <v>286</v>
      </c>
      <c r="J7" s="225" t="s">
        <v>355</v>
      </c>
      <c r="K7" s="225" t="s">
        <v>355</v>
      </c>
      <c r="L7" s="225">
        <v>3430</v>
      </c>
      <c r="M7" s="225">
        <v>0.16</v>
      </c>
      <c r="N7" s="225">
        <f t="shared" si="0"/>
        <v>548.79999999999995</v>
      </c>
      <c r="O7" s="225">
        <v>0.08</v>
      </c>
      <c r="P7" s="225">
        <f t="shared" si="1"/>
        <v>274.39999999999998</v>
      </c>
      <c r="Q7" s="225">
        <v>3430</v>
      </c>
      <c r="R7" s="225">
        <v>6.4000000000000001E-2</v>
      </c>
      <c r="S7" s="225">
        <f t="shared" si="2"/>
        <v>219.52</v>
      </c>
      <c r="T7" s="225">
        <v>0.02</v>
      </c>
      <c r="U7" s="225">
        <f t="shared" si="3"/>
        <v>68.599999999999994</v>
      </c>
      <c r="V7" s="225">
        <v>3430</v>
      </c>
      <c r="W7" s="225">
        <v>5.0000000000000001E-3</v>
      </c>
      <c r="X7" s="225">
        <f t="shared" si="4"/>
        <v>17.149999999999999</v>
      </c>
      <c r="Y7" s="225">
        <v>5.0000000000000001E-3</v>
      </c>
      <c r="Z7" s="225">
        <f t="shared" si="5"/>
        <v>17.149999999999999</v>
      </c>
      <c r="AA7" s="225"/>
      <c r="AB7" s="225"/>
      <c r="AC7" s="225"/>
      <c r="AD7" s="225">
        <v>3430</v>
      </c>
      <c r="AE7" s="225">
        <v>2E-3</v>
      </c>
      <c r="AF7" s="225">
        <f t="shared" si="6"/>
        <v>6.86</v>
      </c>
      <c r="AG7" s="225">
        <v>1650</v>
      </c>
      <c r="AH7" s="225">
        <v>0.05</v>
      </c>
      <c r="AI7" s="225">
        <f t="shared" si="7"/>
        <v>82.5</v>
      </c>
      <c r="AJ7" s="225">
        <v>0.05</v>
      </c>
      <c r="AK7" s="225">
        <f t="shared" si="8"/>
        <v>82.5</v>
      </c>
      <c r="AL7" s="243"/>
      <c r="AM7" s="225"/>
      <c r="AN7" s="225"/>
      <c r="AO7" s="225"/>
      <c r="AP7" s="240"/>
      <c r="AQ7" s="244">
        <v>15</v>
      </c>
      <c r="AR7" s="244"/>
      <c r="AS7" s="225">
        <f t="shared" si="9"/>
        <v>807.32999999999993</v>
      </c>
      <c r="AT7" s="225">
        <f t="shared" si="10"/>
        <v>360.15</v>
      </c>
      <c r="AU7" s="225">
        <f t="shared" si="11"/>
        <v>82.5</v>
      </c>
      <c r="AV7" s="225">
        <f t="shared" si="12"/>
        <v>82.5</v>
      </c>
      <c r="AW7" s="225">
        <f t="shared" si="13"/>
        <v>1332.48</v>
      </c>
      <c r="AX7" s="427">
        <f t="shared" si="14"/>
        <v>1167.48</v>
      </c>
      <c r="AY7" s="427"/>
      <c r="AZ7" s="427">
        <f t="shared" si="15"/>
        <v>165</v>
      </c>
      <c r="BA7" s="427"/>
      <c r="BB7" s="226">
        <v>80</v>
      </c>
      <c r="BC7" s="226">
        <f t="shared" si="16"/>
        <v>1412.48</v>
      </c>
      <c r="BD7" s="245"/>
      <c r="BE7" s="246"/>
      <c r="BF7" s="246"/>
      <c r="BG7" s="246"/>
      <c r="BH7" s="246"/>
    </row>
    <row r="8" spans="1:60" s="247" customFormat="1">
      <c r="A8" s="225">
        <v>6</v>
      </c>
      <c r="B8" s="238" t="s">
        <v>283</v>
      </c>
      <c r="C8" s="239" t="s">
        <v>63</v>
      </c>
      <c r="D8" s="225" t="s">
        <v>284</v>
      </c>
      <c r="E8" s="240" t="s">
        <v>285</v>
      </c>
      <c r="F8" s="241" t="s">
        <v>50</v>
      </c>
      <c r="G8" s="242" t="s">
        <v>51</v>
      </c>
      <c r="H8" s="225" t="s">
        <v>286</v>
      </c>
      <c r="I8" s="225" t="s">
        <v>286</v>
      </c>
      <c r="J8" s="225" t="s">
        <v>355</v>
      </c>
      <c r="K8" s="225" t="s">
        <v>355</v>
      </c>
      <c r="L8" s="225">
        <v>3430</v>
      </c>
      <c r="M8" s="225">
        <v>0.16</v>
      </c>
      <c r="N8" s="225">
        <f t="shared" si="0"/>
        <v>548.79999999999995</v>
      </c>
      <c r="O8" s="225">
        <v>0.08</v>
      </c>
      <c r="P8" s="225">
        <f t="shared" si="1"/>
        <v>274.39999999999998</v>
      </c>
      <c r="Q8" s="225">
        <v>3430</v>
      </c>
      <c r="R8" s="225">
        <v>6.4000000000000001E-2</v>
      </c>
      <c r="S8" s="225">
        <f t="shared" si="2"/>
        <v>219.52</v>
      </c>
      <c r="T8" s="225">
        <v>0.02</v>
      </c>
      <c r="U8" s="225">
        <f t="shared" si="3"/>
        <v>68.599999999999994</v>
      </c>
      <c r="V8" s="225">
        <v>3430</v>
      </c>
      <c r="W8" s="225">
        <v>5.0000000000000001E-3</v>
      </c>
      <c r="X8" s="225">
        <f t="shared" si="4"/>
        <v>17.149999999999999</v>
      </c>
      <c r="Y8" s="225">
        <v>5.0000000000000001E-3</v>
      </c>
      <c r="Z8" s="225">
        <f t="shared" si="5"/>
        <v>17.149999999999999</v>
      </c>
      <c r="AA8" s="225"/>
      <c r="AB8" s="225"/>
      <c r="AC8" s="225"/>
      <c r="AD8" s="225">
        <v>3430</v>
      </c>
      <c r="AE8" s="225">
        <v>2E-3</v>
      </c>
      <c r="AF8" s="225">
        <f t="shared" si="6"/>
        <v>6.86</v>
      </c>
      <c r="AG8" s="225">
        <v>1650</v>
      </c>
      <c r="AH8" s="225">
        <v>0.05</v>
      </c>
      <c r="AI8" s="225">
        <f t="shared" si="7"/>
        <v>82.5</v>
      </c>
      <c r="AJ8" s="225">
        <v>0.05</v>
      </c>
      <c r="AK8" s="225">
        <f t="shared" si="8"/>
        <v>82.5</v>
      </c>
      <c r="AL8" s="243"/>
      <c r="AM8" s="225"/>
      <c r="AN8" s="225"/>
      <c r="AO8" s="225"/>
      <c r="AP8" s="240"/>
      <c r="AQ8" s="244">
        <v>15</v>
      </c>
      <c r="AR8" s="244"/>
      <c r="AS8" s="225">
        <f t="shared" si="9"/>
        <v>807.32999999999993</v>
      </c>
      <c r="AT8" s="225">
        <f t="shared" si="10"/>
        <v>360.15</v>
      </c>
      <c r="AU8" s="225">
        <f t="shared" si="11"/>
        <v>82.5</v>
      </c>
      <c r="AV8" s="225">
        <f t="shared" si="12"/>
        <v>82.5</v>
      </c>
      <c r="AW8" s="225">
        <f t="shared" si="13"/>
        <v>1332.48</v>
      </c>
      <c r="AX8" s="427">
        <f t="shared" si="14"/>
        <v>1167.48</v>
      </c>
      <c r="AY8" s="427"/>
      <c r="AZ8" s="427">
        <f t="shared" si="15"/>
        <v>165</v>
      </c>
      <c r="BA8" s="427"/>
      <c r="BB8" s="226">
        <v>80</v>
      </c>
      <c r="BC8" s="226">
        <f t="shared" si="16"/>
        <v>1412.48</v>
      </c>
      <c r="BD8" s="245"/>
      <c r="BE8" s="246"/>
      <c r="BF8" s="246"/>
      <c r="BG8" s="246"/>
      <c r="BH8" s="246"/>
    </row>
    <row r="9" spans="1:60" s="247" customFormat="1">
      <c r="A9" s="225">
        <v>7</v>
      </c>
      <c r="B9" s="238" t="s">
        <v>283</v>
      </c>
      <c r="C9" s="239" t="s">
        <v>63</v>
      </c>
      <c r="D9" s="225" t="s">
        <v>284</v>
      </c>
      <c r="E9" s="240" t="s">
        <v>285</v>
      </c>
      <c r="F9" s="241" t="s">
        <v>52</v>
      </c>
      <c r="G9" s="242" t="s">
        <v>53</v>
      </c>
      <c r="H9" s="225" t="s">
        <v>286</v>
      </c>
      <c r="I9" s="225" t="s">
        <v>286</v>
      </c>
      <c r="J9" s="225" t="s">
        <v>355</v>
      </c>
      <c r="K9" s="225" t="s">
        <v>355</v>
      </c>
      <c r="L9" s="225">
        <v>3430</v>
      </c>
      <c r="M9" s="225">
        <v>0.16</v>
      </c>
      <c r="N9" s="225">
        <f t="shared" si="0"/>
        <v>548.79999999999995</v>
      </c>
      <c r="O9" s="225">
        <v>0.08</v>
      </c>
      <c r="P9" s="225">
        <f t="shared" si="1"/>
        <v>274.39999999999998</v>
      </c>
      <c r="Q9" s="225">
        <v>3430</v>
      </c>
      <c r="R9" s="225">
        <v>6.4000000000000001E-2</v>
      </c>
      <c r="S9" s="225">
        <f t="shared" si="2"/>
        <v>219.52</v>
      </c>
      <c r="T9" s="225">
        <v>0.02</v>
      </c>
      <c r="U9" s="225">
        <f t="shared" si="3"/>
        <v>68.599999999999994</v>
      </c>
      <c r="V9" s="225">
        <v>3430</v>
      </c>
      <c r="W9" s="225">
        <v>5.0000000000000001E-3</v>
      </c>
      <c r="X9" s="225">
        <f t="shared" si="4"/>
        <v>17.149999999999999</v>
      </c>
      <c r="Y9" s="225">
        <v>5.0000000000000001E-3</v>
      </c>
      <c r="Z9" s="225">
        <f t="shared" si="5"/>
        <v>17.149999999999999</v>
      </c>
      <c r="AA9" s="225"/>
      <c r="AB9" s="225"/>
      <c r="AC9" s="225"/>
      <c r="AD9" s="225">
        <v>3430</v>
      </c>
      <c r="AE9" s="225">
        <v>2E-3</v>
      </c>
      <c r="AF9" s="225">
        <f t="shared" si="6"/>
        <v>6.86</v>
      </c>
      <c r="AG9" s="225">
        <v>11000</v>
      </c>
      <c r="AH9" s="225">
        <v>0.12</v>
      </c>
      <c r="AI9" s="225">
        <f t="shared" si="7"/>
        <v>1320</v>
      </c>
      <c r="AJ9" s="225">
        <v>0.12</v>
      </c>
      <c r="AK9" s="225">
        <f t="shared" si="8"/>
        <v>1320</v>
      </c>
      <c r="AL9" s="243"/>
      <c r="AM9" s="225"/>
      <c r="AN9" s="225"/>
      <c r="AO9" s="225"/>
      <c r="AP9" s="240"/>
      <c r="AQ9" s="244">
        <v>15</v>
      </c>
      <c r="AR9" s="244"/>
      <c r="AS9" s="225">
        <f t="shared" si="9"/>
        <v>807.32999999999993</v>
      </c>
      <c r="AT9" s="225">
        <f t="shared" si="10"/>
        <v>360.15</v>
      </c>
      <c r="AU9" s="225">
        <f t="shared" si="11"/>
        <v>1320</v>
      </c>
      <c r="AV9" s="225">
        <f t="shared" si="12"/>
        <v>1320</v>
      </c>
      <c r="AW9" s="225">
        <f t="shared" si="13"/>
        <v>3807.48</v>
      </c>
      <c r="AX9" s="427">
        <f t="shared" si="14"/>
        <v>1167.48</v>
      </c>
      <c r="AY9" s="427"/>
      <c r="AZ9" s="427">
        <f t="shared" si="15"/>
        <v>2640</v>
      </c>
      <c r="BA9" s="427"/>
      <c r="BB9" s="226">
        <v>80</v>
      </c>
      <c r="BC9" s="226">
        <f t="shared" si="16"/>
        <v>3887.48</v>
      </c>
      <c r="BD9" s="245"/>
      <c r="BE9" s="246"/>
      <c r="BF9" s="246"/>
      <c r="BG9" s="246"/>
      <c r="BH9" s="246"/>
    </row>
    <row r="10" spans="1:60" s="247" customFormat="1">
      <c r="A10" s="225">
        <v>8</v>
      </c>
      <c r="B10" s="238" t="s">
        <v>283</v>
      </c>
      <c r="C10" s="239" t="s">
        <v>63</v>
      </c>
      <c r="D10" s="225" t="s">
        <v>284</v>
      </c>
      <c r="E10" s="240" t="s">
        <v>285</v>
      </c>
      <c r="F10" s="241" t="s">
        <v>54</v>
      </c>
      <c r="G10" s="242" t="s">
        <v>55</v>
      </c>
      <c r="H10" s="225" t="s">
        <v>286</v>
      </c>
      <c r="I10" s="225" t="s">
        <v>286</v>
      </c>
      <c r="J10" s="225" t="s">
        <v>355</v>
      </c>
      <c r="K10" s="225" t="s">
        <v>355</v>
      </c>
      <c r="L10" s="225">
        <v>3430</v>
      </c>
      <c r="M10" s="225">
        <v>0.16</v>
      </c>
      <c r="N10" s="225">
        <f t="shared" si="0"/>
        <v>548.79999999999995</v>
      </c>
      <c r="O10" s="225">
        <v>0.08</v>
      </c>
      <c r="P10" s="225">
        <f t="shared" si="1"/>
        <v>274.39999999999998</v>
      </c>
      <c r="Q10" s="225">
        <v>3430</v>
      </c>
      <c r="R10" s="225">
        <v>6.4000000000000001E-2</v>
      </c>
      <c r="S10" s="225">
        <f t="shared" si="2"/>
        <v>219.52</v>
      </c>
      <c r="T10" s="225">
        <v>0.02</v>
      </c>
      <c r="U10" s="225">
        <f t="shared" si="3"/>
        <v>68.599999999999994</v>
      </c>
      <c r="V10" s="225">
        <v>3430</v>
      </c>
      <c r="W10" s="225">
        <v>5.0000000000000001E-3</v>
      </c>
      <c r="X10" s="225">
        <f t="shared" si="4"/>
        <v>17.149999999999999</v>
      </c>
      <c r="Y10" s="225">
        <v>5.0000000000000001E-3</v>
      </c>
      <c r="Z10" s="225">
        <f t="shared" si="5"/>
        <v>17.149999999999999</v>
      </c>
      <c r="AA10" s="225"/>
      <c r="AB10" s="225"/>
      <c r="AC10" s="225"/>
      <c r="AD10" s="225">
        <v>3430</v>
      </c>
      <c r="AE10" s="225">
        <v>2E-3</v>
      </c>
      <c r="AF10" s="225">
        <f t="shared" si="6"/>
        <v>6.86</v>
      </c>
      <c r="AG10" s="225">
        <v>1650</v>
      </c>
      <c r="AH10" s="225">
        <v>0.05</v>
      </c>
      <c r="AI10" s="225">
        <f t="shared" si="7"/>
        <v>82.5</v>
      </c>
      <c r="AJ10" s="225">
        <v>0.05</v>
      </c>
      <c r="AK10" s="225">
        <f t="shared" si="8"/>
        <v>82.5</v>
      </c>
      <c r="AL10" s="243"/>
      <c r="AM10" s="225"/>
      <c r="AN10" s="225"/>
      <c r="AO10" s="225"/>
      <c r="AP10" s="240"/>
      <c r="AQ10" s="244">
        <v>15</v>
      </c>
      <c r="AR10" s="244"/>
      <c r="AS10" s="225">
        <f t="shared" si="9"/>
        <v>807.32999999999993</v>
      </c>
      <c r="AT10" s="225">
        <f t="shared" si="10"/>
        <v>360.15</v>
      </c>
      <c r="AU10" s="225">
        <f t="shared" si="11"/>
        <v>82.5</v>
      </c>
      <c r="AV10" s="225">
        <f t="shared" si="12"/>
        <v>82.5</v>
      </c>
      <c r="AW10" s="225">
        <f t="shared" si="13"/>
        <v>1332.48</v>
      </c>
      <c r="AX10" s="427">
        <f t="shared" si="14"/>
        <v>1167.48</v>
      </c>
      <c r="AY10" s="427"/>
      <c r="AZ10" s="427">
        <f t="shared" si="15"/>
        <v>165</v>
      </c>
      <c r="BA10" s="427"/>
      <c r="BB10" s="226">
        <v>80</v>
      </c>
      <c r="BC10" s="226">
        <f t="shared" si="16"/>
        <v>1412.48</v>
      </c>
      <c r="BD10" s="245"/>
      <c r="BE10" s="246"/>
      <c r="BF10" s="246"/>
      <c r="BG10" s="246"/>
      <c r="BH10" s="246"/>
    </row>
    <row r="11" spans="1:60" s="247" customFormat="1">
      <c r="A11" s="225">
        <v>9</v>
      </c>
      <c r="B11" s="238" t="s">
        <v>283</v>
      </c>
      <c r="C11" s="239" t="s">
        <v>63</v>
      </c>
      <c r="D11" s="225" t="s">
        <v>284</v>
      </c>
      <c r="E11" s="240" t="s">
        <v>285</v>
      </c>
      <c r="F11" s="241" t="s">
        <v>56</v>
      </c>
      <c r="G11" s="242" t="s">
        <v>57</v>
      </c>
      <c r="H11" s="225" t="s">
        <v>286</v>
      </c>
      <c r="I11" s="225" t="s">
        <v>286</v>
      </c>
      <c r="J11" s="225" t="s">
        <v>355</v>
      </c>
      <c r="K11" s="225" t="s">
        <v>355</v>
      </c>
      <c r="L11" s="225">
        <v>3430</v>
      </c>
      <c r="M11" s="225">
        <v>0.16</v>
      </c>
      <c r="N11" s="225">
        <f t="shared" si="0"/>
        <v>548.79999999999995</v>
      </c>
      <c r="O11" s="225">
        <v>0.08</v>
      </c>
      <c r="P11" s="225">
        <f t="shared" si="1"/>
        <v>274.39999999999998</v>
      </c>
      <c r="Q11" s="225">
        <v>3430</v>
      </c>
      <c r="R11" s="225">
        <v>6.4000000000000001E-2</v>
      </c>
      <c r="S11" s="225">
        <f t="shared" si="2"/>
        <v>219.52</v>
      </c>
      <c r="T11" s="225">
        <v>0.02</v>
      </c>
      <c r="U11" s="225">
        <f t="shared" si="3"/>
        <v>68.599999999999994</v>
      </c>
      <c r="V11" s="225">
        <v>3430</v>
      </c>
      <c r="W11" s="225">
        <v>5.0000000000000001E-3</v>
      </c>
      <c r="X11" s="225">
        <f t="shared" si="4"/>
        <v>17.149999999999999</v>
      </c>
      <c r="Y11" s="225">
        <v>5.0000000000000001E-3</v>
      </c>
      <c r="Z11" s="225">
        <f t="shared" si="5"/>
        <v>17.149999999999999</v>
      </c>
      <c r="AA11" s="225"/>
      <c r="AB11" s="225"/>
      <c r="AC11" s="225"/>
      <c r="AD11" s="225">
        <v>3430</v>
      </c>
      <c r="AE11" s="225">
        <v>2E-3</v>
      </c>
      <c r="AF11" s="225">
        <f t="shared" si="6"/>
        <v>6.86</v>
      </c>
      <c r="AG11" s="225">
        <v>1650</v>
      </c>
      <c r="AH11" s="225">
        <v>0.05</v>
      </c>
      <c r="AI11" s="225">
        <f t="shared" si="7"/>
        <v>82.5</v>
      </c>
      <c r="AJ11" s="225">
        <v>0.05</v>
      </c>
      <c r="AK11" s="225">
        <f t="shared" si="8"/>
        <v>82.5</v>
      </c>
      <c r="AL11" s="243"/>
      <c r="AM11" s="225"/>
      <c r="AN11" s="225"/>
      <c r="AO11" s="225"/>
      <c r="AP11" s="240"/>
      <c r="AQ11" s="244">
        <v>15</v>
      </c>
      <c r="AR11" s="244"/>
      <c r="AS11" s="225">
        <f t="shared" si="9"/>
        <v>807.32999999999993</v>
      </c>
      <c r="AT11" s="225">
        <f t="shared" si="10"/>
        <v>360.15</v>
      </c>
      <c r="AU11" s="225">
        <f t="shared" si="11"/>
        <v>82.5</v>
      </c>
      <c r="AV11" s="225">
        <f t="shared" si="12"/>
        <v>82.5</v>
      </c>
      <c r="AW11" s="225">
        <f t="shared" si="13"/>
        <v>1332.48</v>
      </c>
      <c r="AX11" s="427">
        <f t="shared" si="14"/>
        <v>1167.48</v>
      </c>
      <c r="AY11" s="427"/>
      <c r="AZ11" s="427">
        <f t="shared" si="15"/>
        <v>165</v>
      </c>
      <c r="BA11" s="427"/>
      <c r="BB11" s="226">
        <v>80</v>
      </c>
      <c r="BC11" s="226">
        <f t="shared" si="16"/>
        <v>1412.48</v>
      </c>
      <c r="BD11" s="245"/>
      <c r="BE11" s="246"/>
      <c r="BF11" s="246"/>
      <c r="BG11" s="246"/>
      <c r="BH11" s="246"/>
    </row>
    <row r="12" spans="1:60" s="247" customFormat="1">
      <c r="A12" s="225">
        <v>10</v>
      </c>
      <c r="B12" s="238" t="s">
        <v>283</v>
      </c>
      <c r="C12" s="239" t="s">
        <v>63</v>
      </c>
      <c r="D12" s="225" t="s">
        <v>284</v>
      </c>
      <c r="E12" s="240" t="s">
        <v>285</v>
      </c>
      <c r="F12" s="241" t="s">
        <v>58</v>
      </c>
      <c r="G12" s="242" t="s">
        <v>59</v>
      </c>
      <c r="H12" s="225" t="s">
        <v>286</v>
      </c>
      <c r="I12" s="225" t="s">
        <v>286</v>
      </c>
      <c r="J12" s="225" t="s">
        <v>355</v>
      </c>
      <c r="K12" s="225" t="s">
        <v>355</v>
      </c>
      <c r="L12" s="225">
        <v>3430</v>
      </c>
      <c r="M12" s="225">
        <v>0.16</v>
      </c>
      <c r="N12" s="225">
        <f t="shared" si="0"/>
        <v>548.79999999999995</v>
      </c>
      <c r="O12" s="225">
        <v>0.08</v>
      </c>
      <c r="P12" s="225">
        <f t="shared" si="1"/>
        <v>274.39999999999998</v>
      </c>
      <c r="Q12" s="225">
        <v>3430</v>
      </c>
      <c r="R12" s="225">
        <v>6.4000000000000001E-2</v>
      </c>
      <c r="S12" s="225">
        <f t="shared" si="2"/>
        <v>219.52</v>
      </c>
      <c r="T12" s="225">
        <v>0.02</v>
      </c>
      <c r="U12" s="225">
        <f t="shared" si="3"/>
        <v>68.599999999999994</v>
      </c>
      <c r="V12" s="225">
        <v>3430</v>
      </c>
      <c r="W12" s="225">
        <v>5.0000000000000001E-3</v>
      </c>
      <c r="X12" s="225">
        <f t="shared" si="4"/>
        <v>17.149999999999999</v>
      </c>
      <c r="Y12" s="225">
        <v>5.0000000000000001E-3</v>
      </c>
      <c r="Z12" s="225">
        <f t="shared" si="5"/>
        <v>17.149999999999999</v>
      </c>
      <c r="AA12" s="225"/>
      <c r="AB12" s="225"/>
      <c r="AC12" s="225"/>
      <c r="AD12" s="225">
        <v>3430</v>
      </c>
      <c r="AE12" s="225">
        <v>2E-3</v>
      </c>
      <c r="AF12" s="225">
        <f t="shared" si="6"/>
        <v>6.86</v>
      </c>
      <c r="AG12" s="225">
        <v>1650</v>
      </c>
      <c r="AH12" s="225">
        <v>0.05</v>
      </c>
      <c r="AI12" s="225">
        <f t="shared" si="7"/>
        <v>82.5</v>
      </c>
      <c r="AJ12" s="225">
        <v>0.05</v>
      </c>
      <c r="AK12" s="225">
        <f t="shared" si="8"/>
        <v>82.5</v>
      </c>
      <c r="AL12" s="243"/>
      <c r="AM12" s="225"/>
      <c r="AN12" s="225"/>
      <c r="AO12" s="225"/>
      <c r="AP12" s="240"/>
      <c r="AQ12" s="244">
        <v>15</v>
      </c>
      <c r="AR12" s="244"/>
      <c r="AS12" s="225">
        <f t="shared" si="9"/>
        <v>807.32999999999993</v>
      </c>
      <c r="AT12" s="225">
        <f t="shared" si="10"/>
        <v>360.15</v>
      </c>
      <c r="AU12" s="225">
        <f t="shared" si="11"/>
        <v>82.5</v>
      </c>
      <c r="AV12" s="225">
        <f t="shared" si="12"/>
        <v>82.5</v>
      </c>
      <c r="AW12" s="225">
        <f t="shared" si="13"/>
        <v>1332.48</v>
      </c>
      <c r="AX12" s="427">
        <f t="shared" si="14"/>
        <v>1167.48</v>
      </c>
      <c r="AY12" s="427"/>
      <c r="AZ12" s="427">
        <f t="shared" si="15"/>
        <v>165</v>
      </c>
      <c r="BA12" s="427"/>
      <c r="BB12" s="226">
        <v>80</v>
      </c>
      <c r="BC12" s="226">
        <f t="shared" si="16"/>
        <v>1412.48</v>
      </c>
      <c r="BD12" s="245"/>
      <c r="BE12" s="246"/>
      <c r="BF12" s="246"/>
      <c r="BG12" s="246"/>
      <c r="BH12" s="246"/>
    </row>
    <row r="13" spans="1:60" s="257" customFormat="1">
      <c r="A13" s="227">
        <v>11</v>
      </c>
      <c r="B13" s="248" t="s">
        <v>283</v>
      </c>
      <c r="C13" s="249" t="s">
        <v>63</v>
      </c>
      <c r="D13" s="227" t="s">
        <v>284</v>
      </c>
      <c r="E13" s="250" t="s">
        <v>285</v>
      </c>
      <c r="F13" s="251" t="s">
        <v>230</v>
      </c>
      <c r="G13" s="252" t="s">
        <v>231</v>
      </c>
      <c r="H13" s="227" t="s">
        <v>286</v>
      </c>
      <c r="I13" s="227" t="s">
        <v>286</v>
      </c>
      <c r="J13" s="227" t="s">
        <v>355</v>
      </c>
      <c r="K13" s="227" t="s">
        <v>355</v>
      </c>
      <c r="L13" s="227">
        <v>3430</v>
      </c>
      <c r="M13" s="227">
        <v>0.16</v>
      </c>
      <c r="N13" s="227">
        <f t="shared" si="0"/>
        <v>548.79999999999995</v>
      </c>
      <c r="O13" s="227">
        <v>0.08</v>
      </c>
      <c r="P13" s="227">
        <f t="shared" si="1"/>
        <v>274.39999999999998</v>
      </c>
      <c r="Q13" s="227">
        <v>3430</v>
      </c>
      <c r="R13" s="227">
        <v>6.4000000000000001E-2</v>
      </c>
      <c r="S13" s="227">
        <f t="shared" si="2"/>
        <v>219.52</v>
      </c>
      <c r="T13" s="227">
        <v>0.02</v>
      </c>
      <c r="U13" s="227">
        <f t="shared" si="3"/>
        <v>68.599999999999994</v>
      </c>
      <c r="V13" s="227">
        <v>3430</v>
      </c>
      <c r="W13" s="227">
        <v>5.0000000000000001E-3</v>
      </c>
      <c r="X13" s="227">
        <f t="shared" si="4"/>
        <v>17.149999999999999</v>
      </c>
      <c r="Y13" s="227">
        <v>5.0000000000000001E-3</v>
      </c>
      <c r="Z13" s="227">
        <f t="shared" si="5"/>
        <v>17.149999999999999</v>
      </c>
      <c r="AA13" s="227"/>
      <c r="AB13" s="227"/>
      <c r="AC13" s="227"/>
      <c r="AD13" s="227">
        <v>3430</v>
      </c>
      <c r="AE13" s="227">
        <v>2E-3</v>
      </c>
      <c r="AF13" s="227">
        <f t="shared" si="6"/>
        <v>6.86</v>
      </c>
      <c r="AG13" s="227">
        <v>1650</v>
      </c>
      <c r="AH13" s="227">
        <v>0.05</v>
      </c>
      <c r="AI13" s="227">
        <f t="shared" si="7"/>
        <v>82.5</v>
      </c>
      <c r="AJ13" s="227">
        <v>0.05</v>
      </c>
      <c r="AK13" s="227">
        <f t="shared" si="8"/>
        <v>82.5</v>
      </c>
      <c r="AL13" s="253"/>
      <c r="AM13" s="227"/>
      <c r="AN13" s="227"/>
      <c r="AO13" s="227"/>
      <c r="AP13" s="250"/>
      <c r="AQ13" s="254">
        <v>15</v>
      </c>
      <c r="AR13" s="254"/>
      <c r="AS13" s="227">
        <f t="shared" si="9"/>
        <v>807.32999999999993</v>
      </c>
      <c r="AT13" s="227">
        <f t="shared" si="10"/>
        <v>360.15</v>
      </c>
      <c r="AU13" s="227">
        <f t="shared" si="11"/>
        <v>82.5</v>
      </c>
      <c r="AV13" s="227">
        <f t="shared" si="12"/>
        <v>82.5</v>
      </c>
      <c r="AW13" s="227">
        <f t="shared" si="13"/>
        <v>1332.48</v>
      </c>
      <c r="AX13" s="429">
        <f t="shared" si="14"/>
        <v>1167.48</v>
      </c>
      <c r="AY13" s="429"/>
      <c r="AZ13" s="429">
        <f t="shared" si="15"/>
        <v>165</v>
      </c>
      <c r="BA13" s="429"/>
      <c r="BB13" s="228">
        <v>80</v>
      </c>
      <c r="BC13" s="228">
        <f t="shared" si="16"/>
        <v>1412.48</v>
      </c>
      <c r="BD13" s="255"/>
      <c r="BE13" s="256"/>
      <c r="BF13" s="256"/>
      <c r="BG13" s="256"/>
      <c r="BH13" s="256"/>
    </row>
    <row r="14" spans="1:60" s="257" customFormat="1">
      <c r="A14" s="227">
        <v>12</v>
      </c>
      <c r="B14" s="248" t="s">
        <v>283</v>
      </c>
      <c r="C14" s="249" t="s">
        <v>63</v>
      </c>
      <c r="D14" s="227" t="s">
        <v>284</v>
      </c>
      <c r="E14" s="250" t="s">
        <v>285</v>
      </c>
      <c r="F14" s="251" t="s">
        <v>232</v>
      </c>
      <c r="G14" s="252" t="s">
        <v>233</v>
      </c>
      <c r="H14" s="227" t="s">
        <v>286</v>
      </c>
      <c r="I14" s="227" t="s">
        <v>286</v>
      </c>
      <c r="J14" s="227" t="s">
        <v>355</v>
      </c>
      <c r="K14" s="227" t="s">
        <v>355</v>
      </c>
      <c r="L14" s="227">
        <v>3430</v>
      </c>
      <c r="M14" s="227">
        <v>0.16</v>
      </c>
      <c r="N14" s="227">
        <f t="shared" si="0"/>
        <v>548.79999999999995</v>
      </c>
      <c r="O14" s="227">
        <v>0.08</v>
      </c>
      <c r="P14" s="227">
        <f t="shared" si="1"/>
        <v>274.39999999999998</v>
      </c>
      <c r="Q14" s="227">
        <v>3430</v>
      </c>
      <c r="R14" s="227">
        <v>6.4000000000000001E-2</v>
      </c>
      <c r="S14" s="227">
        <f t="shared" si="2"/>
        <v>219.52</v>
      </c>
      <c r="T14" s="227">
        <v>0.02</v>
      </c>
      <c r="U14" s="227">
        <f t="shared" si="3"/>
        <v>68.599999999999994</v>
      </c>
      <c r="V14" s="227">
        <v>3430</v>
      </c>
      <c r="W14" s="227">
        <v>5.0000000000000001E-3</v>
      </c>
      <c r="X14" s="227">
        <f t="shared" si="4"/>
        <v>17.149999999999999</v>
      </c>
      <c r="Y14" s="227">
        <v>5.0000000000000001E-3</v>
      </c>
      <c r="Z14" s="227">
        <f t="shared" si="5"/>
        <v>17.149999999999999</v>
      </c>
      <c r="AA14" s="227"/>
      <c r="AB14" s="227"/>
      <c r="AC14" s="227"/>
      <c r="AD14" s="227">
        <v>3430</v>
      </c>
      <c r="AE14" s="227">
        <v>2E-3</v>
      </c>
      <c r="AF14" s="227">
        <f t="shared" si="6"/>
        <v>6.86</v>
      </c>
      <c r="AG14" s="227">
        <v>1650</v>
      </c>
      <c r="AH14" s="227">
        <v>0.05</v>
      </c>
      <c r="AI14" s="227">
        <f t="shared" si="7"/>
        <v>82.5</v>
      </c>
      <c r="AJ14" s="227">
        <v>0.05</v>
      </c>
      <c r="AK14" s="227">
        <f t="shared" si="8"/>
        <v>82.5</v>
      </c>
      <c r="AL14" s="253"/>
      <c r="AM14" s="227"/>
      <c r="AN14" s="227"/>
      <c r="AO14" s="227"/>
      <c r="AP14" s="250"/>
      <c r="AQ14" s="254">
        <v>15</v>
      </c>
      <c r="AR14" s="254"/>
      <c r="AS14" s="227">
        <f t="shared" si="9"/>
        <v>807.32999999999993</v>
      </c>
      <c r="AT14" s="227">
        <f t="shared" si="10"/>
        <v>360.15</v>
      </c>
      <c r="AU14" s="227">
        <f t="shared" si="11"/>
        <v>82.5</v>
      </c>
      <c r="AV14" s="227">
        <f t="shared" si="12"/>
        <v>82.5</v>
      </c>
      <c r="AW14" s="227">
        <f t="shared" si="13"/>
        <v>1332.48</v>
      </c>
      <c r="AX14" s="429">
        <f t="shared" si="14"/>
        <v>1167.48</v>
      </c>
      <c r="AY14" s="429"/>
      <c r="AZ14" s="429">
        <f t="shared" si="15"/>
        <v>165</v>
      </c>
      <c r="BA14" s="429"/>
      <c r="BB14" s="228">
        <v>80</v>
      </c>
      <c r="BC14" s="228">
        <f t="shared" si="16"/>
        <v>1412.48</v>
      </c>
      <c r="BD14" s="255"/>
      <c r="BE14" s="256"/>
      <c r="BF14" s="256"/>
      <c r="BG14" s="256"/>
      <c r="BH14" s="256"/>
    </row>
    <row r="15" spans="1:60" s="257" customFormat="1">
      <c r="A15" s="227">
        <v>13</v>
      </c>
      <c r="B15" s="248" t="s">
        <v>283</v>
      </c>
      <c r="C15" s="249" t="s">
        <v>63</v>
      </c>
      <c r="D15" s="227" t="s">
        <v>284</v>
      </c>
      <c r="E15" s="250" t="s">
        <v>285</v>
      </c>
      <c r="F15" s="251" t="s">
        <v>234</v>
      </c>
      <c r="G15" s="252" t="s">
        <v>357</v>
      </c>
      <c r="H15" s="227" t="s">
        <v>286</v>
      </c>
      <c r="I15" s="227" t="s">
        <v>286</v>
      </c>
      <c r="J15" s="227" t="s">
        <v>355</v>
      </c>
      <c r="K15" s="227" t="s">
        <v>355</v>
      </c>
      <c r="L15" s="227">
        <v>3430</v>
      </c>
      <c r="M15" s="227">
        <v>0.16</v>
      </c>
      <c r="N15" s="227">
        <f t="shared" si="0"/>
        <v>548.79999999999995</v>
      </c>
      <c r="O15" s="227">
        <v>0.08</v>
      </c>
      <c r="P15" s="227">
        <f t="shared" si="1"/>
        <v>274.39999999999998</v>
      </c>
      <c r="Q15" s="227">
        <v>3430</v>
      </c>
      <c r="R15" s="227">
        <v>6.4000000000000001E-2</v>
      </c>
      <c r="S15" s="227">
        <f t="shared" si="2"/>
        <v>219.52</v>
      </c>
      <c r="T15" s="227">
        <v>0.02</v>
      </c>
      <c r="U15" s="227">
        <f t="shared" si="3"/>
        <v>68.599999999999994</v>
      </c>
      <c r="V15" s="227">
        <v>3430</v>
      </c>
      <c r="W15" s="227">
        <v>5.0000000000000001E-3</v>
      </c>
      <c r="X15" s="227">
        <f t="shared" si="4"/>
        <v>17.149999999999999</v>
      </c>
      <c r="Y15" s="227">
        <v>5.0000000000000001E-3</v>
      </c>
      <c r="Z15" s="227">
        <f t="shared" si="5"/>
        <v>17.149999999999999</v>
      </c>
      <c r="AA15" s="227"/>
      <c r="AB15" s="227"/>
      <c r="AC15" s="227"/>
      <c r="AD15" s="227">
        <v>3430</v>
      </c>
      <c r="AE15" s="227">
        <v>2E-3</v>
      </c>
      <c r="AF15" s="227">
        <f t="shared" si="6"/>
        <v>6.86</v>
      </c>
      <c r="AG15" s="227">
        <v>1650</v>
      </c>
      <c r="AH15" s="227">
        <v>0.05</v>
      </c>
      <c r="AI15" s="227">
        <f t="shared" si="7"/>
        <v>82.5</v>
      </c>
      <c r="AJ15" s="227">
        <v>0.05</v>
      </c>
      <c r="AK15" s="227">
        <f t="shared" si="8"/>
        <v>82.5</v>
      </c>
      <c r="AL15" s="253"/>
      <c r="AM15" s="227"/>
      <c r="AN15" s="227"/>
      <c r="AO15" s="227"/>
      <c r="AP15" s="250"/>
      <c r="AQ15" s="254">
        <v>15</v>
      </c>
      <c r="AR15" s="254"/>
      <c r="AS15" s="227">
        <f t="shared" si="9"/>
        <v>807.32999999999993</v>
      </c>
      <c r="AT15" s="227">
        <f t="shared" si="10"/>
        <v>360.15</v>
      </c>
      <c r="AU15" s="227">
        <f t="shared" si="11"/>
        <v>82.5</v>
      </c>
      <c r="AV15" s="227">
        <f t="shared" si="12"/>
        <v>82.5</v>
      </c>
      <c r="AW15" s="227">
        <f t="shared" si="13"/>
        <v>1332.48</v>
      </c>
      <c r="AX15" s="429">
        <f t="shared" si="14"/>
        <v>1167.48</v>
      </c>
      <c r="AY15" s="429"/>
      <c r="AZ15" s="429">
        <f t="shared" si="15"/>
        <v>165</v>
      </c>
      <c r="BA15" s="429"/>
      <c r="BB15" s="228">
        <v>80</v>
      </c>
      <c r="BC15" s="228">
        <f t="shared" si="16"/>
        <v>1412.48</v>
      </c>
      <c r="BD15" s="255"/>
      <c r="BE15" s="256"/>
      <c r="BF15" s="256"/>
      <c r="BG15" s="256"/>
      <c r="BH15" s="256"/>
    </row>
    <row r="16" spans="1:60" s="257" customFormat="1">
      <c r="A16" s="227" t="s">
        <v>358</v>
      </c>
      <c r="B16" s="248" t="s">
        <v>283</v>
      </c>
      <c r="C16" s="249" t="s">
        <v>63</v>
      </c>
      <c r="D16" s="227" t="s">
        <v>284</v>
      </c>
      <c r="E16" s="250" t="s">
        <v>285</v>
      </c>
      <c r="F16" s="251" t="s">
        <v>230</v>
      </c>
      <c r="G16" s="252" t="s">
        <v>231</v>
      </c>
      <c r="H16" s="227" t="s">
        <v>286</v>
      </c>
      <c r="I16" s="227" t="s">
        <v>286</v>
      </c>
      <c r="J16" s="227" t="s">
        <v>286</v>
      </c>
      <c r="K16" s="227" t="s">
        <v>286</v>
      </c>
      <c r="L16" s="227">
        <v>3430</v>
      </c>
      <c r="M16" s="227">
        <v>0.16</v>
      </c>
      <c r="N16" s="227">
        <f t="shared" si="0"/>
        <v>548.79999999999995</v>
      </c>
      <c r="O16" s="227">
        <v>0.08</v>
      </c>
      <c r="P16" s="227">
        <f t="shared" si="1"/>
        <v>274.39999999999998</v>
      </c>
      <c r="Q16" s="227">
        <v>3430</v>
      </c>
      <c r="R16" s="227">
        <v>6.4000000000000001E-2</v>
      </c>
      <c r="S16" s="227">
        <f t="shared" si="2"/>
        <v>219.52</v>
      </c>
      <c r="T16" s="227">
        <v>0.02</v>
      </c>
      <c r="U16" s="227">
        <f t="shared" si="3"/>
        <v>68.599999999999994</v>
      </c>
      <c r="V16" s="227">
        <v>3430</v>
      </c>
      <c r="W16" s="227">
        <v>5.0000000000000001E-3</v>
      </c>
      <c r="X16" s="227">
        <f t="shared" si="4"/>
        <v>17.149999999999999</v>
      </c>
      <c r="Y16" s="227">
        <v>5.0000000000000001E-3</v>
      </c>
      <c r="Z16" s="227">
        <f t="shared" si="5"/>
        <v>17.149999999999999</v>
      </c>
      <c r="AA16" s="227"/>
      <c r="AB16" s="227"/>
      <c r="AC16" s="227"/>
      <c r="AD16" s="227">
        <v>3430</v>
      </c>
      <c r="AE16" s="227">
        <v>2E-3</v>
      </c>
      <c r="AF16" s="227">
        <f t="shared" si="6"/>
        <v>6.86</v>
      </c>
      <c r="AG16" s="227">
        <v>1650</v>
      </c>
      <c r="AH16" s="227">
        <v>0.05</v>
      </c>
      <c r="AI16" s="227">
        <f t="shared" si="7"/>
        <v>82.5</v>
      </c>
      <c r="AJ16" s="227">
        <v>0.05</v>
      </c>
      <c r="AK16" s="227">
        <f t="shared" si="8"/>
        <v>82.5</v>
      </c>
      <c r="AL16" s="253"/>
      <c r="AM16" s="227"/>
      <c r="AN16" s="227"/>
      <c r="AO16" s="227"/>
      <c r="AP16" s="250"/>
      <c r="AQ16" s="254">
        <v>15</v>
      </c>
      <c r="AR16" s="254"/>
      <c r="AS16" s="227">
        <f t="shared" si="9"/>
        <v>807.32999999999993</v>
      </c>
      <c r="AT16" s="227">
        <f t="shared" si="10"/>
        <v>360.15</v>
      </c>
      <c r="AU16" s="227">
        <f t="shared" si="11"/>
        <v>82.5</v>
      </c>
      <c r="AV16" s="227">
        <f t="shared" si="12"/>
        <v>82.5</v>
      </c>
      <c r="AW16" s="227">
        <f t="shared" si="13"/>
        <v>1332.48</v>
      </c>
      <c r="AX16" s="429">
        <f t="shared" si="14"/>
        <v>1167.48</v>
      </c>
      <c r="AY16" s="429"/>
      <c r="AZ16" s="429">
        <f t="shared" si="15"/>
        <v>165</v>
      </c>
      <c r="BA16" s="429"/>
      <c r="BB16" s="228">
        <v>80</v>
      </c>
      <c r="BC16" s="228">
        <f t="shared" si="16"/>
        <v>1412.48</v>
      </c>
      <c r="BD16" s="255"/>
      <c r="BE16" s="256"/>
      <c r="BF16" s="256"/>
      <c r="BG16" s="256"/>
      <c r="BH16" s="256"/>
    </row>
    <row r="17" spans="1:60" s="257" customFormat="1">
      <c r="A17" s="227" t="s">
        <v>358</v>
      </c>
      <c r="B17" s="248" t="s">
        <v>283</v>
      </c>
      <c r="C17" s="249" t="s">
        <v>63</v>
      </c>
      <c r="D17" s="227" t="s">
        <v>284</v>
      </c>
      <c r="E17" s="250" t="s">
        <v>285</v>
      </c>
      <c r="F17" s="251" t="s">
        <v>232</v>
      </c>
      <c r="G17" s="252" t="s">
        <v>233</v>
      </c>
      <c r="H17" s="227" t="s">
        <v>286</v>
      </c>
      <c r="I17" s="227" t="s">
        <v>286</v>
      </c>
      <c r="J17" s="227" t="s">
        <v>286</v>
      </c>
      <c r="K17" s="227" t="s">
        <v>286</v>
      </c>
      <c r="L17" s="227">
        <v>3430</v>
      </c>
      <c r="M17" s="227">
        <v>0.16</v>
      </c>
      <c r="N17" s="227">
        <f t="shared" si="0"/>
        <v>548.79999999999995</v>
      </c>
      <c r="O17" s="227">
        <v>0.08</v>
      </c>
      <c r="P17" s="227">
        <f t="shared" si="1"/>
        <v>274.39999999999998</v>
      </c>
      <c r="Q17" s="227">
        <v>3430</v>
      </c>
      <c r="R17" s="227">
        <v>6.4000000000000001E-2</v>
      </c>
      <c r="S17" s="227">
        <f t="shared" si="2"/>
        <v>219.52</v>
      </c>
      <c r="T17" s="227">
        <v>0.02</v>
      </c>
      <c r="U17" s="227">
        <f t="shared" si="3"/>
        <v>68.599999999999994</v>
      </c>
      <c r="V17" s="227">
        <v>3430</v>
      </c>
      <c r="W17" s="227">
        <v>5.0000000000000001E-3</v>
      </c>
      <c r="X17" s="227">
        <f t="shared" si="4"/>
        <v>17.149999999999999</v>
      </c>
      <c r="Y17" s="227">
        <v>5.0000000000000001E-3</v>
      </c>
      <c r="Z17" s="227">
        <f t="shared" si="5"/>
        <v>17.149999999999999</v>
      </c>
      <c r="AA17" s="227"/>
      <c r="AB17" s="227"/>
      <c r="AC17" s="227"/>
      <c r="AD17" s="227">
        <v>3430</v>
      </c>
      <c r="AE17" s="227">
        <v>2E-3</v>
      </c>
      <c r="AF17" s="227">
        <f t="shared" si="6"/>
        <v>6.86</v>
      </c>
      <c r="AG17" s="227">
        <v>1650</v>
      </c>
      <c r="AH17" s="227">
        <v>0.05</v>
      </c>
      <c r="AI17" s="227">
        <f t="shared" si="7"/>
        <v>82.5</v>
      </c>
      <c r="AJ17" s="227">
        <v>0.05</v>
      </c>
      <c r="AK17" s="227">
        <f t="shared" si="8"/>
        <v>82.5</v>
      </c>
      <c r="AL17" s="253"/>
      <c r="AM17" s="227"/>
      <c r="AN17" s="227"/>
      <c r="AO17" s="227"/>
      <c r="AP17" s="250"/>
      <c r="AQ17" s="254">
        <v>15</v>
      </c>
      <c r="AR17" s="254"/>
      <c r="AS17" s="227">
        <f t="shared" si="9"/>
        <v>807.32999999999993</v>
      </c>
      <c r="AT17" s="227">
        <f t="shared" si="10"/>
        <v>360.15</v>
      </c>
      <c r="AU17" s="227">
        <f t="shared" si="11"/>
        <v>82.5</v>
      </c>
      <c r="AV17" s="227">
        <f t="shared" si="12"/>
        <v>82.5</v>
      </c>
      <c r="AW17" s="227">
        <f t="shared" si="13"/>
        <v>1332.48</v>
      </c>
      <c r="AX17" s="429">
        <f t="shared" si="14"/>
        <v>1167.48</v>
      </c>
      <c r="AY17" s="429"/>
      <c r="AZ17" s="429">
        <f t="shared" si="15"/>
        <v>165</v>
      </c>
      <c r="BA17" s="429"/>
      <c r="BB17" s="228">
        <v>80</v>
      </c>
      <c r="BC17" s="228">
        <f t="shared" si="16"/>
        <v>1412.48</v>
      </c>
      <c r="BD17" s="255"/>
      <c r="BE17" s="256"/>
      <c r="BF17" s="256"/>
      <c r="BG17" s="256"/>
      <c r="BH17" s="256"/>
    </row>
    <row r="18" spans="1:60" s="257" customFormat="1">
      <c r="A18" s="227" t="s">
        <v>358</v>
      </c>
      <c r="B18" s="248" t="s">
        <v>283</v>
      </c>
      <c r="C18" s="249" t="s">
        <v>63</v>
      </c>
      <c r="D18" s="227" t="s">
        <v>284</v>
      </c>
      <c r="E18" s="250" t="s">
        <v>285</v>
      </c>
      <c r="F18" s="251" t="s">
        <v>234</v>
      </c>
      <c r="G18" s="252" t="s">
        <v>357</v>
      </c>
      <c r="H18" s="227" t="s">
        <v>286</v>
      </c>
      <c r="I18" s="227" t="s">
        <v>286</v>
      </c>
      <c r="J18" s="227" t="s">
        <v>286</v>
      </c>
      <c r="K18" s="227" t="s">
        <v>286</v>
      </c>
      <c r="L18" s="227">
        <v>3430</v>
      </c>
      <c r="M18" s="227">
        <v>0.16</v>
      </c>
      <c r="N18" s="227">
        <f t="shared" si="0"/>
        <v>548.79999999999995</v>
      </c>
      <c r="O18" s="227">
        <v>0.08</v>
      </c>
      <c r="P18" s="227">
        <f t="shared" si="1"/>
        <v>274.39999999999998</v>
      </c>
      <c r="Q18" s="227">
        <v>3430</v>
      </c>
      <c r="R18" s="227">
        <v>6.4000000000000001E-2</v>
      </c>
      <c r="S18" s="227">
        <f t="shared" si="2"/>
        <v>219.52</v>
      </c>
      <c r="T18" s="227">
        <v>0.02</v>
      </c>
      <c r="U18" s="227">
        <f t="shared" si="3"/>
        <v>68.599999999999994</v>
      </c>
      <c r="V18" s="227">
        <v>3430</v>
      </c>
      <c r="W18" s="227">
        <v>5.0000000000000001E-3</v>
      </c>
      <c r="X18" s="227">
        <f t="shared" si="4"/>
        <v>17.149999999999999</v>
      </c>
      <c r="Y18" s="227">
        <v>5.0000000000000001E-3</v>
      </c>
      <c r="Z18" s="227">
        <f t="shared" si="5"/>
        <v>17.149999999999999</v>
      </c>
      <c r="AA18" s="227"/>
      <c r="AB18" s="227"/>
      <c r="AC18" s="227"/>
      <c r="AD18" s="227">
        <v>3430</v>
      </c>
      <c r="AE18" s="227">
        <v>2E-3</v>
      </c>
      <c r="AF18" s="227">
        <f t="shared" si="6"/>
        <v>6.86</v>
      </c>
      <c r="AG18" s="227">
        <v>1650</v>
      </c>
      <c r="AH18" s="227">
        <v>0.05</v>
      </c>
      <c r="AI18" s="227">
        <f t="shared" si="7"/>
        <v>82.5</v>
      </c>
      <c r="AJ18" s="227">
        <v>0.05</v>
      </c>
      <c r="AK18" s="227">
        <f t="shared" si="8"/>
        <v>82.5</v>
      </c>
      <c r="AL18" s="253"/>
      <c r="AM18" s="227"/>
      <c r="AN18" s="227"/>
      <c r="AO18" s="227"/>
      <c r="AP18" s="250"/>
      <c r="AQ18" s="254">
        <v>15</v>
      </c>
      <c r="AR18" s="254"/>
      <c r="AS18" s="227">
        <f t="shared" si="9"/>
        <v>807.32999999999993</v>
      </c>
      <c r="AT18" s="227">
        <f t="shared" si="10"/>
        <v>360.15</v>
      </c>
      <c r="AU18" s="227">
        <f t="shared" si="11"/>
        <v>82.5</v>
      </c>
      <c r="AV18" s="227">
        <f t="shared" si="12"/>
        <v>82.5</v>
      </c>
      <c r="AW18" s="227">
        <f t="shared" si="13"/>
        <v>1332.48</v>
      </c>
      <c r="AX18" s="429">
        <f t="shared" si="14"/>
        <v>1167.48</v>
      </c>
      <c r="AY18" s="429"/>
      <c r="AZ18" s="429">
        <f t="shared" si="15"/>
        <v>165</v>
      </c>
      <c r="BA18" s="429"/>
      <c r="BB18" s="228">
        <v>80</v>
      </c>
      <c r="BC18" s="228">
        <f t="shared" si="16"/>
        <v>1412.48</v>
      </c>
      <c r="BD18" s="255"/>
      <c r="BE18" s="256"/>
      <c r="BF18" s="256"/>
      <c r="BG18" s="256"/>
      <c r="BH18" s="256"/>
    </row>
    <row r="19" spans="1:60" s="274" customFormat="1">
      <c r="A19" s="234"/>
      <c r="B19" s="258"/>
      <c r="C19" s="259"/>
      <c r="D19" s="260"/>
      <c r="E19" s="261"/>
      <c r="F19" s="262"/>
      <c r="G19" s="263"/>
      <c r="H19" s="264"/>
      <c r="I19" s="260"/>
      <c r="J19" s="260"/>
      <c r="K19" s="260"/>
      <c r="L19" s="229"/>
      <c r="M19" s="229"/>
      <c r="N19" s="265"/>
      <c r="O19" s="229"/>
      <c r="P19" s="229"/>
      <c r="Q19" s="229"/>
      <c r="R19" s="229"/>
      <c r="S19" s="229"/>
      <c r="T19" s="229"/>
      <c r="U19" s="229"/>
      <c r="V19" s="266"/>
      <c r="W19" s="266"/>
      <c r="X19" s="267"/>
      <c r="Y19" s="266"/>
      <c r="Z19" s="229"/>
      <c r="AA19" s="229"/>
      <c r="AB19" s="229"/>
      <c r="AC19" s="229"/>
      <c r="AD19" s="229"/>
      <c r="AE19" s="229"/>
      <c r="AF19" s="265"/>
      <c r="AG19" s="229"/>
      <c r="AH19" s="229"/>
      <c r="AI19" s="229"/>
      <c r="AJ19" s="229"/>
      <c r="AK19" s="229"/>
      <c r="AL19" s="268"/>
      <c r="AM19" s="229"/>
      <c r="AN19" s="229"/>
      <c r="AO19" s="229"/>
      <c r="AP19" s="269"/>
      <c r="AQ19" s="270"/>
      <c r="AR19" s="229"/>
      <c r="AS19" s="229"/>
      <c r="AT19" s="229"/>
      <c r="AU19" s="229"/>
      <c r="AV19" s="229"/>
      <c r="AW19" s="229"/>
      <c r="AX19" s="230"/>
      <c r="AY19" s="271"/>
      <c r="AZ19" s="230"/>
      <c r="BA19" s="271"/>
      <c r="BB19" s="230"/>
      <c r="BC19" s="272"/>
      <c r="BD19" s="273"/>
      <c r="BE19" s="233"/>
      <c r="BF19" s="233"/>
      <c r="BG19" s="233"/>
      <c r="BH19" s="233"/>
    </row>
    <row r="20" spans="1:60" ht="14.25">
      <c r="A20" s="235" t="s">
        <v>359</v>
      </c>
      <c r="B20" s="275"/>
      <c r="C20" s="276"/>
      <c r="D20" s="276"/>
      <c r="E20" s="277"/>
      <c r="F20" s="276"/>
      <c r="G20" s="276"/>
      <c r="H20" s="276"/>
      <c r="I20" s="276"/>
      <c r="J20" s="276"/>
      <c r="K20" s="276"/>
      <c r="L20" s="277">
        <f t="shared" ref="L20:BC20" si="17">SUM(L3:L19)</f>
        <v>53525</v>
      </c>
      <c r="M20" s="277">
        <f t="shared" si="17"/>
        <v>2.56</v>
      </c>
      <c r="N20" s="277">
        <f t="shared" si="17"/>
        <v>8564.0000000000018</v>
      </c>
      <c r="O20" s="277">
        <f t="shared" si="17"/>
        <v>1.28</v>
      </c>
      <c r="P20" s="277">
        <f t="shared" si="17"/>
        <v>4282.0000000000009</v>
      </c>
      <c r="Q20" s="277">
        <f t="shared" si="17"/>
        <v>55126</v>
      </c>
      <c r="R20" s="277">
        <f t="shared" si="17"/>
        <v>1.0400000000000005</v>
      </c>
      <c r="S20" s="277">
        <f t="shared" si="17"/>
        <v>3586.88</v>
      </c>
      <c r="T20" s="277">
        <f t="shared" si="17"/>
        <v>0.32</v>
      </c>
      <c r="U20" s="277">
        <f t="shared" si="17"/>
        <v>1102.52</v>
      </c>
      <c r="V20" s="277">
        <f t="shared" si="17"/>
        <v>53525</v>
      </c>
      <c r="W20" s="277">
        <f t="shared" si="17"/>
        <v>0.08</v>
      </c>
      <c r="X20" s="277">
        <f t="shared" si="17"/>
        <v>267.63000000000005</v>
      </c>
      <c r="Y20" s="277">
        <f t="shared" si="17"/>
        <v>0.08</v>
      </c>
      <c r="Z20" s="277">
        <f t="shared" si="17"/>
        <v>267.63000000000005</v>
      </c>
      <c r="AA20" s="277">
        <f t="shared" si="17"/>
        <v>3676</v>
      </c>
      <c r="AB20" s="277">
        <f t="shared" si="17"/>
        <v>7.0000000000000001E-3</v>
      </c>
      <c r="AC20" s="277">
        <f t="shared" si="17"/>
        <v>25.73</v>
      </c>
      <c r="AD20" s="277">
        <f t="shared" si="17"/>
        <v>54938.400000000001</v>
      </c>
      <c r="AE20" s="277">
        <f t="shared" si="17"/>
        <v>3.3500000000000016E-2</v>
      </c>
      <c r="AF20" s="277">
        <f t="shared" si="17"/>
        <v>115.11</v>
      </c>
      <c r="AG20" s="277">
        <f t="shared" si="17"/>
        <v>35820</v>
      </c>
      <c r="AH20" s="277">
        <f t="shared" si="17"/>
        <v>0.87000000000000033</v>
      </c>
      <c r="AI20" s="277">
        <f t="shared" si="17"/>
        <v>2561</v>
      </c>
      <c r="AJ20" s="277">
        <f t="shared" si="17"/>
        <v>0.87000000000000033</v>
      </c>
      <c r="AK20" s="277">
        <f t="shared" si="17"/>
        <v>2561</v>
      </c>
      <c r="AL20" s="277">
        <f t="shared" si="17"/>
        <v>0</v>
      </c>
      <c r="AM20" s="277">
        <f t="shared" si="17"/>
        <v>0</v>
      </c>
      <c r="AN20" s="277">
        <f t="shared" si="17"/>
        <v>0</v>
      </c>
      <c r="AO20" s="277">
        <f t="shared" si="17"/>
        <v>0</v>
      </c>
      <c r="AP20" s="277">
        <f t="shared" si="17"/>
        <v>0</v>
      </c>
      <c r="AQ20" s="277">
        <f t="shared" si="17"/>
        <v>225</v>
      </c>
      <c r="AR20" s="277">
        <f t="shared" si="17"/>
        <v>0</v>
      </c>
      <c r="AS20" s="277">
        <f t="shared" si="17"/>
        <v>12784.349999999999</v>
      </c>
      <c r="AT20" s="277">
        <f t="shared" si="17"/>
        <v>5652.1499999999987</v>
      </c>
      <c r="AU20" s="277">
        <f t="shared" si="17"/>
        <v>2561</v>
      </c>
      <c r="AV20" s="277">
        <f t="shared" si="17"/>
        <v>2561</v>
      </c>
      <c r="AW20" s="277">
        <f t="shared" si="17"/>
        <v>23558.499999999996</v>
      </c>
      <c r="AX20" s="277">
        <f t="shared" si="17"/>
        <v>18436.499999999996</v>
      </c>
      <c r="AY20" s="277">
        <f t="shared" si="17"/>
        <v>0</v>
      </c>
      <c r="AZ20" s="277">
        <f t="shared" si="17"/>
        <v>5122</v>
      </c>
      <c r="BA20" s="277">
        <f t="shared" si="17"/>
        <v>0</v>
      </c>
      <c r="BB20" s="277">
        <f t="shared" si="17"/>
        <v>1280</v>
      </c>
      <c r="BC20" s="277">
        <f t="shared" si="17"/>
        <v>24838.499999999996</v>
      </c>
      <c r="BD20" s="278"/>
    </row>
    <row r="21" spans="1:60" ht="15" thickBot="1">
      <c r="A21" s="236" t="s">
        <v>271</v>
      </c>
      <c r="B21" s="279"/>
      <c r="C21" s="280"/>
      <c r="D21" s="280"/>
      <c r="E21" s="281"/>
      <c r="F21" s="281"/>
      <c r="G21" s="281"/>
      <c r="H21" s="281"/>
      <c r="I21" s="281"/>
      <c r="J21" s="281"/>
      <c r="K21" s="281"/>
      <c r="L21" s="231">
        <f t="shared" ref="L21:AX21" si="18">SUM(L20:L20)</f>
        <v>53525</v>
      </c>
      <c r="M21" s="231">
        <f t="shared" si="18"/>
        <v>2.56</v>
      </c>
      <c r="N21" s="231">
        <f t="shared" si="18"/>
        <v>8564.0000000000018</v>
      </c>
      <c r="O21" s="231">
        <f t="shared" si="18"/>
        <v>1.28</v>
      </c>
      <c r="P21" s="231">
        <f t="shared" si="18"/>
        <v>4282.0000000000009</v>
      </c>
      <c r="Q21" s="231">
        <f t="shared" si="18"/>
        <v>55126</v>
      </c>
      <c r="R21" s="231">
        <f t="shared" si="18"/>
        <v>1.0400000000000005</v>
      </c>
      <c r="S21" s="231">
        <f t="shared" si="18"/>
        <v>3586.88</v>
      </c>
      <c r="T21" s="231">
        <f t="shared" si="18"/>
        <v>0.32</v>
      </c>
      <c r="U21" s="231">
        <f t="shared" si="18"/>
        <v>1102.52</v>
      </c>
      <c r="V21" s="231">
        <f t="shared" si="18"/>
        <v>53525</v>
      </c>
      <c r="W21" s="231">
        <f t="shared" si="18"/>
        <v>0.08</v>
      </c>
      <c r="X21" s="231">
        <f t="shared" si="18"/>
        <v>267.63000000000005</v>
      </c>
      <c r="Y21" s="231">
        <f t="shared" si="18"/>
        <v>0.08</v>
      </c>
      <c r="Z21" s="231">
        <f t="shared" si="18"/>
        <v>267.63000000000005</v>
      </c>
      <c r="AA21" s="231">
        <f t="shared" si="18"/>
        <v>3676</v>
      </c>
      <c r="AB21" s="231">
        <f t="shared" si="18"/>
        <v>7.0000000000000001E-3</v>
      </c>
      <c r="AC21" s="231">
        <f t="shared" si="18"/>
        <v>25.73</v>
      </c>
      <c r="AD21" s="231">
        <f t="shared" si="18"/>
        <v>54938.400000000001</v>
      </c>
      <c r="AE21" s="231">
        <f t="shared" si="18"/>
        <v>3.3500000000000016E-2</v>
      </c>
      <c r="AF21" s="231">
        <f t="shared" si="18"/>
        <v>115.11</v>
      </c>
      <c r="AG21" s="231">
        <f t="shared" si="18"/>
        <v>35820</v>
      </c>
      <c r="AH21" s="231">
        <f t="shared" si="18"/>
        <v>0.87000000000000033</v>
      </c>
      <c r="AI21" s="231">
        <f t="shared" si="18"/>
        <v>2561</v>
      </c>
      <c r="AJ21" s="231">
        <f t="shared" si="18"/>
        <v>0.87000000000000033</v>
      </c>
      <c r="AK21" s="231">
        <f t="shared" si="18"/>
        <v>2561</v>
      </c>
      <c r="AL21" s="231">
        <f t="shared" si="18"/>
        <v>0</v>
      </c>
      <c r="AM21" s="231">
        <f t="shared" si="18"/>
        <v>0</v>
      </c>
      <c r="AN21" s="231">
        <f t="shared" si="18"/>
        <v>0</v>
      </c>
      <c r="AO21" s="231">
        <f t="shared" si="18"/>
        <v>0</v>
      </c>
      <c r="AP21" s="231">
        <f t="shared" si="18"/>
        <v>0</v>
      </c>
      <c r="AQ21" s="231">
        <f t="shared" si="18"/>
        <v>225</v>
      </c>
      <c r="AR21" s="231">
        <f t="shared" si="18"/>
        <v>0</v>
      </c>
      <c r="AS21" s="231">
        <f t="shared" si="18"/>
        <v>12784.349999999999</v>
      </c>
      <c r="AT21" s="231">
        <f t="shared" si="18"/>
        <v>5652.1499999999987</v>
      </c>
      <c r="AU21" s="231">
        <f t="shared" si="18"/>
        <v>2561</v>
      </c>
      <c r="AV21" s="231">
        <f t="shared" si="18"/>
        <v>2561</v>
      </c>
      <c r="AW21" s="231">
        <f t="shared" si="18"/>
        <v>23558.499999999996</v>
      </c>
      <c r="AX21" s="430">
        <f t="shared" si="18"/>
        <v>18436.499999999996</v>
      </c>
      <c r="AY21" s="430"/>
      <c r="AZ21" s="430">
        <f t="shared" ref="AZ21:BC21" si="19">SUM(AZ20:AZ20)</f>
        <v>5122</v>
      </c>
      <c r="BA21" s="430"/>
      <c r="BB21" s="231">
        <f t="shared" si="19"/>
        <v>1280</v>
      </c>
      <c r="BC21" s="231">
        <f t="shared" si="19"/>
        <v>24838.499999999996</v>
      </c>
      <c r="BD21" s="282"/>
    </row>
    <row r="22" spans="1:60" s="285" customFormat="1">
      <c r="A22" s="232"/>
      <c r="B22" s="232"/>
      <c r="C22" s="232"/>
      <c r="D22" s="232"/>
      <c r="E22" s="232"/>
      <c r="F22" s="283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2"/>
      <c r="AG22" s="232"/>
      <c r="AH22" s="232"/>
      <c r="AI22" s="232"/>
      <c r="AJ22" s="232"/>
      <c r="AK22" s="232"/>
      <c r="AL22" s="232"/>
      <c r="AM22" s="232"/>
      <c r="AN22" s="232"/>
      <c r="AO22" s="232"/>
      <c r="AP22" s="232"/>
      <c r="AQ22" s="232"/>
      <c r="AR22" s="232"/>
      <c r="AS22" s="232"/>
      <c r="AT22" s="232"/>
      <c r="AU22" s="232"/>
      <c r="AV22" s="232"/>
      <c r="AW22" s="232"/>
      <c r="AX22" s="232"/>
      <c r="AY22" s="232"/>
      <c r="AZ22" s="232"/>
      <c r="BA22" s="232"/>
      <c r="BB22" s="232"/>
      <c r="BC22" s="232">
        <f>'[4]（居民）工资表-1月'!E14</f>
        <v>77156.09</v>
      </c>
      <c r="BD22" s="284"/>
    </row>
    <row r="23" spans="1:60" s="287" customFormat="1">
      <c r="A23" s="233"/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2"/>
      <c r="AA23" s="232"/>
      <c r="AB23" s="232"/>
      <c r="AC23" s="232"/>
      <c r="AD23" s="232"/>
      <c r="AE23" s="232"/>
      <c r="AF23" s="232"/>
      <c r="AG23" s="232"/>
      <c r="AH23" s="232"/>
      <c r="AI23" s="232"/>
      <c r="AJ23" s="233"/>
      <c r="AK23" s="233"/>
      <c r="AL23" s="233"/>
      <c r="AM23" s="233"/>
      <c r="AN23" s="233"/>
      <c r="AO23" s="233"/>
      <c r="AP23" s="233"/>
      <c r="AQ23" s="233"/>
      <c r="AR23" s="233"/>
      <c r="AS23" s="233"/>
      <c r="AT23" s="233"/>
      <c r="AU23" s="233"/>
      <c r="AV23" s="233"/>
      <c r="AW23" s="233"/>
      <c r="AX23" s="233"/>
      <c r="AY23" s="233"/>
      <c r="AZ23" s="233"/>
      <c r="BA23" s="233"/>
      <c r="BB23" s="233"/>
      <c r="BC23" s="233"/>
      <c r="BD23" s="286"/>
    </row>
    <row r="25" spans="1:60">
      <c r="AX25" s="431"/>
      <c r="AY25" s="431"/>
    </row>
  </sheetData>
  <mergeCells count="60">
    <mergeCell ref="AX18:AY18"/>
    <mergeCell ref="AZ18:BA18"/>
    <mergeCell ref="AX21:AY21"/>
    <mergeCell ref="AZ21:BA21"/>
    <mergeCell ref="AX25:AY25"/>
    <mergeCell ref="AX15:AY15"/>
    <mergeCell ref="AZ15:BA15"/>
    <mergeCell ref="AX16:AY16"/>
    <mergeCell ref="AZ16:BA16"/>
    <mergeCell ref="AX17:AY17"/>
    <mergeCell ref="AZ17:BA17"/>
    <mergeCell ref="AX12:AY12"/>
    <mergeCell ref="AZ12:BA12"/>
    <mergeCell ref="AX13:AY13"/>
    <mergeCell ref="AZ13:BA13"/>
    <mergeCell ref="AX14:AY14"/>
    <mergeCell ref="AZ14:BA14"/>
    <mergeCell ref="AX9:AY9"/>
    <mergeCell ref="AZ9:BA9"/>
    <mergeCell ref="AX10:AY10"/>
    <mergeCell ref="AZ10:BA10"/>
    <mergeCell ref="AX11:AY11"/>
    <mergeCell ref="AZ11:BA11"/>
    <mergeCell ref="AX6:AY6"/>
    <mergeCell ref="AZ6:BA6"/>
    <mergeCell ref="AX7:AY7"/>
    <mergeCell ref="AZ7:BA7"/>
    <mergeCell ref="AX8:AY8"/>
    <mergeCell ref="AZ8:BA8"/>
    <mergeCell ref="BD1:BD2"/>
    <mergeCell ref="AX3:AY3"/>
    <mergeCell ref="AZ3:BA3"/>
    <mergeCell ref="AX4:AY4"/>
    <mergeCell ref="AZ4:BA4"/>
    <mergeCell ref="BB1:BB2"/>
    <mergeCell ref="BC1:BC2"/>
    <mergeCell ref="AX5:AY5"/>
    <mergeCell ref="AZ5:BA5"/>
    <mergeCell ref="AQ1:AR1"/>
    <mergeCell ref="AS1:AW1"/>
    <mergeCell ref="AX1:AY2"/>
    <mergeCell ref="AZ1:BA2"/>
    <mergeCell ref="AL1:AP1"/>
    <mergeCell ref="G1:G2"/>
    <mergeCell ref="H1:H2"/>
    <mergeCell ref="I1:I2"/>
    <mergeCell ref="J1:J2"/>
    <mergeCell ref="K1:K2"/>
    <mergeCell ref="L1:P1"/>
    <mergeCell ref="Q1:U1"/>
    <mergeCell ref="V1:Z1"/>
    <mergeCell ref="AA1:AC1"/>
    <mergeCell ref="AD1:AF1"/>
    <mergeCell ref="AG1:AK1"/>
    <mergeCell ref="F1:F2"/>
    <mergeCell ref="A1:A2"/>
    <mergeCell ref="B1:B2"/>
    <mergeCell ref="C1:C2"/>
    <mergeCell ref="D1:D2"/>
    <mergeCell ref="E1:E2"/>
  </mergeCells>
  <phoneticPr fontId="2" type="noConversion"/>
  <conditionalFormatting sqref="H1:I1">
    <cfRule type="expression" dxfId="5" priority="1" stopIfTrue="1">
      <formula>AND(COUNTIF($J$1:$J$1,H1)&gt;1,NOT(ISBLANK(H1)))</formula>
    </cfRule>
  </conditionalFormatting>
  <conditionalFormatting sqref="J1">
    <cfRule type="duplicateValues" dxfId="4" priority="2" stopIfTrue="1"/>
  </conditionalFormatting>
  <conditionalFormatting sqref="K1:L1">
    <cfRule type="duplicateValues" dxfId="3" priority="3" stopIfTrue="1"/>
  </conditionalFormatting>
  <conditionalFormatting sqref="Q1">
    <cfRule type="duplicateValues" dxfId="2" priority="4" stopIfTrue="1"/>
  </conditionalFormatting>
  <conditionalFormatting sqref="V1">
    <cfRule type="duplicateValues" dxfId="1" priority="5" stopIfTrue="1"/>
  </conditionalFormatting>
  <conditionalFormatting sqref="AG1">
    <cfRule type="duplicateValues" dxfId="0" priority="6" stopIfTrue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7"/>
  <sheetViews>
    <sheetView workbookViewId="0">
      <pane xSplit="7" ySplit="3" topLeftCell="AJ19" activePane="bottomRight" state="frozen"/>
      <selection pane="topRight" activeCell="H1" sqref="H1"/>
      <selection pane="bottomLeft" activeCell="A3" sqref="A3"/>
      <selection pane="bottomRight" activeCell="AP1" sqref="AP1"/>
    </sheetView>
  </sheetViews>
  <sheetFormatPr defaultRowHeight="12" outlineLevelCol="1"/>
  <cols>
    <col min="1" max="1" width="4.875" style="60" customWidth="1"/>
    <col min="2" max="2" width="8.875" style="60" customWidth="1"/>
    <col min="3" max="3" width="9" style="60"/>
    <col min="4" max="4" width="18" style="60" bestFit="1" customWidth="1"/>
    <col min="5" max="5" width="6.5" style="60" customWidth="1"/>
    <col min="6" max="6" width="10.25" style="60" customWidth="1"/>
    <col min="7" max="7" width="12.75" style="116" bestFit="1" customWidth="1"/>
    <col min="8" max="8" width="8.125" style="116" customWidth="1"/>
    <col min="9" max="9" width="9.375" style="161" bestFit="1" customWidth="1"/>
    <col min="10" max="10" width="9" style="116"/>
    <col min="11" max="12" width="9" style="156"/>
    <col min="13" max="19" width="9" style="116"/>
    <col min="20" max="20" width="9.25" style="116" customWidth="1"/>
    <col min="21" max="25" width="9" style="116" customWidth="1" outlineLevel="1"/>
    <col min="26" max="27" width="9" style="116" customWidth="1"/>
    <col min="28" max="36" width="9" style="116" customWidth="1" outlineLevel="1"/>
    <col min="37" max="37" width="11.125" style="116" customWidth="1" outlineLevel="1"/>
    <col min="38" max="38" width="9" style="116" customWidth="1" outlineLevel="1"/>
    <col min="39" max="39" width="13.125" style="116" customWidth="1" outlineLevel="1"/>
    <col min="40" max="40" width="9" style="116" customWidth="1" outlineLevel="1"/>
    <col min="41" max="41" width="8.875" style="116" customWidth="1" outlineLevel="1"/>
    <col min="42" max="42" width="9" style="116" customWidth="1"/>
    <col min="43" max="43" width="10.375" style="116" customWidth="1"/>
    <col min="44" max="44" width="9" style="116" customWidth="1"/>
    <col min="45" max="45" width="10.375" style="116" customWidth="1"/>
    <col min="46" max="46" width="9" style="116" customWidth="1"/>
    <col min="47" max="47" width="9.375" style="116" customWidth="1"/>
    <col min="48" max="48" width="10.625" style="116" customWidth="1"/>
    <col min="49" max="49" width="20.5" style="159" customWidth="1"/>
    <col min="50" max="50" width="10" style="159" customWidth="1"/>
    <col min="51" max="51" width="32" style="159" customWidth="1"/>
    <col min="52" max="52" width="13.25" style="159" customWidth="1"/>
    <col min="53" max="53" width="9.5" style="116" customWidth="1"/>
    <col min="54" max="54" width="15" style="116" bestFit="1" customWidth="1"/>
    <col min="55" max="65" width="9" style="116"/>
    <col min="66" max="16384" width="9" style="60"/>
  </cols>
  <sheetData>
    <row r="1" spans="1:65" s="185" customFormat="1" ht="21" customHeight="1">
      <c r="A1" s="187"/>
      <c r="B1" s="187"/>
      <c r="C1" s="187"/>
      <c r="D1" s="187"/>
      <c r="E1" s="187"/>
      <c r="F1" s="187"/>
      <c r="G1" s="188"/>
      <c r="H1" s="188"/>
      <c r="I1" s="189"/>
      <c r="J1" s="188"/>
      <c r="K1" s="190"/>
      <c r="L1" s="190"/>
      <c r="M1" s="188"/>
      <c r="N1" s="188"/>
      <c r="O1" s="188"/>
      <c r="P1" s="188"/>
      <c r="Q1" s="188"/>
      <c r="R1" s="188"/>
      <c r="S1" s="188"/>
      <c r="T1" s="188">
        <f t="shared" ref="T1:AV1" si="0">SUBTOTAL(9,T2:T9975)</f>
        <v>641858.24</v>
      </c>
      <c r="U1" s="188">
        <f t="shared" si="0"/>
        <v>14228.079999999989</v>
      </c>
      <c r="V1" s="188">
        <f t="shared" si="0"/>
        <v>3663.0599999999972</v>
      </c>
      <c r="W1" s="188">
        <f t="shared" si="0"/>
        <v>889.2699999999993</v>
      </c>
      <c r="X1" s="188">
        <f t="shared" si="0"/>
        <v>18780.409999999989</v>
      </c>
      <c r="Y1" s="188">
        <f t="shared" si="0"/>
        <v>13071</v>
      </c>
      <c r="Z1" s="188">
        <f t="shared" si="0"/>
        <v>31851.410000000011</v>
      </c>
      <c r="AA1" s="188">
        <f t="shared" si="0"/>
        <v>0</v>
      </c>
      <c r="AB1" s="188">
        <f t="shared" si="0"/>
        <v>2827235.9700000011</v>
      </c>
      <c r="AC1" s="188">
        <f t="shared" si="0"/>
        <v>890000</v>
      </c>
      <c r="AD1" s="188">
        <f t="shared" si="0"/>
        <v>132227.89999999997</v>
      </c>
      <c r="AE1" s="188">
        <f t="shared" si="0"/>
        <v>27000</v>
      </c>
      <c r="AF1" s="188">
        <f t="shared" si="0"/>
        <v>3600</v>
      </c>
      <c r="AG1" s="188">
        <f t="shared" si="0"/>
        <v>23000</v>
      </c>
      <c r="AH1" s="188">
        <f t="shared" si="0"/>
        <v>39000</v>
      </c>
      <c r="AI1" s="188">
        <f t="shared" si="0"/>
        <v>32000</v>
      </c>
      <c r="AJ1" s="188">
        <f t="shared" si="0"/>
        <v>0</v>
      </c>
      <c r="AK1" s="188">
        <f t="shared" si="0"/>
        <v>124600</v>
      </c>
      <c r="AL1" s="188">
        <f t="shared" si="0"/>
        <v>0</v>
      </c>
      <c r="AM1" s="188">
        <f t="shared" si="0"/>
        <v>1673485.4699999995</v>
      </c>
      <c r="AN1" s="188">
        <f t="shared" si="0"/>
        <v>99818.140000000014</v>
      </c>
      <c r="AO1" s="188">
        <f t="shared" si="0"/>
        <v>72537.75</v>
      </c>
      <c r="AP1" s="188">
        <f t="shared" si="0"/>
        <v>27280.390000000003</v>
      </c>
      <c r="AQ1" s="188">
        <f t="shared" si="0"/>
        <v>582726.44000000006</v>
      </c>
      <c r="AR1" s="188">
        <f t="shared" si="0"/>
        <v>0</v>
      </c>
      <c r="AS1" s="188">
        <f t="shared" si="0"/>
        <v>582726.44000000006</v>
      </c>
      <c r="AT1" s="188">
        <f t="shared" si="0"/>
        <v>7050</v>
      </c>
      <c r="AU1" s="188">
        <f t="shared" si="0"/>
        <v>68</v>
      </c>
      <c r="AV1" s="188">
        <f t="shared" si="0"/>
        <v>616954.82999999973</v>
      </c>
      <c r="AW1" s="191"/>
      <c r="AX1" s="191"/>
      <c r="AY1" s="191"/>
      <c r="AZ1" s="191"/>
      <c r="BA1" s="188"/>
      <c r="BB1" s="186"/>
      <c r="BC1" s="186"/>
      <c r="BD1" s="186"/>
      <c r="BE1" s="186"/>
      <c r="BF1" s="186"/>
      <c r="BG1" s="186"/>
      <c r="BH1" s="186"/>
      <c r="BI1" s="186"/>
      <c r="BJ1" s="186"/>
      <c r="BK1" s="186"/>
      <c r="BL1" s="186"/>
      <c r="BM1" s="186"/>
    </row>
    <row r="2" spans="1:65" ht="13.5" customHeight="1">
      <c r="A2" s="358" t="s">
        <v>7</v>
      </c>
      <c r="B2" s="360" t="s">
        <v>8</v>
      </c>
      <c r="C2" s="362" t="s">
        <v>9</v>
      </c>
      <c r="D2" s="364" t="s">
        <v>10</v>
      </c>
      <c r="E2" s="353" t="s">
        <v>11</v>
      </c>
      <c r="F2" s="366" t="s">
        <v>139</v>
      </c>
      <c r="G2" s="355" t="s">
        <v>12</v>
      </c>
      <c r="H2" s="331" t="s">
        <v>61</v>
      </c>
      <c r="I2" s="356" t="s">
        <v>13</v>
      </c>
      <c r="J2" s="331" t="s">
        <v>14</v>
      </c>
      <c r="K2" s="347" t="s">
        <v>289</v>
      </c>
      <c r="L2" s="347" t="s">
        <v>290</v>
      </c>
      <c r="M2" s="349" t="s">
        <v>291</v>
      </c>
      <c r="N2" s="349" t="s">
        <v>292</v>
      </c>
      <c r="O2" s="351" t="s">
        <v>293</v>
      </c>
      <c r="P2" s="351" t="s">
        <v>294</v>
      </c>
      <c r="Q2" s="351" t="s">
        <v>354</v>
      </c>
      <c r="R2" s="351" t="s">
        <v>295</v>
      </c>
      <c r="S2" s="351" t="s">
        <v>296</v>
      </c>
      <c r="T2" s="331" t="s">
        <v>134</v>
      </c>
      <c r="U2" s="337" t="s">
        <v>27</v>
      </c>
      <c r="V2" s="339" t="s">
        <v>28</v>
      </c>
      <c r="W2" s="339" t="s">
        <v>29</v>
      </c>
      <c r="X2" s="341" t="s">
        <v>252</v>
      </c>
      <c r="Y2" s="345" t="s">
        <v>30</v>
      </c>
      <c r="Z2" s="343" t="s">
        <v>288</v>
      </c>
      <c r="AA2" s="331" t="s">
        <v>15</v>
      </c>
      <c r="AB2" s="327" t="s">
        <v>16</v>
      </c>
      <c r="AC2" s="327" t="s">
        <v>17</v>
      </c>
      <c r="AD2" s="327" t="s">
        <v>18</v>
      </c>
      <c r="AE2" s="333" t="s">
        <v>19</v>
      </c>
      <c r="AF2" s="334"/>
      <c r="AG2" s="334"/>
      <c r="AH2" s="334"/>
      <c r="AI2" s="334"/>
      <c r="AJ2" s="335"/>
      <c r="AK2" s="327" t="s">
        <v>20</v>
      </c>
      <c r="AL2" s="327" t="s">
        <v>21</v>
      </c>
      <c r="AM2" s="327" t="s">
        <v>187</v>
      </c>
      <c r="AN2" s="327" t="s">
        <v>190</v>
      </c>
      <c r="AO2" s="327" t="s">
        <v>193</v>
      </c>
      <c r="AP2" s="327" t="s">
        <v>194</v>
      </c>
      <c r="AQ2" s="368" t="s">
        <v>22</v>
      </c>
      <c r="AR2" s="368" t="s">
        <v>23</v>
      </c>
      <c r="AS2" s="372" t="s">
        <v>201</v>
      </c>
      <c r="AT2" s="368" t="s">
        <v>25</v>
      </c>
      <c r="AU2" s="370" t="s">
        <v>146</v>
      </c>
      <c r="AV2" s="368" t="s">
        <v>145</v>
      </c>
      <c r="AW2" s="329" t="s">
        <v>317</v>
      </c>
      <c r="AX2" s="329" t="s">
        <v>162</v>
      </c>
      <c r="AY2" s="329" t="s">
        <v>161</v>
      </c>
      <c r="AZ2" s="331" t="s">
        <v>246</v>
      </c>
      <c r="BA2" s="327" t="s">
        <v>26</v>
      </c>
      <c r="BB2" s="325"/>
      <c r="BC2" s="326"/>
    </row>
    <row r="3" spans="1:65" ht="36">
      <c r="A3" s="359"/>
      <c r="B3" s="361"/>
      <c r="C3" s="363"/>
      <c r="D3" s="365"/>
      <c r="E3" s="354"/>
      <c r="F3" s="367"/>
      <c r="G3" s="332"/>
      <c r="H3" s="332"/>
      <c r="I3" s="357"/>
      <c r="J3" s="336"/>
      <c r="K3" s="348"/>
      <c r="L3" s="348"/>
      <c r="M3" s="350"/>
      <c r="N3" s="350"/>
      <c r="O3" s="352"/>
      <c r="P3" s="352"/>
      <c r="Q3" s="352"/>
      <c r="R3" s="352"/>
      <c r="S3" s="352"/>
      <c r="T3" s="332"/>
      <c r="U3" s="338"/>
      <c r="V3" s="340"/>
      <c r="W3" s="340"/>
      <c r="X3" s="342"/>
      <c r="Y3" s="346"/>
      <c r="Z3" s="344"/>
      <c r="AA3" s="336"/>
      <c r="AB3" s="328"/>
      <c r="AC3" s="328"/>
      <c r="AD3" s="328"/>
      <c r="AE3" s="117" t="s">
        <v>163</v>
      </c>
      <c r="AF3" s="117" t="s">
        <v>164</v>
      </c>
      <c r="AG3" s="117" t="s">
        <v>165</v>
      </c>
      <c r="AH3" s="117" t="s">
        <v>166</v>
      </c>
      <c r="AI3" s="117" t="s">
        <v>167</v>
      </c>
      <c r="AJ3" s="117" t="s">
        <v>31</v>
      </c>
      <c r="AK3" s="328"/>
      <c r="AL3" s="328"/>
      <c r="AM3" s="328"/>
      <c r="AN3" s="328"/>
      <c r="AO3" s="328"/>
      <c r="AP3" s="328"/>
      <c r="AQ3" s="369"/>
      <c r="AR3" s="369"/>
      <c r="AS3" s="373"/>
      <c r="AT3" s="369"/>
      <c r="AU3" s="371"/>
      <c r="AV3" s="369"/>
      <c r="AW3" s="330"/>
      <c r="AX3" s="330"/>
      <c r="AY3" s="330"/>
      <c r="AZ3" s="332"/>
      <c r="BA3" s="328"/>
      <c r="BB3" s="325"/>
      <c r="BC3" s="326"/>
    </row>
    <row r="4" spans="1:65" ht="23.25" customHeight="1">
      <c r="A4" s="51">
        <v>1</v>
      </c>
      <c r="B4" s="52" t="s">
        <v>60</v>
      </c>
      <c r="C4" s="75" t="s">
        <v>3</v>
      </c>
      <c r="D4" s="61" t="s">
        <v>6</v>
      </c>
      <c r="E4" s="53" t="str">
        <f>IF(VALUE(MID(D4,17,1))/2=INT(VALUE(MID(D4,17,1))/2),"女","男")</f>
        <v>男</v>
      </c>
      <c r="F4" s="65">
        <f>DATE(MID(D4,7,4),MID(D4,11,2),MID(D4,13,2))</f>
        <v>31902</v>
      </c>
      <c r="G4" s="118">
        <v>13651146090</v>
      </c>
      <c r="H4" s="62" t="str">
        <f>VLOOKUP(D4,社保!C:D,2,FALSE)</f>
        <v>北京</v>
      </c>
      <c r="I4" s="62">
        <f>VLOOKUP(D4,融科!$B$2:$W$100,2,FALSE)</f>
        <v>44562</v>
      </c>
      <c r="J4" s="120"/>
      <c r="K4" s="121">
        <f>VLOOKUP(D4,融科!$B$2:$W$100,15,FALSE)</f>
        <v>0.7</v>
      </c>
      <c r="L4" s="121">
        <f>VLOOKUP(D4,融科!$B$2:$W$100,16,FALSE)</f>
        <v>0.3</v>
      </c>
      <c r="M4" s="122">
        <f>VLOOKUP(D4,融科!$B$2:$W$100,17,FALSE)</f>
        <v>10500</v>
      </c>
      <c r="N4" s="122">
        <f>VLOOKUP(D4,融科!$B:$W,18,FALSE)</f>
        <v>4500</v>
      </c>
      <c r="O4" s="122">
        <f>VLOOKUP(D4,融科!$B$2:$W$100,20,FALSE)</f>
        <v>0</v>
      </c>
      <c r="P4" s="122">
        <f>VLOOKUP(D4,融科!$B$2:$W$100,19,FALSE)</f>
        <v>0</v>
      </c>
      <c r="Q4" s="122">
        <f>VLOOKUP(D4,融科!$B$2:$W$100,21,FALSE)</f>
        <v>0</v>
      </c>
      <c r="R4" s="122"/>
      <c r="S4" s="122"/>
      <c r="T4" s="123">
        <f>VLOOKUP(D4,融科!$B$2:$W$100,22,FALSE)</f>
        <v>15000</v>
      </c>
      <c r="U4" s="124">
        <f>VLOOKUP($D4,社保!$C:$AF,MATCH(U$2,社保!$C$1:$AF$1,0),FALSE)</f>
        <v>428.8</v>
      </c>
      <c r="V4" s="124">
        <f>VLOOKUP($D4,社保!$C:$AF,MATCH(V$2,社保!$C$1:$AF$1,0),FALSE)+VLOOKUP($D4,社保!$C:$AF,MATCH("个人大病",社保!$C$1:$AF$1,0),FALSE)</f>
        <v>110.2</v>
      </c>
      <c r="W4" s="124">
        <f>VLOOKUP($D4,社保!$C:$AF,MATCH(W$2,社保!$C$1:$AF$1,0),FALSE)</f>
        <v>26.8</v>
      </c>
      <c r="X4" s="124">
        <f>SUM(U4:W4)</f>
        <v>565.79999999999995</v>
      </c>
      <c r="Y4" s="124">
        <f>VLOOKUP($D4,社保!$C:$AF,MATCH(Y$2,社保!$C$1:$AF$1,0),FALSE)</f>
        <v>1080</v>
      </c>
      <c r="Z4" s="124">
        <f>SUM(X4:Y4)</f>
        <v>1645.8</v>
      </c>
      <c r="AA4" s="119"/>
      <c r="AB4" s="125">
        <f>VLOOKUP($D4,个税系统表!$D:$AN,MATCH(海淀分公司工资表!AB$2,个税系统表!$D$1:$AM$1,0),FALSE)</f>
        <v>88791</v>
      </c>
      <c r="AC4" s="125">
        <f>VLOOKUP($D4,个税系统表!$D:$AN,MATCH(海淀分公司工资表!AC$2,个税系统表!$D$1:$AM$1,0),FALSE)</f>
        <v>30000</v>
      </c>
      <c r="AD4" s="125">
        <f>VLOOKUP($D4,个税系统表!$D:$AN,MATCH(海淀分公司工资表!AD$2,个税系统表!$D$1:$AM$1,0),FALSE)</f>
        <v>8794.7999999999993</v>
      </c>
      <c r="AE4" s="125">
        <f>VLOOKUP($D4,个税系统表!$D:$AN,MATCH(海淀分公司工资表!AE$3,个税系统表!$D$1:$AM$1,0),FALSE)</f>
        <v>6000</v>
      </c>
      <c r="AF4" s="125">
        <f>VLOOKUP($D4,个税系统表!$D:$AN,MATCH(海淀分公司工资表!AF$3,个税系统表!$D$1:$AM$1,0),FALSE)</f>
        <v>0</v>
      </c>
      <c r="AG4" s="125">
        <f>VLOOKUP($D4,个税系统表!$D:$AN,MATCH(海淀分公司工资表!AG$3,个税系统表!$D$1:$AM$1,0),FALSE)</f>
        <v>6000</v>
      </c>
      <c r="AH4" s="125">
        <f>VLOOKUP($D4,个税系统表!$D:$AN,MATCH(海淀分公司工资表!AH$3,个税系统表!$D$1:$AM$1,0),FALSE)</f>
        <v>0</v>
      </c>
      <c r="AI4" s="125">
        <f>VLOOKUP($D4,个税系统表!$D:$AN,MATCH(海淀分公司工资表!AI$3,个税系统表!$D$1:$AM$1,0),FALSE)</f>
        <v>6000</v>
      </c>
      <c r="AJ4" s="119"/>
      <c r="AK4" s="125">
        <f>SUM(AE4:AJ4)</f>
        <v>18000</v>
      </c>
      <c r="AL4" s="125">
        <f>VLOOKUP($D4,个税系统表!$D:$AN,MATCH(海淀分公司工资表!AL$2,个税系统表!$D$1:$AM$1,0),FALSE)</f>
        <v>0</v>
      </c>
      <c r="AM4" s="125">
        <f>VLOOKUP($D4,个税系统表!$D:$AN,MATCH(海淀分公司工资表!AM$2,个税系统表!$D$1:$AM$1,0),FALSE)</f>
        <v>31996.2</v>
      </c>
      <c r="AN4" s="125">
        <f>VLOOKUP($D4,个税系统表!$D:$AN,MATCH(海淀分公司工资表!AN$2,个税系统表!$D$1:$AM$1,0),FALSE)</f>
        <v>959.89</v>
      </c>
      <c r="AO4" s="125">
        <f>VLOOKUP($D4,个税系统表!$D:$AN,MATCH(海淀分公司工资表!AO$2,个税系统表!$D$1:$AM$1,0),FALSE)</f>
        <v>799.26</v>
      </c>
      <c r="AP4" s="125">
        <f>VLOOKUP($D4,个税系统表!$D:$AN,MATCH(海淀分公司工资表!AP$2,个税系统表!$D$1:$AM$1,0),FALSE)</f>
        <v>160.63</v>
      </c>
      <c r="AQ4" s="126">
        <f>T4-Z4-AA4-AP4</f>
        <v>13193.570000000002</v>
      </c>
      <c r="AR4" s="127"/>
      <c r="AS4" s="128">
        <f>ROUND(AQ4+AR4,2)</f>
        <v>13193.57</v>
      </c>
      <c r="AT4" s="124">
        <f>VLOOKUP($H4,缴费比例!$B:$O,MATCH(AT$2,缴费比例!$B$1:$O$1,0),FALSE)</f>
        <v>170</v>
      </c>
      <c r="AU4" s="124"/>
      <c r="AV4" s="124">
        <f>ROUND(AP4+AQ4+AT4+AU4,2)</f>
        <v>13524.2</v>
      </c>
      <c r="AW4" s="130" t="s">
        <v>203</v>
      </c>
      <c r="AX4" s="131" t="s">
        <v>155</v>
      </c>
      <c r="AY4" s="131" t="s">
        <v>204</v>
      </c>
      <c r="AZ4" s="132"/>
      <c r="BA4" s="133" t="str">
        <f t="shared" ref="BA4:BA21" si="1">IF(LEN(D4)=18,IF(RIGHT(D4,1)="X",IF(CHOOSE(MOD(SUM(LEFT(RIGHT(D4,18))*7+LEFT(RIGHT(D4,17))*9+LEFT(RIGHT(D4,16))*10+LEFT(RIGHT(D4,15))*5+LEFT(RIGHT(D4,14))*8+LEFT(RIGHT(D4,13))*4+LEFT(RIGHT(D4,12))*2+LEFT(RIGHT(D4,11))*1+LEFT(RIGHT(D4,10))*6+LEFT(RIGHT(D4,9))*3+LEFT(RIGHT(D4,8))*7+LEFT(RIGHT(D4,7))*9+LEFT(RIGHT(D4,6))*10+LEFT(RIGHT(D4,5))*5+LEFT(RIGHT(D4,4))*8+LEFT(RIGHT(D4,3))*4+LEFT(RIGHT(D4,2))*2),11)+1,1,0,"X",9,8,7,6,5,4,3,2)=LEFT(RIGHT(D4,1)),"正确","错误"),IF(CHOOSE(MOD(SUM(LEFT(RIGHT(D4,18))*7+LEFT(RIGHT(D4,17))*9+LEFT(RIGHT(D4,16))*10+LEFT(RIGHT(D4,15))*5+LEFT(RIGHT(D4,14))*8+LEFT(RIGHT(D4,13))*4+LEFT(RIGHT(D4,12))*2+LEFT(RIGHT(D4,11))*1+LEFT(RIGHT(D4,10))*6+LEFT(RIGHT(D4,9))*3+LEFT(RIGHT(D4,8))*7+LEFT(RIGHT(D4,7))*9+LEFT(RIGHT(D4,6))*10+LEFT(RIGHT(D4,5))*5+LEFT(RIGHT(D4,4))*8+LEFT(RIGHT(D4,3))*4+LEFT(RIGHT(D4,2))*2),11)+1,1,0,"X",9,8,7,6,5,4,3,2)=LEFT(RIGHT(D4,1))*1,"正确","错误")),IF(LEN(D4)=15,"老号，请注意！",IF(LEN(D4)=0,"未填写身份证号码","位数不对！")))</f>
        <v>正确</v>
      </c>
    </row>
    <row r="5" spans="1:65">
      <c r="A5" s="51">
        <v>2</v>
      </c>
      <c r="B5" s="52" t="s">
        <v>60</v>
      </c>
      <c r="C5" s="75" t="s">
        <v>138</v>
      </c>
      <c r="D5" s="61" t="s">
        <v>32</v>
      </c>
      <c r="E5" s="53" t="str">
        <f>IF(VALUE(MID(D4,17,1))/2=INT(VALUE(MID(D4,17,1))/2),"女","男")</f>
        <v>男</v>
      </c>
      <c r="F5" s="65">
        <f>DATE(MID(D4,7,4),MID(D4,11,2),MID(D4,13,2))</f>
        <v>31902</v>
      </c>
      <c r="G5" s="118">
        <v>13699255824</v>
      </c>
      <c r="H5" s="62" t="str">
        <f>VLOOKUP(D5,社保!C:D,2,FALSE)</f>
        <v>北京</v>
      </c>
      <c r="I5" s="62">
        <f>VLOOKUP(D5,融科!$B$2:$W$100,2,FALSE)</f>
        <v>44562</v>
      </c>
      <c r="J5" s="120"/>
      <c r="K5" s="121">
        <f>VLOOKUP(D5,融科!$B$2:$W$100,15,FALSE)</f>
        <v>0.7</v>
      </c>
      <c r="L5" s="121">
        <f>VLOOKUP(D5,融科!$B$2:$W$100,16,FALSE)</f>
        <v>0.3</v>
      </c>
      <c r="M5" s="122">
        <f>VLOOKUP(D5,融科!$B$2:$W$100,17,FALSE)</f>
        <v>9800</v>
      </c>
      <c r="N5" s="122">
        <f>VLOOKUP(D5,融科!$B:$W,18,FALSE)</f>
        <v>4200</v>
      </c>
      <c r="O5" s="122">
        <f>VLOOKUP(D5,融科!$B$2:$W$100,20,FALSE)</f>
        <v>0</v>
      </c>
      <c r="P5" s="122">
        <f>VLOOKUP(D5,融科!$B$2:$W$100,19,FALSE)</f>
        <v>0</v>
      </c>
      <c r="Q5" s="122">
        <f>VLOOKUP(D5,融科!$B$2:$W$100,21,FALSE)</f>
        <v>0</v>
      </c>
      <c r="R5" s="122"/>
      <c r="S5" s="122"/>
      <c r="T5" s="123">
        <f>VLOOKUP(D5,融科!$B$2:$W$100,22,FALSE)</f>
        <v>14000</v>
      </c>
      <c r="U5" s="124">
        <f>VLOOKUP($D5,社保!$C:$AF,MATCH(U$2,社保!$C$1:$AF$1,0),FALSE)</f>
        <v>428.8</v>
      </c>
      <c r="V5" s="124">
        <f>VLOOKUP($D4,社保!$C:$AF,MATCH(V$2,社保!$C$1:$AF$1,0),FALSE)+VLOOKUP($D4,社保!$C:$AF,MATCH("个人大病",社保!$C$1:$AF$1,0),FALSE)</f>
        <v>110.2</v>
      </c>
      <c r="W5" s="124">
        <f>VLOOKUP($D4,社保!$C:$AF,MATCH(W$2,社保!$C$1:$AF$1,0),FALSE)</f>
        <v>26.8</v>
      </c>
      <c r="X5" s="124">
        <f t="shared" ref="X5:X21" si="2">SUM(U5:W5)</f>
        <v>565.79999999999995</v>
      </c>
      <c r="Y5" s="124">
        <f>VLOOKUP($D5,社保!$C:$AF,MATCH(Y$2,社保!$C$1:$AF$1,0),FALSE)</f>
        <v>316</v>
      </c>
      <c r="Z5" s="124">
        <f t="shared" ref="Z5:Z21" si="3">SUM(X5:Y5)</f>
        <v>881.8</v>
      </c>
      <c r="AA5" s="119"/>
      <c r="AB5" s="125">
        <f>VLOOKUP($D5,个税系统表!$D:$AN,MATCH(海淀分公司工资表!AB$2,个税系统表!$D$1:$AM$1,0),FALSE)</f>
        <v>81000</v>
      </c>
      <c r="AC5" s="125">
        <f>VLOOKUP($D5,个税系统表!$D:$AN,MATCH(海淀分公司工资表!AC$2,个税系统表!$D$1:$AM$1,0),FALSE)</f>
        <v>30000</v>
      </c>
      <c r="AD5" s="125">
        <f>VLOOKUP($D5,个税系统表!$D:$AN,MATCH(海淀分公司工资表!AD$2,个税系统表!$D$1:$AM$1,0),FALSE)</f>
        <v>4974.8</v>
      </c>
      <c r="AE5" s="125">
        <f>VLOOKUP($D5,个税系统表!$D:$AN,MATCH(海淀分公司工资表!AE$3,个税系统表!$D$1:$AM$1,0),FALSE)</f>
        <v>0</v>
      </c>
      <c r="AF5" s="125">
        <f>VLOOKUP($D5,个税系统表!$D:$AN,MATCH(海淀分公司工资表!AF$3,个税系统表!$D$1:$AM$1,0),FALSE)</f>
        <v>0</v>
      </c>
      <c r="AG5" s="125">
        <f>VLOOKUP($D5,个税系统表!$D:$AN,MATCH(海淀分公司工资表!AG$3,个税系统表!$D$1:$AM$1,0),FALSE)</f>
        <v>0</v>
      </c>
      <c r="AH5" s="125">
        <f>VLOOKUP($D5,个税系统表!$D:$AN,MATCH(海淀分公司工资表!AH$3,个税系统表!$D$1:$AM$1,0),FALSE)</f>
        <v>4500</v>
      </c>
      <c r="AI5" s="125">
        <f>VLOOKUP($D5,个税系统表!$D:$AN,MATCH(海淀分公司工资表!AI$3,个税系统表!$D$1:$AM$1,0),FALSE)</f>
        <v>0</v>
      </c>
      <c r="AJ5" s="119"/>
      <c r="AK5" s="125">
        <f t="shared" ref="AK5:AK24" si="4">SUM(AE5:AJ5)</f>
        <v>4500</v>
      </c>
      <c r="AL5" s="125">
        <f>VLOOKUP($D5,个税系统表!$D:$AN,MATCH(海淀分公司工资表!AL$2,个税系统表!$D$1:$AM$1,0),FALSE)</f>
        <v>0</v>
      </c>
      <c r="AM5" s="125">
        <f>VLOOKUP($D5,个税系统表!$D:$AN,MATCH(海淀分公司工资表!AM$2,个税系统表!$D$1:$AM$1,0),FALSE)</f>
        <v>41525.199999999997</v>
      </c>
      <c r="AN5" s="125">
        <f>VLOOKUP($D5,个税系统表!$D:$AN,MATCH(海淀分公司工资表!AN$2,个税系统表!$D$1:$AM$1,0),FALSE)</f>
        <v>1632.52</v>
      </c>
      <c r="AO5" s="125">
        <f>VLOOKUP($D5,个税系统表!$D:$AN,MATCH(海淀分公司工资表!AO$2,个税系统表!$D$1:$AM$1,0),FALSE)</f>
        <v>1047.21</v>
      </c>
      <c r="AP5" s="125">
        <f>VLOOKUP($D5,个税系统表!$D:$AN,MATCH(海淀分公司工资表!AP$2,个税系统表!$D$1:$AM$1,0),FALSE)</f>
        <v>585.30999999999995</v>
      </c>
      <c r="AQ5" s="126">
        <f t="shared" ref="AQ5:AQ24" si="5">T5-Z5-AA5-AP5</f>
        <v>12532.890000000001</v>
      </c>
      <c r="AR5" s="127"/>
      <c r="AS5" s="128">
        <f t="shared" ref="AS5:AS24" si="6">ROUND(AQ5+AR5,2)</f>
        <v>12532.89</v>
      </c>
      <c r="AT5" s="124">
        <f>VLOOKUP($H5,缴费比例!$B:$O,MATCH(AT$2,缴费比例!$B$1:$O$1,0),FALSE)</f>
        <v>170</v>
      </c>
      <c r="AU5" s="124"/>
      <c r="AV5" s="124">
        <f t="shared" ref="AV5:AV24" si="7">ROUND(AP5+AQ5+AT5+AU5,2)</f>
        <v>13288.2</v>
      </c>
      <c r="AW5" s="130" t="s">
        <v>205</v>
      </c>
      <c r="AX5" s="131" t="s">
        <v>155</v>
      </c>
      <c r="AY5" s="131" t="s">
        <v>204</v>
      </c>
      <c r="AZ5" s="132"/>
      <c r="BA5" s="133" t="str">
        <f t="shared" si="1"/>
        <v>正确</v>
      </c>
    </row>
    <row r="6" spans="1:65">
      <c r="A6" s="51">
        <v>3</v>
      </c>
      <c r="B6" s="52" t="s">
        <v>60</v>
      </c>
      <c r="C6" s="75" t="s">
        <v>33</v>
      </c>
      <c r="D6" s="61" t="s">
        <v>34</v>
      </c>
      <c r="E6" s="53" t="str">
        <f t="shared" ref="E6:E22" si="8">IF(VALUE(MID(D6,17,1))/2=INT(VALUE(MID(D6,17,1))/2),"女","男")</f>
        <v>男</v>
      </c>
      <c r="F6" s="65">
        <f t="shared" ref="F6:F22" si="9">DATE(MID(D6,7,4),MID(D6,11,2),MID(D6,13,2))</f>
        <v>35232</v>
      </c>
      <c r="G6" s="118">
        <v>18611179223</v>
      </c>
      <c r="H6" s="62" t="str">
        <f>VLOOKUP(D6,社保!C:D,2,FALSE)</f>
        <v>北京</v>
      </c>
      <c r="I6" s="62">
        <f>VLOOKUP(D6,融科!$B$2:$W$100,2,FALSE)</f>
        <v>44562</v>
      </c>
      <c r="J6" s="120"/>
      <c r="K6" s="121">
        <f>VLOOKUP(D6,融科!$B$2:$W$100,15,FALSE)</f>
        <v>0.7</v>
      </c>
      <c r="L6" s="121">
        <f>VLOOKUP(D6,融科!$B$2:$W$100,16,FALSE)</f>
        <v>0.3</v>
      </c>
      <c r="M6" s="122">
        <f>VLOOKUP(D6,融科!$B$2:$W$100,17,FALSE)</f>
        <v>8400</v>
      </c>
      <c r="N6" s="122">
        <f>VLOOKUP(D6,融科!$B:$W,18,FALSE)</f>
        <v>3600</v>
      </c>
      <c r="O6" s="122">
        <f>VLOOKUP(D6,融科!$B$2:$W$100,20,FALSE)</f>
        <v>0</v>
      </c>
      <c r="P6" s="122">
        <f>VLOOKUP(D6,融科!$B$2:$W$100,19,FALSE)</f>
        <v>0</v>
      </c>
      <c r="Q6" s="122">
        <f>VLOOKUP(D6,融科!$B$2:$W$100,21,FALSE)</f>
        <v>0</v>
      </c>
      <c r="R6" s="122"/>
      <c r="S6" s="122"/>
      <c r="T6" s="123">
        <f>VLOOKUP(D6,融科!$B$2:$W$100,22,FALSE)</f>
        <v>12000</v>
      </c>
      <c r="U6" s="124">
        <f>VLOOKUP($D6,社保!$C:$AF,MATCH(U$2,社保!$C$1:$AF$1,0),FALSE)</f>
        <v>428.8</v>
      </c>
      <c r="V6" s="124">
        <f>VLOOKUP($D6,社保!$C:$AF,MATCH(V$2,社保!$C$1:$AF$1,0),FALSE)+VLOOKUP($D6,社保!$C:$AF,MATCH("个人大病",社保!$C$1:$AF$1,0),FALSE)</f>
        <v>110.2</v>
      </c>
      <c r="W6" s="124">
        <f>VLOOKUP($D6,社保!$C:$AF,MATCH(W$2,社保!$C$1:$AF$1,0),FALSE)</f>
        <v>26.8</v>
      </c>
      <c r="X6" s="124">
        <f t="shared" si="2"/>
        <v>565.79999999999995</v>
      </c>
      <c r="Y6" s="124">
        <f>VLOOKUP($D6,社保!$C:$AF,MATCH(Y$2,社保!$C$1:$AF$1,0),FALSE)</f>
        <v>316</v>
      </c>
      <c r="Z6" s="124">
        <f t="shared" si="3"/>
        <v>881.8</v>
      </c>
      <c r="AA6" s="119"/>
      <c r="AB6" s="125">
        <f>VLOOKUP($D6,个税系统表!$D:$AN,MATCH(海淀分公司工资表!AB$2,个税系统表!$D$1:$AM$1,0),FALSE)</f>
        <v>69651</v>
      </c>
      <c r="AC6" s="125">
        <f>VLOOKUP($D6,个税系统表!$D:$AN,MATCH(海淀分公司工资表!AC$2,个税系统表!$D$1:$AM$1,0),FALSE)</f>
        <v>30000</v>
      </c>
      <c r="AD6" s="125">
        <f>VLOOKUP($D6,个税系统表!$D:$AN,MATCH(海淀分公司工资表!AD$2,个税系统表!$D$1:$AM$1,0),FALSE)</f>
        <v>4974.8</v>
      </c>
      <c r="AE6" s="125">
        <f>VLOOKUP($D6,个税系统表!$D:$AN,MATCH(海淀分公司工资表!AE$3,个税系统表!$D$1:$AM$1,0),FALSE)</f>
        <v>0</v>
      </c>
      <c r="AF6" s="125">
        <f>VLOOKUP($D6,个税系统表!$D:$AN,MATCH(海淀分公司工资表!AF$3,个税系统表!$D$1:$AM$1,0),FALSE)</f>
        <v>0</v>
      </c>
      <c r="AG6" s="125">
        <f>VLOOKUP($D6,个税系统表!$D:$AN,MATCH(海淀分公司工资表!AG$3,个税系统表!$D$1:$AM$1,0),FALSE)</f>
        <v>0</v>
      </c>
      <c r="AH6" s="125">
        <f>VLOOKUP($D6,个税系统表!$D:$AN,MATCH(海淀分公司工资表!AH$3,个税系统表!$D$1:$AM$1,0),FALSE)</f>
        <v>0</v>
      </c>
      <c r="AI6" s="125">
        <f>VLOOKUP($D6,个税系统表!$D:$AN,MATCH(海淀分公司工资表!AI$3,个税系统表!$D$1:$AM$1,0),FALSE)</f>
        <v>0</v>
      </c>
      <c r="AJ6" s="119"/>
      <c r="AK6" s="125">
        <f t="shared" si="4"/>
        <v>0</v>
      </c>
      <c r="AL6" s="125">
        <f>VLOOKUP($D6,个税系统表!$D:$AN,MATCH(海淀分公司工资表!AL$2,个税系统表!$D$1:$AM$1,0),FALSE)</f>
        <v>0</v>
      </c>
      <c r="AM6" s="125">
        <f>VLOOKUP($D6,个税系统表!$D:$AN,MATCH(海淀分公司工资表!AM$2,个税系统表!$D$1:$AM$1,0),FALSE)</f>
        <v>34676.199999999997</v>
      </c>
      <c r="AN6" s="125">
        <f>VLOOKUP($D6,个税系统表!$D:$AN,MATCH(海淀分公司工资表!AN$2,个税系统表!$D$1:$AM$1,0),FALSE)</f>
        <v>1040.29</v>
      </c>
      <c r="AO6" s="125">
        <f>VLOOKUP($D6,个税系统表!$D:$AN,MATCH(海淀分公司工资表!AO$2,个税系统表!$D$1:$AM$1,0),FALSE)</f>
        <v>856.74</v>
      </c>
      <c r="AP6" s="125">
        <f>VLOOKUP($D6,个税系统表!$D:$AN,MATCH(海淀分公司工资表!AP$2,个税系统表!$D$1:$AM$1,0),FALSE)</f>
        <v>183.55</v>
      </c>
      <c r="AQ6" s="126">
        <f t="shared" si="5"/>
        <v>10934.650000000001</v>
      </c>
      <c r="AR6" s="127"/>
      <c r="AS6" s="128">
        <f t="shared" si="6"/>
        <v>10934.65</v>
      </c>
      <c r="AT6" s="124">
        <f>VLOOKUP($H6,缴费比例!$B:$O,MATCH(AT$2,缴费比例!$B$1:$O$1,0),FALSE)</f>
        <v>170</v>
      </c>
      <c r="AU6" s="124">
        <v>2</v>
      </c>
      <c r="AV6" s="124">
        <f t="shared" si="7"/>
        <v>11290.2</v>
      </c>
      <c r="AW6" s="134" t="s">
        <v>206</v>
      </c>
      <c r="AX6" s="131" t="s">
        <v>207</v>
      </c>
      <c r="AY6" s="135" t="s">
        <v>208</v>
      </c>
      <c r="AZ6" s="136"/>
      <c r="BA6" s="133" t="str">
        <f t="shared" si="1"/>
        <v>正确</v>
      </c>
    </row>
    <row r="7" spans="1:65">
      <c r="A7" s="51">
        <v>4</v>
      </c>
      <c r="B7" s="52" t="s">
        <v>60</v>
      </c>
      <c r="C7" s="75" t="s">
        <v>2</v>
      </c>
      <c r="D7" s="63" t="s">
        <v>5</v>
      </c>
      <c r="E7" s="53" t="str">
        <f t="shared" si="8"/>
        <v>男</v>
      </c>
      <c r="F7" s="65">
        <f t="shared" si="9"/>
        <v>36028</v>
      </c>
      <c r="G7" s="118">
        <v>17633826753</v>
      </c>
      <c r="H7" s="62" t="str">
        <f>VLOOKUP(D7,社保!C:D,2,FALSE)</f>
        <v>北京</v>
      </c>
      <c r="I7" s="62">
        <f>VLOOKUP(D7,融科!$B$2:$W$100,2,FALSE)</f>
        <v>44562</v>
      </c>
      <c r="J7" s="120"/>
      <c r="K7" s="121">
        <f>VLOOKUP(D7,融科!$B$2:$W$100,15,FALSE)</f>
        <v>0.7</v>
      </c>
      <c r="L7" s="121">
        <f>VLOOKUP(D7,融科!$B$2:$W$100,16,FALSE)</f>
        <v>0.3</v>
      </c>
      <c r="M7" s="122">
        <f>VLOOKUP(D7,融科!$B$2:$W$100,17,FALSE)</f>
        <v>5810</v>
      </c>
      <c r="N7" s="122">
        <f>VLOOKUP(D7,融科!$B:$W,18,FALSE)</f>
        <v>2490</v>
      </c>
      <c r="O7" s="122">
        <f>VLOOKUP(D7,融科!$B$2:$W$100,20,FALSE)</f>
        <v>0</v>
      </c>
      <c r="P7" s="122">
        <f>VLOOKUP(D7,融科!$B$2:$W$100,19,FALSE)</f>
        <v>600</v>
      </c>
      <c r="Q7" s="122">
        <f>VLOOKUP(D7,融科!$B$2:$W$100,21,FALSE)</f>
        <v>0</v>
      </c>
      <c r="R7" s="122"/>
      <c r="S7" s="122"/>
      <c r="T7" s="123">
        <f>VLOOKUP(D7,融科!$B$2:$W$100,22,FALSE)</f>
        <v>8900</v>
      </c>
      <c r="U7" s="124">
        <f>VLOOKUP($D7,社保!$C:$AF,MATCH(U$2,社保!$C$1:$AF$1,0),FALSE)</f>
        <v>428.8</v>
      </c>
      <c r="V7" s="124">
        <f>VLOOKUP($D7,社保!$C:$AF,MATCH(V$2,社保!$C$1:$AF$1,0),FALSE)+VLOOKUP($D7,社保!$C:$AF,MATCH("个人大病",社保!$C$1:$AF$1,0),FALSE)</f>
        <v>110.2</v>
      </c>
      <c r="W7" s="124">
        <f>VLOOKUP($D7,社保!$C:$AF,MATCH(W$2,社保!$C$1:$AF$1,0),FALSE)</f>
        <v>26.8</v>
      </c>
      <c r="X7" s="124">
        <f t="shared" si="2"/>
        <v>565.79999999999995</v>
      </c>
      <c r="Y7" s="124">
        <f>VLOOKUP($D7,社保!$C:$AF,MATCH(Y$2,社保!$C$1:$AF$1,0),FALSE)</f>
        <v>316</v>
      </c>
      <c r="Z7" s="124">
        <f t="shared" si="3"/>
        <v>881.8</v>
      </c>
      <c r="AA7" s="119"/>
      <c r="AB7" s="125">
        <f>VLOOKUP($D7,个税系统表!$D:$AN,MATCH(海淀分公司工资表!AB$2,个税系统表!$D$1:$AM$1,0),FALSE)</f>
        <v>53400</v>
      </c>
      <c r="AC7" s="125">
        <f>VLOOKUP($D7,个税系统表!$D:$AN,MATCH(海淀分公司工资表!AC$2,个税系统表!$D$1:$AM$1,0),FALSE)</f>
        <v>30000</v>
      </c>
      <c r="AD7" s="125">
        <f>VLOOKUP($D7,个税系统表!$D:$AN,MATCH(海淀分公司工资表!AD$2,个税系统表!$D$1:$AM$1,0),FALSE)</f>
        <v>4974.8</v>
      </c>
      <c r="AE7" s="125">
        <f>VLOOKUP($D7,个税系统表!$D:$AN,MATCH(海淀分公司工资表!AE$3,个税系统表!$D$1:$AM$1,0),FALSE)</f>
        <v>0</v>
      </c>
      <c r="AF7" s="125">
        <f>VLOOKUP($D7,个税系统表!$D:$AN,MATCH(海淀分公司工资表!AF$3,个税系统表!$D$1:$AM$1,0),FALSE)</f>
        <v>0</v>
      </c>
      <c r="AG7" s="125">
        <f>VLOOKUP($D7,个税系统表!$D:$AN,MATCH(海淀分公司工资表!AG$3,个税系统表!$D$1:$AM$1,0),FALSE)</f>
        <v>0</v>
      </c>
      <c r="AH7" s="125">
        <f>VLOOKUP($D7,个税系统表!$D:$AN,MATCH(海淀分公司工资表!AH$3,个税系统表!$D$1:$AM$1,0),FALSE)</f>
        <v>0</v>
      </c>
      <c r="AI7" s="125">
        <f>VLOOKUP($D7,个税系统表!$D:$AN,MATCH(海淀分公司工资表!AI$3,个税系统表!$D$1:$AM$1,0),FALSE)</f>
        <v>0</v>
      </c>
      <c r="AJ7" s="119"/>
      <c r="AK7" s="125">
        <f t="shared" si="4"/>
        <v>0</v>
      </c>
      <c r="AL7" s="125">
        <f>VLOOKUP($D7,个税系统表!$D:$AN,MATCH(海淀分公司工资表!AL$2,个税系统表!$D$1:$AM$1,0),FALSE)</f>
        <v>0</v>
      </c>
      <c r="AM7" s="125">
        <f>VLOOKUP($D7,个税系统表!$D:$AN,MATCH(海淀分公司工资表!AM$2,个税系统表!$D$1:$AM$1,0),FALSE)</f>
        <v>18425.2</v>
      </c>
      <c r="AN7" s="125">
        <f>VLOOKUP($D7,个税系统表!$D:$AN,MATCH(海淀分公司工资表!AN$2,个税系统表!$D$1:$AM$1,0),FALSE)</f>
        <v>552.76</v>
      </c>
      <c r="AO7" s="125">
        <f>VLOOKUP($D7,个税系统表!$D:$AN,MATCH(海淀分公司工资表!AO$2,个税系统表!$D$1:$AM$1,0),FALSE)</f>
        <v>462.21</v>
      </c>
      <c r="AP7" s="125">
        <f>VLOOKUP($D7,个税系统表!$D:$AN,MATCH(海淀分公司工资表!AP$2,个税系统表!$D$1:$AM$1,0),FALSE)</f>
        <v>90.55</v>
      </c>
      <c r="AQ7" s="126">
        <f t="shared" si="5"/>
        <v>7927.65</v>
      </c>
      <c r="AR7" s="127"/>
      <c r="AS7" s="128">
        <f t="shared" si="6"/>
        <v>7927.65</v>
      </c>
      <c r="AT7" s="124">
        <f>VLOOKUP($H7,缴费比例!$B:$O,MATCH(AT$2,缴费比例!$B$1:$O$1,0),FALSE)</f>
        <v>170</v>
      </c>
      <c r="AU7" s="124">
        <v>2</v>
      </c>
      <c r="AV7" s="124">
        <f t="shared" si="7"/>
        <v>8190.2</v>
      </c>
      <c r="AW7" s="137" t="s">
        <v>209</v>
      </c>
      <c r="AX7" s="131" t="s">
        <v>149</v>
      </c>
      <c r="AY7" s="131" t="s">
        <v>148</v>
      </c>
      <c r="AZ7" s="132"/>
      <c r="BA7" s="133" t="str">
        <f t="shared" si="1"/>
        <v>正确</v>
      </c>
    </row>
    <row r="8" spans="1:65">
      <c r="A8" s="51">
        <v>5</v>
      </c>
      <c r="B8" s="52" t="s">
        <v>60</v>
      </c>
      <c r="C8" s="75" t="s">
        <v>1</v>
      </c>
      <c r="D8" s="63" t="s">
        <v>4</v>
      </c>
      <c r="E8" s="53" t="str">
        <f t="shared" si="8"/>
        <v>男</v>
      </c>
      <c r="F8" s="65">
        <f t="shared" si="9"/>
        <v>36294</v>
      </c>
      <c r="G8" s="118">
        <v>15531020153</v>
      </c>
      <c r="H8" s="62" t="str">
        <f>VLOOKUP(D8,社保!C:D,2,FALSE)</f>
        <v>北京</v>
      </c>
      <c r="I8" s="62">
        <f>VLOOKUP(D8,融科!$B$2:$W$100,2,FALSE)</f>
        <v>44576</v>
      </c>
      <c r="J8" s="120"/>
      <c r="K8" s="121">
        <f>VLOOKUP(D8,融科!$B$2:$W$100,15,FALSE)</f>
        <v>0.5</v>
      </c>
      <c r="L8" s="121">
        <f>VLOOKUP(D8,融科!$B$2:$W$100,16,FALSE)</f>
        <v>0.5</v>
      </c>
      <c r="M8" s="122">
        <f>VLOOKUP(D8,融科!$B$2:$W$100,17,FALSE)</f>
        <v>4400</v>
      </c>
      <c r="N8" s="122">
        <f>VLOOKUP(D8,融科!$B:$W,18,FALSE)</f>
        <v>4400</v>
      </c>
      <c r="O8" s="122">
        <f>VLOOKUP(D8,融科!$B$2:$W$100,20,FALSE)</f>
        <v>0</v>
      </c>
      <c r="P8" s="122">
        <f>VLOOKUP(D8,融科!$B$2:$W$100,19,FALSE)</f>
        <v>0</v>
      </c>
      <c r="Q8" s="122">
        <f>VLOOKUP(D8,融科!$B$2:$W$100,21,FALSE)</f>
        <v>0</v>
      </c>
      <c r="R8" s="122"/>
      <c r="S8" s="122"/>
      <c r="T8" s="123">
        <f>VLOOKUP(D8,融科!$B$2:$W$100,22,FALSE)</f>
        <v>8800</v>
      </c>
      <c r="U8" s="124">
        <f>VLOOKUP($D8,社保!$C:$AF,MATCH(U$2,社保!$C$1:$AF$1,0),FALSE)</f>
        <v>428.8</v>
      </c>
      <c r="V8" s="124">
        <f>VLOOKUP($D8,社保!$C:$AF,MATCH(V$2,社保!$C$1:$AF$1,0),FALSE)+VLOOKUP($D8,社保!$C:$AF,MATCH("个人大病",社保!$C$1:$AF$1,0),FALSE)</f>
        <v>110.2</v>
      </c>
      <c r="W8" s="124">
        <f>VLOOKUP($D8,社保!$C:$AF,MATCH(W$2,社保!$C$1:$AF$1,0),FALSE)</f>
        <v>26.8</v>
      </c>
      <c r="X8" s="124">
        <f t="shared" si="2"/>
        <v>565.79999999999995</v>
      </c>
      <c r="Y8" s="124">
        <f>VLOOKUP($D8,社保!$C:$AF,MATCH(Y$2,社保!$C$1:$AF$1,0),FALSE)</f>
        <v>316</v>
      </c>
      <c r="Z8" s="124">
        <f t="shared" si="3"/>
        <v>881.8</v>
      </c>
      <c r="AA8" s="119"/>
      <c r="AB8" s="125">
        <f>VLOOKUP($D8,个税系统表!$D:$AN,MATCH(海淀分公司工资表!AB$2,个税系统表!$D$1:$AM$1,0),FALSE)</f>
        <v>52800</v>
      </c>
      <c r="AC8" s="125">
        <f>VLOOKUP($D8,个税系统表!$D:$AN,MATCH(海淀分公司工资表!AC$2,个税系统表!$D$1:$AM$1,0),FALSE)</f>
        <v>30000</v>
      </c>
      <c r="AD8" s="125">
        <f>VLOOKUP($D8,个税系统表!$D:$AN,MATCH(海淀分公司工资表!AD$2,个税系统表!$D$1:$AM$1,0),FALSE)</f>
        <v>4974.8</v>
      </c>
      <c r="AE8" s="125">
        <f>VLOOKUP($D8,个税系统表!$D:$AN,MATCH(海淀分公司工资表!AE$3,个税系统表!$D$1:$AM$1,0),FALSE)</f>
        <v>0</v>
      </c>
      <c r="AF8" s="125">
        <f>VLOOKUP($D8,个税系统表!$D:$AN,MATCH(海淀分公司工资表!AF$3,个税系统表!$D$1:$AM$1,0),FALSE)</f>
        <v>0</v>
      </c>
      <c r="AG8" s="125">
        <f>VLOOKUP($D8,个税系统表!$D:$AN,MATCH(海淀分公司工资表!AG$3,个税系统表!$D$1:$AM$1,0),FALSE)</f>
        <v>0</v>
      </c>
      <c r="AH8" s="125">
        <f>VLOOKUP($D8,个税系统表!$D:$AN,MATCH(海淀分公司工资表!AH$3,个税系统表!$D$1:$AM$1,0),FALSE)</f>
        <v>9000</v>
      </c>
      <c r="AI8" s="125">
        <f>VLOOKUP($D8,个税系统表!$D:$AN,MATCH(海淀分公司工资表!AI$3,个税系统表!$D$1:$AM$1,0),FALSE)</f>
        <v>0</v>
      </c>
      <c r="AJ8" s="119"/>
      <c r="AK8" s="125">
        <f t="shared" si="4"/>
        <v>9000</v>
      </c>
      <c r="AL8" s="125">
        <f>VLOOKUP($D8,个税系统表!$D:$AN,MATCH(海淀分公司工资表!AL$2,个税系统表!$D$1:$AM$1,0),FALSE)</f>
        <v>0</v>
      </c>
      <c r="AM8" s="125">
        <f>VLOOKUP($D8,个税系统表!$D:$AN,MATCH(海淀分公司工资表!AM$2,个税系统表!$D$1:$AM$1,0),FALSE)</f>
        <v>8825.2000000000007</v>
      </c>
      <c r="AN8" s="125">
        <f>VLOOKUP($D8,个税系统表!$D:$AN,MATCH(海淀分公司工资表!AN$2,个税系统表!$D$1:$AM$1,0),FALSE)</f>
        <v>264.76</v>
      </c>
      <c r="AO8" s="125">
        <f>VLOOKUP($D8,个税系统表!$D:$AN,MATCH(海淀分公司工资表!AO$2,个税系统表!$D$1:$AM$1,0),FALSE)</f>
        <v>222.21</v>
      </c>
      <c r="AP8" s="125">
        <f>VLOOKUP($D8,个税系统表!$D:$AN,MATCH(海淀分公司工资表!AP$2,个税系统表!$D$1:$AM$1,0),FALSE)</f>
        <v>42.55</v>
      </c>
      <c r="AQ8" s="126">
        <f t="shared" si="5"/>
        <v>7875.65</v>
      </c>
      <c r="AR8" s="127"/>
      <c r="AS8" s="128">
        <f t="shared" si="6"/>
        <v>7875.65</v>
      </c>
      <c r="AT8" s="124">
        <f>VLOOKUP($H8,缴费比例!$B:$O,MATCH(AT$2,缴费比例!$B$1:$O$1,0),FALSE)</f>
        <v>170</v>
      </c>
      <c r="AU8" s="124">
        <v>2</v>
      </c>
      <c r="AV8" s="124">
        <f t="shared" si="7"/>
        <v>8090.2</v>
      </c>
      <c r="AW8" s="130" t="s">
        <v>157</v>
      </c>
      <c r="AX8" s="131" t="s">
        <v>149</v>
      </c>
      <c r="AY8" s="131" t="s">
        <v>150</v>
      </c>
      <c r="AZ8" s="132"/>
      <c r="BA8" s="133" t="str">
        <f t="shared" si="1"/>
        <v>正确</v>
      </c>
    </row>
    <row r="9" spans="1:65">
      <c r="A9" s="51">
        <v>6</v>
      </c>
      <c r="B9" s="52" t="s">
        <v>60</v>
      </c>
      <c r="C9" s="75" t="s">
        <v>35</v>
      </c>
      <c r="D9" s="63" t="s">
        <v>36</v>
      </c>
      <c r="E9" s="53" t="str">
        <f t="shared" si="8"/>
        <v>男</v>
      </c>
      <c r="F9" s="65">
        <f t="shared" si="9"/>
        <v>36771</v>
      </c>
      <c r="G9" s="118">
        <v>13293205606</v>
      </c>
      <c r="H9" s="62" t="str">
        <f>VLOOKUP(D9,社保!C:D,2,FALSE)</f>
        <v>北京</v>
      </c>
      <c r="I9" s="62">
        <f>VLOOKUP(D9,融科!$B$2:$W$100,2,FALSE)</f>
        <v>44576</v>
      </c>
      <c r="J9" s="120"/>
      <c r="K9" s="121">
        <f>VLOOKUP(D9,融科!$B$2:$W$100,15,FALSE)</f>
        <v>0.5</v>
      </c>
      <c r="L9" s="121">
        <f>VLOOKUP(D9,融科!$B$2:$W$100,16,FALSE)</f>
        <v>0.5</v>
      </c>
      <c r="M9" s="122">
        <f>VLOOKUP(D9,融科!$B$2:$W$100,17,FALSE)</f>
        <v>2972.5</v>
      </c>
      <c r="N9" s="122">
        <f>VLOOKUP(D9,融科!$B:$W,18,FALSE)</f>
        <v>2972.5</v>
      </c>
      <c r="O9" s="122">
        <f>VLOOKUP(D9,融科!$B$2:$W$100,20,FALSE)</f>
        <v>0</v>
      </c>
      <c r="P9" s="122">
        <f>VLOOKUP(D9,融科!$B$2:$W$100,19,FALSE)</f>
        <v>0</v>
      </c>
      <c r="Q9" s="122">
        <f>VLOOKUP(D9,融科!$B$2:$W$100,21,FALSE)</f>
        <v>0</v>
      </c>
      <c r="R9" s="122"/>
      <c r="S9" s="122"/>
      <c r="T9" s="123">
        <f>VLOOKUP(D9,融科!$B$2:$W$100,22,FALSE)</f>
        <v>5945</v>
      </c>
      <c r="U9" s="124">
        <f>VLOOKUP($D9,社保!$C:$AF,MATCH(U$2,社保!$C$1:$AF$1,0),FALSE)</f>
        <v>428.8</v>
      </c>
      <c r="V9" s="124">
        <f>VLOOKUP($D9,社保!$C:$AF,MATCH(V$2,社保!$C$1:$AF$1,0),FALSE)+VLOOKUP($D9,社保!$C:$AF,MATCH("个人大病",社保!$C$1:$AF$1,0),FALSE)</f>
        <v>110.2</v>
      </c>
      <c r="W9" s="124">
        <f>VLOOKUP($D9,社保!$C:$AF,MATCH(W$2,社保!$C$1:$AF$1,0),FALSE)</f>
        <v>26.8</v>
      </c>
      <c r="X9" s="124">
        <f t="shared" ref="X9:X12" si="10">SUM(U9:W9)</f>
        <v>565.79999999999995</v>
      </c>
      <c r="Y9" s="124">
        <f>VLOOKUP($D9,社保!$C:$AF,MATCH(Y$2,社保!$C$1:$AF$1,0),FALSE)</f>
        <v>456</v>
      </c>
      <c r="Z9" s="124">
        <f t="shared" ref="Z9:Z12" si="11">SUM(X9:Y9)</f>
        <v>1021.8</v>
      </c>
      <c r="AA9" s="119"/>
      <c r="AB9" s="125">
        <f>VLOOKUP($D9,个税系统表!$D:$AN,MATCH(海淀分公司工资表!AB$2,个税系统表!$D$1:$AM$1,0),FALSE)</f>
        <v>33005</v>
      </c>
      <c r="AC9" s="125">
        <f>VLOOKUP($D9,个税系统表!$D:$AN,MATCH(海淀分公司工资表!AC$2,个税系统表!$D$1:$AM$1,0),FALSE)</f>
        <v>30000</v>
      </c>
      <c r="AD9" s="125">
        <f>VLOOKUP($D9,个税系统表!$D:$AN,MATCH(海淀分公司工资表!AD$2,个税系统表!$D$1:$AM$1,0),FALSE)</f>
        <v>4653</v>
      </c>
      <c r="AE9" s="125">
        <f>VLOOKUP($D9,个税系统表!$D:$AN,MATCH(海淀分公司工资表!AE$3,个税系统表!$D$1:$AM$1,0),FALSE)</f>
        <v>0</v>
      </c>
      <c r="AF9" s="125">
        <f>VLOOKUP($D9,个税系统表!$D:$AN,MATCH(海淀分公司工资表!AF$3,个税系统表!$D$1:$AM$1,0),FALSE)</f>
        <v>0</v>
      </c>
      <c r="AG9" s="125">
        <f>VLOOKUP($D9,个税系统表!$D:$AN,MATCH(海淀分公司工资表!AG$3,个税系统表!$D$1:$AM$1,0),FALSE)</f>
        <v>0</v>
      </c>
      <c r="AH9" s="125">
        <f>VLOOKUP($D9,个税系统表!$D:$AN,MATCH(海淀分公司工资表!AH$3,个税系统表!$D$1:$AM$1,0),FALSE)</f>
        <v>0</v>
      </c>
      <c r="AI9" s="125">
        <f>VLOOKUP($D9,个税系统表!$D:$AN,MATCH(海淀分公司工资表!AI$3,个税系统表!$D$1:$AM$1,0),FALSE)</f>
        <v>0</v>
      </c>
      <c r="AJ9" s="119"/>
      <c r="AK9" s="125">
        <f t="shared" si="4"/>
        <v>0</v>
      </c>
      <c r="AL9" s="125">
        <f>VLOOKUP($D9,个税系统表!$D:$AN,MATCH(海淀分公司工资表!AL$2,个税系统表!$D$1:$AM$1,0),FALSE)</f>
        <v>0</v>
      </c>
      <c r="AM9" s="125">
        <f>VLOOKUP($D9,个税系统表!$D:$AN,MATCH(海淀分公司工资表!AM$2,个税系统表!$D$1:$AM$1,0),FALSE)</f>
        <v>0</v>
      </c>
      <c r="AN9" s="125">
        <f>VLOOKUP($D9,个税系统表!$D:$AN,MATCH(海淀分公司工资表!AN$2,个税系统表!$D$1:$AM$1,0),FALSE)</f>
        <v>0</v>
      </c>
      <c r="AO9" s="125">
        <f>VLOOKUP($D9,个税系统表!$D:$AN,MATCH(海淀分公司工资表!AO$2,个税系统表!$D$1:$AM$1,0),FALSE)</f>
        <v>0</v>
      </c>
      <c r="AP9" s="125">
        <f>VLOOKUP($D9,个税系统表!$D:$AN,MATCH(海淀分公司工资表!AP$2,个税系统表!$D$1:$AM$1,0),FALSE)</f>
        <v>0</v>
      </c>
      <c r="AQ9" s="126">
        <f t="shared" si="5"/>
        <v>4923.2</v>
      </c>
      <c r="AR9" s="127"/>
      <c r="AS9" s="128">
        <f t="shared" si="6"/>
        <v>4923.2</v>
      </c>
      <c r="AT9" s="124">
        <f>VLOOKUP($H9,缴费比例!$B:$O,MATCH(AT$2,缴费比例!$B$1:$O$1,0),FALSE)</f>
        <v>170</v>
      </c>
      <c r="AU9" s="124">
        <v>2</v>
      </c>
      <c r="AV9" s="124">
        <f t="shared" si="7"/>
        <v>5095.2</v>
      </c>
      <c r="AW9" s="130" t="s">
        <v>158</v>
      </c>
      <c r="AX9" s="131" t="s">
        <v>151</v>
      </c>
      <c r="AY9" s="131" t="s">
        <v>152</v>
      </c>
      <c r="AZ9" s="132"/>
      <c r="BA9" s="133" t="str">
        <f t="shared" si="1"/>
        <v>正确</v>
      </c>
    </row>
    <row r="10" spans="1:65">
      <c r="A10" s="51">
        <v>7</v>
      </c>
      <c r="B10" s="52" t="s">
        <v>60</v>
      </c>
      <c r="C10" s="75" t="s">
        <v>142</v>
      </c>
      <c r="D10" s="63" t="s">
        <v>37</v>
      </c>
      <c r="E10" s="53" t="str">
        <f t="shared" si="8"/>
        <v>女</v>
      </c>
      <c r="F10" s="65">
        <f t="shared" si="9"/>
        <v>34201</v>
      </c>
      <c r="G10" s="118">
        <v>18513832474</v>
      </c>
      <c r="H10" s="62" t="str">
        <f>VLOOKUP(D10,社保!C:D,2,FALSE)</f>
        <v>北京</v>
      </c>
      <c r="I10" s="62">
        <f>VLOOKUP(D10,融科!$B$2:$W$100,2,FALSE)</f>
        <v>44576</v>
      </c>
      <c r="J10" s="120"/>
      <c r="K10" s="121">
        <f>VLOOKUP(D10,融科!$B$2:$W$100,15,FALSE)</f>
        <v>0.5</v>
      </c>
      <c r="L10" s="121">
        <f>VLOOKUP(D10,融科!$B$2:$W$100,16,FALSE)</f>
        <v>0.5</v>
      </c>
      <c r="M10" s="122">
        <f>VLOOKUP(D10,融科!$B$2:$W$100,17,FALSE)</f>
        <v>5500</v>
      </c>
      <c r="N10" s="122">
        <f>VLOOKUP(D10,融科!$B:$W,18,FALSE)</f>
        <v>5500</v>
      </c>
      <c r="O10" s="122">
        <f>VLOOKUP(D10,融科!$B$2:$W$100,20,FALSE)</f>
        <v>0</v>
      </c>
      <c r="P10" s="122">
        <f>VLOOKUP(D10,融科!$B$2:$W$100,19,FALSE)</f>
        <v>0</v>
      </c>
      <c r="Q10" s="122">
        <f>VLOOKUP(D10,融科!$B$2:$W$100,21,FALSE)</f>
        <v>0</v>
      </c>
      <c r="R10" s="122"/>
      <c r="S10" s="122"/>
      <c r="T10" s="123">
        <f>VLOOKUP(D10,融科!$B$2:$W$100,22,FALSE)</f>
        <v>11000</v>
      </c>
      <c r="U10" s="124">
        <f>VLOOKUP($D10,社保!$C:$AF,MATCH(U$2,社保!$C$1:$AF$1,0),FALSE)</f>
        <v>428.8</v>
      </c>
      <c r="V10" s="124">
        <f>VLOOKUP($D10,社保!$C:$AF,MATCH(V$2,社保!$C$1:$AF$1,0),FALSE)+VLOOKUP($D10,社保!$C:$AF,MATCH("个人大病",社保!$C$1:$AF$1,0),FALSE)</f>
        <v>110.2</v>
      </c>
      <c r="W10" s="124">
        <f>VLOOKUP($D10,社保!$C:$AF,MATCH(W$2,社保!$C$1:$AF$1,0),FALSE)</f>
        <v>26.8</v>
      </c>
      <c r="X10" s="124">
        <f t="shared" si="10"/>
        <v>565.79999999999995</v>
      </c>
      <c r="Y10" s="124">
        <f>VLOOKUP($D10,社保!$C:$AF,MATCH(Y$2,社保!$C$1:$AF$1,0),FALSE)</f>
        <v>643</v>
      </c>
      <c r="Z10" s="124">
        <f t="shared" si="11"/>
        <v>1208.8</v>
      </c>
      <c r="AA10" s="119"/>
      <c r="AB10" s="125">
        <f>VLOOKUP($D10,个税系统表!$D:$AN,MATCH(海淀分公司工资表!AB$2,个税系统表!$D$1:$AM$1,0),FALSE)</f>
        <v>61068.97</v>
      </c>
      <c r="AC10" s="125">
        <f>VLOOKUP($D10,个税系统表!$D:$AN,MATCH(海淀分公司工资表!AC$2,个税系统表!$D$1:$AM$1,0),FALSE)</f>
        <v>30000</v>
      </c>
      <c r="AD10" s="125">
        <f>VLOOKUP($D10,个税系统表!$D:$AN,MATCH(海淀分公司工资表!AD$2,个税系统表!$D$1:$AM$1,0),FALSE)</f>
        <v>5401</v>
      </c>
      <c r="AE10" s="125">
        <f>VLOOKUP($D10,个税系统表!$D:$AN,MATCH(海淀分公司工资表!AE$3,个税系统表!$D$1:$AM$1,0),FALSE)</f>
        <v>0</v>
      </c>
      <c r="AF10" s="125">
        <f>VLOOKUP($D10,个税系统表!$D:$AN,MATCH(海淀分公司工资表!AF$3,个税系统表!$D$1:$AM$1,0),FALSE)</f>
        <v>0</v>
      </c>
      <c r="AG10" s="125">
        <f>VLOOKUP($D10,个税系统表!$D:$AN,MATCH(海淀分公司工资表!AG$3,个税系统表!$D$1:$AM$1,0),FALSE)</f>
        <v>0</v>
      </c>
      <c r="AH10" s="125">
        <f>VLOOKUP($D10,个税系统表!$D:$AN,MATCH(海淀分公司工资表!AH$3,个税系统表!$D$1:$AM$1,0),FALSE)</f>
        <v>0</v>
      </c>
      <c r="AI10" s="125">
        <f>VLOOKUP($D10,个税系统表!$D:$AN,MATCH(海淀分公司工资表!AI$3,个税系统表!$D$1:$AM$1,0),FALSE)</f>
        <v>0</v>
      </c>
      <c r="AJ10" s="119"/>
      <c r="AK10" s="125">
        <f t="shared" si="4"/>
        <v>0</v>
      </c>
      <c r="AL10" s="125">
        <f>VLOOKUP($D10,个税系统表!$D:$AN,MATCH(海淀分公司工资表!AL$2,个税系统表!$D$1:$AM$1,0),FALSE)</f>
        <v>0</v>
      </c>
      <c r="AM10" s="125">
        <f>VLOOKUP($D10,个税系统表!$D:$AN,MATCH(海淀分公司工资表!AM$2,个税系统表!$D$1:$AM$1,0),FALSE)</f>
        <v>25667.97</v>
      </c>
      <c r="AN10" s="125">
        <f>VLOOKUP($D10,个税系统表!$D:$AN,MATCH(海淀分公司工资表!AN$2,个税系统表!$D$1:$AM$1,0),FALSE)</f>
        <v>770.04</v>
      </c>
      <c r="AO10" s="125">
        <f>VLOOKUP($D10,个税系统表!$D:$AN,MATCH(海淀分公司工资表!AO$2,个税系统表!$D$1:$AM$1,0),FALSE)</f>
        <v>626.29999999999995</v>
      </c>
      <c r="AP10" s="125">
        <f>VLOOKUP($D10,个税系统表!$D:$AN,MATCH(海淀分公司工资表!AP$2,个税系统表!$D$1:$AM$1,0),FALSE)</f>
        <v>143.74</v>
      </c>
      <c r="AQ10" s="126">
        <f t="shared" si="5"/>
        <v>9647.4600000000009</v>
      </c>
      <c r="AR10" s="127"/>
      <c r="AS10" s="128">
        <f t="shared" si="6"/>
        <v>9647.4599999999991</v>
      </c>
      <c r="AT10" s="124">
        <f>VLOOKUP($H10,缴费比例!$B:$O,MATCH(AT$2,缴费比例!$B$1:$O$1,0),FALSE)</f>
        <v>170</v>
      </c>
      <c r="AU10" s="124">
        <v>2</v>
      </c>
      <c r="AV10" s="124">
        <f t="shared" si="7"/>
        <v>9963.2000000000007</v>
      </c>
      <c r="AW10" s="130" t="s">
        <v>159</v>
      </c>
      <c r="AX10" s="131" t="s">
        <v>151</v>
      </c>
      <c r="AY10" s="131" t="s">
        <v>153</v>
      </c>
      <c r="AZ10" s="132"/>
      <c r="BA10" s="133" t="str">
        <f t="shared" si="1"/>
        <v>正确</v>
      </c>
    </row>
    <row r="11" spans="1:65">
      <c r="A11" s="51">
        <v>8</v>
      </c>
      <c r="B11" s="52" t="s">
        <v>60</v>
      </c>
      <c r="C11" s="75" t="s">
        <v>38</v>
      </c>
      <c r="D11" s="63" t="s">
        <v>39</v>
      </c>
      <c r="E11" s="53" t="str">
        <f t="shared" si="8"/>
        <v>女</v>
      </c>
      <c r="F11" s="65">
        <f t="shared" si="9"/>
        <v>34277</v>
      </c>
      <c r="G11" s="118">
        <v>18234114102</v>
      </c>
      <c r="H11" s="62" t="str">
        <f>VLOOKUP(D11,社保!C:D,2,FALSE)</f>
        <v>北京</v>
      </c>
      <c r="I11" s="62">
        <f>VLOOKUP(D11,融科!$B$2:$W$100,2,FALSE)</f>
        <v>44562</v>
      </c>
      <c r="J11" s="120"/>
      <c r="K11" s="121">
        <f>VLOOKUP(D11,融科!$B$2:$W$100,15,FALSE)</f>
        <v>0.5</v>
      </c>
      <c r="L11" s="121">
        <f>VLOOKUP(D11,融科!$B$2:$W$100,16,FALSE)</f>
        <v>0.5</v>
      </c>
      <c r="M11" s="122">
        <f>VLOOKUP(D11,融科!$B$2:$W$100,17,FALSE)</f>
        <v>5500</v>
      </c>
      <c r="N11" s="122">
        <f>VLOOKUP(D11,融科!$B:$W,18,FALSE)</f>
        <v>5500</v>
      </c>
      <c r="O11" s="122">
        <f>VLOOKUP(D11,融科!$B$2:$W$100,20,FALSE)</f>
        <v>0</v>
      </c>
      <c r="P11" s="122">
        <f>VLOOKUP(D11,融科!$B$2:$W$100,19,FALSE)</f>
        <v>0</v>
      </c>
      <c r="Q11" s="122">
        <f>VLOOKUP(D11,融科!$B$2:$W$100,21,FALSE)</f>
        <v>0</v>
      </c>
      <c r="R11" s="122"/>
      <c r="S11" s="122"/>
      <c r="T11" s="123">
        <f>VLOOKUP(D11,融科!$B$2:$W$100,22,FALSE)</f>
        <v>11000</v>
      </c>
      <c r="U11" s="124">
        <f>VLOOKUP($D11,社保!$C:$AF,MATCH(U$2,社保!$C$1:$AF$1,0),FALSE)</f>
        <v>880</v>
      </c>
      <c r="V11" s="124">
        <f>VLOOKUP($D11,社保!$C:$AF,MATCH(V$2,社保!$C$1:$AF$1,0),FALSE)+VLOOKUP($D11,社保!$C:$AF,MATCH("个人大病",社保!$C$1:$AF$1,0),FALSE)</f>
        <v>223</v>
      </c>
      <c r="W11" s="124">
        <f>VLOOKUP($D11,社保!$C:$AF,MATCH(W$2,社保!$C$1:$AF$1,0),FALSE)</f>
        <v>55</v>
      </c>
      <c r="X11" s="124">
        <f t="shared" si="10"/>
        <v>1158</v>
      </c>
      <c r="Y11" s="124">
        <f>VLOOKUP($D11,社保!$C:$AF,MATCH(Y$2,社保!$C$1:$AF$1,0),FALSE)</f>
        <v>1320</v>
      </c>
      <c r="Z11" s="124">
        <f t="shared" si="11"/>
        <v>2478</v>
      </c>
      <c r="AA11" s="119"/>
      <c r="AB11" s="125">
        <f>VLOOKUP($D11,个税系统表!$D:$AN,MATCH(海淀分公司工资表!AB$2,个税系统表!$D$1:$AM$1,0),FALSE)</f>
        <v>61068.97</v>
      </c>
      <c r="AC11" s="125">
        <f>VLOOKUP($D11,个税系统表!$D:$AN,MATCH(海淀分公司工资表!AC$2,个税系统表!$D$1:$AM$1,0),FALSE)</f>
        <v>30000</v>
      </c>
      <c r="AD11" s="125">
        <f>VLOOKUP($D11,个税系统表!$D:$AN,MATCH(海淀分公司工资表!AD$2,个税系统表!$D$1:$AM$1,0),FALSE)</f>
        <v>11070</v>
      </c>
      <c r="AE11" s="125">
        <f>VLOOKUP($D11,个税系统表!$D:$AN,MATCH(海淀分公司工资表!AE$3,个税系统表!$D$1:$AM$1,0),FALSE)</f>
        <v>0</v>
      </c>
      <c r="AF11" s="125">
        <f>VLOOKUP($D11,个税系统表!$D:$AN,MATCH(海淀分公司工资表!AF$3,个税系统表!$D$1:$AM$1,0),FALSE)</f>
        <v>0</v>
      </c>
      <c r="AG11" s="125">
        <f>VLOOKUP($D11,个税系统表!$D:$AN,MATCH(海淀分公司工资表!AG$3,个税系统表!$D$1:$AM$1,0),FALSE)</f>
        <v>0</v>
      </c>
      <c r="AH11" s="125">
        <f>VLOOKUP($D11,个税系统表!$D:$AN,MATCH(海淀分公司工资表!AH$3,个税系统表!$D$1:$AM$1,0),FALSE)</f>
        <v>9000</v>
      </c>
      <c r="AI11" s="125">
        <f>VLOOKUP($D11,个税系统表!$D:$AN,MATCH(海淀分公司工资表!AI$3,个税系统表!$D$1:$AM$1,0),FALSE)</f>
        <v>0</v>
      </c>
      <c r="AJ11" s="119"/>
      <c r="AK11" s="125">
        <f t="shared" si="4"/>
        <v>9000</v>
      </c>
      <c r="AL11" s="125">
        <f>VLOOKUP($D11,个税系统表!$D:$AN,MATCH(海淀分公司工资表!AL$2,个税系统表!$D$1:$AM$1,0),FALSE)</f>
        <v>0</v>
      </c>
      <c r="AM11" s="125">
        <f>VLOOKUP($D11,个税系统表!$D:$AN,MATCH(海淀分公司工资表!AM$2,个税系统表!$D$1:$AM$1,0),FALSE)</f>
        <v>10998.97</v>
      </c>
      <c r="AN11" s="125">
        <f>VLOOKUP($D11,个税系统表!$D:$AN,MATCH(海淀分公司工资表!AN$2,个税系统表!$D$1:$AM$1,0),FALSE)</f>
        <v>329.97</v>
      </c>
      <c r="AO11" s="125">
        <f>VLOOKUP($D11,个税系统表!$D:$AN,MATCH(海淀分公司工资表!AO$2,个税系统表!$D$1:$AM$1,0),FALSE)</f>
        <v>269.31</v>
      </c>
      <c r="AP11" s="125">
        <f>VLOOKUP($D11,个税系统表!$D:$AN,MATCH(海淀分公司工资表!AP$2,个税系统表!$D$1:$AM$1,0),FALSE)</f>
        <v>60.66</v>
      </c>
      <c r="AQ11" s="126">
        <f t="shared" si="5"/>
        <v>8461.34</v>
      </c>
      <c r="AR11" s="127"/>
      <c r="AS11" s="128">
        <f t="shared" si="6"/>
        <v>8461.34</v>
      </c>
      <c r="AT11" s="124">
        <f>VLOOKUP($H11,缴费比例!$B:$O,MATCH(AT$2,缴费比例!$B$1:$O$1,0),FALSE)</f>
        <v>170</v>
      </c>
      <c r="AU11" s="124"/>
      <c r="AV11" s="124">
        <f t="shared" si="7"/>
        <v>8692</v>
      </c>
      <c r="AW11" s="130" t="s">
        <v>160</v>
      </c>
      <c r="AX11" s="131" t="s">
        <v>155</v>
      </c>
      <c r="AY11" s="131" t="s">
        <v>154</v>
      </c>
      <c r="AZ11" s="132"/>
      <c r="BA11" s="133" t="str">
        <f t="shared" si="1"/>
        <v>正确</v>
      </c>
    </row>
    <row r="12" spans="1:65">
      <c r="A12" s="51">
        <v>9</v>
      </c>
      <c r="B12" s="52" t="s">
        <v>60</v>
      </c>
      <c r="C12" s="75" t="s">
        <v>40</v>
      </c>
      <c r="D12" s="63" t="s">
        <v>41</v>
      </c>
      <c r="E12" s="53" t="str">
        <f t="shared" si="8"/>
        <v>男</v>
      </c>
      <c r="F12" s="65">
        <f t="shared" si="9"/>
        <v>36623</v>
      </c>
      <c r="G12" s="118">
        <v>13997516515</v>
      </c>
      <c r="H12" s="62" t="str">
        <f>VLOOKUP(D12,社保!C:D,2,FALSE)</f>
        <v>福州</v>
      </c>
      <c r="I12" s="62">
        <f>VLOOKUP(D12,融科!$B$2:$W$100,2,FALSE)</f>
        <v>44562</v>
      </c>
      <c r="J12" s="120"/>
      <c r="K12" s="121">
        <f>VLOOKUP(D12,融科!$B$2:$W$100,15,FALSE)</f>
        <v>0.7</v>
      </c>
      <c r="L12" s="121">
        <f>VLOOKUP(D12,融科!$B$2:$W$100,16,FALSE)</f>
        <v>0.3</v>
      </c>
      <c r="M12" s="122">
        <f>VLOOKUP(D12,融科!$B$2:$W$100,17,FALSE)</f>
        <v>4200</v>
      </c>
      <c r="N12" s="122">
        <f>VLOOKUP(D12,融科!$B:$W,18,FALSE)</f>
        <v>1800</v>
      </c>
      <c r="O12" s="122">
        <f>VLOOKUP(D12,融科!$B$2:$W$100,20,FALSE)</f>
        <v>0</v>
      </c>
      <c r="P12" s="122">
        <f>VLOOKUP(D12,融科!$B$2:$W$100,19,FALSE)</f>
        <v>0</v>
      </c>
      <c r="Q12" s="122">
        <f>VLOOKUP(D12,融科!$B$2:$W$100,21,FALSE)</f>
        <v>0</v>
      </c>
      <c r="R12" s="122"/>
      <c r="S12" s="122"/>
      <c r="T12" s="123">
        <f>VLOOKUP(D12,融科!$B$2:$W$100,22,FALSE)</f>
        <v>6000</v>
      </c>
      <c r="U12" s="124">
        <f>VLOOKUP($D12,社保!$C:$AF,MATCH(U$2,社保!$C$1:$AF$1,0),FALSE)</f>
        <v>166</v>
      </c>
      <c r="V12" s="124">
        <f>VLOOKUP($D12,社保!$C:$AF,MATCH(V$2,社保!$C$1:$AF$1,0),FALSE)+VLOOKUP($D12,社保!$C:$AF,MATCH("个人大病",社保!$C$1:$AF$1,0),FALSE)</f>
        <v>73.52</v>
      </c>
      <c r="W12" s="124">
        <f>VLOOKUP($D12,社保!$C:$AF,MATCH(W$2,社保!$C$1:$AF$1,0),FALSE)</f>
        <v>10.38</v>
      </c>
      <c r="X12" s="124">
        <f t="shared" si="10"/>
        <v>249.89999999999998</v>
      </c>
      <c r="Y12" s="124">
        <f>VLOOKUP($D12,社保!$C:$AF,MATCH(Y$2,社保!$C$1:$AF$1,0),FALSE)</f>
        <v>86</v>
      </c>
      <c r="Z12" s="124">
        <f t="shared" si="11"/>
        <v>335.9</v>
      </c>
      <c r="AA12" s="129"/>
      <c r="AB12" s="125">
        <f>VLOOKUP($D12,个税系统表!$D:$AN,MATCH(海淀分公司工资表!AB$2,个税系统表!$D$1:$AM$1,0),FALSE)</f>
        <v>31500</v>
      </c>
      <c r="AC12" s="125">
        <f>VLOOKUP($D12,个税系统表!$D:$AN,MATCH(海淀分公司工资表!AC$2,个税系统表!$D$1:$AM$1,0),FALSE)</f>
        <v>30000</v>
      </c>
      <c r="AD12" s="125">
        <f>VLOOKUP($D12,个税系统表!$D:$AN,MATCH(海淀分公司工资表!AD$2,个税系统表!$D$1:$AM$1,0),FALSE)</f>
        <v>1929.4</v>
      </c>
      <c r="AE12" s="125">
        <f>VLOOKUP($D12,个税系统表!$D:$AN,MATCH(海淀分公司工资表!AE$3,个税系统表!$D$1:$AM$1,0),FALSE)</f>
        <v>0</v>
      </c>
      <c r="AF12" s="125">
        <f>VLOOKUP($D12,个税系统表!$D:$AN,MATCH(海淀分公司工资表!AF$3,个税系统表!$D$1:$AM$1,0),FALSE)</f>
        <v>0</v>
      </c>
      <c r="AG12" s="125">
        <f>VLOOKUP($D12,个税系统表!$D:$AN,MATCH(海淀分公司工资表!AG$3,个税系统表!$D$1:$AM$1,0),FALSE)</f>
        <v>0</v>
      </c>
      <c r="AH12" s="125">
        <f>VLOOKUP($D12,个税系统表!$D:$AN,MATCH(海淀分公司工资表!AH$3,个税系统表!$D$1:$AM$1,0),FALSE)</f>
        <v>0</v>
      </c>
      <c r="AI12" s="125">
        <f>VLOOKUP($D12,个税系统表!$D:$AN,MATCH(海淀分公司工资表!AI$3,个税系统表!$D$1:$AM$1,0),FALSE)</f>
        <v>0</v>
      </c>
      <c r="AJ12" s="119"/>
      <c r="AK12" s="125">
        <f t="shared" si="4"/>
        <v>0</v>
      </c>
      <c r="AL12" s="125">
        <f>VLOOKUP($D12,个税系统表!$D:$AN,MATCH(海淀分公司工资表!AL$2,个税系统表!$D$1:$AM$1,0),FALSE)</f>
        <v>0</v>
      </c>
      <c r="AM12" s="125">
        <f>VLOOKUP($D12,个税系统表!$D:$AN,MATCH(海淀分公司工资表!AM$2,个税系统表!$D$1:$AM$1,0),FALSE)</f>
        <v>0</v>
      </c>
      <c r="AN12" s="125">
        <f>VLOOKUP($D12,个税系统表!$D:$AN,MATCH(海淀分公司工资表!AN$2,个税系统表!$D$1:$AM$1,0),FALSE)</f>
        <v>0</v>
      </c>
      <c r="AO12" s="125">
        <f>VLOOKUP($D12,个税系统表!$D:$AN,MATCH(海淀分公司工资表!AO$2,个税系统表!$D$1:$AM$1,0),FALSE)</f>
        <v>0</v>
      </c>
      <c r="AP12" s="125">
        <f>VLOOKUP($D12,个税系统表!$D:$AN,MATCH(海淀分公司工资表!AP$2,个税系统表!$D$1:$AM$1,0),FALSE)</f>
        <v>0</v>
      </c>
      <c r="AQ12" s="126">
        <f t="shared" si="5"/>
        <v>5664.1</v>
      </c>
      <c r="AR12" s="127"/>
      <c r="AS12" s="128">
        <f t="shared" si="6"/>
        <v>5664.1</v>
      </c>
      <c r="AT12" s="124">
        <f>VLOOKUP($H12,缴费比例!$B:$O,MATCH(AT$2,缴费比例!$B$1:$O$1,0),FALSE)</f>
        <v>180</v>
      </c>
      <c r="AU12" s="124">
        <v>2</v>
      </c>
      <c r="AV12" s="124">
        <f t="shared" si="7"/>
        <v>5846.1</v>
      </c>
      <c r="AW12" s="134" t="s">
        <v>210</v>
      </c>
      <c r="AX12" s="131" t="s">
        <v>151</v>
      </c>
      <c r="AY12" s="135" t="s">
        <v>211</v>
      </c>
      <c r="AZ12" s="136"/>
      <c r="BA12" s="133" t="str">
        <f t="shared" si="1"/>
        <v>正确</v>
      </c>
    </row>
    <row r="13" spans="1:65">
      <c r="A13" s="51">
        <v>10</v>
      </c>
      <c r="B13" s="52" t="s">
        <v>60</v>
      </c>
      <c r="C13" s="50" t="s">
        <v>42</v>
      </c>
      <c r="D13" s="64" t="s">
        <v>43</v>
      </c>
      <c r="E13" s="53" t="str">
        <f t="shared" si="8"/>
        <v>男</v>
      </c>
      <c r="F13" s="65">
        <f t="shared" si="9"/>
        <v>31575</v>
      </c>
      <c r="G13" s="118">
        <v>17764403230</v>
      </c>
      <c r="H13" s="62" t="str">
        <f>VLOOKUP(D13,社保!C:D,2,FALSE)</f>
        <v>合肥</v>
      </c>
      <c r="I13" s="62">
        <f>VLOOKUP(D13,融科!$B$2:$W$100,2,FALSE)</f>
        <v>44562</v>
      </c>
      <c r="J13" s="120"/>
      <c r="K13" s="121">
        <f>VLOOKUP(D13,融科!$B$2:$W$100,15,FALSE)</f>
        <v>0.7</v>
      </c>
      <c r="L13" s="121">
        <f>VLOOKUP(D13,融科!$B$2:$W$100,16,FALSE)</f>
        <v>0.3</v>
      </c>
      <c r="M13" s="122">
        <f>VLOOKUP(D13,融科!$B$2:$W$100,17,FALSE)</f>
        <v>13300</v>
      </c>
      <c r="N13" s="122">
        <f>VLOOKUP(D13,融科!$B:$W,18,FALSE)</f>
        <v>5700</v>
      </c>
      <c r="O13" s="122">
        <f>VLOOKUP(D13,融科!$B$2:$W$100,20,FALSE)</f>
        <v>0</v>
      </c>
      <c r="P13" s="122">
        <f>VLOOKUP(D13,融科!$B$2:$W$100,19,FALSE)</f>
        <v>1000</v>
      </c>
      <c r="Q13" s="122">
        <f>VLOOKUP(D13,融科!$B$2:$W$100,21,FALSE)</f>
        <v>0</v>
      </c>
      <c r="R13" s="122"/>
      <c r="S13" s="122"/>
      <c r="T13" s="123">
        <f>VLOOKUP(D13,融科!$B$2:$W$100,22,FALSE)</f>
        <v>20000</v>
      </c>
      <c r="U13" s="124">
        <f>VLOOKUP($D13,社保!$C:$AF,MATCH(U$2,社保!$C$1:$AF$1,0),FALSE)</f>
        <v>274.39999999999998</v>
      </c>
      <c r="V13" s="124">
        <f>VLOOKUP($D13,社保!$C:$AF,MATCH(V$2,社保!$C$1:$AF$1,0),FALSE)+VLOOKUP($D13,社保!$C:$AF,MATCH("个人大病",社保!$C$1:$AF$1,0),FALSE)</f>
        <v>68.599999999999994</v>
      </c>
      <c r="W13" s="124">
        <f>VLOOKUP($D13,社保!$C:$AF,MATCH(W$2,社保!$C$1:$AF$1,0),FALSE)</f>
        <v>17.149999999999999</v>
      </c>
      <c r="X13" s="124">
        <f t="shared" si="2"/>
        <v>360.15</v>
      </c>
      <c r="Y13" s="124">
        <f>VLOOKUP($D13,社保!$C:$AF,MATCH(Y$2,社保!$C$1:$AF$1,0),FALSE)</f>
        <v>82.5</v>
      </c>
      <c r="Z13" s="124">
        <f t="shared" si="3"/>
        <v>442.65</v>
      </c>
      <c r="AA13" s="129"/>
      <c r="AB13" s="125">
        <f>VLOOKUP($D13,个税系统表!$D:$AN,MATCH(海淀分公司工资表!AB$2,个税系统表!$D$1:$AM$1,0),FALSE)</f>
        <v>115313.1</v>
      </c>
      <c r="AC13" s="125">
        <f>VLOOKUP($D13,个税系统表!$D:$AN,MATCH(海淀分公司工资表!AC$2,个税系统表!$D$1:$AM$1,0),FALSE)</f>
        <v>30000</v>
      </c>
      <c r="AD13" s="125">
        <f>VLOOKUP($D13,个税系统表!$D:$AN,MATCH(海淀分公司工资表!AD$2,个税系统表!$D$1:$AM$1,0),FALSE)</f>
        <v>2573.4</v>
      </c>
      <c r="AE13" s="125">
        <f>VLOOKUP($D13,个税系统表!$D:$AN,MATCH(海淀分公司工资表!AE$3,个税系统表!$D$1:$AM$1,0),FALSE)</f>
        <v>6000</v>
      </c>
      <c r="AF13" s="125">
        <f>VLOOKUP($D13,个税系统表!$D:$AN,MATCH(海淀分公司工资表!AF$3,个税系统表!$D$1:$AM$1,0),FALSE)</f>
        <v>0</v>
      </c>
      <c r="AG13" s="125">
        <f>VLOOKUP($D13,个税系统表!$D:$AN,MATCH(海淀分公司工资表!AG$3,个税系统表!$D$1:$AM$1,0),FALSE)</f>
        <v>6000</v>
      </c>
      <c r="AH13" s="125">
        <f>VLOOKUP($D13,个税系统表!$D:$AN,MATCH(海淀分公司工资表!AH$3,个税系统表!$D$1:$AM$1,0),FALSE)</f>
        <v>0</v>
      </c>
      <c r="AI13" s="125">
        <f>VLOOKUP($D13,个税系统表!$D:$AN,MATCH(海淀分公司工资表!AI$3,个税系统表!$D$1:$AM$1,0),FALSE)</f>
        <v>6000</v>
      </c>
      <c r="AJ13" s="119"/>
      <c r="AK13" s="125">
        <f t="shared" si="4"/>
        <v>18000</v>
      </c>
      <c r="AL13" s="125">
        <f>VLOOKUP($D13,个税系统表!$D:$AN,MATCH(海淀分公司工资表!AL$2,个税系统表!$D$1:$AM$1,0),FALSE)</f>
        <v>0</v>
      </c>
      <c r="AM13" s="125">
        <f>VLOOKUP($D13,个税系统表!$D:$AN,MATCH(海淀分公司工资表!AM$2,个税系统表!$D$1:$AM$1,0),FALSE)</f>
        <v>64739.7</v>
      </c>
      <c r="AN13" s="125">
        <f>VLOOKUP($D13,个税系统表!$D:$AN,MATCH(海淀分公司工资表!AN$2,个税系统表!$D$1:$AM$1,0),FALSE)</f>
        <v>3953.97</v>
      </c>
      <c r="AO13" s="125">
        <f>VLOOKUP($D13,个税系统表!$D:$AN,MATCH(海淀分公司工资表!AO$2,个税系统表!$D$1:$AM$1,0),FALSE)</f>
        <v>3048.24</v>
      </c>
      <c r="AP13" s="125">
        <f>VLOOKUP($D13,个税系统表!$D:$AN,MATCH(海淀分公司工资表!AP$2,个税系统表!$D$1:$AM$1,0),FALSE)</f>
        <v>905.73</v>
      </c>
      <c r="AQ13" s="126">
        <f t="shared" si="5"/>
        <v>18651.62</v>
      </c>
      <c r="AR13" s="127"/>
      <c r="AS13" s="128">
        <f t="shared" si="6"/>
        <v>18651.62</v>
      </c>
      <c r="AT13" s="124">
        <f>VLOOKUP($H13,缴费比例!$B:$O,MATCH(AT$2,缴费比例!$B$1:$O$1,0),FALSE)</f>
        <v>180</v>
      </c>
      <c r="AU13" s="124">
        <v>2</v>
      </c>
      <c r="AV13" s="124">
        <f t="shared" si="7"/>
        <v>19739.349999999999</v>
      </c>
      <c r="AW13" s="140" t="s">
        <v>212</v>
      </c>
      <c r="AX13" s="131" t="s">
        <v>151</v>
      </c>
      <c r="AY13" s="140" t="s">
        <v>213</v>
      </c>
      <c r="AZ13" s="136"/>
      <c r="BA13" s="133" t="str">
        <f t="shared" si="1"/>
        <v>正确</v>
      </c>
    </row>
    <row r="14" spans="1:65">
      <c r="A14" s="51">
        <v>11</v>
      </c>
      <c r="B14" s="52" t="s">
        <v>60</v>
      </c>
      <c r="C14" s="50" t="s">
        <v>44</v>
      </c>
      <c r="D14" s="64" t="s">
        <v>45</v>
      </c>
      <c r="E14" s="53" t="str">
        <f t="shared" si="8"/>
        <v>男</v>
      </c>
      <c r="F14" s="65">
        <f t="shared" si="9"/>
        <v>33248</v>
      </c>
      <c r="G14" s="118">
        <v>15656127587</v>
      </c>
      <c r="H14" s="62" t="str">
        <f>VLOOKUP(D14,社保!C:D,2,FALSE)</f>
        <v>合肥</v>
      </c>
      <c r="I14" s="62">
        <f>VLOOKUP(D14,融科!$B$2:$W$100,2,FALSE)</f>
        <v>44562</v>
      </c>
      <c r="J14" s="120"/>
      <c r="K14" s="121">
        <f>VLOOKUP(D14,融科!$B$2:$W$100,15,FALSE)</f>
        <v>0.7</v>
      </c>
      <c r="L14" s="121">
        <f>VLOOKUP(D14,融科!$B$2:$W$100,16,FALSE)</f>
        <v>0.3</v>
      </c>
      <c r="M14" s="122">
        <f>VLOOKUP(D14,融科!$B$2:$W$100,17,FALSE)</f>
        <v>13300</v>
      </c>
      <c r="N14" s="122">
        <f>VLOOKUP(D14,融科!$B:$W,18,FALSE)</f>
        <v>5700</v>
      </c>
      <c r="O14" s="122">
        <f>VLOOKUP(D14,融科!$B$2:$W$100,20,FALSE)</f>
        <v>0</v>
      </c>
      <c r="P14" s="122">
        <f>VLOOKUP(D14,融科!$B$2:$W$100,19,FALSE)</f>
        <v>1000</v>
      </c>
      <c r="Q14" s="122">
        <f>VLOOKUP(D14,融科!$B$2:$W$100,21,FALSE)</f>
        <v>0</v>
      </c>
      <c r="R14" s="122"/>
      <c r="S14" s="122"/>
      <c r="T14" s="123">
        <f>VLOOKUP(D14,融科!$B$2:$W$100,22,FALSE)</f>
        <v>20000</v>
      </c>
      <c r="U14" s="124">
        <f>VLOOKUP($D14,社保!$C:$AF,MATCH(U$2,社保!$C$1:$AF$1,0),FALSE)</f>
        <v>274.39999999999998</v>
      </c>
      <c r="V14" s="124">
        <f>VLOOKUP($D14,社保!$C:$AF,MATCH(V$2,社保!$C$1:$AF$1,0),FALSE)+VLOOKUP($D14,社保!$C:$AF,MATCH("个人大病",社保!$C$1:$AF$1,0),FALSE)</f>
        <v>68.599999999999994</v>
      </c>
      <c r="W14" s="124">
        <f>VLOOKUP($D14,社保!$C:$AF,MATCH(W$2,社保!$C$1:$AF$1,0),FALSE)</f>
        <v>17.149999999999999</v>
      </c>
      <c r="X14" s="124">
        <f t="shared" si="2"/>
        <v>360.15</v>
      </c>
      <c r="Y14" s="124">
        <f>VLOOKUP($D14,社保!$C:$AF,MATCH(Y$2,社保!$C$1:$AF$1,0),FALSE)</f>
        <v>82.5</v>
      </c>
      <c r="Z14" s="124">
        <f t="shared" si="3"/>
        <v>442.65</v>
      </c>
      <c r="AA14" s="129"/>
      <c r="AB14" s="125">
        <f>VLOOKUP($D14,个税系统表!$D:$AN,MATCH(海淀分公司工资表!AB$2,个税系统表!$D$1:$AM$1,0),FALSE)</f>
        <v>115880.8</v>
      </c>
      <c r="AC14" s="125">
        <f>VLOOKUP($D14,个税系统表!$D:$AN,MATCH(海淀分公司工资表!AC$2,个税系统表!$D$1:$AM$1,0),FALSE)</f>
        <v>30000</v>
      </c>
      <c r="AD14" s="125">
        <f>VLOOKUP($D14,个税系统表!$D:$AN,MATCH(海淀分公司工资表!AD$2,个税系统表!$D$1:$AM$1,0),FALSE)</f>
        <v>2573.4</v>
      </c>
      <c r="AE14" s="125">
        <f>VLOOKUP($D14,个税系统表!$D:$AN,MATCH(海淀分公司工资表!AE$3,个税系统表!$D$1:$AM$1,0),FALSE)</f>
        <v>0</v>
      </c>
      <c r="AF14" s="125">
        <f>VLOOKUP($D14,个税系统表!$D:$AN,MATCH(海淀分公司工资表!AF$3,个税系统表!$D$1:$AM$1,0),FALSE)</f>
        <v>0</v>
      </c>
      <c r="AG14" s="125">
        <f>VLOOKUP($D14,个税系统表!$D:$AN,MATCH(海淀分公司工资表!AG$3,个税系统表!$D$1:$AM$1,0),FALSE)</f>
        <v>0</v>
      </c>
      <c r="AH14" s="125">
        <f>VLOOKUP($D14,个税系统表!$D:$AN,MATCH(海淀分公司工资表!AH$3,个税系统表!$D$1:$AM$1,0),FALSE)</f>
        <v>0</v>
      </c>
      <c r="AI14" s="125">
        <f>VLOOKUP($D14,个税系统表!$D:$AN,MATCH(海淀分公司工资表!AI$3,个税系统表!$D$1:$AM$1,0),FALSE)</f>
        <v>0</v>
      </c>
      <c r="AJ14" s="119"/>
      <c r="AK14" s="125">
        <f t="shared" si="4"/>
        <v>0</v>
      </c>
      <c r="AL14" s="125">
        <f>VLOOKUP($D14,个税系统表!$D:$AN,MATCH(海淀分公司工资表!AL$2,个税系统表!$D$1:$AM$1,0),FALSE)</f>
        <v>0</v>
      </c>
      <c r="AM14" s="125">
        <f>VLOOKUP($D14,个税系统表!$D:$AN,MATCH(海淀分公司工资表!AM$2,个税系统表!$D$1:$AM$1,0),FALSE)</f>
        <v>83307.399999999994</v>
      </c>
      <c r="AN14" s="125">
        <f>VLOOKUP($D14,个税系统表!$D:$AN,MATCH(海淀分公司工资表!AN$2,个税系统表!$D$1:$AM$1,0),FALSE)</f>
        <v>5810.74</v>
      </c>
      <c r="AO14" s="125">
        <f>VLOOKUP($D14,个税系统表!$D:$AN,MATCH(海淀分公司工资表!AO$2,个税系统表!$D$1:$AM$1,0),FALSE)</f>
        <v>4355.01</v>
      </c>
      <c r="AP14" s="125">
        <f>VLOOKUP($D14,个税系统表!$D:$AN,MATCH(海淀分公司工资表!AP$2,个税系统表!$D$1:$AM$1,0),FALSE)</f>
        <v>1455.73</v>
      </c>
      <c r="AQ14" s="126">
        <f t="shared" si="5"/>
        <v>18101.62</v>
      </c>
      <c r="AR14" s="127"/>
      <c r="AS14" s="128">
        <f t="shared" si="6"/>
        <v>18101.62</v>
      </c>
      <c r="AT14" s="124">
        <f>VLOOKUP($H14,缴费比例!$B:$O,MATCH(AT$2,缴费比例!$B$1:$O$1,0),FALSE)</f>
        <v>180</v>
      </c>
      <c r="AU14" s="124">
        <v>2</v>
      </c>
      <c r="AV14" s="124">
        <f t="shared" si="7"/>
        <v>19739.349999999999</v>
      </c>
      <c r="AW14" s="140" t="s">
        <v>214</v>
      </c>
      <c r="AX14" s="131" t="s">
        <v>151</v>
      </c>
      <c r="AY14" s="140" t="s">
        <v>215</v>
      </c>
      <c r="AZ14" s="136"/>
      <c r="BA14" s="133" t="str">
        <f t="shared" si="1"/>
        <v>正确</v>
      </c>
    </row>
    <row r="15" spans="1:65">
      <c r="A15" s="51">
        <v>12</v>
      </c>
      <c r="B15" s="52" t="s">
        <v>60</v>
      </c>
      <c r="C15" s="50" t="s">
        <v>46</v>
      </c>
      <c r="D15" s="64" t="s">
        <v>47</v>
      </c>
      <c r="E15" s="53" t="str">
        <f t="shared" si="8"/>
        <v>男</v>
      </c>
      <c r="F15" s="65">
        <f t="shared" si="9"/>
        <v>31801</v>
      </c>
      <c r="G15" s="139">
        <v>15375381802</v>
      </c>
      <c r="H15" s="62" t="str">
        <f>VLOOKUP(D15,社保!C:D,2,FALSE)</f>
        <v>合肥</v>
      </c>
      <c r="I15" s="62">
        <f>VLOOKUP(D15,融科!$B$2:$W$100,2,FALSE)</f>
        <v>44562</v>
      </c>
      <c r="J15" s="120"/>
      <c r="K15" s="121">
        <f>VLOOKUP(D15,融科!$B$2:$W$100,15,FALSE)</f>
        <v>0.7</v>
      </c>
      <c r="L15" s="121">
        <f>VLOOKUP(D15,融科!$B$2:$W$100,16,FALSE)</f>
        <v>0.3</v>
      </c>
      <c r="M15" s="122">
        <f>VLOOKUP(D15,融科!$B$2:$W$100,17,FALSE)</f>
        <v>18900</v>
      </c>
      <c r="N15" s="122">
        <f>VLOOKUP(D15,融科!$B:$W,18,FALSE)</f>
        <v>8100</v>
      </c>
      <c r="O15" s="122">
        <f>VLOOKUP(D15,融科!$B$2:$W$100,20,FALSE)</f>
        <v>3724.14</v>
      </c>
      <c r="P15" s="122">
        <f>VLOOKUP(D15,融科!$B$2:$W$100,19,FALSE)</f>
        <v>1000</v>
      </c>
      <c r="Q15" s="122">
        <f>VLOOKUP(D15,融科!$B$2:$W$100,21,FALSE)</f>
        <v>0</v>
      </c>
      <c r="R15" s="122"/>
      <c r="S15" s="122"/>
      <c r="T15" s="123">
        <f>VLOOKUP(D15,融科!$B$2:$W$100,22,FALSE)</f>
        <v>31724.14</v>
      </c>
      <c r="U15" s="124">
        <f>VLOOKUP($D15,社保!$C:$AF,MATCH(U$2,社保!$C$1:$AF$1,0),FALSE)</f>
        <v>274.39999999999998</v>
      </c>
      <c r="V15" s="124">
        <f>VLOOKUP($D15,社保!$C:$AF,MATCH(V$2,社保!$C$1:$AF$1,0),FALSE)+VLOOKUP($D15,社保!$C:$AF,MATCH("个人大病",社保!$C$1:$AF$1,0),FALSE)</f>
        <v>68.599999999999994</v>
      </c>
      <c r="W15" s="124">
        <f>VLOOKUP($D15,社保!$C:$AF,MATCH(W$2,社保!$C$1:$AF$1,0),FALSE)</f>
        <v>17.149999999999999</v>
      </c>
      <c r="X15" s="124">
        <f t="shared" si="2"/>
        <v>360.15</v>
      </c>
      <c r="Y15" s="124">
        <f>VLOOKUP($D15,社保!$C:$AF,MATCH(Y$2,社保!$C$1:$AF$1,0),FALSE)</f>
        <v>82.5</v>
      </c>
      <c r="Z15" s="124">
        <f t="shared" si="3"/>
        <v>442.65</v>
      </c>
      <c r="AA15" s="129"/>
      <c r="AB15" s="125">
        <f>VLOOKUP($D15,个税系统表!$D:$AN,MATCH(海淀分公司工资表!AB$2,个税系统表!$D$1:$AM$1,0),FALSE)</f>
        <v>170358.62</v>
      </c>
      <c r="AC15" s="125">
        <f>VLOOKUP($D15,个税系统表!$D:$AN,MATCH(海淀分公司工资表!AC$2,个税系统表!$D$1:$AM$1,0),FALSE)</f>
        <v>30000</v>
      </c>
      <c r="AD15" s="125">
        <f>VLOOKUP($D15,个税系统表!$D:$AN,MATCH(海淀分公司工资表!AD$2,个税系统表!$D$1:$AM$1,0),FALSE)</f>
        <v>2573.4</v>
      </c>
      <c r="AE15" s="125">
        <f>VLOOKUP($D15,个税系统表!$D:$AN,MATCH(海淀分公司工资表!AE$3,个税系统表!$D$1:$AM$1,0),FALSE)</f>
        <v>0</v>
      </c>
      <c r="AF15" s="125">
        <f>VLOOKUP($D15,个税系统表!$D:$AN,MATCH(海淀分公司工资表!AF$3,个税系统表!$D$1:$AM$1,0),FALSE)</f>
        <v>0</v>
      </c>
      <c r="AG15" s="125">
        <f>VLOOKUP($D15,个税系统表!$D:$AN,MATCH(海淀分公司工资表!AG$3,个税系统表!$D$1:$AM$1,0),FALSE)</f>
        <v>0</v>
      </c>
      <c r="AH15" s="125">
        <f>VLOOKUP($D15,个税系统表!$D:$AN,MATCH(海淀分公司工资表!AH$3,个税系统表!$D$1:$AM$1,0),FALSE)</f>
        <v>0</v>
      </c>
      <c r="AI15" s="125">
        <f>VLOOKUP($D15,个税系统表!$D:$AN,MATCH(海淀分公司工资表!AI$3,个税系统表!$D$1:$AM$1,0),FALSE)</f>
        <v>0</v>
      </c>
      <c r="AJ15" s="119"/>
      <c r="AK15" s="125">
        <f t="shared" si="4"/>
        <v>0</v>
      </c>
      <c r="AL15" s="125">
        <f>VLOOKUP($D15,个税系统表!$D:$AN,MATCH(海淀分公司工资表!AL$2,个税系统表!$D$1:$AM$1,0),FALSE)</f>
        <v>0</v>
      </c>
      <c r="AM15" s="125">
        <f>VLOOKUP($D15,个税系统表!$D:$AN,MATCH(海淀分公司工资表!AM$2,个税系统表!$D$1:$AM$1,0),FALSE)</f>
        <v>137785.22</v>
      </c>
      <c r="AN15" s="125">
        <f>VLOOKUP($D15,个税系统表!$D:$AN,MATCH(海淀分公司工资表!AN$2,个税系统表!$D$1:$AM$1,0),FALSE)</f>
        <v>11258.52</v>
      </c>
      <c r="AO15" s="125">
        <f>VLOOKUP($D15,个税系统表!$D:$AN,MATCH(海淀分公司工资表!AO$2,个税系统表!$D$1:$AM$1,0),FALSE)</f>
        <v>8630.3700000000008</v>
      </c>
      <c r="AP15" s="125">
        <f>VLOOKUP($D15,个税系统表!$D:$AN,MATCH(海淀分公司工资表!AP$2,个税系统表!$D$1:$AM$1,0),FALSE)</f>
        <v>2628.15</v>
      </c>
      <c r="AQ15" s="126">
        <f t="shared" si="5"/>
        <v>28653.339999999997</v>
      </c>
      <c r="AR15" s="127"/>
      <c r="AS15" s="128">
        <f t="shared" si="6"/>
        <v>28653.34</v>
      </c>
      <c r="AT15" s="124">
        <f>VLOOKUP($H15,缴费比例!$B:$O,MATCH(AT$2,缴费比例!$B$1:$O$1,0),FALSE)</f>
        <v>180</v>
      </c>
      <c r="AU15" s="124">
        <v>2</v>
      </c>
      <c r="AV15" s="124">
        <f t="shared" si="7"/>
        <v>31463.49</v>
      </c>
      <c r="AW15" s="140" t="s">
        <v>216</v>
      </c>
      <c r="AX15" s="131" t="s">
        <v>151</v>
      </c>
      <c r="AY15" s="140" t="s">
        <v>217</v>
      </c>
      <c r="AZ15" s="136"/>
      <c r="BA15" s="133" t="str">
        <f t="shared" si="1"/>
        <v>正确</v>
      </c>
    </row>
    <row r="16" spans="1:65">
      <c r="A16" s="51">
        <v>13</v>
      </c>
      <c r="B16" s="52" t="s">
        <v>60</v>
      </c>
      <c r="C16" s="50" t="s">
        <v>48</v>
      </c>
      <c r="D16" s="64" t="s">
        <v>49</v>
      </c>
      <c r="E16" s="53" t="str">
        <f t="shared" si="8"/>
        <v>男</v>
      </c>
      <c r="F16" s="65">
        <f t="shared" si="9"/>
        <v>34193</v>
      </c>
      <c r="G16" s="139">
        <v>17775340176</v>
      </c>
      <c r="H16" s="62" t="str">
        <f>VLOOKUP(D16,社保!C:D,2,FALSE)</f>
        <v>合肥</v>
      </c>
      <c r="I16" s="62">
        <f>VLOOKUP(D16,融科!$B$2:$W$100,2,FALSE)</f>
        <v>44562</v>
      </c>
      <c r="J16" s="120"/>
      <c r="K16" s="121">
        <f>VLOOKUP(D16,融科!$B$2:$W$100,15,FALSE)</f>
        <v>0.7</v>
      </c>
      <c r="L16" s="121">
        <f>VLOOKUP(D16,融科!$B$2:$W$100,16,FALSE)</f>
        <v>0.3</v>
      </c>
      <c r="M16" s="122">
        <f>VLOOKUP(D16,融科!$B$2:$W$100,17,FALSE)</f>
        <v>14000</v>
      </c>
      <c r="N16" s="122">
        <f>VLOOKUP(D16,融科!$B:$W,18,FALSE)</f>
        <v>6000</v>
      </c>
      <c r="O16" s="122">
        <f>VLOOKUP(D16,融科!$B$2:$W$100,20,FALSE)</f>
        <v>0</v>
      </c>
      <c r="P16" s="122">
        <f>VLOOKUP(D16,融科!$B$2:$W$100,19,FALSE)</f>
        <v>1000</v>
      </c>
      <c r="Q16" s="122">
        <f>VLOOKUP(D16,融科!$B$2:$W$100,21,FALSE)</f>
        <v>0</v>
      </c>
      <c r="R16" s="122"/>
      <c r="S16" s="122"/>
      <c r="T16" s="123">
        <f>VLOOKUP(D16,融科!$B$2:$W$100,22,FALSE)</f>
        <v>21000</v>
      </c>
      <c r="U16" s="124">
        <f>VLOOKUP($D16,社保!$C:$AF,MATCH(U$2,社保!$C$1:$AF$1,0),FALSE)</f>
        <v>274.39999999999998</v>
      </c>
      <c r="V16" s="124">
        <f>VLOOKUP($D16,社保!$C:$AF,MATCH(V$2,社保!$C$1:$AF$1,0),FALSE)+VLOOKUP($D16,社保!$C:$AF,MATCH("个人大病",社保!$C$1:$AF$1,0),FALSE)</f>
        <v>68.599999999999994</v>
      </c>
      <c r="W16" s="124">
        <f>VLOOKUP($D16,社保!$C:$AF,MATCH(W$2,社保!$C$1:$AF$1,0),FALSE)</f>
        <v>17.149999999999999</v>
      </c>
      <c r="X16" s="124">
        <f t="shared" si="2"/>
        <v>360.15</v>
      </c>
      <c r="Y16" s="124">
        <f>VLOOKUP($D16,社保!$C:$AF,MATCH(Y$2,社保!$C$1:$AF$1,0),FALSE)</f>
        <v>82.5</v>
      </c>
      <c r="Z16" s="124">
        <f t="shared" si="3"/>
        <v>442.65</v>
      </c>
      <c r="AA16" s="129"/>
      <c r="AB16" s="125">
        <f>VLOOKUP($D16,个税系统表!$D:$AN,MATCH(海淀分公司工资表!AB$2,个税系统表!$D$1:$AM$1,0),FALSE)</f>
        <v>123358.62</v>
      </c>
      <c r="AC16" s="125">
        <f>VLOOKUP($D16,个税系统表!$D:$AN,MATCH(海淀分公司工资表!AC$2,个税系统表!$D$1:$AM$1,0),FALSE)</f>
        <v>30000</v>
      </c>
      <c r="AD16" s="125">
        <f>VLOOKUP($D16,个税系统表!$D:$AN,MATCH(海淀分公司工资表!AD$2,个税系统表!$D$1:$AM$1,0),FALSE)</f>
        <v>2573.4</v>
      </c>
      <c r="AE16" s="125">
        <f>VLOOKUP($D16,个税系统表!$D:$AN,MATCH(海淀分公司工资表!AE$3,个税系统表!$D$1:$AM$1,0),FALSE)</f>
        <v>0</v>
      </c>
      <c r="AF16" s="125">
        <f>VLOOKUP($D16,个税系统表!$D:$AN,MATCH(海淀分公司工资表!AF$3,个税系统表!$D$1:$AM$1,0),FALSE)</f>
        <v>0</v>
      </c>
      <c r="AG16" s="125">
        <f>VLOOKUP($D16,个税系统表!$D:$AN,MATCH(海淀分公司工资表!AG$3,个税系统表!$D$1:$AM$1,0),FALSE)</f>
        <v>0</v>
      </c>
      <c r="AH16" s="125">
        <f>VLOOKUP($D16,个税系统表!$D:$AN,MATCH(海淀分公司工资表!AH$3,个税系统表!$D$1:$AM$1,0),FALSE)</f>
        <v>0</v>
      </c>
      <c r="AI16" s="125">
        <f>VLOOKUP($D16,个税系统表!$D:$AN,MATCH(海淀分公司工资表!AI$3,个税系统表!$D$1:$AM$1,0),FALSE)</f>
        <v>0</v>
      </c>
      <c r="AJ16" s="119"/>
      <c r="AK16" s="125">
        <f t="shared" si="4"/>
        <v>0</v>
      </c>
      <c r="AL16" s="125">
        <f>VLOOKUP($D16,个税系统表!$D:$AN,MATCH(海淀分公司工资表!AL$2,个税系统表!$D$1:$AM$1,0),FALSE)</f>
        <v>0</v>
      </c>
      <c r="AM16" s="125">
        <f>VLOOKUP($D16,个税系统表!$D:$AN,MATCH(海淀分公司工资表!AM$2,个税系统表!$D$1:$AM$1,0),FALSE)</f>
        <v>90785.22</v>
      </c>
      <c r="AN16" s="125">
        <f>VLOOKUP($D16,个税系统表!$D:$AN,MATCH(海淀分公司工资表!AN$2,个税系统表!$D$1:$AM$1,0),FALSE)</f>
        <v>6558.52</v>
      </c>
      <c r="AO16" s="125">
        <f>VLOOKUP($D16,个税系统表!$D:$AN,MATCH(海淀分公司工资表!AO$2,个税系统表!$D$1:$AM$1,0),FALSE)</f>
        <v>5002.79</v>
      </c>
      <c r="AP16" s="125">
        <f>VLOOKUP($D16,个税系统表!$D:$AN,MATCH(海淀分公司工资表!AP$2,个税系统表!$D$1:$AM$1,0),FALSE)</f>
        <v>1555.73</v>
      </c>
      <c r="AQ16" s="126">
        <f t="shared" si="5"/>
        <v>19001.62</v>
      </c>
      <c r="AR16" s="127"/>
      <c r="AS16" s="128">
        <f t="shared" si="6"/>
        <v>19001.62</v>
      </c>
      <c r="AT16" s="124">
        <f>VLOOKUP($H16,缴费比例!$B:$O,MATCH(AT$2,缴费比例!$B$1:$O$1,0),FALSE)</f>
        <v>180</v>
      </c>
      <c r="AU16" s="124">
        <v>2</v>
      </c>
      <c r="AV16" s="124">
        <f t="shared" si="7"/>
        <v>20739.349999999999</v>
      </c>
      <c r="AW16" s="140" t="s">
        <v>218</v>
      </c>
      <c r="AX16" s="131" t="s">
        <v>219</v>
      </c>
      <c r="AY16" s="140" t="s">
        <v>220</v>
      </c>
      <c r="AZ16" s="136"/>
      <c r="BA16" s="133" t="str">
        <f t="shared" si="1"/>
        <v>正确</v>
      </c>
    </row>
    <row r="17" spans="1:65">
      <c r="A17" s="51">
        <v>14</v>
      </c>
      <c r="B17" s="52" t="s">
        <v>60</v>
      </c>
      <c r="C17" s="50" t="s">
        <v>50</v>
      </c>
      <c r="D17" s="64" t="s">
        <v>51</v>
      </c>
      <c r="E17" s="53" t="str">
        <f t="shared" si="8"/>
        <v>男</v>
      </c>
      <c r="F17" s="65">
        <f t="shared" si="9"/>
        <v>34253</v>
      </c>
      <c r="G17" s="141">
        <v>18375326103</v>
      </c>
      <c r="H17" s="62" t="str">
        <f>VLOOKUP(D17,社保!C:D,2,FALSE)</f>
        <v>合肥</v>
      </c>
      <c r="I17" s="62">
        <f>VLOOKUP(D17,融科!$B$2:$W$100,2,FALSE)</f>
        <v>44562</v>
      </c>
      <c r="J17" s="120"/>
      <c r="K17" s="121">
        <f>VLOOKUP(D17,融科!$B$2:$W$100,15,FALSE)</f>
        <v>0.7</v>
      </c>
      <c r="L17" s="121">
        <f>VLOOKUP(D17,融科!$B$2:$W$100,16,FALSE)</f>
        <v>0.3</v>
      </c>
      <c r="M17" s="122">
        <f>VLOOKUP(D17,融科!$B$2:$W$100,17,FALSE)</f>
        <v>17500</v>
      </c>
      <c r="N17" s="122">
        <f>VLOOKUP(D17,融科!$B:$W,18,FALSE)</f>
        <v>7500</v>
      </c>
      <c r="O17" s="122">
        <f>VLOOKUP(D17,融科!$B$2:$W$100,20,FALSE)</f>
        <v>2298.85</v>
      </c>
      <c r="P17" s="122">
        <f>VLOOKUP(D17,融科!$B$2:$W$100,19,FALSE)</f>
        <v>1000</v>
      </c>
      <c r="Q17" s="122">
        <f>VLOOKUP(D17,融科!$B$2:$W$100,21,FALSE)</f>
        <v>0</v>
      </c>
      <c r="R17" s="122"/>
      <c r="S17" s="122"/>
      <c r="T17" s="123">
        <f>VLOOKUP(D17,融科!$B$2:$W$100,22,FALSE)</f>
        <v>28298.85</v>
      </c>
      <c r="U17" s="124">
        <f>VLOOKUP($D17,社保!$C:$AF,MATCH(U$2,社保!$C$1:$AF$1,0),FALSE)</f>
        <v>274.39999999999998</v>
      </c>
      <c r="V17" s="124">
        <f>VLOOKUP($D17,社保!$C:$AF,MATCH(V$2,社保!$C$1:$AF$1,0),FALSE)+VLOOKUP($D17,社保!$C:$AF,MATCH("个人大病",社保!$C$1:$AF$1,0),FALSE)</f>
        <v>68.599999999999994</v>
      </c>
      <c r="W17" s="124">
        <f>VLOOKUP($D17,社保!$C:$AF,MATCH(W$2,社保!$C$1:$AF$1,0),FALSE)</f>
        <v>17.149999999999999</v>
      </c>
      <c r="X17" s="124">
        <f t="shared" si="2"/>
        <v>360.15</v>
      </c>
      <c r="Y17" s="124">
        <f>VLOOKUP($D17,社保!$C:$AF,MATCH(Y$2,社保!$C$1:$AF$1,0),FALSE)</f>
        <v>82.5</v>
      </c>
      <c r="Z17" s="124">
        <f t="shared" si="3"/>
        <v>442.65</v>
      </c>
      <c r="AA17" s="129"/>
      <c r="AB17" s="125">
        <f>VLOOKUP($D17,个税系统表!$D:$AN,MATCH(海淀分公司工资表!AB$2,个税系统表!$D$1:$AM$1,0),FALSE)</f>
        <v>162921.84</v>
      </c>
      <c r="AC17" s="125">
        <f>VLOOKUP($D17,个税系统表!$D:$AN,MATCH(海淀分公司工资表!AC$2,个税系统表!$D$1:$AM$1,0),FALSE)</f>
        <v>30000</v>
      </c>
      <c r="AD17" s="125">
        <f>VLOOKUP($D17,个税系统表!$D:$AN,MATCH(海淀分公司工资表!AD$2,个税系统表!$D$1:$AM$1,0),FALSE)</f>
        <v>2573.4</v>
      </c>
      <c r="AE17" s="125">
        <f>VLOOKUP($D17,个税系统表!$D:$AN,MATCH(海淀分公司工资表!AE$3,个税系统表!$D$1:$AM$1,0),FALSE)</f>
        <v>0</v>
      </c>
      <c r="AF17" s="125">
        <f>VLOOKUP($D17,个税系统表!$D:$AN,MATCH(海淀分公司工资表!AF$3,个税系统表!$D$1:$AM$1,0),FALSE)</f>
        <v>3600</v>
      </c>
      <c r="AG17" s="125">
        <f>VLOOKUP($D17,个税系统表!$D:$AN,MATCH(海淀分公司工资表!AG$3,个税系统表!$D$1:$AM$1,0),FALSE)</f>
        <v>6000</v>
      </c>
      <c r="AH17" s="125">
        <f>VLOOKUP($D17,个税系统表!$D:$AN,MATCH(海淀分公司工资表!AH$3,个税系统表!$D$1:$AM$1,0),FALSE)</f>
        <v>0</v>
      </c>
      <c r="AI17" s="125">
        <f>VLOOKUP($D17,个税系统表!$D:$AN,MATCH(海淀分公司工资表!AI$3,个税系统表!$D$1:$AM$1,0),FALSE)</f>
        <v>0</v>
      </c>
      <c r="AJ17" s="119"/>
      <c r="AK17" s="125">
        <f t="shared" si="4"/>
        <v>9600</v>
      </c>
      <c r="AL17" s="125">
        <f>VLOOKUP($D17,个税系统表!$D:$AN,MATCH(海淀分公司工资表!AL$2,个税系统表!$D$1:$AM$1,0),FALSE)</f>
        <v>0</v>
      </c>
      <c r="AM17" s="125">
        <f>VLOOKUP($D17,个税系统表!$D:$AN,MATCH(海淀分公司工资表!AM$2,个税系统表!$D$1:$AM$1,0),FALSE)</f>
        <v>114748.44</v>
      </c>
      <c r="AN17" s="125">
        <f>VLOOKUP($D17,个税系统表!$D:$AN,MATCH(海淀分公司工资表!AN$2,个税系统表!$D$1:$AM$1,0),FALSE)</f>
        <v>8954.84</v>
      </c>
      <c r="AO17" s="125">
        <f>VLOOKUP($D17,个税系统表!$D:$AN,MATCH(海淀分公司工资表!AO$2,个税系统表!$D$1:$AM$1,0),FALSE)</f>
        <v>7229.22</v>
      </c>
      <c r="AP17" s="125">
        <f>VLOOKUP($D17,个税系统表!$D:$AN,MATCH(海淀分公司工资表!AP$2,个税系统表!$D$1:$AM$1,0),FALSE)</f>
        <v>1725.62</v>
      </c>
      <c r="AQ17" s="126">
        <f t="shared" si="5"/>
        <v>26130.579999999998</v>
      </c>
      <c r="AR17" s="127"/>
      <c r="AS17" s="128">
        <f t="shared" si="6"/>
        <v>26130.58</v>
      </c>
      <c r="AT17" s="124">
        <f>VLOOKUP($H17,缴费比例!$B:$O,MATCH(AT$2,缴费比例!$B$1:$O$1,0),FALSE)</f>
        <v>180</v>
      </c>
      <c r="AU17" s="124">
        <v>2</v>
      </c>
      <c r="AV17" s="124">
        <f t="shared" si="7"/>
        <v>28038.2</v>
      </c>
      <c r="AW17" s="130" t="s">
        <v>221</v>
      </c>
      <c r="AX17" s="131" t="s">
        <v>147</v>
      </c>
      <c r="AY17" s="131" t="s">
        <v>156</v>
      </c>
      <c r="AZ17" s="136"/>
      <c r="BA17" s="133" t="str">
        <f t="shared" si="1"/>
        <v>正确</v>
      </c>
    </row>
    <row r="18" spans="1:65">
      <c r="A18" s="51">
        <v>15</v>
      </c>
      <c r="B18" s="52" t="s">
        <v>60</v>
      </c>
      <c r="C18" s="50" t="s">
        <v>52</v>
      </c>
      <c r="D18" s="64" t="s">
        <v>53</v>
      </c>
      <c r="E18" s="53" t="str">
        <f t="shared" si="8"/>
        <v>男</v>
      </c>
      <c r="F18" s="65">
        <f t="shared" si="9"/>
        <v>34911</v>
      </c>
      <c r="G18" s="141">
        <v>18895324958</v>
      </c>
      <c r="H18" s="62" t="str">
        <f>VLOOKUP(D18,社保!C:D,2,FALSE)</f>
        <v>合肥2</v>
      </c>
      <c r="I18" s="62">
        <f>VLOOKUP(D18,融科!$B$2:$W$100,2,FALSE)</f>
        <v>44562</v>
      </c>
      <c r="J18" s="120"/>
      <c r="K18" s="121">
        <f>VLOOKUP(D18,融科!$B$2:$W$100,15,FALSE)</f>
        <v>0.7</v>
      </c>
      <c r="L18" s="121">
        <f>VLOOKUP(D18,融科!$B$2:$W$100,16,FALSE)</f>
        <v>0.3</v>
      </c>
      <c r="M18" s="122">
        <f>VLOOKUP(D18,融科!$B$2:$W$100,17,FALSE)</f>
        <v>16800</v>
      </c>
      <c r="N18" s="122">
        <f>VLOOKUP(D18,融科!$B:$W,18,FALSE)</f>
        <v>7200</v>
      </c>
      <c r="O18" s="122">
        <f>VLOOKUP(D18,融科!$B$2:$W$100,20,FALSE)</f>
        <v>3310.34</v>
      </c>
      <c r="P18" s="122">
        <f>VLOOKUP(D18,融科!$B$2:$W$100,19,FALSE)</f>
        <v>1000</v>
      </c>
      <c r="Q18" s="122">
        <f>VLOOKUP(D18,融科!$B$2:$W$100,21,FALSE)</f>
        <v>0</v>
      </c>
      <c r="R18" s="122"/>
      <c r="S18" s="122"/>
      <c r="T18" s="123">
        <f>VLOOKUP(D18,融科!$B$2:$W$100,22,FALSE)</f>
        <v>28310.34</v>
      </c>
      <c r="U18" s="124">
        <f>VLOOKUP($D18,社保!$C:$AF,MATCH(U$2,社保!$C$1:$AF$1,0),FALSE)</f>
        <v>274.39999999999998</v>
      </c>
      <c r="V18" s="124">
        <f>VLOOKUP($D18,社保!$C:$AF,MATCH(V$2,社保!$C$1:$AF$1,0),FALSE)+VLOOKUP($D18,社保!$C:$AF,MATCH("个人大病",社保!$C$1:$AF$1,0),FALSE)</f>
        <v>68.599999999999994</v>
      </c>
      <c r="W18" s="124">
        <f>VLOOKUP($D18,社保!$C:$AF,MATCH(W$2,社保!$C$1:$AF$1,0),FALSE)</f>
        <v>17.149999999999999</v>
      </c>
      <c r="X18" s="124">
        <f t="shared" si="2"/>
        <v>360.15</v>
      </c>
      <c r="Y18" s="124">
        <f>VLOOKUP($D18,社保!$C:$AF,MATCH(Y$2,社保!$C$1:$AF$1,0),FALSE)</f>
        <v>1320</v>
      </c>
      <c r="Z18" s="124">
        <f t="shared" si="3"/>
        <v>1680.15</v>
      </c>
      <c r="AA18" s="129"/>
      <c r="AB18" s="125">
        <f>VLOOKUP($D18,个税系统表!$D:$AN,MATCH(海淀分公司工资表!AB$2,个税系统表!$D$1:$AM$1,0),FALSE)</f>
        <v>155255.16</v>
      </c>
      <c r="AC18" s="125">
        <f>VLOOKUP($D18,个税系统表!$D:$AN,MATCH(海淀分公司工资表!AC$2,个税系统表!$D$1:$AM$1,0),FALSE)</f>
        <v>30000</v>
      </c>
      <c r="AD18" s="125">
        <f>VLOOKUP($D18,个税系统表!$D:$AN,MATCH(海淀分公司工资表!AD$2,个税系统表!$D$1:$AM$1,0),FALSE)</f>
        <v>8760.4</v>
      </c>
      <c r="AE18" s="125">
        <f>VLOOKUP($D18,个税系统表!$D:$AN,MATCH(海淀分公司工资表!AE$3,个税系统表!$D$1:$AM$1,0),FALSE)</f>
        <v>0</v>
      </c>
      <c r="AF18" s="125">
        <f>VLOOKUP($D18,个税系统表!$D:$AN,MATCH(海淀分公司工资表!AF$3,个税系统表!$D$1:$AM$1,0),FALSE)</f>
        <v>0</v>
      </c>
      <c r="AG18" s="125">
        <f>VLOOKUP($D18,个税系统表!$D:$AN,MATCH(海淀分公司工资表!AG$3,个税系统表!$D$1:$AM$1,0),FALSE)</f>
        <v>0</v>
      </c>
      <c r="AH18" s="125">
        <f>VLOOKUP($D18,个税系统表!$D:$AN,MATCH(海淀分公司工资表!AH$3,个税系统表!$D$1:$AM$1,0),FALSE)</f>
        <v>0</v>
      </c>
      <c r="AI18" s="125">
        <f>VLOOKUP($D18,个税系统表!$D:$AN,MATCH(海淀分公司工资表!AI$3,个税系统表!$D$1:$AM$1,0),FALSE)</f>
        <v>0</v>
      </c>
      <c r="AJ18" s="119"/>
      <c r="AK18" s="125">
        <f t="shared" si="4"/>
        <v>0</v>
      </c>
      <c r="AL18" s="125">
        <f>VLOOKUP($D18,个税系统表!$D:$AN,MATCH(海淀分公司工资表!AL$2,个税系统表!$D$1:$AM$1,0),FALSE)</f>
        <v>0</v>
      </c>
      <c r="AM18" s="125">
        <f>VLOOKUP($D18,个税系统表!$D:$AN,MATCH(海淀分公司工资表!AM$2,个税系统表!$D$1:$AM$1,0),FALSE)</f>
        <v>116494.76</v>
      </c>
      <c r="AN18" s="125">
        <f>VLOOKUP($D18,个税系统表!$D:$AN,MATCH(海淀分公司工资表!AN$2,个税系统表!$D$1:$AM$1,0),FALSE)</f>
        <v>9129.48</v>
      </c>
      <c r="AO18" s="125">
        <f>VLOOKUP($D18,个税系统表!$D:$AN,MATCH(海淀分公司工资表!AO$2,个税系统表!$D$1:$AM$1,0),FALSE)</f>
        <v>6966.46</v>
      </c>
      <c r="AP18" s="125">
        <f>VLOOKUP($D18,个税系统表!$D:$AN,MATCH(海淀分公司工资表!AP$2,个税系统表!$D$1:$AM$1,0),FALSE)</f>
        <v>2163.02</v>
      </c>
      <c r="AQ18" s="126">
        <f t="shared" si="5"/>
        <v>24467.17</v>
      </c>
      <c r="AR18" s="127"/>
      <c r="AS18" s="128">
        <f t="shared" si="6"/>
        <v>24467.17</v>
      </c>
      <c r="AT18" s="124">
        <f>VLOOKUP($H18,缴费比例!$B:$O,MATCH(AT$2,缴费比例!$B$1:$O$1,0),FALSE)</f>
        <v>180</v>
      </c>
      <c r="AU18" s="124">
        <v>2</v>
      </c>
      <c r="AV18" s="124">
        <f t="shared" si="7"/>
        <v>26812.19</v>
      </c>
      <c r="AW18" s="140" t="s">
        <v>222</v>
      </c>
      <c r="AX18" s="131" t="s">
        <v>151</v>
      </c>
      <c r="AY18" s="140" t="s">
        <v>223</v>
      </c>
      <c r="AZ18" s="136"/>
      <c r="BA18" s="133" t="str">
        <f t="shared" si="1"/>
        <v>正确</v>
      </c>
    </row>
    <row r="19" spans="1:65">
      <c r="A19" s="51">
        <v>16</v>
      </c>
      <c r="B19" s="52" t="s">
        <v>60</v>
      </c>
      <c r="C19" s="50" t="s">
        <v>54</v>
      </c>
      <c r="D19" s="64" t="s">
        <v>55</v>
      </c>
      <c r="E19" s="53" t="str">
        <f t="shared" si="8"/>
        <v>男</v>
      </c>
      <c r="F19" s="65">
        <f t="shared" si="9"/>
        <v>33774</v>
      </c>
      <c r="G19" s="141">
        <v>18255196660</v>
      </c>
      <c r="H19" s="62" t="str">
        <f>VLOOKUP(D19,社保!C:D,2,FALSE)</f>
        <v>合肥</v>
      </c>
      <c r="I19" s="62">
        <f>VLOOKUP(D19,融科!$B$2:$W$100,2,FALSE)</f>
        <v>44562</v>
      </c>
      <c r="J19" s="120"/>
      <c r="K19" s="121">
        <f>VLOOKUP(D19,融科!$B$2:$W$100,15,FALSE)</f>
        <v>0.7</v>
      </c>
      <c r="L19" s="121">
        <f>VLOOKUP(D19,融科!$B$2:$W$100,16,FALSE)</f>
        <v>0.3</v>
      </c>
      <c r="M19" s="122">
        <f>VLOOKUP(D19,融科!$B$2:$W$100,17,FALSE)</f>
        <v>18200</v>
      </c>
      <c r="N19" s="122">
        <f>VLOOKUP(D19,融科!$B:$W,18,FALSE)</f>
        <v>7800</v>
      </c>
      <c r="O19" s="122">
        <f>VLOOKUP(D19,融科!$B$2:$W$100,20,FALSE)</f>
        <v>3586.21</v>
      </c>
      <c r="P19" s="122">
        <f>VLOOKUP(D19,融科!$B$2:$W$100,19,FALSE)</f>
        <v>1000</v>
      </c>
      <c r="Q19" s="122">
        <f>VLOOKUP(D19,融科!$B$2:$W$100,21,FALSE)</f>
        <v>0</v>
      </c>
      <c r="R19" s="122"/>
      <c r="S19" s="122"/>
      <c r="T19" s="123">
        <f>VLOOKUP(D19,融科!$B$2:$W$100,22,FALSE)</f>
        <v>30586.21</v>
      </c>
      <c r="U19" s="124">
        <f>VLOOKUP($D19,社保!$C:$AF,MATCH(U$2,社保!$C$1:$AF$1,0),FALSE)</f>
        <v>274.39999999999998</v>
      </c>
      <c r="V19" s="124">
        <f>VLOOKUP($D19,社保!$C:$AF,MATCH(V$2,社保!$C$1:$AF$1,0),FALSE)+VLOOKUP($D19,社保!$C:$AF,MATCH("个人大病",社保!$C$1:$AF$1,0),FALSE)</f>
        <v>68.599999999999994</v>
      </c>
      <c r="W19" s="124">
        <f>VLOOKUP($D19,社保!$C:$AF,MATCH(W$2,社保!$C$1:$AF$1,0),FALSE)</f>
        <v>17.149999999999999</v>
      </c>
      <c r="X19" s="124">
        <f t="shared" si="2"/>
        <v>360.15</v>
      </c>
      <c r="Y19" s="124">
        <f>VLOOKUP($D19,社保!$C:$AF,MATCH(Y$2,社保!$C$1:$AF$1,0),FALSE)</f>
        <v>82.5</v>
      </c>
      <c r="Z19" s="124">
        <f t="shared" si="3"/>
        <v>442.65</v>
      </c>
      <c r="AA19" s="129"/>
      <c r="AB19" s="125">
        <f>VLOOKUP($D19,个税系统表!$D:$AN,MATCH(海淀分公司工资表!AB$2,个税系统表!$D$1:$AM$1,0),FALSE)</f>
        <v>170910.33</v>
      </c>
      <c r="AC19" s="125">
        <f>VLOOKUP($D19,个税系统表!$D:$AN,MATCH(海淀分公司工资表!AC$2,个税系统表!$D$1:$AM$1,0),FALSE)</f>
        <v>30000</v>
      </c>
      <c r="AD19" s="125">
        <f>VLOOKUP($D19,个税系统表!$D:$AN,MATCH(海淀分公司工资表!AD$2,个税系统表!$D$1:$AM$1,0),FALSE)</f>
        <v>2573.4</v>
      </c>
      <c r="AE19" s="125">
        <f>VLOOKUP($D19,个税系统表!$D:$AN,MATCH(海淀分公司工资表!AE$3,个税系统表!$D$1:$AM$1,0),FALSE)</f>
        <v>0</v>
      </c>
      <c r="AF19" s="125">
        <f>VLOOKUP($D19,个税系统表!$D:$AN,MATCH(海淀分公司工资表!AF$3,个税系统表!$D$1:$AM$1,0),FALSE)</f>
        <v>0</v>
      </c>
      <c r="AG19" s="125">
        <f>VLOOKUP($D19,个税系统表!$D:$AN,MATCH(海淀分公司工资表!AG$3,个税系统表!$D$1:$AM$1,0),FALSE)</f>
        <v>0</v>
      </c>
      <c r="AH19" s="125">
        <f>VLOOKUP($D19,个税系统表!$D:$AN,MATCH(海淀分公司工资表!AH$3,个税系统表!$D$1:$AM$1,0),FALSE)</f>
        <v>0</v>
      </c>
      <c r="AI19" s="125">
        <f>VLOOKUP($D19,个税系统表!$D:$AN,MATCH(海淀分公司工资表!AI$3,个税系统表!$D$1:$AM$1,0),FALSE)</f>
        <v>0</v>
      </c>
      <c r="AJ19" s="119"/>
      <c r="AK19" s="125">
        <f t="shared" si="4"/>
        <v>0</v>
      </c>
      <c r="AL19" s="125">
        <f>VLOOKUP($D19,个税系统表!$D:$AN,MATCH(海淀分公司工资表!AL$2,个税系统表!$D$1:$AM$1,0),FALSE)</f>
        <v>0</v>
      </c>
      <c r="AM19" s="125">
        <f>VLOOKUP($D19,个税系统表!$D:$AN,MATCH(海淀分公司工资表!AM$2,个税系统表!$D$1:$AM$1,0),FALSE)</f>
        <v>138336.93</v>
      </c>
      <c r="AN19" s="125">
        <f>VLOOKUP($D19,个税系统表!$D:$AN,MATCH(海淀分公司工资表!AN$2,个税系统表!$D$1:$AM$1,0),FALSE)</f>
        <v>11313.69</v>
      </c>
      <c r="AO19" s="125">
        <f>VLOOKUP($D19,个税系统表!$D:$AN,MATCH(海淀分公司工资表!AO$2,个税系统表!$D$1:$AM$1,0),FALSE)</f>
        <v>8799.34</v>
      </c>
      <c r="AP19" s="125">
        <f>VLOOKUP($D19,个税系统表!$D:$AN,MATCH(海淀分公司工资表!AP$2,个税系统表!$D$1:$AM$1,0),FALSE)</f>
        <v>2514.35</v>
      </c>
      <c r="AQ19" s="126">
        <f t="shared" si="5"/>
        <v>27629.21</v>
      </c>
      <c r="AR19" s="127"/>
      <c r="AS19" s="128">
        <f t="shared" si="6"/>
        <v>27629.21</v>
      </c>
      <c r="AT19" s="124">
        <f>VLOOKUP($H19,缴费比例!$B:$O,MATCH(AT$2,缴费比例!$B$1:$O$1,0),FALSE)</f>
        <v>180</v>
      </c>
      <c r="AU19" s="124">
        <v>2</v>
      </c>
      <c r="AV19" s="124">
        <f t="shared" si="7"/>
        <v>30325.56</v>
      </c>
      <c r="AW19" s="130" t="s">
        <v>224</v>
      </c>
      <c r="AX19" s="131" t="s">
        <v>155</v>
      </c>
      <c r="AY19" s="140" t="s">
        <v>225</v>
      </c>
      <c r="AZ19" s="136"/>
      <c r="BA19" s="133" t="str">
        <f t="shared" si="1"/>
        <v>正确</v>
      </c>
    </row>
    <row r="20" spans="1:65">
      <c r="A20" s="51">
        <v>17</v>
      </c>
      <c r="B20" s="52" t="s">
        <v>60</v>
      </c>
      <c r="C20" s="50" t="s">
        <v>56</v>
      </c>
      <c r="D20" s="64" t="s">
        <v>57</v>
      </c>
      <c r="E20" s="53" t="str">
        <f t="shared" si="8"/>
        <v>男</v>
      </c>
      <c r="F20" s="65">
        <f t="shared" si="9"/>
        <v>33034</v>
      </c>
      <c r="G20" s="139">
        <v>13615514441</v>
      </c>
      <c r="H20" s="62" t="str">
        <f>VLOOKUP(D20,社保!C:D,2,FALSE)</f>
        <v>合肥</v>
      </c>
      <c r="I20" s="62">
        <f>VLOOKUP(D20,融科!$B$2:$W$100,2,FALSE)</f>
        <v>44562</v>
      </c>
      <c r="J20" s="120"/>
      <c r="K20" s="121">
        <f>VLOOKUP(D20,融科!$B$2:$W$100,15,FALSE)</f>
        <v>0.7</v>
      </c>
      <c r="L20" s="121">
        <f>VLOOKUP(D20,融科!$B$2:$W$100,16,FALSE)</f>
        <v>0.3</v>
      </c>
      <c r="M20" s="122">
        <f>VLOOKUP(D20,融科!$B$2:$W$100,17,FALSE)</f>
        <v>18900</v>
      </c>
      <c r="N20" s="122">
        <f>VLOOKUP(D20,融科!$B:$W,18,FALSE)</f>
        <v>8100</v>
      </c>
      <c r="O20" s="122">
        <f>VLOOKUP(D20,融科!$B$2:$W$100,20,FALSE)</f>
        <v>2482.7600000000002</v>
      </c>
      <c r="P20" s="122">
        <f>VLOOKUP(D20,融科!$B$2:$W$100,19,FALSE)</f>
        <v>1000</v>
      </c>
      <c r="Q20" s="122">
        <f>VLOOKUP(D20,融科!$B$2:$W$100,21,FALSE)</f>
        <v>0</v>
      </c>
      <c r="R20" s="122"/>
      <c r="S20" s="122"/>
      <c r="T20" s="123">
        <f>VLOOKUP(D20,融科!$B$2:$W$100,22,FALSE)</f>
        <v>30482.760000000002</v>
      </c>
      <c r="U20" s="124">
        <f>VLOOKUP($D20,社保!$C:$AF,MATCH(U$2,社保!$C$1:$AF$1,0),FALSE)</f>
        <v>274.39999999999998</v>
      </c>
      <c r="V20" s="124">
        <f>VLOOKUP($D20,社保!$C:$AF,MATCH(V$2,社保!$C$1:$AF$1,0),FALSE)+VLOOKUP($D20,社保!$C:$AF,MATCH("个人大病",社保!$C$1:$AF$1,0),FALSE)</f>
        <v>68.599999999999994</v>
      </c>
      <c r="W20" s="124">
        <f>VLOOKUP($D20,社保!$C:$AF,MATCH(W$2,社保!$C$1:$AF$1,0),FALSE)</f>
        <v>17.149999999999999</v>
      </c>
      <c r="X20" s="124">
        <f t="shared" si="2"/>
        <v>360.15</v>
      </c>
      <c r="Y20" s="124">
        <f>VLOOKUP($D20,社保!$C:$AF,MATCH(Y$2,社保!$C$1:$AF$1,0),FALSE)</f>
        <v>82.5</v>
      </c>
      <c r="Z20" s="124">
        <f t="shared" si="3"/>
        <v>442.65</v>
      </c>
      <c r="AA20" s="129"/>
      <c r="AB20" s="125">
        <f>VLOOKUP($D20,个税系统表!$D:$AN,MATCH(海淀分公司工资表!AB$2,个税系统表!$D$1:$AM$1,0),FALSE)</f>
        <v>173496.56</v>
      </c>
      <c r="AC20" s="125">
        <f>VLOOKUP($D20,个税系统表!$D:$AN,MATCH(海淀分公司工资表!AC$2,个税系统表!$D$1:$AM$1,0),FALSE)</f>
        <v>30000</v>
      </c>
      <c r="AD20" s="125">
        <f>VLOOKUP($D20,个税系统表!$D:$AN,MATCH(海淀分公司工资表!AD$2,个税系统表!$D$1:$AM$1,0),FALSE)</f>
        <v>2573.4</v>
      </c>
      <c r="AE20" s="125">
        <f>VLOOKUP($D20,个税系统表!$D:$AN,MATCH(海淀分公司工资表!AE$3,个税系统表!$D$1:$AM$1,0),FALSE)</f>
        <v>0</v>
      </c>
      <c r="AF20" s="125">
        <f>VLOOKUP($D20,个税系统表!$D:$AN,MATCH(海淀分公司工资表!AF$3,个税系统表!$D$1:$AM$1,0),FALSE)</f>
        <v>0</v>
      </c>
      <c r="AG20" s="125">
        <f>VLOOKUP($D20,个税系统表!$D:$AN,MATCH(海淀分公司工资表!AG$3,个税系统表!$D$1:$AM$1,0),FALSE)</f>
        <v>0</v>
      </c>
      <c r="AH20" s="125">
        <f>VLOOKUP($D20,个税系统表!$D:$AN,MATCH(海淀分公司工资表!AH$3,个税系统表!$D$1:$AM$1,0),FALSE)</f>
        <v>0</v>
      </c>
      <c r="AI20" s="125">
        <f>VLOOKUP($D20,个税系统表!$D:$AN,MATCH(海淀分公司工资表!AI$3,个税系统表!$D$1:$AM$1,0),FALSE)</f>
        <v>0</v>
      </c>
      <c r="AJ20" s="119"/>
      <c r="AK20" s="125">
        <f t="shared" si="4"/>
        <v>0</v>
      </c>
      <c r="AL20" s="125">
        <f>VLOOKUP($D20,个税系统表!$D:$AN,MATCH(海淀分公司工资表!AL$2,个税系统表!$D$1:$AM$1,0),FALSE)</f>
        <v>0</v>
      </c>
      <c r="AM20" s="125">
        <f>VLOOKUP($D20,个税系统表!$D:$AN,MATCH(海淀分公司工资表!AM$2,个税系统表!$D$1:$AM$1,0),FALSE)</f>
        <v>140923.16</v>
      </c>
      <c r="AN20" s="125">
        <f>VLOOKUP($D20,个税系统表!$D:$AN,MATCH(海淀分公司工资表!AN$2,个税系统表!$D$1:$AM$1,0),FALSE)</f>
        <v>11572.32</v>
      </c>
      <c r="AO20" s="125">
        <f>VLOOKUP($D20,个税系统表!$D:$AN,MATCH(海淀分公司工资表!AO$2,个税系统表!$D$1:$AM$1,0),FALSE)</f>
        <v>9068.31</v>
      </c>
      <c r="AP20" s="125">
        <f>VLOOKUP($D20,个税系统表!$D:$AN,MATCH(海淀分公司工资表!AP$2,个税系统表!$D$1:$AM$1,0),FALSE)</f>
        <v>2504.0100000000002</v>
      </c>
      <c r="AQ20" s="126">
        <f t="shared" si="5"/>
        <v>27536.1</v>
      </c>
      <c r="AR20" s="127"/>
      <c r="AS20" s="128">
        <f t="shared" si="6"/>
        <v>27536.1</v>
      </c>
      <c r="AT20" s="124">
        <f>VLOOKUP($H20,缴费比例!$B:$O,MATCH(AT$2,缴费比例!$B$1:$O$1,0),FALSE)</f>
        <v>180</v>
      </c>
      <c r="AU20" s="124">
        <v>2</v>
      </c>
      <c r="AV20" s="124">
        <f t="shared" si="7"/>
        <v>30222.11</v>
      </c>
      <c r="AW20" s="140" t="s">
        <v>226</v>
      </c>
      <c r="AX20" s="131" t="s">
        <v>151</v>
      </c>
      <c r="AY20" s="140" t="s">
        <v>227</v>
      </c>
      <c r="AZ20" s="136"/>
      <c r="BA20" s="133" t="str">
        <f t="shared" si="1"/>
        <v>正确</v>
      </c>
    </row>
    <row r="21" spans="1:65">
      <c r="A21" s="51">
        <v>18</v>
      </c>
      <c r="B21" s="52" t="s">
        <v>60</v>
      </c>
      <c r="C21" s="50" t="s">
        <v>58</v>
      </c>
      <c r="D21" s="64" t="s">
        <v>59</v>
      </c>
      <c r="E21" s="53" t="str">
        <f t="shared" si="8"/>
        <v>男</v>
      </c>
      <c r="F21" s="65">
        <f t="shared" si="9"/>
        <v>34157</v>
      </c>
      <c r="G21" s="139">
        <v>18256940817</v>
      </c>
      <c r="H21" s="62" t="str">
        <f>VLOOKUP(D21,社保!C:D,2,FALSE)</f>
        <v>合肥</v>
      </c>
      <c r="I21" s="62">
        <f>VLOOKUP(D21,融科!$B$2:$W$100,2,FALSE)</f>
        <v>44562</v>
      </c>
      <c r="J21" s="120"/>
      <c r="K21" s="121">
        <f>VLOOKUP(D21,融科!$B$2:$W$100,15,FALSE)</f>
        <v>0.7</v>
      </c>
      <c r="L21" s="121">
        <f>VLOOKUP(D21,融科!$B$2:$W$100,16,FALSE)</f>
        <v>0.3</v>
      </c>
      <c r="M21" s="122">
        <f>VLOOKUP(D21,融科!$B$2:$W$100,17,FALSE)</f>
        <v>13300</v>
      </c>
      <c r="N21" s="122">
        <f>VLOOKUP(D21,融科!$B:$W,18,FALSE)</f>
        <v>5700</v>
      </c>
      <c r="O21" s="122">
        <f>VLOOKUP(D21,融科!$B$2:$W$100,20,FALSE)</f>
        <v>0</v>
      </c>
      <c r="P21" s="122">
        <f>VLOOKUP(D21,融科!$B$2:$W$100,19,FALSE)</f>
        <v>1000</v>
      </c>
      <c r="Q21" s="122">
        <f>VLOOKUP(D21,融科!$B$2:$W$100,21,FALSE)</f>
        <v>0</v>
      </c>
      <c r="R21" s="122"/>
      <c r="S21" s="122"/>
      <c r="T21" s="123">
        <f>VLOOKUP(D21,融科!$B$2:$W$100,22,FALSE)</f>
        <v>20000</v>
      </c>
      <c r="U21" s="124">
        <f>VLOOKUP($D21,社保!$C:$AF,MATCH(U$2,社保!$C$1:$AF$1,0),FALSE)</f>
        <v>274.39999999999998</v>
      </c>
      <c r="V21" s="124">
        <f>VLOOKUP($D21,社保!$C:$AF,MATCH(V$2,社保!$C$1:$AF$1,0),FALSE)+VLOOKUP($D21,社保!$C:$AF,MATCH("个人大病",社保!$C$1:$AF$1,0),FALSE)</f>
        <v>68.599999999999994</v>
      </c>
      <c r="W21" s="124">
        <f>VLOOKUP($D21,社保!$C:$AF,MATCH(W$2,社保!$C$1:$AF$1,0),FALSE)</f>
        <v>17.149999999999999</v>
      </c>
      <c r="X21" s="124">
        <f t="shared" si="2"/>
        <v>360.15</v>
      </c>
      <c r="Y21" s="124">
        <f>VLOOKUP($D21,社保!$C:$AF,MATCH(Y$2,社保!$C$1:$AF$1,0),FALSE)</f>
        <v>82.5</v>
      </c>
      <c r="Z21" s="124">
        <f t="shared" si="3"/>
        <v>442.65</v>
      </c>
      <c r="AA21" s="129"/>
      <c r="AB21" s="125">
        <f>VLOOKUP($D21,个税系统表!$D:$AN,MATCH(海淀分公司工资表!AB$2,个税系统表!$D$1:$AM$1,0),FALSE)</f>
        <v>116393.1</v>
      </c>
      <c r="AC21" s="125">
        <f>VLOOKUP($D21,个税系统表!$D:$AN,MATCH(海淀分公司工资表!AC$2,个税系统表!$D$1:$AM$1,0),FALSE)</f>
        <v>30000</v>
      </c>
      <c r="AD21" s="125">
        <f>VLOOKUP($D21,个税系统表!$D:$AN,MATCH(海淀分公司工资表!AD$2,个税系统表!$D$1:$AM$1,0),FALSE)</f>
        <v>2573.4</v>
      </c>
      <c r="AE21" s="125">
        <f>VLOOKUP($D21,个税系统表!$D:$AN,MATCH(海淀分公司工资表!AE$3,个税系统表!$D$1:$AM$1,0),FALSE)</f>
        <v>0</v>
      </c>
      <c r="AF21" s="125">
        <f>VLOOKUP($D21,个税系统表!$D:$AN,MATCH(海淀分公司工资表!AF$3,个税系统表!$D$1:$AM$1,0),FALSE)</f>
        <v>0</v>
      </c>
      <c r="AG21" s="125">
        <f>VLOOKUP($D21,个税系统表!$D:$AN,MATCH(海淀分公司工资表!AG$3,个税系统表!$D$1:$AM$1,0),FALSE)</f>
        <v>0</v>
      </c>
      <c r="AH21" s="125">
        <f>VLOOKUP($D21,个税系统表!$D:$AN,MATCH(海淀分公司工资表!AH$3,个税系统表!$D$1:$AM$1,0),FALSE)</f>
        <v>0</v>
      </c>
      <c r="AI21" s="125">
        <f>VLOOKUP($D21,个税系统表!$D:$AN,MATCH(海淀分公司工资表!AI$3,个税系统表!$D$1:$AM$1,0),FALSE)</f>
        <v>0</v>
      </c>
      <c r="AJ21" s="119"/>
      <c r="AK21" s="125">
        <f t="shared" si="4"/>
        <v>0</v>
      </c>
      <c r="AL21" s="125">
        <f>VLOOKUP($D21,个税系统表!$D:$AN,MATCH(海淀分公司工资表!AL$2,个税系统表!$D$1:$AM$1,0),FALSE)</f>
        <v>0</v>
      </c>
      <c r="AM21" s="125">
        <f>VLOOKUP($D21,个税系统表!$D:$AN,MATCH(海淀分公司工资表!AM$2,个税系统表!$D$1:$AM$1,0),FALSE)</f>
        <v>83819.7</v>
      </c>
      <c r="AN21" s="125">
        <f>VLOOKUP($D21,个税系统表!$D:$AN,MATCH(海淀分公司工资表!AN$2,个税系统表!$D$1:$AM$1,0),FALSE)</f>
        <v>5861.97</v>
      </c>
      <c r="AO21" s="125">
        <f>VLOOKUP($D21,个税系统表!$D:$AN,MATCH(海淀分公司工资表!AO$2,个税系统表!$D$1:$AM$1,0),FALSE)</f>
        <v>4406.24</v>
      </c>
      <c r="AP21" s="125">
        <f>VLOOKUP($D21,个税系统表!$D:$AN,MATCH(海淀分公司工资表!AP$2,个税系统表!$D$1:$AM$1,0),FALSE)</f>
        <v>1455.73</v>
      </c>
      <c r="AQ21" s="126">
        <f t="shared" si="5"/>
        <v>18101.62</v>
      </c>
      <c r="AR21" s="127"/>
      <c r="AS21" s="128">
        <f t="shared" si="6"/>
        <v>18101.62</v>
      </c>
      <c r="AT21" s="124">
        <f>VLOOKUP($H21,缴费比例!$B:$O,MATCH(AT$2,缴费比例!$B$1:$O$1,0),FALSE)</f>
        <v>180</v>
      </c>
      <c r="AU21" s="124">
        <v>2</v>
      </c>
      <c r="AV21" s="124">
        <f t="shared" si="7"/>
        <v>19739.349999999999</v>
      </c>
      <c r="AW21" s="140" t="s">
        <v>228</v>
      </c>
      <c r="AX21" s="131" t="s">
        <v>151</v>
      </c>
      <c r="AY21" s="140" t="s">
        <v>229</v>
      </c>
      <c r="AZ21" s="136"/>
      <c r="BA21" s="133" t="str">
        <f t="shared" si="1"/>
        <v>正确</v>
      </c>
    </row>
    <row r="22" spans="1:65">
      <c r="A22" s="51">
        <v>19</v>
      </c>
      <c r="B22" s="52" t="s">
        <v>60</v>
      </c>
      <c r="C22" s="111" t="s">
        <v>230</v>
      </c>
      <c r="D22" s="112" t="s">
        <v>231</v>
      </c>
      <c r="E22" s="53" t="str">
        <f t="shared" si="8"/>
        <v>男</v>
      </c>
      <c r="F22" s="65">
        <f t="shared" si="9"/>
        <v>34262</v>
      </c>
      <c r="G22" s="139">
        <v>17821439952</v>
      </c>
      <c r="H22" s="62" t="str">
        <f>VLOOKUP(D22,社保!C:D,2,FALSE)</f>
        <v>合肥</v>
      </c>
      <c r="I22" s="62">
        <f>VLOOKUP(D22,融科!$B$2:$W$100,2,FALSE)</f>
        <v>44606</v>
      </c>
      <c r="J22" s="120"/>
      <c r="K22" s="121">
        <f>VLOOKUP(D22,融科!$B$2:$W$100,15,FALSE)</f>
        <v>0.7</v>
      </c>
      <c r="L22" s="121">
        <f>VLOOKUP(D22,融科!$B$2:$W$100,16,FALSE)</f>
        <v>0.3</v>
      </c>
      <c r="M22" s="122">
        <f>VLOOKUP(D22,融科!$B$2:$W$100,17,FALSE)</f>
        <v>7000</v>
      </c>
      <c r="N22" s="122">
        <f>VLOOKUP(D22,融科!$B:$W,18,FALSE)</f>
        <v>3000</v>
      </c>
      <c r="O22" s="122">
        <f>VLOOKUP(D22,融科!$B$2:$W$100,20,FALSE)</f>
        <v>0</v>
      </c>
      <c r="P22" s="122">
        <f>VLOOKUP(D22,融科!$B$2:$W$100,19,FALSE)</f>
        <v>1000</v>
      </c>
      <c r="Q22" s="122">
        <f>VLOOKUP(D22,融科!$B$2:$W$100,21,FALSE)</f>
        <v>0</v>
      </c>
      <c r="R22" s="122"/>
      <c r="S22" s="122"/>
      <c r="T22" s="123">
        <f>VLOOKUP(D22,融科!$B$2:$W$100,22,FALSE)</f>
        <v>11000</v>
      </c>
      <c r="U22" s="124">
        <f>VLOOKUP($D22,社保!$C:$AF,MATCH(U$2,社保!$C$1:$AF$1,0),FALSE)</f>
        <v>274.39999999999998</v>
      </c>
      <c r="V22" s="124">
        <f>VLOOKUP($D22,社保!$C:$AF,MATCH(V$2,社保!$C$1:$AF$1,0),FALSE)+VLOOKUP($D22,社保!$C:$AF,MATCH("个人大病",社保!$C$1:$AF$1,0),FALSE)</f>
        <v>68.599999999999994</v>
      </c>
      <c r="W22" s="124">
        <f>VLOOKUP($D22,社保!$C:$AF,MATCH(W$2,社保!$C$1:$AF$1,0),FALSE)</f>
        <v>17.149999999999999</v>
      </c>
      <c r="X22" s="124">
        <f t="shared" ref="X22:X24" si="12">SUM(U22:W22)</f>
        <v>360.15</v>
      </c>
      <c r="Y22" s="124">
        <f>VLOOKUP($D22,社保!$C:$AF,MATCH(Y$2,社保!$C$1:$AF$1,0),FALSE)</f>
        <v>82.5</v>
      </c>
      <c r="Z22" s="124">
        <f t="shared" ref="Z22:Z24" si="13">SUM(X22:Y22)</f>
        <v>442.65</v>
      </c>
      <c r="AA22" s="119"/>
      <c r="AB22" s="125">
        <f>VLOOKUP($D22,个税系统表!$D:$AN,MATCH(海淀分公司工资表!AB$2,个税系统表!$D$1:$AM$1,0),FALSE)</f>
        <v>41436.800000000003</v>
      </c>
      <c r="AC22" s="125">
        <f>VLOOKUP($D22,个税系统表!$D:$AN,MATCH(海淀分公司工资表!AC$2,个税系统表!$D$1:$AM$1,0),FALSE)</f>
        <v>25000</v>
      </c>
      <c r="AD22" s="125">
        <f>VLOOKUP($D22,个税系统表!$D:$AN,MATCH(海淀分公司工资表!AD$2,个税系统表!$D$1:$AM$1,0),FALSE)</f>
        <v>2130.75</v>
      </c>
      <c r="AE22" s="125">
        <f>VLOOKUP($D22,个税系统表!$D:$AN,MATCH(海淀分公司工资表!AE$3,个税系统表!$D$1:$AM$1,0),FALSE)</f>
        <v>0</v>
      </c>
      <c r="AF22" s="125">
        <f>VLOOKUP($D22,个税系统表!$D:$AN,MATCH(海淀分公司工资表!AF$3,个税系统表!$D$1:$AM$1,0),FALSE)</f>
        <v>0</v>
      </c>
      <c r="AG22" s="125">
        <f>VLOOKUP($D22,个税系统表!$D:$AN,MATCH(海淀分公司工资表!AG$3,个税系统表!$D$1:$AM$1,0),FALSE)</f>
        <v>0</v>
      </c>
      <c r="AH22" s="125">
        <f>VLOOKUP($D22,个税系统表!$D:$AN,MATCH(海淀分公司工资表!AH$3,个税系统表!$D$1:$AM$1,0),FALSE)</f>
        <v>0</v>
      </c>
      <c r="AI22" s="125">
        <f>VLOOKUP($D22,个税系统表!$D:$AN,MATCH(海淀分公司工资表!AI$3,个税系统表!$D$1:$AM$1,0),FALSE)</f>
        <v>0</v>
      </c>
      <c r="AJ22" s="119"/>
      <c r="AK22" s="125">
        <f t="shared" si="4"/>
        <v>0</v>
      </c>
      <c r="AL22" s="125">
        <f>VLOOKUP($D22,个税系统表!$D:$AN,MATCH(海淀分公司工资表!AL$2,个税系统表!$D$1:$AM$1,0),FALSE)</f>
        <v>0</v>
      </c>
      <c r="AM22" s="125">
        <f>VLOOKUP($D22,个税系统表!$D:$AN,MATCH(海淀分公司工资表!AM$2,个税系统表!$D$1:$AM$1,0),FALSE)</f>
        <v>14306.05</v>
      </c>
      <c r="AN22" s="125">
        <f>VLOOKUP($D22,个税系统表!$D:$AN,MATCH(海淀分公司工资表!AN$2,个税系统表!$D$1:$AM$1,0),FALSE)</f>
        <v>429.18</v>
      </c>
      <c r="AO22" s="125">
        <f>VLOOKUP($D22,个税系统表!$D:$AN,MATCH(海淀分公司工资表!AO$2,个税系统表!$D$1:$AM$1,0),FALSE)</f>
        <v>262.45999999999998</v>
      </c>
      <c r="AP22" s="125">
        <f>VLOOKUP($D22,个税系统表!$D:$AN,MATCH(海淀分公司工资表!AP$2,个税系统表!$D$1:$AM$1,0),FALSE)</f>
        <v>166.72</v>
      </c>
      <c r="AQ22" s="126">
        <f t="shared" si="5"/>
        <v>10390.630000000001</v>
      </c>
      <c r="AR22" s="127"/>
      <c r="AS22" s="128">
        <f t="shared" si="6"/>
        <v>10390.629999999999</v>
      </c>
      <c r="AT22" s="124">
        <f>VLOOKUP($H22,缴费比例!$B:$O,MATCH(AT$2,缴费比例!$B$1:$O$1,0),FALSE)</f>
        <v>180</v>
      </c>
      <c r="AU22" s="124">
        <v>2</v>
      </c>
      <c r="AV22" s="124">
        <f t="shared" si="7"/>
        <v>10739.35</v>
      </c>
      <c r="AW22" s="130" t="s">
        <v>310</v>
      </c>
      <c r="AX22" s="131" t="s">
        <v>312</v>
      </c>
      <c r="AY22" s="131" t="s">
        <v>311</v>
      </c>
      <c r="AZ22" s="132"/>
      <c r="BA22" s="133" t="str">
        <f t="shared" ref="BA22:BA23" si="14">IF(LEN(D22)=18,IF(RIGHT(D22,1)="X",IF(CHOOSE(MOD(SUM(LEFT(RIGHT(D22,18))*7+LEFT(RIGHT(D22,17))*9+LEFT(RIGHT(D22,16))*10+LEFT(RIGHT(D22,15))*5+LEFT(RIGHT(D22,14))*8+LEFT(RIGHT(D22,13))*4+LEFT(RIGHT(D22,12))*2+LEFT(RIGHT(D22,11))*1+LEFT(RIGHT(D22,10))*6+LEFT(RIGHT(D22,9))*3+LEFT(RIGHT(D22,8))*7+LEFT(RIGHT(D22,7))*9+LEFT(RIGHT(D22,6))*10+LEFT(RIGHT(D22,5))*5+LEFT(RIGHT(D22,4))*8+LEFT(RIGHT(D22,3))*4+LEFT(RIGHT(D22,2))*2),11)+1,1,0,"X",9,8,7,6,5,4,3,2)=LEFT(RIGHT(D22,1)),"正确","错误"),IF(CHOOSE(MOD(SUM(LEFT(RIGHT(D22,18))*7+LEFT(RIGHT(D22,17))*9+LEFT(RIGHT(D22,16))*10+LEFT(RIGHT(D22,15))*5+LEFT(RIGHT(D22,14))*8+LEFT(RIGHT(D22,13))*4+LEFT(RIGHT(D22,12))*2+LEFT(RIGHT(D22,11))*1+LEFT(RIGHT(D22,10))*6+LEFT(RIGHT(D22,9))*3+LEFT(RIGHT(D22,8))*7+LEFT(RIGHT(D22,7))*9+LEFT(RIGHT(D22,6))*10+LEFT(RIGHT(D22,5))*5+LEFT(RIGHT(D22,4))*8+LEFT(RIGHT(D22,3))*4+LEFT(RIGHT(D22,2))*2),11)+1,1,0,"X",9,8,7,6,5,4,3,2)=LEFT(RIGHT(D22,1))*1,"正确","错误")),IF(LEN(D22)=15,"老号，请注意！",IF(LEN(D22)=0,"未填写身份证号码","位数不对！")))</f>
        <v>正确</v>
      </c>
    </row>
    <row r="23" spans="1:65">
      <c r="A23" s="51">
        <v>20</v>
      </c>
      <c r="B23" s="52" t="s">
        <v>60</v>
      </c>
      <c r="C23" s="111" t="s">
        <v>232</v>
      </c>
      <c r="D23" s="112" t="s">
        <v>233</v>
      </c>
      <c r="E23" s="53" t="str">
        <f t="shared" ref="E23:E24" si="15">IF(VALUE(MID(D23,17,1))/2=INT(VALUE(MID(D23,17,1))/2),"女","男")</f>
        <v>男</v>
      </c>
      <c r="F23" s="65">
        <f t="shared" ref="F23:F24" si="16">DATE(MID(D23,7,4),MID(D23,11,2),MID(D23,13,2))</f>
        <v>34984</v>
      </c>
      <c r="G23" s="139" t="s">
        <v>307</v>
      </c>
      <c r="H23" s="62" t="str">
        <f>VLOOKUP(D23,社保!C:D,2,FALSE)</f>
        <v>合肥</v>
      </c>
      <c r="I23" s="62">
        <f>VLOOKUP(D23,融科!$B$2:$W$100,2,FALSE)</f>
        <v>44614</v>
      </c>
      <c r="J23" s="120"/>
      <c r="K23" s="121">
        <f>VLOOKUP(D23,融科!$B$2:$W$100,15,FALSE)</f>
        <v>0.7</v>
      </c>
      <c r="L23" s="121">
        <f>VLOOKUP(D23,融科!$B$2:$W$100,16,FALSE)</f>
        <v>0.3</v>
      </c>
      <c r="M23" s="122">
        <f>VLOOKUP(D23,融科!$B$2:$W$100,17,FALSE)</f>
        <v>9800</v>
      </c>
      <c r="N23" s="122">
        <f>VLOOKUP(D23,融科!$B:$W,18,FALSE)</f>
        <v>4200</v>
      </c>
      <c r="O23" s="122">
        <f>VLOOKUP(D23,融科!$B$2:$W$100,20,FALSE)</f>
        <v>1287.3599999999999</v>
      </c>
      <c r="P23" s="122">
        <f>VLOOKUP(D23,融科!$B$2:$W$100,19,FALSE)</f>
        <v>1000</v>
      </c>
      <c r="Q23" s="122">
        <f>VLOOKUP(D23,融科!$B$2:$W$100,21,FALSE)</f>
        <v>0</v>
      </c>
      <c r="R23" s="122"/>
      <c r="S23" s="122"/>
      <c r="T23" s="123">
        <f>VLOOKUP(D23,融科!$B$2:$W$100,22,FALSE)</f>
        <v>16287.36</v>
      </c>
      <c r="U23" s="124">
        <f>VLOOKUP($D23,社保!$C:$AF,MATCH(U$2,社保!$C$1:$AF$1,0),FALSE)</f>
        <v>274.39999999999998</v>
      </c>
      <c r="V23" s="124">
        <f>VLOOKUP($D23,社保!$C:$AF,MATCH(V$2,社保!$C$1:$AF$1,0),FALSE)+VLOOKUP($D23,社保!$C:$AF,MATCH("个人大病",社保!$C$1:$AF$1,0),FALSE)</f>
        <v>68.599999999999994</v>
      </c>
      <c r="W23" s="124">
        <f>VLOOKUP($D23,社保!$C:$AF,MATCH(W$2,社保!$C$1:$AF$1,0),FALSE)</f>
        <v>17.149999999999999</v>
      </c>
      <c r="X23" s="124">
        <f t="shared" si="12"/>
        <v>360.15</v>
      </c>
      <c r="Y23" s="124">
        <f>VLOOKUP($D23,社保!$C:$AF,MATCH(Y$2,社保!$C$1:$AF$1,0),FALSE)</f>
        <v>82.5</v>
      </c>
      <c r="Z23" s="124">
        <f t="shared" si="13"/>
        <v>442.65</v>
      </c>
      <c r="AA23" s="119"/>
      <c r="AB23" s="125">
        <f>VLOOKUP($D23,个税系统表!$D:$AN,MATCH(海淀分公司工资表!AB$2,个税系统表!$D$1:$AM$1,0),FALSE)</f>
        <v>63666.66</v>
      </c>
      <c r="AC23" s="125">
        <f>VLOOKUP($D23,个税系统表!$D:$AN,MATCH(海淀分公司工资表!AC$2,个税系统表!$D$1:$AM$1,0),FALSE)</f>
        <v>25000</v>
      </c>
      <c r="AD23" s="125">
        <f>VLOOKUP($D23,个税系统表!$D:$AN,MATCH(海淀分公司工资表!AD$2,个税系统表!$D$1:$AM$1,0),FALSE)</f>
        <v>2130.75</v>
      </c>
      <c r="AE23" s="125">
        <f>VLOOKUP($D23,个税系统表!$D:$AN,MATCH(海淀分公司工资表!AE$3,个税系统表!$D$1:$AM$1,0),FALSE)</f>
        <v>0</v>
      </c>
      <c r="AF23" s="125">
        <f>VLOOKUP($D23,个税系统表!$D:$AN,MATCH(海淀分公司工资表!AF$3,个税系统表!$D$1:$AM$1,0),FALSE)</f>
        <v>0</v>
      </c>
      <c r="AG23" s="125">
        <f>VLOOKUP($D23,个税系统表!$D:$AN,MATCH(海淀分公司工资表!AG$3,个税系统表!$D$1:$AM$1,0),FALSE)</f>
        <v>0</v>
      </c>
      <c r="AH23" s="125">
        <f>VLOOKUP($D23,个税系统表!$D:$AN,MATCH(海淀分公司工资表!AH$3,个税系统表!$D$1:$AM$1,0),FALSE)</f>
        <v>0</v>
      </c>
      <c r="AI23" s="125">
        <f>VLOOKUP($D23,个税系统表!$D:$AN,MATCH(海淀分公司工资表!AI$3,个税系统表!$D$1:$AM$1,0),FALSE)</f>
        <v>0</v>
      </c>
      <c r="AJ23" s="119"/>
      <c r="AK23" s="125">
        <f t="shared" si="4"/>
        <v>0</v>
      </c>
      <c r="AL23" s="125">
        <f>VLOOKUP($D23,个税系统表!$D:$AN,MATCH(海淀分公司工资表!AL$2,个税系统表!$D$1:$AM$1,0),FALSE)</f>
        <v>0</v>
      </c>
      <c r="AM23" s="125">
        <f>VLOOKUP($D23,个税系统表!$D:$AN,MATCH(海淀分公司工资表!AM$2,个税系统表!$D$1:$AM$1,0),FALSE)</f>
        <v>36535.910000000003</v>
      </c>
      <c r="AN23" s="125">
        <f>VLOOKUP($D23,个税系统表!$D:$AN,MATCH(海淀分公司工资表!AN$2,个税系统表!$D$1:$AM$1,0),FALSE)</f>
        <v>1133.5899999999999</v>
      </c>
      <c r="AO23" s="125">
        <f>VLOOKUP($D23,个税系统表!$D:$AN,MATCH(海淀分公司工资表!AO$2,个税系统表!$D$1:$AM$1,0),FALSE)</f>
        <v>770.74</v>
      </c>
      <c r="AP23" s="125">
        <f>VLOOKUP($D23,个税系统表!$D:$AN,MATCH(海淀分公司工资表!AP$2,个税系统表!$D$1:$AM$1,0),FALSE)</f>
        <v>362.85</v>
      </c>
      <c r="AQ23" s="126">
        <f t="shared" si="5"/>
        <v>15481.86</v>
      </c>
      <c r="AR23" s="127"/>
      <c r="AS23" s="128">
        <f t="shared" si="6"/>
        <v>15481.86</v>
      </c>
      <c r="AT23" s="124">
        <f>VLOOKUP($H23,缴费比例!$B:$O,MATCH(AT$2,缴费比例!$B$1:$O$1,0),FALSE)</f>
        <v>180</v>
      </c>
      <c r="AU23" s="124">
        <v>2</v>
      </c>
      <c r="AV23" s="124">
        <f t="shared" si="7"/>
        <v>16026.71</v>
      </c>
      <c r="AW23" s="131" t="s">
        <v>315</v>
      </c>
      <c r="AX23" s="131" t="s">
        <v>303</v>
      </c>
      <c r="AY23" s="131" t="s">
        <v>316</v>
      </c>
      <c r="AZ23" s="132"/>
      <c r="BA23" s="133" t="str">
        <f t="shared" si="14"/>
        <v>正确</v>
      </c>
    </row>
    <row r="24" spans="1:65">
      <c r="A24" s="51">
        <v>21</v>
      </c>
      <c r="B24" s="52" t="s">
        <v>60</v>
      </c>
      <c r="C24" s="111" t="s">
        <v>234</v>
      </c>
      <c r="D24" s="112" t="s">
        <v>304</v>
      </c>
      <c r="E24" s="53" t="str">
        <f t="shared" si="15"/>
        <v>男</v>
      </c>
      <c r="F24" s="65">
        <f t="shared" si="16"/>
        <v>31545</v>
      </c>
      <c r="G24" s="139" t="s">
        <v>308</v>
      </c>
      <c r="H24" s="62" t="str">
        <f>VLOOKUP(D24,社保!C:D,2,FALSE)</f>
        <v>合肥</v>
      </c>
      <c r="I24" s="62">
        <f>VLOOKUP(D24,融科!$B$2:$W$100,2,FALSE)</f>
        <v>44606</v>
      </c>
      <c r="J24" s="120"/>
      <c r="K24" s="121">
        <f>VLOOKUP(D24,融科!$B$2:$W$100,15,FALSE)</f>
        <v>0.7</v>
      </c>
      <c r="L24" s="121">
        <f>VLOOKUP(D24,融科!$B$2:$W$100,16,FALSE)</f>
        <v>0.3</v>
      </c>
      <c r="M24" s="122">
        <f>VLOOKUP(D24,融科!$B$2:$W$100,17,FALSE)</f>
        <v>8400</v>
      </c>
      <c r="N24" s="122">
        <f>VLOOKUP(D24,融科!$B:$W,18,FALSE)</f>
        <v>3600</v>
      </c>
      <c r="O24" s="122">
        <f>VLOOKUP(D24,融科!$B$2:$W$100,20,FALSE)</f>
        <v>0</v>
      </c>
      <c r="P24" s="122">
        <f>VLOOKUP(D24,融科!$B$2:$W$100,19,FALSE)</f>
        <v>1000</v>
      </c>
      <c r="Q24" s="122">
        <f>VLOOKUP(D24,融科!$B$2:$W$100,21,FALSE)</f>
        <v>0</v>
      </c>
      <c r="R24" s="122"/>
      <c r="S24" s="122"/>
      <c r="T24" s="123">
        <f>VLOOKUP(D24,融科!$B$2:$W$100,22,FALSE)</f>
        <v>13000</v>
      </c>
      <c r="U24" s="124">
        <f>VLOOKUP($D24,社保!$C:$AF,MATCH(U$2,社保!$C$1:$AF$1,0),FALSE)</f>
        <v>274.39999999999998</v>
      </c>
      <c r="V24" s="124">
        <f>VLOOKUP($D24,社保!$C:$AF,MATCH(V$2,社保!$C$1:$AF$1,0),FALSE)+VLOOKUP($D24,社保!$C:$AF,MATCH("个人大病",社保!$C$1:$AF$1,0),FALSE)</f>
        <v>68.599999999999994</v>
      </c>
      <c r="W24" s="124">
        <f>VLOOKUP($D24,社保!$C:$AF,MATCH(W$2,社保!$C$1:$AF$1,0),FALSE)</f>
        <v>17.149999999999999</v>
      </c>
      <c r="X24" s="124">
        <f t="shared" si="12"/>
        <v>360.15</v>
      </c>
      <c r="Y24" s="124">
        <f>VLOOKUP($D24,社保!$C:$AF,MATCH(Y$2,社保!$C$1:$AF$1,0),FALSE)</f>
        <v>82.5</v>
      </c>
      <c r="Z24" s="124">
        <f t="shared" si="13"/>
        <v>442.65</v>
      </c>
      <c r="AA24" s="119"/>
      <c r="AB24" s="125">
        <f>VLOOKUP($D24,个税系统表!$D:$AN,MATCH(海淀分公司工资表!AB$2,个税系统表!$D$1:$AM$1,0),FALSE)</f>
        <v>53000</v>
      </c>
      <c r="AC24" s="125">
        <f>VLOOKUP($D24,个税系统表!$D:$AN,MATCH(海淀分公司工资表!AC$2,个税系统表!$D$1:$AM$1,0),FALSE)</f>
        <v>25000</v>
      </c>
      <c r="AD24" s="125">
        <f>VLOOKUP($D24,个税系统表!$D:$AN,MATCH(海淀分公司工资表!AD$2,个税系统表!$D$1:$AM$1,0),FALSE)</f>
        <v>2130.75</v>
      </c>
      <c r="AE24" s="125">
        <f>VLOOKUP($D24,个税系统表!$D:$AN,MATCH(海淀分公司工资表!AE$3,个税系统表!$D$1:$AM$1,0),FALSE)</f>
        <v>5000</v>
      </c>
      <c r="AF24" s="125">
        <f>VLOOKUP($D24,个税系统表!$D:$AN,MATCH(海淀分公司工资表!AF$3,个税系统表!$D$1:$AM$1,0),FALSE)</f>
        <v>0</v>
      </c>
      <c r="AG24" s="125">
        <f>VLOOKUP($D24,个税系统表!$D:$AN,MATCH(海淀分公司工资表!AG$3,个税系统表!$D$1:$AM$1,0),FALSE)</f>
        <v>0</v>
      </c>
      <c r="AH24" s="125">
        <f>VLOOKUP($D24,个税系统表!$D:$AN,MATCH(海淀分公司工资表!AH$3,个税系统表!$D$1:$AM$1,0),FALSE)</f>
        <v>7500</v>
      </c>
      <c r="AI24" s="125">
        <f>VLOOKUP($D24,个税系统表!$D:$AN,MATCH(海淀分公司工资表!AI$3,个税系统表!$D$1:$AM$1,0),FALSE)</f>
        <v>10000</v>
      </c>
      <c r="AJ24" s="119"/>
      <c r="AK24" s="125">
        <f t="shared" si="4"/>
        <v>22500</v>
      </c>
      <c r="AL24" s="125">
        <f>VLOOKUP($D24,个税系统表!$D:$AN,MATCH(海淀分公司工资表!AL$2,个税系统表!$D$1:$AM$1,0),FALSE)</f>
        <v>0</v>
      </c>
      <c r="AM24" s="125">
        <f>VLOOKUP($D24,个税系统表!$D:$AN,MATCH(海淀分公司工资表!AM$2,个税系统表!$D$1:$AM$1,0),FALSE)</f>
        <v>3369.25</v>
      </c>
      <c r="AN24" s="125">
        <f>VLOOKUP($D24,个税系统表!$D:$AN,MATCH(海淀分公司工资表!AN$2,个税系统表!$D$1:$AM$1,0),FALSE)</f>
        <v>101.08</v>
      </c>
      <c r="AO24" s="125">
        <f>VLOOKUP($D24,个税系统表!$D:$AN,MATCH(海淀分公司工资表!AO$2,个税系统表!$D$1:$AM$1,0),FALSE)</f>
        <v>9.36</v>
      </c>
      <c r="AP24" s="125">
        <f>VLOOKUP($D24,个税系统表!$D:$AN,MATCH(海淀分公司工资表!AP$2,个税系统表!$D$1:$AM$1,0),FALSE)</f>
        <v>91.72</v>
      </c>
      <c r="AQ24" s="126">
        <f t="shared" si="5"/>
        <v>12465.630000000001</v>
      </c>
      <c r="AR24" s="127"/>
      <c r="AS24" s="128">
        <f t="shared" si="6"/>
        <v>12465.63</v>
      </c>
      <c r="AT24" s="124">
        <f>VLOOKUP($H24,缴费比例!$B:$O,MATCH(AT$2,缴费比例!$B$1:$O$1,0),FALSE)</f>
        <v>180</v>
      </c>
      <c r="AU24" s="124">
        <v>2</v>
      </c>
      <c r="AV24" s="124">
        <f t="shared" si="7"/>
        <v>12739.35</v>
      </c>
      <c r="AW24" s="130" t="s">
        <v>313</v>
      </c>
      <c r="AX24" s="131" t="s">
        <v>303</v>
      </c>
      <c r="AY24" s="131" t="s">
        <v>314</v>
      </c>
      <c r="AZ24" s="132"/>
      <c r="BA24" s="133" t="str">
        <f>IF(LEN(D24)=18,IF(RIGHT(D24,1)="X",IF(CHOOSE(MOD(SUM(LEFT(RIGHT(D24,18))*7+LEFT(RIGHT(D24,17))*9+LEFT(RIGHT(D24,16))*10+LEFT(RIGHT(D24,15))*5+LEFT(RIGHT(D24,14))*8+LEFT(RIGHT(D24,13))*4+LEFT(RIGHT(D24,12))*2+LEFT(RIGHT(D24,11))*1+LEFT(RIGHT(D24,10))*6+LEFT(RIGHT(D24,9))*3+LEFT(RIGHT(D24,8))*7+LEFT(RIGHT(D24,7))*9+LEFT(RIGHT(D24,6))*10+LEFT(RIGHT(D24,5))*5+LEFT(RIGHT(D24,4))*8+LEFT(RIGHT(D24,3))*4+LEFT(RIGHT(D24,2))*2),11)+1,1,0,"X",9,8,7,6,5,4,3,2)=LEFT(RIGHT(D24,1)),"正确","错误"),IF(CHOOSE(MOD(SUM(LEFT(RIGHT(D24,18))*7+LEFT(RIGHT(D24,17))*9+LEFT(RIGHT(D24,16))*10+LEFT(RIGHT(D24,15))*5+LEFT(RIGHT(D24,14))*8+LEFT(RIGHT(D24,13))*4+LEFT(RIGHT(D24,12))*2+LEFT(RIGHT(D24,11))*1+LEFT(RIGHT(D24,10))*6+LEFT(RIGHT(D24,9))*3+LEFT(RIGHT(D24,8))*7+LEFT(RIGHT(D24,7))*9+LEFT(RIGHT(D24,6))*10+LEFT(RIGHT(D24,5))*5+LEFT(RIGHT(D24,4))*8+LEFT(RIGHT(D24,3))*4+LEFT(RIGHT(D24,2))*2),11)+1,1,0,"X",9,8,7,6,5,4,3,2)=LEFT(RIGHT(D24,1))*1,"正确","错误")),IF(LEN(D24)=15,"老号，请注意！",IF(LEN(D24)=0,"未填写身份证号码","位数不对！")))</f>
        <v>正确</v>
      </c>
    </row>
    <row r="25" spans="1:65">
      <c r="A25" s="51">
        <v>22</v>
      </c>
      <c r="B25" s="52" t="s">
        <v>60</v>
      </c>
      <c r="C25" s="110" t="s">
        <v>336</v>
      </c>
      <c r="D25" s="112" t="s">
        <v>338</v>
      </c>
      <c r="E25" s="53" t="str">
        <f t="shared" ref="E25:E37" si="17">IF(VALUE(MID(D25,17,1))/2=INT(VALUE(MID(D25,17,1))/2),"女","男")</f>
        <v>男</v>
      </c>
      <c r="F25" s="65">
        <f t="shared" ref="F25:F37" si="18">DATE(MID(D25,7,4),MID(D25,11,2),MID(D25,13,2))</f>
        <v>35108</v>
      </c>
      <c r="G25" s="139" t="s">
        <v>309</v>
      </c>
      <c r="H25" s="62" t="str">
        <f>VLOOKUP(D25,社保!C:D,2,FALSE)</f>
        <v>合肥</v>
      </c>
      <c r="I25" s="62">
        <f>VLOOKUP(D25,融科!$B$2:$W$100,2,FALSE)</f>
        <v>44627</v>
      </c>
      <c r="J25" s="120"/>
      <c r="K25" s="121">
        <f>VLOOKUP(D25,融科!$B$2:$W$100,15,FALSE)</f>
        <v>0.7</v>
      </c>
      <c r="L25" s="121">
        <f>VLOOKUP(D25,融科!$B$2:$W$100,16,FALSE)</f>
        <v>0.3</v>
      </c>
      <c r="M25" s="122">
        <f>VLOOKUP(D25,融科!$B$2:$W$100,17,FALSE)</f>
        <v>8400</v>
      </c>
      <c r="N25" s="122">
        <f>VLOOKUP(D25,融科!$B:$W,18,FALSE)</f>
        <v>3600</v>
      </c>
      <c r="O25" s="122">
        <f>VLOOKUP(D25,融科!$B$2:$W$100,20,FALSE)</f>
        <v>1103.45</v>
      </c>
      <c r="P25" s="122">
        <f>VLOOKUP(D25,融科!$B$2:$W$100,19,FALSE)</f>
        <v>1000</v>
      </c>
      <c r="Q25" s="122">
        <f>VLOOKUP(D25,融科!$B$2:$W$100,21,FALSE)</f>
        <v>0</v>
      </c>
      <c r="R25" s="122"/>
      <c r="S25" s="122"/>
      <c r="T25" s="123">
        <f>VLOOKUP(D25,融科!$B$2:$W$100,22,FALSE)</f>
        <v>14103.45</v>
      </c>
      <c r="U25" s="124">
        <f>VLOOKUP($D25,社保!$C:$AF,MATCH(U$2,社保!$C$1:$AF$1,0),FALSE)</f>
        <v>274.39999999999998</v>
      </c>
      <c r="V25" s="124">
        <f>VLOOKUP($D25,社保!$C:$AF,MATCH(V$2,社保!$C$1:$AF$1,0),FALSE)+VLOOKUP($D25,社保!$C:$AF,MATCH("个人大病",社保!$C$1:$AF$1,0),FALSE)</f>
        <v>68.599999999999994</v>
      </c>
      <c r="W25" s="124">
        <f>VLOOKUP($D25,社保!$C:$AF,MATCH(W$2,社保!$C$1:$AF$1,0),FALSE)</f>
        <v>17.149999999999999</v>
      </c>
      <c r="X25" s="124">
        <f t="shared" ref="X25" si="19">SUM(U25:W25)</f>
        <v>360.15</v>
      </c>
      <c r="Y25" s="124">
        <f>VLOOKUP($D25,社保!$C:$AF,MATCH(Y$2,社保!$C$1:$AF$1,0),FALSE)</f>
        <v>82.5</v>
      </c>
      <c r="Z25" s="124">
        <f t="shared" ref="Z25" si="20">SUM(X25:Y25)</f>
        <v>442.65</v>
      </c>
      <c r="AA25" s="119"/>
      <c r="AB25" s="125">
        <f>VLOOKUP($D25,个税系统表!$D:$AN,MATCH(海淀分公司工资表!AB$2,个税系统表!$D$1:$AM$1,0),FALSE)</f>
        <v>50896.55</v>
      </c>
      <c r="AC25" s="125">
        <f>VLOOKUP($D25,个税系统表!$D:$AN,MATCH(海淀分公司工资表!AC$2,个税系统表!$D$1:$AM$1,0),FALSE)</f>
        <v>20000</v>
      </c>
      <c r="AD25" s="125">
        <f>VLOOKUP($D25,个税系统表!$D:$AN,MATCH(海淀分公司工资表!AD$2,个税系统表!$D$1:$AM$1,0),FALSE)</f>
        <v>1688.1</v>
      </c>
      <c r="AE25" s="125">
        <f>VLOOKUP($D25,个税系统表!$D:$AN,MATCH(海淀分公司工资表!AE$3,个税系统表!$D$1:$AM$1,0),FALSE)</f>
        <v>0</v>
      </c>
      <c r="AF25" s="125">
        <f>VLOOKUP($D25,个税系统表!$D:$AN,MATCH(海淀分公司工资表!AF$3,个税系统表!$D$1:$AM$1,0),FALSE)</f>
        <v>0</v>
      </c>
      <c r="AG25" s="125">
        <f>VLOOKUP($D25,个税系统表!$D:$AN,MATCH(海淀分公司工资表!AG$3,个税系统表!$D$1:$AM$1,0),FALSE)</f>
        <v>0</v>
      </c>
      <c r="AH25" s="125">
        <f>VLOOKUP($D25,个税系统表!$D:$AN,MATCH(海淀分公司工资表!AH$3,个税系统表!$D$1:$AM$1,0),FALSE)</f>
        <v>0</v>
      </c>
      <c r="AI25" s="125">
        <f>VLOOKUP($D25,个税系统表!$D:$AN,MATCH(海淀分公司工资表!AI$3,个税系统表!$D$1:$AM$1,0),FALSE)</f>
        <v>0</v>
      </c>
      <c r="AJ25" s="119"/>
      <c r="AK25" s="125">
        <f t="shared" ref="AK25:AK26" si="21">SUM(AE25:AJ25)</f>
        <v>0</v>
      </c>
      <c r="AL25" s="125">
        <f>VLOOKUP($D25,个税系统表!$D:$AN,MATCH(海淀分公司工资表!AL$2,个税系统表!$D$1:$AM$1,0),FALSE)</f>
        <v>0</v>
      </c>
      <c r="AM25" s="125">
        <f>VLOOKUP($D25,个税系统表!$D:$AN,MATCH(海淀分公司工资表!AM$2,个税系统表!$D$1:$AM$1,0),FALSE)</f>
        <v>29208.45</v>
      </c>
      <c r="AN25" s="125">
        <f>VLOOKUP($D25,个税系统表!$D:$AN,MATCH(海淀分公司工资表!AN$2,个税系统表!$D$1:$AM$1,0),FALSE)</f>
        <v>876.25</v>
      </c>
      <c r="AO25" s="125">
        <f>VLOOKUP($D25,个税系统表!$D:$AN,MATCH(海淀分公司工资表!AO$2,个税系统表!$D$1:$AM$1,0),FALSE)</f>
        <v>616.42999999999995</v>
      </c>
      <c r="AP25" s="125">
        <f>VLOOKUP($D25,个税系统表!$D:$AN,MATCH(海淀分公司工资表!AP$2,个税系统表!$D$1:$AM$1,0),FALSE)</f>
        <v>259.82</v>
      </c>
      <c r="AQ25" s="126">
        <f t="shared" ref="AQ25:AQ26" si="22">T25-Z25-AA25-AP25</f>
        <v>13400.980000000001</v>
      </c>
      <c r="AR25" s="127"/>
      <c r="AS25" s="128">
        <f t="shared" ref="AS25:AS37" si="23">ROUND(AQ25+AR25,2)</f>
        <v>13400.98</v>
      </c>
      <c r="AT25" s="124">
        <f>VLOOKUP($H25,缴费比例!$B:$O,MATCH(AT$2,缴费比例!$B$1:$O$1,0),FALSE)</f>
        <v>180</v>
      </c>
      <c r="AU25" s="124">
        <v>2</v>
      </c>
      <c r="AV25" s="124">
        <f t="shared" ref="AV25:AV41" si="24">ROUND(AP25+AQ25+AT25+AU25,2)</f>
        <v>13842.8</v>
      </c>
      <c r="AW25" s="130" t="s">
        <v>386</v>
      </c>
      <c r="AX25" s="131" t="s">
        <v>389</v>
      </c>
      <c r="AY25" s="131" t="s">
        <v>388</v>
      </c>
      <c r="AZ25" s="132"/>
      <c r="BA25" s="133" t="str">
        <f t="shared" ref="BA25:BA41" si="25">IF(LEN(D25)=18,IF(RIGHT(D25,1)="X",IF(CHOOSE(MOD(SUM(LEFT(RIGHT(D25,18))*7+LEFT(RIGHT(D25,17))*9+LEFT(RIGHT(D25,16))*10+LEFT(RIGHT(D25,15))*5+LEFT(RIGHT(D25,14))*8+LEFT(RIGHT(D25,13))*4+LEFT(RIGHT(D25,12))*2+LEFT(RIGHT(D25,11))*1+LEFT(RIGHT(D25,10))*6+LEFT(RIGHT(D25,9))*3+LEFT(RIGHT(D25,8))*7+LEFT(RIGHT(D25,7))*9+LEFT(RIGHT(D25,6))*10+LEFT(RIGHT(D25,5))*5+LEFT(RIGHT(D25,4))*8+LEFT(RIGHT(D25,3))*4+LEFT(RIGHT(D25,2))*2),11)+1,1,0,"X",9,8,7,6,5,4,3,2)=LEFT(RIGHT(D25,1)),"正确","错误"),IF(CHOOSE(MOD(SUM(LEFT(RIGHT(D25,18))*7+LEFT(RIGHT(D25,17))*9+LEFT(RIGHT(D25,16))*10+LEFT(RIGHT(D25,15))*5+LEFT(RIGHT(D25,14))*8+LEFT(RIGHT(D25,13))*4+LEFT(RIGHT(D25,12))*2+LEFT(RIGHT(D25,11))*1+LEFT(RIGHT(D25,10))*6+LEFT(RIGHT(D25,9))*3+LEFT(RIGHT(D25,8))*7+LEFT(RIGHT(D25,7))*9+LEFT(RIGHT(D25,6))*10+LEFT(RIGHT(D25,5))*5+LEFT(RIGHT(D25,4))*8+LEFT(RIGHT(D25,3))*4+LEFT(RIGHT(D25,2))*2),11)+1,1,0,"X",9,8,7,6,5,4,3,2)=LEFT(RIGHT(D25,1))*1,"正确","错误")),IF(LEN(D25)=15,"老号，请注意！",IF(LEN(D25)=0,"未填写身份证号码","位数不对！")))</f>
        <v>正确</v>
      </c>
    </row>
    <row r="26" spans="1:65">
      <c r="A26" s="51">
        <v>23</v>
      </c>
      <c r="B26" s="52" t="s">
        <v>60</v>
      </c>
      <c r="C26" s="110" t="s">
        <v>337</v>
      </c>
      <c r="D26" s="221" t="s">
        <v>353</v>
      </c>
      <c r="E26" s="162" t="str">
        <f t="shared" si="17"/>
        <v>男</v>
      </c>
      <c r="F26" s="114">
        <f t="shared" si="18"/>
        <v>33491</v>
      </c>
      <c r="G26" s="163">
        <v>13311097287</v>
      </c>
      <c r="H26" s="62" t="str">
        <f>VLOOKUP(D26,社保!C:D,2,FALSE)</f>
        <v>合肥</v>
      </c>
      <c r="I26" s="62">
        <f>VLOOKUP(D26,融科!$B$2:$W$100,2,FALSE)</f>
        <v>44627</v>
      </c>
      <c r="J26" s="122"/>
      <c r="K26" s="121">
        <f>VLOOKUP(D26,融科!$B$2:$W$100,15,FALSE)</f>
        <v>0.7</v>
      </c>
      <c r="L26" s="121">
        <f>VLOOKUP(D26,融科!$B$2:$W$100,16,FALSE)</f>
        <v>0.3</v>
      </c>
      <c r="M26" s="122">
        <f>VLOOKUP(D26,融科!B25:W51,17,FALSE)</f>
        <v>8400</v>
      </c>
      <c r="N26" s="122">
        <f>VLOOKUP(D26,融科!B:W,18,FALSE)</f>
        <v>3600</v>
      </c>
      <c r="O26" s="122">
        <f>VLOOKUP(D26,融科!$B$2:$W$100,20,FALSE)</f>
        <v>0</v>
      </c>
      <c r="P26" s="122">
        <f>VLOOKUP(D26,融科!$B$2:$W$100,19,FALSE)</f>
        <v>1000</v>
      </c>
      <c r="Q26" s="122">
        <f>VLOOKUP(D26,融科!$B$2:$W$100,21,FALSE)</f>
        <v>0</v>
      </c>
      <c r="R26" s="122"/>
      <c r="S26" s="122"/>
      <c r="T26" s="123">
        <f>VLOOKUP(D26,融科!$B$2:$W$100,22,FALSE)</f>
        <v>13000</v>
      </c>
      <c r="U26" s="124">
        <f>VLOOKUP($D26,社保!$C:$AF,MATCH(U$2,社保!$C$1:$AF$1,0),FALSE)</f>
        <v>274.39999999999998</v>
      </c>
      <c r="V26" s="124">
        <f>VLOOKUP($D26,社保!$C:$AF,MATCH(V$2,社保!$C$1:$AF$1,0),FALSE)+VLOOKUP($D26,社保!$C:$AF,MATCH("个人大病",社保!$C$1:$AF$1,0),FALSE)</f>
        <v>68.599999999999994</v>
      </c>
      <c r="W26" s="124">
        <f>VLOOKUP($D26,社保!$C:$AF,MATCH(W$2,社保!$C$1:$AF$1,0),FALSE)</f>
        <v>17.149999999999999</v>
      </c>
      <c r="X26" s="124">
        <f t="shared" ref="X26:X27" si="26">SUM(U26:W26)</f>
        <v>360.15</v>
      </c>
      <c r="Y26" s="124">
        <f>VLOOKUP($D26,社保!$C:$AF,MATCH(Y$2,社保!$C$1:$AF$1,0),FALSE)</f>
        <v>82.5</v>
      </c>
      <c r="Z26" s="124">
        <f t="shared" ref="Z26:Z27" si="27">SUM(X26:Y26)</f>
        <v>442.65</v>
      </c>
      <c r="AA26" s="165"/>
      <c r="AB26" s="125">
        <f>VLOOKUP($D26,个税系统表!$D:$AN,MATCH(海淀分公司工资表!AB$2,个税系统表!$D$1:$AM$1,0),FALSE)</f>
        <v>49793.1</v>
      </c>
      <c r="AC26" s="125">
        <f>VLOOKUP($D26,个税系统表!$D:$AN,MATCH(海淀分公司工资表!AC$2,个税系统表!$D$1:$AM$1,0),FALSE)</f>
        <v>20000</v>
      </c>
      <c r="AD26" s="125">
        <f>VLOOKUP($D26,个税系统表!$D:$AN,MATCH(海淀分公司工资表!AD$2,个税系统表!$D$1:$AM$1,0),FALSE)</f>
        <v>1688.1</v>
      </c>
      <c r="AE26" s="125">
        <f>VLOOKUP($D26,个税系统表!$D:$AN,MATCH(海淀分公司工资表!AE$3,个税系统表!$D$1:$AM$1,0),FALSE)</f>
        <v>0</v>
      </c>
      <c r="AF26" s="125">
        <f>VLOOKUP($D26,个税系统表!$D:$AN,MATCH(海淀分公司工资表!AF$3,个税系统表!$D$1:$AM$1,0),FALSE)</f>
        <v>0</v>
      </c>
      <c r="AG26" s="125">
        <f>VLOOKUP($D26,个税系统表!$D:$AN,MATCH(海淀分公司工资表!AG$3,个税系统表!$D$1:$AM$1,0),FALSE)</f>
        <v>0</v>
      </c>
      <c r="AH26" s="125">
        <f>VLOOKUP($D26,个税系统表!$D:$AN,MATCH(海淀分公司工资表!AH$3,个税系统表!$D$1:$AM$1,0),FALSE)</f>
        <v>0</v>
      </c>
      <c r="AI26" s="125">
        <f>VLOOKUP($D26,个税系统表!$D:$AN,MATCH(海淀分公司工资表!AI$3,个税系统表!$D$1:$AM$1,0),FALSE)</f>
        <v>0</v>
      </c>
      <c r="AJ26" s="143"/>
      <c r="AK26" s="125">
        <f t="shared" si="21"/>
        <v>0</v>
      </c>
      <c r="AL26" s="125">
        <f>VLOOKUP($D26,个税系统表!$D:$AN,MATCH(海淀分公司工资表!AL$2,个税系统表!$D$1:$AM$1,0),FALSE)</f>
        <v>0</v>
      </c>
      <c r="AM26" s="125">
        <f>VLOOKUP($D26,个税系统表!$D:$AN,MATCH(海淀分公司工资表!AM$2,个税系统表!$D$1:$AM$1,0),FALSE)</f>
        <v>28105</v>
      </c>
      <c r="AN26" s="125">
        <f>VLOOKUP($D26,个税系统表!$D:$AN,MATCH(海淀分公司工资表!AN$2,个税系统表!$D$1:$AM$1,0),FALSE)</f>
        <v>843.15</v>
      </c>
      <c r="AO26" s="125">
        <f>VLOOKUP($D26,个税系统表!$D:$AN,MATCH(海淀分公司工资表!AO$2,个税系统表!$D$1:$AM$1,0),FALSE)</f>
        <v>616.42999999999995</v>
      </c>
      <c r="AP26" s="125">
        <f>VLOOKUP($D26,个税系统表!$D:$AN,MATCH(海淀分公司工资表!AP$2,个税系统表!$D$1:$AM$1,0),FALSE)</f>
        <v>226.72</v>
      </c>
      <c r="AQ26" s="126">
        <f t="shared" si="22"/>
        <v>12330.630000000001</v>
      </c>
      <c r="AR26" s="145"/>
      <c r="AS26" s="128">
        <f t="shared" si="23"/>
        <v>12330.63</v>
      </c>
      <c r="AT26" s="124">
        <f>VLOOKUP($H26,缴费比例!$B:$O,MATCH(AT$2,缴费比例!$B$1:$O$1,0),FALSE)</f>
        <v>180</v>
      </c>
      <c r="AU26" s="146">
        <v>2</v>
      </c>
      <c r="AV26" s="124">
        <f t="shared" si="24"/>
        <v>12739.35</v>
      </c>
      <c r="AW26" s="288" t="s">
        <v>384</v>
      </c>
      <c r="AX26" s="167" t="s">
        <v>385</v>
      </c>
      <c r="AY26" s="167" t="s">
        <v>387</v>
      </c>
      <c r="AZ26" s="132"/>
      <c r="BA26" s="133" t="str">
        <f t="shared" si="25"/>
        <v>正确</v>
      </c>
    </row>
    <row r="27" spans="1:65" s="115" customFormat="1">
      <c r="A27" s="51">
        <v>24</v>
      </c>
      <c r="B27" s="52" t="s">
        <v>405</v>
      </c>
      <c r="C27" s="110" t="s">
        <v>362</v>
      </c>
      <c r="D27" s="293" t="s">
        <v>373</v>
      </c>
      <c r="E27" s="162" t="str">
        <f t="shared" si="17"/>
        <v>男</v>
      </c>
      <c r="F27" s="114">
        <f t="shared" si="18"/>
        <v>32630</v>
      </c>
      <c r="G27" s="163" t="s">
        <v>390</v>
      </c>
      <c r="H27" s="62" t="str">
        <f>VLOOKUP(D27,社保!C:D,2,FALSE)</f>
        <v>合肥</v>
      </c>
      <c r="I27" s="62">
        <f>VLOOKUP(D27,融科!$B$2:$W$100,2,FALSE)</f>
        <v>44652</v>
      </c>
      <c r="J27" s="122"/>
      <c r="K27" s="121">
        <f>VLOOKUP(D27,融科!$B$2:$W$100,15,FALSE)</f>
        <v>0.7</v>
      </c>
      <c r="L27" s="121">
        <f>VLOOKUP(D27,融科!$B$2:$W$100,16,FALSE)</f>
        <v>0.3</v>
      </c>
      <c r="M27" s="122">
        <f>VLOOKUP(D27,融科!$B$2:$W$100,17,FALSE)</f>
        <v>10500</v>
      </c>
      <c r="N27" s="122">
        <f>VLOOKUP(D27,融科!$B:$W,18,FALSE)</f>
        <v>4500</v>
      </c>
      <c r="O27" s="122">
        <f>VLOOKUP(D27,融科!$B$2:$W$100,20,FALSE)</f>
        <v>3448.28</v>
      </c>
      <c r="P27" s="122">
        <f>VLOOKUP(D27,融科!$B$2:$W$100,19,FALSE)</f>
        <v>1000</v>
      </c>
      <c r="Q27" s="122">
        <f>VLOOKUP(D27,融科!$B$2:$W$100,21,FALSE)</f>
        <v>0</v>
      </c>
      <c r="R27" s="122"/>
      <c r="S27" s="122"/>
      <c r="T27" s="123">
        <f>VLOOKUP(D27,融科!$B$2:$W$100,22,FALSE)</f>
        <v>19448.28</v>
      </c>
      <c r="U27" s="124">
        <f>VLOOKUP($D27,社保!$C:$AF,MATCH(U$2,社保!$C$1:$AF$1,0),FALSE)</f>
        <v>274.39999999999998</v>
      </c>
      <c r="V27" s="124">
        <f>VLOOKUP($D27,社保!$C:$AF,MATCH(V$2,社保!$C$1:$AF$1,0),FALSE)+VLOOKUP($D27,社保!$C:$AF,MATCH("个人大病",社保!$C$1:$AF$1,0),FALSE)</f>
        <v>68.599999999999994</v>
      </c>
      <c r="W27" s="124">
        <f>VLOOKUP($D27,社保!$C:$AF,MATCH(W$2,社保!$C$1:$AF$1,0),FALSE)</f>
        <v>17.149999999999999</v>
      </c>
      <c r="X27" s="124">
        <f t="shared" si="26"/>
        <v>360.15</v>
      </c>
      <c r="Y27" s="124">
        <f>VLOOKUP($D27,社保!$C:$AF,MATCH(Y$2,社保!$C$1:$AF$1,0),FALSE)</f>
        <v>82.5</v>
      </c>
      <c r="Z27" s="124">
        <f t="shared" si="27"/>
        <v>442.65</v>
      </c>
      <c r="AA27" s="119"/>
      <c r="AB27" s="125">
        <f>VLOOKUP($D27,个税系统表!$D:$AN,MATCH(海淀分公司工资表!AB$2,个税系统表!$D$1:$AM$1,0),FALSE)</f>
        <v>58443.89</v>
      </c>
      <c r="AC27" s="125">
        <f>VLOOKUP($D27,个税系统表!$D:$AN,MATCH(海淀分公司工资表!AC$2,个税系统表!$D$1:$AM$1,0),FALSE)</f>
        <v>15000</v>
      </c>
      <c r="AD27" s="125">
        <f>VLOOKUP($D27,个税系统表!$D:$AN,MATCH(海淀分公司工资表!AD$2,个税系统表!$D$1:$AM$1,0),FALSE)</f>
        <v>1245.45</v>
      </c>
      <c r="AE27" s="125">
        <f>VLOOKUP($D27,个税系统表!$D:$AN,MATCH(海淀分公司工资表!AE$3,个税系统表!$D$1:$AM$1,0),FALSE)</f>
        <v>0</v>
      </c>
      <c r="AF27" s="125">
        <f>VLOOKUP($D27,个税系统表!$D:$AN,MATCH(海淀分公司工资表!AF$3,个税系统表!$D$1:$AM$1,0),FALSE)</f>
        <v>0</v>
      </c>
      <c r="AG27" s="125">
        <f>VLOOKUP($D27,个税系统表!$D:$AN,MATCH(海淀分公司工资表!AG$3,个税系统表!$D$1:$AM$1,0),FALSE)</f>
        <v>0</v>
      </c>
      <c r="AH27" s="125">
        <f>VLOOKUP($D27,个税系统表!$D:$AN,MATCH(海淀分公司工资表!AH$3,个税系统表!$D$1:$AM$1,0),FALSE)</f>
        <v>0</v>
      </c>
      <c r="AI27" s="125">
        <f>VLOOKUP($D27,个税系统表!$D:$AN,MATCH(海淀分公司工资表!AI$3,个税系统表!$D$1:$AM$1,0),FALSE)</f>
        <v>0</v>
      </c>
      <c r="AJ27" s="119"/>
      <c r="AK27" s="125">
        <f t="shared" ref="AK27:AK36" si="28">SUM(AE27:AJ27)</f>
        <v>0</v>
      </c>
      <c r="AL27" s="125">
        <f>VLOOKUP($D27,个税系统表!$D:$AN,MATCH(海淀分公司工资表!AL$2,个税系统表!$D$1:$AM$1,0),FALSE)</f>
        <v>0</v>
      </c>
      <c r="AM27" s="125">
        <f>VLOOKUP($D27,个税系统表!$D:$AN,MATCH(海淀分公司工资表!AM$2,个税系统表!$D$1:$AM$1,0),FALSE)</f>
        <v>42198.44</v>
      </c>
      <c r="AN27" s="125">
        <f>VLOOKUP($D27,个税系统表!$D:$AN,MATCH(海淀分公司工资表!AN$2,个税系统表!$D$1:$AM$1,0),FALSE)</f>
        <v>1699.84</v>
      </c>
      <c r="AO27" s="125">
        <f>VLOOKUP($D27,个税系统表!$D:$AN,MATCH(海淀分公司工资表!AO$2,个税系统表!$D$1:$AM$1,0),FALSE)</f>
        <v>845.78</v>
      </c>
      <c r="AP27" s="125">
        <f>VLOOKUP($D27,个税系统表!$D:$AN,MATCH(海淀分公司工资表!AP$2,个税系统表!$D$1:$AM$1,0),FALSE)</f>
        <v>854.06</v>
      </c>
      <c r="AQ27" s="126">
        <f t="shared" ref="AQ27:AQ37" si="29">T27-Z27-AA27-AP27</f>
        <v>18151.569999999996</v>
      </c>
      <c r="AR27" s="145"/>
      <c r="AS27" s="128">
        <f t="shared" si="23"/>
        <v>18151.57</v>
      </c>
      <c r="AT27" s="124">
        <f>VLOOKUP($H27,缴费比例!$B:$O,MATCH(AT$2,缴费比例!$B$1:$O$1,0),FALSE)</f>
        <v>180</v>
      </c>
      <c r="AU27" s="146">
        <v>2</v>
      </c>
      <c r="AV27" s="124">
        <f t="shared" si="24"/>
        <v>19187.63</v>
      </c>
      <c r="AW27" s="288" t="s">
        <v>416</v>
      </c>
      <c r="AX27" s="167" t="s">
        <v>385</v>
      </c>
      <c r="AY27" s="167" t="s">
        <v>418</v>
      </c>
      <c r="AZ27" s="132"/>
      <c r="BA27" s="133" t="str">
        <f t="shared" si="25"/>
        <v>正确</v>
      </c>
      <c r="BB27" s="289"/>
      <c r="BC27" s="289"/>
      <c r="BD27" s="289"/>
      <c r="BE27" s="289"/>
      <c r="BF27" s="289"/>
      <c r="BG27" s="289"/>
      <c r="BH27" s="289"/>
      <c r="BI27" s="289"/>
      <c r="BJ27" s="289"/>
      <c r="BK27" s="289"/>
      <c r="BL27" s="289"/>
      <c r="BM27" s="289"/>
    </row>
    <row r="28" spans="1:65" s="115" customFormat="1">
      <c r="A28" s="51">
        <v>25</v>
      </c>
      <c r="B28" s="52" t="s">
        <v>405</v>
      </c>
      <c r="C28" s="110" t="s">
        <v>363</v>
      </c>
      <c r="D28" s="138" t="s">
        <v>406</v>
      </c>
      <c r="E28" s="162" t="str">
        <f t="shared" si="17"/>
        <v>男</v>
      </c>
      <c r="F28" s="114">
        <f t="shared" si="18"/>
        <v>35693</v>
      </c>
      <c r="G28" s="163" t="s">
        <v>391</v>
      </c>
      <c r="H28" s="62" t="str">
        <f>VLOOKUP(D28,社保!C:D,2,FALSE)</f>
        <v>合肥</v>
      </c>
      <c r="I28" s="62">
        <f>VLOOKUP(D28,融科!$B$2:$W$100,2,FALSE)</f>
        <v>44652</v>
      </c>
      <c r="J28" s="122"/>
      <c r="K28" s="121">
        <f>VLOOKUP(D28,融科!$B$2:$W$100,15,FALSE)</f>
        <v>0.7</v>
      </c>
      <c r="L28" s="121">
        <f>VLOOKUP(D28,融科!$B$2:$W$100,16,FALSE)</f>
        <v>0.3</v>
      </c>
      <c r="M28" s="122">
        <f>VLOOKUP(D28,融科!B27:W53,17,FALSE)</f>
        <v>14699.999999999998</v>
      </c>
      <c r="N28" s="122">
        <f>VLOOKUP(D28,融科!B:W,18,FALSE)</f>
        <v>6300</v>
      </c>
      <c r="O28" s="122">
        <f>VLOOKUP(D28,融科!$B$2:$W$100,20,FALSE)</f>
        <v>4827.58</v>
      </c>
      <c r="P28" s="122">
        <f>VLOOKUP(D28,融科!$B$2:$W$100,19,FALSE)</f>
        <v>1000</v>
      </c>
      <c r="Q28" s="122">
        <f>VLOOKUP(D28,融科!$B$2:$W$100,21,FALSE)</f>
        <v>0</v>
      </c>
      <c r="R28" s="122"/>
      <c r="S28" s="122"/>
      <c r="T28" s="123">
        <f>VLOOKUP(D28,融科!$B$2:$W$100,22,FALSE)</f>
        <v>26827.58</v>
      </c>
      <c r="U28" s="124">
        <f>VLOOKUP($D28,社保!$C:$AF,MATCH(U$2,社保!$C$1:$AF$1,0),FALSE)</f>
        <v>274.39999999999998</v>
      </c>
      <c r="V28" s="124">
        <f>VLOOKUP($D28,社保!$C:$AF,MATCH(V$2,社保!$C$1:$AF$1,0),FALSE)+VLOOKUP($D28,社保!$C:$AF,MATCH("个人大病",社保!$C$1:$AF$1,0),FALSE)</f>
        <v>68.599999999999994</v>
      </c>
      <c r="W28" s="124">
        <f>VLOOKUP($D28,社保!$C:$AF,MATCH(W$2,社保!$C$1:$AF$1,0),FALSE)</f>
        <v>17.149999999999999</v>
      </c>
      <c r="X28" s="124">
        <f t="shared" ref="X28:X36" si="30">SUM(U28:W28)</f>
        <v>360.15</v>
      </c>
      <c r="Y28" s="124">
        <f>VLOOKUP($D28,社保!$C:$AF,MATCH(Y$2,社保!$C$1:$AF$1,0),FALSE)</f>
        <v>82.5</v>
      </c>
      <c r="Z28" s="124">
        <f t="shared" ref="Z28:Z36" si="31">SUM(X28:Y28)</f>
        <v>442.65</v>
      </c>
      <c r="AA28" s="165"/>
      <c r="AB28" s="125">
        <f>VLOOKUP($D28,个税系统表!$D:$AN,MATCH(海淀分公司工资表!AB$2,个税系统表!$D$1:$AM$1,0),FALSE)</f>
        <v>77409.37</v>
      </c>
      <c r="AC28" s="125">
        <f>VLOOKUP($D28,个税系统表!$D:$AN,MATCH(海淀分公司工资表!AC$2,个税系统表!$D$1:$AM$1,0),FALSE)</f>
        <v>15000</v>
      </c>
      <c r="AD28" s="125">
        <f>VLOOKUP($D28,个税系统表!$D:$AN,MATCH(海淀分公司工资表!AD$2,个税系统表!$D$1:$AM$1,0),FALSE)</f>
        <v>1245.45</v>
      </c>
      <c r="AE28" s="125">
        <f>VLOOKUP($D28,个税系统表!$D:$AN,MATCH(海淀分公司工资表!AE$3,个税系统表!$D$1:$AM$1,0),FALSE)</f>
        <v>0</v>
      </c>
      <c r="AF28" s="125">
        <f>VLOOKUP($D28,个税系统表!$D:$AN,MATCH(海淀分公司工资表!AF$3,个税系统表!$D$1:$AM$1,0),FALSE)</f>
        <v>0</v>
      </c>
      <c r="AG28" s="125">
        <f>VLOOKUP($D28,个税系统表!$D:$AN,MATCH(海淀分公司工资表!AG$3,个税系统表!$D$1:$AM$1,0),FALSE)</f>
        <v>0</v>
      </c>
      <c r="AH28" s="125">
        <f>VLOOKUP($D28,个税系统表!$D:$AN,MATCH(海淀分公司工资表!AH$3,个税系统表!$D$1:$AM$1,0),FALSE)</f>
        <v>0</v>
      </c>
      <c r="AI28" s="125">
        <f>VLOOKUP($D28,个税系统表!$D:$AN,MATCH(海淀分公司工资表!AI$3,个税系统表!$D$1:$AM$1,0),FALSE)</f>
        <v>0</v>
      </c>
      <c r="AJ28" s="143"/>
      <c r="AK28" s="125">
        <f t="shared" si="28"/>
        <v>0</v>
      </c>
      <c r="AL28" s="125">
        <f>VLOOKUP($D28,个税系统表!$D:$AN,MATCH(海淀分公司工资表!AL$2,个税系统表!$D$1:$AM$1,0),FALSE)</f>
        <v>0</v>
      </c>
      <c r="AM28" s="125">
        <f>VLOOKUP($D28,个税系统表!$D:$AN,MATCH(海淀分公司工资表!AM$2,个税系统表!$D$1:$AM$1,0),FALSE)</f>
        <v>61163.92</v>
      </c>
      <c r="AN28" s="125">
        <f>VLOOKUP($D28,个税系统表!$D:$AN,MATCH(海淀分公司工资表!AN$2,个税系统表!$D$1:$AM$1,0),FALSE)</f>
        <v>3596.39</v>
      </c>
      <c r="AO28" s="125">
        <f>VLOOKUP($D28,个税系统表!$D:$AN,MATCH(海淀分公司工资表!AO$2,个税系统表!$D$1:$AM$1,0),FALSE)</f>
        <v>1457.9</v>
      </c>
      <c r="AP28" s="125">
        <f>VLOOKUP($D28,个税系统表!$D:$AN,MATCH(海淀分公司工资表!AP$2,个税系统表!$D$1:$AM$1,0),FALSE)</f>
        <v>2138.4899999999998</v>
      </c>
      <c r="AQ28" s="126">
        <f t="shared" si="29"/>
        <v>24246.440000000002</v>
      </c>
      <c r="AR28" s="145"/>
      <c r="AS28" s="128">
        <f t="shared" si="23"/>
        <v>24246.44</v>
      </c>
      <c r="AT28" s="124">
        <f>VLOOKUP($H28,缴费比例!$B:$O,MATCH(AT$2,缴费比例!$B$1:$O$1,0),FALSE)</f>
        <v>180</v>
      </c>
      <c r="AU28" s="146">
        <v>2</v>
      </c>
      <c r="AV28" s="124">
        <f t="shared" si="24"/>
        <v>26566.93</v>
      </c>
      <c r="AW28" s="296" t="s">
        <v>419</v>
      </c>
      <c r="AX28" s="131" t="s">
        <v>389</v>
      </c>
      <c r="AY28" s="167" t="s">
        <v>431</v>
      </c>
      <c r="AZ28" s="132"/>
      <c r="BA28" s="133" t="str">
        <f t="shared" si="25"/>
        <v>正确</v>
      </c>
      <c r="BB28" s="289"/>
      <c r="BC28" s="289"/>
      <c r="BD28" s="289"/>
      <c r="BE28" s="289"/>
      <c r="BF28" s="289"/>
      <c r="BG28" s="289"/>
      <c r="BH28" s="289"/>
      <c r="BI28" s="289"/>
      <c r="BJ28" s="289"/>
      <c r="BK28" s="289"/>
      <c r="BL28" s="289"/>
      <c r="BM28" s="289"/>
    </row>
    <row r="29" spans="1:65" s="115" customFormat="1">
      <c r="A29" s="51">
        <v>26</v>
      </c>
      <c r="B29" s="52" t="s">
        <v>405</v>
      </c>
      <c r="C29" s="110" t="s">
        <v>364</v>
      </c>
      <c r="D29" s="138" t="s">
        <v>407</v>
      </c>
      <c r="E29" s="162" t="str">
        <f t="shared" si="17"/>
        <v>男</v>
      </c>
      <c r="F29" s="114">
        <f t="shared" si="18"/>
        <v>34258</v>
      </c>
      <c r="G29" s="163" t="s">
        <v>392</v>
      </c>
      <c r="H29" s="62" t="str">
        <f>VLOOKUP(D29,社保!C:D,2,FALSE)</f>
        <v>合肥</v>
      </c>
      <c r="I29" s="62">
        <f>VLOOKUP(D29,融科!$B$2:$W$100,2,FALSE)</f>
        <v>44652</v>
      </c>
      <c r="J29" s="122"/>
      <c r="K29" s="121">
        <f>VLOOKUP(D29,融科!$B$2:$W$100,15,FALSE)</f>
        <v>0.7</v>
      </c>
      <c r="L29" s="121">
        <f>VLOOKUP(D29,融科!$B$2:$W$100,16,FALSE)</f>
        <v>0.3</v>
      </c>
      <c r="M29" s="122">
        <f>VLOOKUP(D29,融科!$B$2:$W$100,17,FALSE)</f>
        <v>13300</v>
      </c>
      <c r="N29" s="122">
        <f>VLOOKUP(D29,融科!$B:$W,18,FALSE)</f>
        <v>5700</v>
      </c>
      <c r="O29" s="122">
        <f>VLOOKUP(D29,融科!$B$2:$W$100,20,FALSE)</f>
        <v>6114.95</v>
      </c>
      <c r="P29" s="122">
        <f>VLOOKUP(D29,融科!$B$2:$W$100,19,FALSE)</f>
        <v>1000</v>
      </c>
      <c r="Q29" s="122">
        <f>VLOOKUP(D29,融科!$B$2:$W$100,21,FALSE)</f>
        <v>0</v>
      </c>
      <c r="R29" s="122"/>
      <c r="S29" s="122"/>
      <c r="T29" s="123">
        <f>VLOOKUP(D29,融科!$B$2:$W$100,22,FALSE)</f>
        <v>26114.95</v>
      </c>
      <c r="U29" s="124">
        <f>VLOOKUP($D29,社保!$C:$AF,MATCH(U$2,社保!$C$1:$AF$1,0),FALSE)</f>
        <v>274.39999999999998</v>
      </c>
      <c r="V29" s="124">
        <f>VLOOKUP($D29,社保!$C:$AF,MATCH(V$2,社保!$C$1:$AF$1,0),FALSE)+VLOOKUP($D29,社保!$C:$AF,MATCH("个人大病",社保!$C$1:$AF$1,0),FALSE)</f>
        <v>68.599999999999994</v>
      </c>
      <c r="W29" s="124">
        <f>VLOOKUP($D29,社保!$C:$AF,MATCH(W$2,社保!$C$1:$AF$1,0),FALSE)</f>
        <v>17.149999999999999</v>
      </c>
      <c r="X29" s="124">
        <f t="shared" si="30"/>
        <v>360.15</v>
      </c>
      <c r="Y29" s="124">
        <f>VLOOKUP($D29,社保!$C:$AF,MATCH(Y$2,社保!$C$1:$AF$1,0),FALSE)</f>
        <v>82.5</v>
      </c>
      <c r="Z29" s="124">
        <f t="shared" si="31"/>
        <v>442.65</v>
      </c>
      <c r="AA29" s="119"/>
      <c r="AB29" s="125">
        <f>VLOOKUP($D29,个税系统表!$D:$AN,MATCH(海淀分公司工资表!AB$2,个税系统表!$D$1:$AM$1,0),FALSE)</f>
        <v>73892.17</v>
      </c>
      <c r="AC29" s="125">
        <f>VLOOKUP($D29,个税系统表!$D:$AN,MATCH(海淀分公司工资表!AC$2,个税系统表!$D$1:$AM$1,0),FALSE)</f>
        <v>15000</v>
      </c>
      <c r="AD29" s="125">
        <f>VLOOKUP($D29,个税系统表!$D:$AN,MATCH(海淀分公司工资表!AD$2,个税系统表!$D$1:$AM$1,0),FALSE)</f>
        <v>1245.45</v>
      </c>
      <c r="AE29" s="125">
        <f>VLOOKUP($D29,个税系统表!$D:$AN,MATCH(海淀分公司工资表!AE$3,个税系统表!$D$1:$AM$1,0),FALSE)</f>
        <v>0</v>
      </c>
      <c r="AF29" s="125">
        <f>VLOOKUP($D29,个税系统表!$D:$AN,MATCH(海淀分公司工资表!AF$3,个税系统表!$D$1:$AM$1,0),FALSE)</f>
        <v>0</v>
      </c>
      <c r="AG29" s="125">
        <f>VLOOKUP($D29,个税系统表!$D:$AN,MATCH(海淀分公司工资表!AG$3,个税系统表!$D$1:$AM$1,0),FALSE)</f>
        <v>0</v>
      </c>
      <c r="AH29" s="125">
        <f>VLOOKUP($D29,个税系统表!$D:$AN,MATCH(海淀分公司工资表!AH$3,个税系统表!$D$1:$AM$1,0),FALSE)</f>
        <v>0</v>
      </c>
      <c r="AI29" s="125">
        <f>VLOOKUP($D29,个税系统表!$D:$AN,MATCH(海淀分公司工资表!AI$3,个税系统表!$D$1:$AM$1,0),FALSE)</f>
        <v>0</v>
      </c>
      <c r="AJ29" s="119"/>
      <c r="AK29" s="125">
        <f t="shared" si="28"/>
        <v>0</v>
      </c>
      <c r="AL29" s="125">
        <f>VLOOKUP($D29,个税系统表!$D:$AN,MATCH(海淀分公司工资表!AL$2,个税系统表!$D$1:$AM$1,0),FALSE)</f>
        <v>0</v>
      </c>
      <c r="AM29" s="125">
        <f>VLOOKUP($D29,个税系统表!$D:$AN,MATCH(海淀分公司工资表!AM$2,个税系统表!$D$1:$AM$1,0),FALSE)</f>
        <v>57646.720000000001</v>
      </c>
      <c r="AN29" s="125">
        <f>VLOOKUP($D29,个税系统表!$D:$AN,MATCH(海淀分公司工资表!AN$2,个税系统表!$D$1:$AM$1,0),FALSE)</f>
        <v>3244.67</v>
      </c>
      <c r="AO29" s="125">
        <f>VLOOKUP($D29,个税系统表!$D:$AN,MATCH(海淀分公司工资表!AO$2,个税系统表!$D$1:$AM$1,0),FALSE)</f>
        <v>1177.44</v>
      </c>
      <c r="AP29" s="125">
        <f>VLOOKUP($D29,个税系统表!$D:$AN,MATCH(海淀分公司工资表!AP$2,个税系统表!$D$1:$AM$1,0),FALSE)</f>
        <v>2067.23</v>
      </c>
      <c r="AQ29" s="126">
        <f t="shared" si="29"/>
        <v>23605.07</v>
      </c>
      <c r="AR29" s="145"/>
      <c r="AS29" s="128">
        <f t="shared" si="23"/>
        <v>23605.07</v>
      </c>
      <c r="AT29" s="124">
        <f>VLOOKUP($H29,缴费比例!$B:$O,MATCH(AT$2,缴费比例!$B$1:$O$1,0),FALSE)</f>
        <v>180</v>
      </c>
      <c r="AU29" s="146">
        <v>2</v>
      </c>
      <c r="AV29" s="124">
        <f t="shared" si="24"/>
        <v>25854.3</v>
      </c>
      <c r="AW29" s="296" t="s">
        <v>450</v>
      </c>
      <c r="AX29" s="131" t="s">
        <v>303</v>
      </c>
      <c r="AY29" s="167" t="s">
        <v>451</v>
      </c>
      <c r="AZ29" s="132"/>
      <c r="BA29" s="133" t="str">
        <f t="shared" si="25"/>
        <v>正确</v>
      </c>
      <c r="BB29" s="289"/>
      <c r="BC29" s="289"/>
      <c r="BD29" s="289"/>
      <c r="BE29" s="289"/>
      <c r="BF29" s="289"/>
      <c r="BG29" s="289"/>
      <c r="BH29" s="289"/>
      <c r="BI29" s="289"/>
      <c r="BJ29" s="289"/>
      <c r="BK29" s="289"/>
      <c r="BL29" s="289"/>
      <c r="BM29" s="289"/>
    </row>
    <row r="30" spans="1:65" s="115" customFormat="1">
      <c r="A30" s="51">
        <v>27</v>
      </c>
      <c r="B30" s="52" t="s">
        <v>405</v>
      </c>
      <c r="C30" s="110" t="s">
        <v>365</v>
      </c>
      <c r="D30" s="138" t="s">
        <v>408</v>
      </c>
      <c r="E30" s="162" t="str">
        <f t="shared" si="17"/>
        <v>男</v>
      </c>
      <c r="F30" s="114">
        <f t="shared" si="18"/>
        <v>34649</v>
      </c>
      <c r="G30" s="163" t="s">
        <v>393</v>
      </c>
      <c r="H30" s="62" t="str">
        <f>VLOOKUP(D30,社保!C:D,2,FALSE)</f>
        <v>合肥</v>
      </c>
      <c r="I30" s="62">
        <f>VLOOKUP(D30,融科!$B$2:$W$100,2,FALSE)</f>
        <v>44652</v>
      </c>
      <c r="J30" s="122"/>
      <c r="K30" s="121">
        <f>VLOOKUP(D30,融科!$B$2:$W$100,15,FALSE)</f>
        <v>0.7</v>
      </c>
      <c r="L30" s="121">
        <f>VLOOKUP(D30,融科!$B$2:$W$100,16,FALSE)</f>
        <v>0.3</v>
      </c>
      <c r="M30" s="122">
        <f>VLOOKUP(D30,融科!B29:W55,17,FALSE)</f>
        <v>7000</v>
      </c>
      <c r="N30" s="122">
        <f>VLOOKUP(D30,融科!B:W,18,FALSE)</f>
        <v>3000</v>
      </c>
      <c r="O30" s="122">
        <f>VLOOKUP(D30,融科!$B$2:$W$100,20,FALSE)</f>
        <v>0</v>
      </c>
      <c r="P30" s="122">
        <f>VLOOKUP(D30,融科!$B$2:$W$100,19,FALSE)</f>
        <v>1000</v>
      </c>
      <c r="Q30" s="122">
        <f>VLOOKUP(D30,融科!$B$2:$W$100,21,FALSE)</f>
        <v>0</v>
      </c>
      <c r="R30" s="122"/>
      <c r="S30" s="122"/>
      <c r="T30" s="123">
        <f>VLOOKUP(D30,融科!$B$2:$W$100,22,FALSE)</f>
        <v>11000</v>
      </c>
      <c r="U30" s="124">
        <f>VLOOKUP($D30,社保!$C:$AF,MATCH(U$2,社保!$C$1:$AF$1,0),FALSE)</f>
        <v>274.39999999999998</v>
      </c>
      <c r="V30" s="124">
        <f>VLOOKUP($D30,社保!$C:$AF,MATCH(V$2,社保!$C$1:$AF$1,0),FALSE)+VLOOKUP($D30,社保!$C:$AF,MATCH("个人大病",社保!$C$1:$AF$1,0),FALSE)</f>
        <v>68.599999999999994</v>
      </c>
      <c r="W30" s="124">
        <f>VLOOKUP($D30,社保!$C:$AF,MATCH(W$2,社保!$C$1:$AF$1,0),FALSE)</f>
        <v>17.149999999999999</v>
      </c>
      <c r="X30" s="124">
        <f t="shared" si="30"/>
        <v>360.15</v>
      </c>
      <c r="Y30" s="124">
        <f>VLOOKUP($D30,社保!$C:$AF,MATCH(Y$2,社保!$C$1:$AF$1,0),FALSE)</f>
        <v>82.5</v>
      </c>
      <c r="Z30" s="124">
        <f t="shared" si="31"/>
        <v>442.65</v>
      </c>
      <c r="AA30" s="165"/>
      <c r="AB30" s="125">
        <f>VLOOKUP($D30,个税系统表!$D:$AN,MATCH(海淀分公司工资表!AB$2,个税系统表!$D$1:$AM$1,0),FALSE)</f>
        <v>34708.239999999998</v>
      </c>
      <c r="AC30" s="125">
        <f>VLOOKUP($D30,个税系统表!$D:$AN,MATCH(海淀分公司工资表!AC$2,个税系统表!$D$1:$AM$1,0),FALSE)</f>
        <v>15000</v>
      </c>
      <c r="AD30" s="125">
        <f>VLOOKUP($D30,个税系统表!$D:$AN,MATCH(海淀分公司工资表!AD$2,个税系统表!$D$1:$AM$1,0),FALSE)</f>
        <v>1245.45</v>
      </c>
      <c r="AE30" s="125">
        <f>VLOOKUP($D30,个税系统表!$D:$AN,MATCH(海淀分公司工资表!AE$3,个税系统表!$D$1:$AM$1,0),FALSE)</f>
        <v>0</v>
      </c>
      <c r="AF30" s="125">
        <f>VLOOKUP($D30,个税系统表!$D:$AN,MATCH(海淀分公司工资表!AF$3,个税系统表!$D$1:$AM$1,0),FALSE)</f>
        <v>0</v>
      </c>
      <c r="AG30" s="125">
        <f>VLOOKUP($D30,个税系统表!$D:$AN,MATCH(海淀分公司工资表!AG$3,个税系统表!$D$1:$AM$1,0),FALSE)</f>
        <v>0</v>
      </c>
      <c r="AH30" s="125">
        <f>VLOOKUP($D30,个税系统表!$D:$AN,MATCH(海淀分公司工资表!AH$3,个税系统表!$D$1:$AM$1,0),FALSE)</f>
        <v>4500</v>
      </c>
      <c r="AI30" s="125">
        <f>VLOOKUP($D30,个税系统表!$D:$AN,MATCH(海淀分公司工资表!AI$3,个税系统表!$D$1:$AM$1,0),FALSE)</f>
        <v>0</v>
      </c>
      <c r="AJ30" s="143"/>
      <c r="AK30" s="125">
        <f t="shared" si="28"/>
        <v>4500</v>
      </c>
      <c r="AL30" s="125">
        <f>VLOOKUP($D30,个税系统表!$D:$AN,MATCH(海淀分公司工资表!AL$2,个税系统表!$D$1:$AM$1,0),FALSE)</f>
        <v>0</v>
      </c>
      <c r="AM30" s="125">
        <f>VLOOKUP($D30,个税系统表!$D:$AN,MATCH(海淀分公司工资表!AM$2,个税系统表!$D$1:$AM$1,0),FALSE)</f>
        <v>13962.79</v>
      </c>
      <c r="AN30" s="125">
        <f>VLOOKUP($D30,个税系统表!$D:$AN,MATCH(海淀分公司工资表!AN$2,个税系统表!$D$1:$AM$1,0),FALSE)</f>
        <v>418.88</v>
      </c>
      <c r="AO30" s="125">
        <f>VLOOKUP($D30,个税系统表!$D:$AN,MATCH(海淀分公司工资表!AO$2,个税系统表!$D$1:$AM$1,0),FALSE)</f>
        <v>387.16</v>
      </c>
      <c r="AP30" s="125">
        <f>VLOOKUP($D30,个税系统表!$D:$AN,MATCH(海淀分公司工资表!AP$2,个税系统表!$D$1:$AM$1,0),FALSE)</f>
        <v>31.72</v>
      </c>
      <c r="AQ30" s="126">
        <f t="shared" si="29"/>
        <v>10525.630000000001</v>
      </c>
      <c r="AR30" s="145"/>
      <c r="AS30" s="128">
        <f t="shared" si="23"/>
        <v>10525.63</v>
      </c>
      <c r="AT30" s="124">
        <f>VLOOKUP($H30,缴费比例!$B:$O,MATCH(AT$2,缴费比例!$B$1:$O$1,0),FALSE)</f>
        <v>180</v>
      </c>
      <c r="AU30" s="146">
        <v>2</v>
      </c>
      <c r="AV30" s="124">
        <f t="shared" si="24"/>
        <v>10739.35</v>
      </c>
      <c r="AW30" s="296" t="s">
        <v>420</v>
      </c>
      <c r="AX30" s="167" t="s">
        <v>417</v>
      </c>
      <c r="AY30" s="167" t="s">
        <v>421</v>
      </c>
      <c r="AZ30" s="132"/>
      <c r="BA30" s="133" t="str">
        <f t="shared" si="25"/>
        <v>正确</v>
      </c>
      <c r="BB30" s="289"/>
      <c r="BC30" s="289"/>
      <c r="BD30" s="289"/>
      <c r="BE30" s="289"/>
      <c r="BF30" s="289"/>
      <c r="BG30" s="289"/>
      <c r="BH30" s="289"/>
      <c r="BI30" s="289"/>
      <c r="BJ30" s="289"/>
      <c r="BK30" s="289"/>
      <c r="BL30" s="289"/>
      <c r="BM30" s="289"/>
    </row>
    <row r="31" spans="1:65" s="115" customFormat="1">
      <c r="A31" s="51">
        <v>28</v>
      </c>
      <c r="B31" s="52" t="s">
        <v>409</v>
      </c>
      <c r="C31" s="110" t="s">
        <v>366</v>
      </c>
      <c r="D31" s="138" t="s">
        <v>410</v>
      </c>
      <c r="E31" s="162" t="str">
        <f t="shared" si="17"/>
        <v>男</v>
      </c>
      <c r="F31" s="114">
        <f t="shared" si="18"/>
        <v>33928</v>
      </c>
      <c r="G31" s="163" t="s">
        <v>394</v>
      </c>
      <c r="H31" s="62" t="str">
        <f>VLOOKUP(D31,社保!C:D,2,FALSE)</f>
        <v>合肥</v>
      </c>
      <c r="I31" s="62">
        <f>VLOOKUP(D31,融科!$B$2:$W$100,2,FALSE)</f>
        <v>44652</v>
      </c>
      <c r="J31" s="122"/>
      <c r="K31" s="121">
        <f>VLOOKUP(D31,融科!$B$2:$W$100,15,FALSE)</f>
        <v>0.7</v>
      </c>
      <c r="L31" s="121">
        <f>VLOOKUP(D31,融科!$B$2:$W$100,16,FALSE)</f>
        <v>0.3</v>
      </c>
      <c r="M31" s="122">
        <f>VLOOKUP(D31,融科!$B$2:$W$100,17,FALSE)</f>
        <v>7000</v>
      </c>
      <c r="N31" s="122">
        <f>VLOOKUP(D31,融科!$B:$W,18,FALSE)</f>
        <v>3000</v>
      </c>
      <c r="O31" s="122">
        <f>VLOOKUP(D31,融科!$B$2:$W$100,20,FALSE)</f>
        <v>0</v>
      </c>
      <c r="P31" s="122">
        <f>VLOOKUP(D31,融科!$B$2:$W$100,19,FALSE)</f>
        <v>1000</v>
      </c>
      <c r="Q31" s="122">
        <f>VLOOKUP(D31,融科!$B$2:$W$100,21,FALSE)</f>
        <v>0</v>
      </c>
      <c r="R31" s="122"/>
      <c r="S31" s="122"/>
      <c r="T31" s="123">
        <f>VLOOKUP(D31,融科!$B$2:$W$100,22,FALSE)</f>
        <v>11000</v>
      </c>
      <c r="U31" s="124">
        <f>VLOOKUP($D31,社保!$C:$AF,MATCH(U$2,社保!$C$1:$AF$1,0),FALSE)</f>
        <v>274.39999999999998</v>
      </c>
      <c r="V31" s="124">
        <f>VLOOKUP($D31,社保!$C:$AF,MATCH(V$2,社保!$C$1:$AF$1,0),FALSE)+VLOOKUP($D31,社保!$C:$AF,MATCH("个人大病",社保!$C$1:$AF$1,0),FALSE)</f>
        <v>68.599999999999994</v>
      </c>
      <c r="W31" s="124">
        <f>VLOOKUP($D31,社保!$C:$AF,MATCH(W$2,社保!$C$1:$AF$1,0),FALSE)</f>
        <v>17.149999999999999</v>
      </c>
      <c r="X31" s="124">
        <f t="shared" si="30"/>
        <v>360.15</v>
      </c>
      <c r="Y31" s="124">
        <f>VLOOKUP($D31,社保!$C:$AF,MATCH(Y$2,社保!$C$1:$AF$1,0),FALSE)</f>
        <v>82.5</v>
      </c>
      <c r="Z31" s="124">
        <f t="shared" si="31"/>
        <v>442.65</v>
      </c>
      <c r="AA31" s="119"/>
      <c r="AB31" s="125">
        <f>VLOOKUP($D31,个税系统表!$D:$AN,MATCH(海淀分公司工资表!AB$2,个税系统表!$D$1:$AM$1,0),FALSE)</f>
        <v>33788.699999999997</v>
      </c>
      <c r="AC31" s="125">
        <f>VLOOKUP($D31,个税系统表!$D:$AN,MATCH(海淀分公司工资表!AC$2,个税系统表!$D$1:$AM$1,0),FALSE)</f>
        <v>15000</v>
      </c>
      <c r="AD31" s="125">
        <f>VLOOKUP($D31,个税系统表!$D:$AN,MATCH(海淀分公司工资表!AD$2,个税系统表!$D$1:$AM$1,0),FALSE)</f>
        <v>1245.45</v>
      </c>
      <c r="AE31" s="125">
        <f>VLOOKUP($D31,个税系统表!$D:$AN,MATCH(海淀分公司工资表!AE$3,个税系统表!$D$1:$AM$1,0),FALSE)</f>
        <v>0</v>
      </c>
      <c r="AF31" s="125">
        <f>VLOOKUP($D31,个税系统表!$D:$AN,MATCH(海淀分公司工资表!AF$3,个税系统表!$D$1:$AM$1,0),FALSE)</f>
        <v>0</v>
      </c>
      <c r="AG31" s="125">
        <f>VLOOKUP($D31,个税系统表!$D:$AN,MATCH(海淀分公司工资表!AG$3,个税系统表!$D$1:$AM$1,0),FALSE)</f>
        <v>0</v>
      </c>
      <c r="AH31" s="125">
        <f>VLOOKUP($D31,个税系统表!$D:$AN,MATCH(海淀分公司工资表!AH$3,个税系统表!$D$1:$AM$1,0),FALSE)</f>
        <v>0</v>
      </c>
      <c r="AI31" s="125">
        <f>VLOOKUP($D31,个税系统表!$D:$AN,MATCH(海淀分公司工资表!AI$3,个税系统表!$D$1:$AM$1,0),FALSE)</f>
        <v>0</v>
      </c>
      <c r="AJ31" s="119"/>
      <c r="AK31" s="125">
        <f t="shared" si="28"/>
        <v>0</v>
      </c>
      <c r="AL31" s="125">
        <f>VLOOKUP($D31,个税系统表!$D:$AN,MATCH(海淀分公司工资表!AL$2,个税系统表!$D$1:$AM$1,0),FALSE)</f>
        <v>0</v>
      </c>
      <c r="AM31" s="125">
        <f>VLOOKUP($D31,个税系统表!$D:$AN,MATCH(海淀分公司工资表!AM$2,个税系统表!$D$1:$AM$1,0),FALSE)</f>
        <v>17543.25</v>
      </c>
      <c r="AN31" s="125">
        <f>VLOOKUP($D31,个税系统表!$D:$AN,MATCH(海淀分公司工资表!AN$2,个税系统表!$D$1:$AM$1,0),FALSE)</f>
        <v>526.29999999999995</v>
      </c>
      <c r="AO31" s="125">
        <f>VLOOKUP($D31,个税系统表!$D:$AN,MATCH(海淀分公司工资表!AO$2,个税系统表!$D$1:$AM$1,0),FALSE)</f>
        <v>359.58</v>
      </c>
      <c r="AP31" s="125">
        <f>VLOOKUP($D31,个税系统表!$D:$AN,MATCH(海淀分公司工资表!AP$2,个税系统表!$D$1:$AM$1,0),FALSE)</f>
        <v>166.72</v>
      </c>
      <c r="AQ31" s="126">
        <f t="shared" si="29"/>
        <v>10390.630000000001</v>
      </c>
      <c r="AR31" s="145"/>
      <c r="AS31" s="128">
        <f t="shared" si="23"/>
        <v>10390.629999999999</v>
      </c>
      <c r="AT31" s="124">
        <f>VLOOKUP($H31,缴费比例!$B:$O,MATCH(AT$2,缴费比例!$B$1:$O$1,0),FALSE)</f>
        <v>180</v>
      </c>
      <c r="AU31" s="146">
        <v>2</v>
      </c>
      <c r="AV31" s="124">
        <f t="shared" si="24"/>
        <v>10739.35</v>
      </c>
      <c r="AW31" s="296" t="s">
        <v>422</v>
      </c>
      <c r="AX31" s="131" t="s">
        <v>303</v>
      </c>
      <c r="AY31" s="167" t="s">
        <v>430</v>
      </c>
      <c r="AZ31" s="132"/>
      <c r="BA31" s="133" t="str">
        <f t="shared" si="25"/>
        <v>正确</v>
      </c>
      <c r="BB31" s="289"/>
      <c r="BC31" s="289"/>
      <c r="BD31" s="289"/>
      <c r="BE31" s="289"/>
      <c r="BF31" s="289"/>
      <c r="BG31" s="289"/>
      <c r="BH31" s="289"/>
      <c r="BI31" s="289"/>
      <c r="BJ31" s="289"/>
      <c r="BK31" s="289"/>
      <c r="BL31" s="289"/>
      <c r="BM31" s="289"/>
    </row>
    <row r="32" spans="1:65" s="115" customFormat="1">
      <c r="A32" s="51">
        <v>29</v>
      </c>
      <c r="B32" s="52" t="s">
        <v>409</v>
      </c>
      <c r="C32" s="110" t="s">
        <v>367</v>
      </c>
      <c r="D32" s="293" t="s">
        <v>415</v>
      </c>
      <c r="E32" s="162" t="str">
        <f t="shared" si="17"/>
        <v>男</v>
      </c>
      <c r="F32" s="114">
        <f t="shared" si="18"/>
        <v>34910</v>
      </c>
      <c r="G32" s="163" t="s">
        <v>395</v>
      </c>
      <c r="H32" s="62" t="str">
        <f>VLOOKUP(D32,社保!C:D,2,FALSE)</f>
        <v>合肥</v>
      </c>
      <c r="I32" s="62">
        <f>VLOOKUP(D32,融科!$B$2:$W$100,2,FALSE)</f>
        <v>44652</v>
      </c>
      <c r="J32" s="122"/>
      <c r="K32" s="121">
        <f>VLOOKUP(D32,融科!$B$2:$W$100,15,FALSE)</f>
        <v>0.7</v>
      </c>
      <c r="L32" s="121">
        <f>VLOOKUP(D32,融科!$B$2:$W$100,16,FALSE)</f>
        <v>0.3</v>
      </c>
      <c r="M32" s="122">
        <f>VLOOKUP(D32,融科!B31:W57,17,FALSE)</f>
        <v>7000</v>
      </c>
      <c r="N32" s="122">
        <f>VLOOKUP(D32,融科!B:W,18,FALSE)</f>
        <v>3000</v>
      </c>
      <c r="O32" s="122">
        <f>VLOOKUP(D32,融科!$B$2:$W$100,20,FALSE)</f>
        <v>919.54</v>
      </c>
      <c r="P32" s="122">
        <f>VLOOKUP(D32,融科!$B$2:$W$100,19,FALSE)</f>
        <v>1000</v>
      </c>
      <c r="Q32" s="122">
        <f>VLOOKUP(D32,融科!$B$2:$W$100,21,FALSE)</f>
        <v>0</v>
      </c>
      <c r="R32" s="122"/>
      <c r="S32" s="122"/>
      <c r="T32" s="123">
        <f>VLOOKUP(D32,融科!$B$2:$W$100,22,FALSE)</f>
        <v>11919.54</v>
      </c>
      <c r="U32" s="124">
        <f>VLOOKUP($D32,社保!$C:$AF,MATCH(U$2,社保!$C$1:$AF$1,0),FALSE)</f>
        <v>274.39999999999998</v>
      </c>
      <c r="V32" s="124">
        <f>VLOOKUP($D32,社保!$C:$AF,MATCH(V$2,社保!$C$1:$AF$1,0),FALSE)+VLOOKUP($D32,社保!$C:$AF,MATCH("个人大病",社保!$C$1:$AF$1,0),FALSE)</f>
        <v>68.599999999999994</v>
      </c>
      <c r="W32" s="124">
        <f>VLOOKUP($D32,社保!$C:$AF,MATCH(W$2,社保!$C$1:$AF$1,0),FALSE)</f>
        <v>17.149999999999999</v>
      </c>
      <c r="X32" s="124">
        <f t="shared" si="30"/>
        <v>360.15</v>
      </c>
      <c r="Y32" s="124">
        <f>VLOOKUP($D32,社保!$C:$AF,MATCH(Y$2,社保!$C$1:$AF$1,0),FALSE)</f>
        <v>82.5</v>
      </c>
      <c r="Z32" s="124">
        <f t="shared" si="31"/>
        <v>442.65</v>
      </c>
      <c r="AA32" s="165"/>
      <c r="AB32" s="125">
        <f>VLOOKUP($D32,个税系统表!$D:$AN,MATCH(海淀分公司工资表!AB$2,个税系统表!$D$1:$AM$1,0),FALSE)</f>
        <v>34708.239999999998</v>
      </c>
      <c r="AC32" s="125">
        <f>VLOOKUP($D32,个税系统表!$D:$AN,MATCH(海淀分公司工资表!AC$2,个税系统表!$D$1:$AM$1,0),FALSE)</f>
        <v>15000</v>
      </c>
      <c r="AD32" s="125">
        <f>VLOOKUP($D32,个税系统表!$D:$AN,MATCH(海淀分公司工资表!AD$2,个税系统表!$D$1:$AM$1,0),FALSE)</f>
        <v>1245.45</v>
      </c>
      <c r="AE32" s="125">
        <f>VLOOKUP($D32,个税系统表!$D:$AN,MATCH(海淀分公司工资表!AE$3,个税系统表!$D$1:$AM$1,0),FALSE)</f>
        <v>0</v>
      </c>
      <c r="AF32" s="125">
        <f>VLOOKUP($D32,个税系统表!$D:$AN,MATCH(海淀分公司工资表!AF$3,个税系统表!$D$1:$AM$1,0),FALSE)</f>
        <v>0</v>
      </c>
      <c r="AG32" s="125">
        <f>VLOOKUP($D32,个税系统表!$D:$AN,MATCH(海淀分公司工资表!AG$3,个税系统表!$D$1:$AM$1,0),FALSE)</f>
        <v>0</v>
      </c>
      <c r="AH32" s="125">
        <f>VLOOKUP($D32,个税系统表!$D:$AN,MATCH(海淀分公司工资表!AH$3,个税系统表!$D$1:$AM$1,0),FALSE)</f>
        <v>0</v>
      </c>
      <c r="AI32" s="125">
        <f>VLOOKUP($D32,个税系统表!$D:$AN,MATCH(海淀分公司工资表!AI$3,个税系统表!$D$1:$AM$1,0),FALSE)</f>
        <v>0</v>
      </c>
      <c r="AJ32" s="143"/>
      <c r="AK32" s="125">
        <f t="shared" si="28"/>
        <v>0</v>
      </c>
      <c r="AL32" s="125">
        <f>VLOOKUP($D32,个税系统表!$D:$AN,MATCH(海淀分公司工资表!AL$2,个税系统表!$D$1:$AM$1,0),FALSE)</f>
        <v>0</v>
      </c>
      <c r="AM32" s="125">
        <f>VLOOKUP($D32,个税系统表!$D:$AN,MATCH(海淀分公司工资表!AM$2,个税系统表!$D$1:$AM$1,0),FALSE)</f>
        <v>18462.79</v>
      </c>
      <c r="AN32" s="125">
        <f>VLOOKUP($D32,个税系统表!$D:$AN,MATCH(海淀分公司工资表!AN$2,个税系统表!$D$1:$AM$1,0),FALSE)</f>
        <v>553.88</v>
      </c>
      <c r="AO32" s="125">
        <f>VLOOKUP($D32,个税系统表!$D:$AN,MATCH(海淀分公司工资表!AO$2,个税系统表!$D$1:$AM$1,0),FALSE)</f>
        <v>359.58</v>
      </c>
      <c r="AP32" s="125">
        <f>VLOOKUP($D32,个税系统表!$D:$AN,MATCH(海淀分公司工资表!AP$2,个税系统表!$D$1:$AM$1,0),FALSE)</f>
        <v>194.3</v>
      </c>
      <c r="AQ32" s="126">
        <f t="shared" si="29"/>
        <v>11282.590000000002</v>
      </c>
      <c r="AR32" s="145"/>
      <c r="AS32" s="128">
        <f t="shared" si="23"/>
        <v>11282.59</v>
      </c>
      <c r="AT32" s="124">
        <f>VLOOKUP($H32,缴费比例!$B:$O,MATCH(AT$2,缴费比例!$B$1:$O$1,0),FALSE)</f>
        <v>180</v>
      </c>
      <c r="AU32" s="146">
        <v>2</v>
      </c>
      <c r="AV32" s="124">
        <f t="shared" si="24"/>
        <v>11658.89</v>
      </c>
      <c r="AW32" s="296" t="s">
        <v>423</v>
      </c>
      <c r="AX32" s="131" t="s">
        <v>389</v>
      </c>
      <c r="AY32" s="167" t="s">
        <v>424</v>
      </c>
      <c r="AZ32" s="132"/>
      <c r="BA32" s="133" t="str">
        <f t="shared" si="25"/>
        <v>正确</v>
      </c>
      <c r="BB32" s="289"/>
      <c r="BC32" s="289"/>
      <c r="BD32" s="289"/>
      <c r="BE32" s="289"/>
      <c r="BF32" s="289"/>
      <c r="BG32" s="289"/>
      <c r="BH32" s="289"/>
      <c r="BI32" s="289"/>
      <c r="BJ32" s="289"/>
      <c r="BK32" s="289"/>
      <c r="BL32" s="289"/>
      <c r="BM32" s="289"/>
    </row>
    <row r="33" spans="1:65" s="115" customFormat="1">
      <c r="A33" s="51">
        <v>30</v>
      </c>
      <c r="B33" s="52" t="s">
        <v>409</v>
      </c>
      <c r="C33" s="110" t="s">
        <v>368</v>
      </c>
      <c r="D33" s="138" t="s">
        <v>411</v>
      </c>
      <c r="E33" s="162" t="str">
        <f t="shared" si="17"/>
        <v>男</v>
      </c>
      <c r="F33" s="114">
        <f t="shared" si="18"/>
        <v>35035</v>
      </c>
      <c r="G33" s="163" t="s">
        <v>396</v>
      </c>
      <c r="H33" s="62" t="str">
        <f>VLOOKUP(D33,社保!C:D,2,FALSE)</f>
        <v>合肥</v>
      </c>
      <c r="I33" s="62">
        <f>VLOOKUP(D33,融科!$B$2:$W$100,2,FALSE)</f>
        <v>44652</v>
      </c>
      <c r="J33" s="122"/>
      <c r="K33" s="121">
        <f>VLOOKUP(D33,融科!$B$2:$W$100,15,FALSE)</f>
        <v>0.7</v>
      </c>
      <c r="L33" s="121">
        <f>VLOOKUP(D33,融科!$B$2:$W$100,16,FALSE)</f>
        <v>0.3</v>
      </c>
      <c r="M33" s="122">
        <f>VLOOKUP(D33,融科!$B$2:$W$100,17,FALSE)</f>
        <v>7000</v>
      </c>
      <c r="N33" s="122">
        <f>VLOOKUP(D33,融科!$B:$W,18,FALSE)</f>
        <v>3000</v>
      </c>
      <c r="O33" s="122">
        <f>VLOOKUP(D33,融科!$B$2:$W$100,20,FALSE)</f>
        <v>919.54</v>
      </c>
      <c r="P33" s="122">
        <f>VLOOKUP(D33,融科!$B$2:$W$100,19,FALSE)</f>
        <v>1000</v>
      </c>
      <c r="Q33" s="122">
        <f>VLOOKUP(D33,融科!$B$2:$W$100,21,FALSE)</f>
        <v>0</v>
      </c>
      <c r="R33" s="122"/>
      <c r="S33" s="122"/>
      <c r="T33" s="123">
        <f>VLOOKUP(D33,融科!$B$2:$W$100,22,FALSE)</f>
        <v>11919.54</v>
      </c>
      <c r="U33" s="124">
        <f>VLOOKUP($D33,社保!$C:$AF,MATCH(U$2,社保!$C$1:$AF$1,0),FALSE)</f>
        <v>274.39999999999998</v>
      </c>
      <c r="V33" s="124">
        <f>VLOOKUP($D33,社保!$C:$AF,MATCH(V$2,社保!$C$1:$AF$1,0),FALSE)+VLOOKUP($D33,社保!$C:$AF,MATCH("个人大病",社保!$C$1:$AF$1,0),FALSE)</f>
        <v>68.599999999999994</v>
      </c>
      <c r="W33" s="124">
        <f>VLOOKUP($D33,社保!$C:$AF,MATCH(W$2,社保!$C$1:$AF$1,0),FALSE)</f>
        <v>17.149999999999999</v>
      </c>
      <c r="X33" s="124">
        <f t="shared" si="30"/>
        <v>360.15</v>
      </c>
      <c r="Y33" s="124">
        <f>VLOOKUP($D33,社保!$C:$AF,MATCH(Y$2,社保!$C$1:$AF$1,0),FALSE)</f>
        <v>82.5</v>
      </c>
      <c r="Z33" s="124">
        <f t="shared" si="31"/>
        <v>442.65</v>
      </c>
      <c r="AA33" s="119"/>
      <c r="AB33" s="125">
        <f>VLOOKUP($D33,个税系统表!$D:$AN,MATCH(海淀分公司工资表!AB$2,个税系统表!$D$1:$AM$1,0),FALSE)</f>
        <v>34708.239999999998</v>
      </c>
      <c r="AC33" s="125">
        <f>VLOOKUP($D33,个税系统表!$D:$AN,MATCH(海淀分公司工资表!AC$2,个税系统表!$D$1:$AM$1,0),FALSE)</f>
        <v>15000</v>
      </c>
      <c r="AD33" s="125">
        <f>VLOOKUP($D33,个税系统表!$D:$AN,MATCH(海淀分公司工资表!AD$2,个税系统表!$D$1:$AM$1,0),FALSE)</f>
        <v>1245.45</v>
      </c>
      <c r="AE33" s="125">
        <f>VLOOKUP($D33,个税系统表!$D:$AN,MATCH(海淀分公司工资表!AE$3,个税系统表!$D$1:$AM$1,0),FALSE)</f>
        <v>0</v>
      </c>
      <c r="AF33" s="125">
        <f>VLOOKUP($D33,个税系统表!$D:$AN,MATCH(海淀分公司工资表!AF$3,个税系统表!$D$1:$AM$1,0),FALSE)</f>
        <v>0</v>
      </c>
      <c r="AG33" s="125">
        <f>VLOOKUP($D33,个税系统表!$D:$AN,MATCH(海淀分公司工资表!AG$3,个税系统表!$D$1:$AM$1,0),FALSE)</f>
        <v>0</v>
      </c>
      <c r="AH33" s="125">
        <f>VLOOKUP($D33,个税系统表!$D:$AN,MATCH(海淀分公司工资表!AH$3,个税系统表!$D$1:$AM$1,0),FALSE)</f>
        <v>4500</v>
      </c>
      <c r="AI33" s="125">
        <f>VLOOKUP($D33,个税系统表!$D:$AN,MATCH(海淀分公司工资表!AI$3,个税系统表!$D$1:$AM$1,0),FALSE)</f>
        <v>0</v>
      </c>
      <c r="AJ33" s="119"/>
      <c r="AK33" s="125">
        <f t="shared" si="28"/>
        <v>4500</v>
      </c>
      <c r="AL33" s="125">
        <f>VLOOKUP($D33,个税系统表!$D:$AN,MATCH(海淀分公司工资表!AL$2,个税系统表!$D$1:$AM$1,0),FALSE)</f>
        <v>0</v>
      </c>
      <c r="AM33" s="125">
        <f>VLOOKUP($D33,个税系统表!$D:$AN,MATCH(海淀分公司工资表!AM$2,个税系统表!$D$1:$AM$1,0),FALSE)</f>
        <v>10962.79</v>
      </c>
      <c r="AN33" s="125">
        <f>VLOOKUP($D33,个税系统表!$D:$AN,MATCH(海淀分公司工资表!AN$2,个税系统表!$D$1:$AM$1,0),FALSE)</f>
        <v>328.88</v>
      </c>
      <c r="AO33" s="125">
        <f>VLOOKUP($D33,个税系统表!$D:$AN,MATCH(海淀分公司工资表!AO$2,个税系统表!$D$1:$AM$1,0),FALSE)</f>
        <v>209.58</v>
      </c>
      <c r="AP33" s="125">
        <f>VLOOKUP($D33,个税系统表!$D:$AN,MATCH(海淀分公司工资表!AP$2,个税系统表!$D$1:$AM$1,0),FALSE)</f>
        <v>119.3</v>
      </c>
      <c r="AQ33" s="126">
        <f t="shared" si="29"/>
        <v>11357.590000000002</v>
      </c>
      <c r="AR33" s="145"/>
      <c r="AS33" s="128">
        <f t="shared" si="23"/>
        <v>11357.59</v>
      </c>
      <c r="AT33" s="124">
        <f>VLOOKUP($H33,缴费比例!$B:$O,MATCH(AT$2,缴费比例!$B$1:$O$1,0),FALSE)</f>
        <v>180</v>
      </c>
      <c r="AU33" s="146">
        <v>2</v>
      </c>
      <c r="AV33" s="124">
        <f t="shared" si="24"/>
        <v>11658.89</v>
      </c>
      <c r="AW33" s="296" t="s">
        <v>425</v>
      </c>
      <c r="AX33" s="131" t="s">
        <v>303</v>
      </c>
      <c r="AY33" s="167" t="s">
        <v>426</v>
      </c>
      <c r="AZ33" s="132"/>
      <c r="BA33" s="133" t="str">
        <f t="shared" si="25"/>
        <v>正确</v>
      </c>
      <c r="BB33" s="289"/>
      <c r="BC33" s="289"/>
      <c r="BD33" s="289"/>
      <c r="BE33" s="289"/>
      <c r="BF33" s="289"/>
      <c r="BG33" s="289"/>
      <c r="BH33" s="289"/>
      <c r="BI33" s="289"/>
      <c r="BJ33" s="289"/>
      <c r="BK33" s="289"/>
      <c r="BL33" s="289"/>
      <c r="BM33" s="289"/>
    </row>
    <row r="34" spans="1:65" s="115" customFormat="1">
      <c r="A34" s="51">
        <v>31</v>
      </c>
      <c r="B34" s="52" t="s">
        <v>409</v>
      </c>
      <c r="C34" s="110" t="s">
        <v>369</v>
      </c>
      <c r="D34" s="138" t="s">
        <v>412</v>
      </c>
      <c r="E34" s="162" t="str">
        <f t="shared" si="17"/>
        <v>男</v>
      </c>
      <c r="F34" s="114">
        <f t="shared" si="18"/>
        <v>33570</v>
      </c>
      <c r="G34" s="163" t="s">
        <v>397</v>
      </c>
      <c r="H34" s="62" t="str">
        <f>VLOOKUP(D34,社保!C:D,2,FALSE)</f>
        <v>合肥</v>
      </c>
      <c r="I34" s="62">
        <f>VLOOKUP(D34,融科!$B$2:$W$100,2,FALSE)</f>
        <v>44652</v>
      </c>
      <c r="J34" s="122"/>
      <c r="K34" s="121">
        <f>VLOOKUP(D34,融科!$B$2:$W$100,15,FALSE)</f>
        <v>0.7</v>
      </c>
      <c r="L34" s="121">
        <f>VLOOKUP(D34,融科!$B$2:$W$100,16,FALSE)</f>
        <v>0.3</v>
      </c>
      <c r="M34" s="122">
        <f>VLOOKUP(D34,融科!B33:W59,17,FALSE)</f>
        <v>7699.9999999999991</v>
      </c>
      <c r="N34" s="122">
        <f>VLOOKUP(D34,融科!B:W,18,FALSE)</f>
        <v>3300</v>
      </c>
      <c r="O34" s="122">
        <f>VLOOKUP(D34,融科!$B$2:$W$100,20,FALSE)</f>
        <v>1517.24</v>
      </c>
      <c r="P34" s="122">
        <f>VLOOKUP(D34,融科!$B$2:$W$100,19,FALSE)</f>
        <v>1000</v>
      </c>
      <c r="Q34" s="122">
        <f>VLOOKUP(D34,融科!$B$2:$W$100,21,FALSE)</f>
        <v>0</v>
      </c>
      <c r="R34" s="122"/>
      <c r="S34" s="122"/>
      <c r="T34" s="123">
        <f>VLOOKUP(D34,融科!$B$2:$W$100,22,FALSE)</f>
        <v>13517.24</v>
      </c>
      <c r="U34" s="124">
        <f>VLOOKUP($D34,社保!$C:$AF,MATCH(U$2,社保!$C$1:$AF$1,0),FALSE)</f>
        <v>274.39999999999998</v>
      </c>
      <c r="V34" s="124">
        <f>VLOOKUP($D34,社保!$C:$AF,MATCH(V$2,社保!$C$1:$AF$1,0),FALSE)+VLOOKUP($D34,社保!$C:$AF,MATCH("个人大病",社保!$C$1:$AF$1,0),FALSE)</f>
        <v>68.599999999999994</v>
      </c>
      <c r="W34" s="124">
        <f>VLOOKUP($D34,社保!$C:$AF,MATCH(W$2,社保!$C$1:$AF$1,0),FALSE)</f>
        <v>17.149999999999999</v>
      </c>
      <c r="X34" s="124">
        <f t="shared" si="30"/>
        <v>360.15</v>
      </c>
      <c r="Y34" s="124">
        <f>VLOOKUP($D34,社保!$C:$AF,MATCH(Y$2,社保!$C$1:$AF$1,0),FALSE)</f>
        <v>82.5</v>
      </c>
      <c r="Z34" s="124">
        <f t="shared" si="31"/>
        <v>442.65</v>
      </c>
      <c r="AA34" s="165"/>
      <c r="AB34" s="125">
        <f>VLOOKUP($D34,个税系统表!$D:$AN,MATCH(海淀分公司工资表!AB$2,个税系统表!$D$1:$AM$1,0),FALSE)</f>
        <v>38305.94</v>
      </c>
      <c r="AC34" s="125">
        <f>VLOOKUP($D34,个税系统表!$D:$AN,MATCH(海淀分公司工资表!AC$2,个税系统表!$D$1:$AM$1,0),FALSE)</f>
        <v>15000</v>
      </c>
      <c r="AD34" s="125">
        <f>VLOOKUP($D34,个税系统表!$D:$AN,MATCH(海淀分公司工资表!AD$2,个税系统表!$D$1:$AM$1,0),FALSE)</f>
        <v>1245.45</v>
      </c>
      <c r="AE34" s="125">
        <f>VLOOKUP($D34,个税系统表!$D:$AN,MATCH(海淀分公司工资表!AE$3,个税系统表!$D$1:$AM$1,0),FALSE)</f>
        <v>0</v>
      </c>
      <c r="AF34" s="125">
        <f>VLOOKUP($D34,个税系统表!$D:$AN,MATCH(海淀分公司工资表!AF$3,个税系统表!$D$1:$AM$1,0),FALSE)</f>
        <v>0</v>
      </c>
      <c r="AG34" s="125">
        <f>VLOOKUP($D34,个税系统表!$D:$AN,MATCH(海淀分公司工资表!AG$3,个税系统表!$D$1:$AM$1,0),FALSE)</f>
        <v>0</v>
      </c>
      <c r="AH34" s="125">
        <f>VLOOKUP($D34,个税系统表!$D:$AN,MATCH(海淀分公司工资表!AH$3,个税系统表!$D$1:$AM$1,0),FALSE)</f>
        <v>0</v>
      </c>
      <c r="AI34" s="125">
        <f>VLOOKUP($D34,个税系统表!$D:$AN,MATCH(海淀分公司工资表!AI$3,个税系统表!$D$1:$AM$1,0),FALSE)</f>
        <v>0</v>
      </c>
      <c r="AJ34" s="143"/>
      <c r="AK34" s="125">
        <f t="shared" si="28"/>
        <v>0</v>
      </c>
      <c r="AL34" s="125">
        <f>VLOOKUP($D34,个税系统表!$D:$AN,MATCH(海淀分公司工资表!AL$2,个税系统表!$D$1:$AM$1,0),FALSE)</f>
        <v>0</v>
      </c>
      <c r="AM34" s="125">
        <f>VLOOKUP($D34,个税系统表!$D:$AN,MATCH(海淀分公司工资表!AM$2,个税系统表!$D$1:$AM$1,0),FALSE)</f>
        <v>22060.49</v>
      </c>
      <c r="AN34" s="125">
        <f>VLOOKUP($D34,个税系统表!$D:$AN,MATCH(海淀分公司工资表!AN$2,个税系统表!$D$1:$AM$1,0),FALSE)</f>
        <v>661.81</v>
      </c>
      <c r="AO34" s="125">
        <f>VLOOKUP($D34,个税系统表!$D:$AN,MATCH(海淀分公司工资表!AO$2,个税系统表!$D$1:$AM$1,0),FALSE)</f>
        <v>419.58</v>
      </c>
      <c r="AP34" s="125">
        <f>VLOOKUP($D34,个税系统表!$D:$AN,MATCH(海淀分公司工资表!AP$2,个税系统表!$D$1:$AM$1,0),FALSE)</f>
        <v>242.23</v>
      </c>
      <c r="AQ34" s="126">
        <f t="shared" si="29"/>
        <v>12832.36</v>
      </c>
      <c r="AR34" s="145"/>
      <c r="AS34" s="128">
        <f t="shared" si="23"/>
        <v>12832.36</v>
      </c>
      <c r="AT34" s="124">
        <f>VLOOKUP($H34,缴费比例!$B:$O,MATCH(AT$2,缴费比例!$B$1:$O$1,0),FALSE)</f>
        <v>180</v>
      </c>
      <c r="AU34" s="146">
        <v>2</v>
      </c>
      <c r="AV34" s="124">
        <f t="shared" si="24"/>
        <v>13256.59</v>
      </c>
      <c r="AW34" s="296" t="s">
        <v>427</v>
      </c>
      <c r="AX34" s="167" t="s">
        <v>432</v>
      </c>
      <c r="AY34" s="167" t="s">
        <v>433</v>
      </c>
      <c r="AZ34" s="132"/>
      <c r="BA34" s="133" t="str">
        <f t="shared" si="25"/>
        <v>正确</v>
      </c>
      <c r="BB34" s="289"/>
      <c r="BC34" s="289"/>
      <c r="BD34" s="289"/>
      <c r="BE34" s="289"/>
      <c r="BF34" s="289"/>
      <c r="BG34" s="289"/>
      <c r="BH34" s="289"/>
      <c r="BI34" s="289"/>
      <c r="BJ34" s="289"/>
      <c r="BK34" s="289"/>
      <c r="BL34" s="289"/>
      <c r="BM34" s="289"/>
    </row>
    <row r="35" spans="1:65" s="115" customFormat="1">
      <c r="A35" s="51">
        <v>32</v>
      </c>
      <c r="B35" s="52" t="s">
        <v>409</v>
      </c>
      <c r="C35" s="110" t="s">
        <v>370</v>
      </c>
      <c r="D35" s="138" t="s">
        <v>413</v>
      </c>
      <c r="E35" s="162" t="str">
        <f t="shared" si="17"/>
        <v>男</v>
      </c>
      <c r="F35" s="114">
        <f t="shared" si="18"/>
        <v>34303</v>
      </c>
      <c r="G35" s="163" t="s">
        <v>398</v>
      </c>
      <c r="H35" s="62" t="str">
        <f>VLOOKUP(D35,社保!C:D,2,FALSE)</f>
        <v>北京</v>
      </c>
      <c r="I35" s="62">
        <f>VLOOKUP(D35,融科!$B$2:$W$100,2,FALSE)</f>
        <v>44652</v>
      </c>
      <c r="J35" s="122"/>
      <c r="K35" s="121">
        <f>VLOOKUP(D35,融科!$B$2:$W$100,15,FALSE)</f>
        <v>0.7</v>
      </c>
      <c r="L35" s="121">
        <f>VLOOKUP(D35,融科!$B$2:$W$100,16,FALSE)</f>
        <v>0.3</v>
      </c>
      <c r="M35" s="122">
        <f>VLOOKUP(D35,融科!$B$2:$W$100,17,FALSE)</f>
        <v>10500</v>
      </c>
      <c r="N35" s="122">
        <f>VLOOKUP(D35,融科!$B:$W,18,FALSE)</f>
        <v>4500</v>
      </c>
      <c r="O35" s="122">
        <f>VLOOKUP(D35,融科!$B$2:$W$100,20,FALSE)</f>
        <v>0</v>
      </c>
      <c r="P35" s="122">
        <f>VLOOKUP(D35,融科!$B$2:$W$100,19,FALSE)</f>
        <v>0</v>
      </c>
      <c r="Q35" s="122">
        <f>VLOOKUP(D35,融科!$B$2:$W$100,21,FALSE)</f>
        <v>500</v>
      </c>
      <c r="R35" s="122"/>
      <c r="S35" s="122"/>
      <c r="T35" s="123">
        <f>VLOOKUP(D35,融科!$B$2:$W$100,22,FALSE)</f>
        <v>15500</v>
      </c>
      <c r="U35" s="124">
        <f>VLOOKUP($D35,社保!$C:$AF,MATCH(U$2,社保!$C$1:$AF$1,0),FALSE)</f>
        <v>428.8</v>
      </c>
      <c r="V35" s="124">
        <f>VLOOKUP($D35,社保!$C:$AF,MATCH(V$2,社保!$C$1:$AF$1,0),FALSE)+VLOOKUP($D35,社保!$C:$AF,MATCH("个人大病",社保!$C$1:$AF$1,0),FALSE)</f>
        <v>110.2</v>
      </c>
      <c r="W35" s="124">
        <f>VLOOKUP($D35,社保!$C:$AF,MATCH(W$2,社保!$C$1:$AF$1,0),FALSE)</f>
        <v>26.8</v>
      </c>
      <c r="X35" s="124">
        <f t="shared" si="30"/>
        <v>565.79999999999995</v>
      </c>
      <c r="Y35" s="124">
        <f>VLOOKUP($D35,社保!$C:$AF,MATCH(Y$2,社保!$C$1:$AF$1,0),FALSE)</f>
        <v>480</v>
      </c>
      <c r="Z35" s="124">
        <f t="shared" si="31"/>
        <v>1045.8</v>
      </c>
      <c r="AA35" s="119"/>
      <c r="AB35" s="125">
        <f>VLOOKUP($D35,个税系统表!$D:$AN,MATCH(海淀分公司工资表!AB$2,个税系统表!$D$1:$AM$1,0),FALSE)</f>
        <v>44500</v>
      </c>
      <c r="AC35" s="125">
        <f>VLOOKUP($D35,个税系统表!$D:$AN,MATCH(海淀分公司工资表!AC$2,个税系统表!$D$1:$AM$1,0),FALSE)</f>
        <v>15000</v>
      </c>
      <c r="AD35" s="125">
        <f>VLOOKUP($D35,个税系统表!$D:$AN,MATCH(海淀分公司工资表!AD$2,个税系统表!$D$1:$AM$1,0),FALSE)</f>
        <v>2657.4</v>
      </c>
      <c r="AE35" s="125">
        <f>VLOOKUP($D35,个税系统表!$D:$AN,MATCH(海淀分公司工资表!AE$3,个税系统表!$D$1:$AM$1,0),FALSE)</f>
        <v>0</v>
      </c>
      <c r="AF35" s="125">
        <f>VLOOKUP($D35,个税系统表!$D:$AN,MATCH(海淀分公司工资表!AF$3,个税系统表!$D$1:$AM$1,0),FALSE)</f>
        <v>0</v>
      </c>
      <c r="AG35" s="125">
        <f>VLOOKUP($D35,个税系统表!$D:$AN,MATCH(海淀分公司工资表!AG$3,个税系统表!$D$1:$AM$1,0),FALSE)</f>
        <v>0</v>
      </c>
      <c r="AH35" s="125">
        <f>VLOOKUP($D35,个税系统表!$D:$AN,MATCH(海淀分公司工资表!AH$3,个税系统表!$D$1:$AM$1,0),FALSE)</f>
        <v>0</v>
      </c>
      <c r="AI35" s="125">
        <f>VLOOKUP($D35,个税系统表!$D:$AN,MATCH(海淀分公司工资表!AI$3,个税系统表!$D$1:$AM$1,0),FALSE)</f>
        <v>0</v>
      </c>
      <c r="AJ35" s="119"/>
      <c r="AK35" s="125">
        <f t="shared" si="28"/>
        <v>0</v>
      </c>
      <c r="AL35" s="125">
        <f>VLOOKUP($D35,个税系统表!$D:$AN,MATCH(海淀分公司工资表!AL$2,个税系统表!$D$1:$AM$1,0),FALSE)</f>
        <v>0</v>
      </c>
      <c r="AM35" s="125">
        <f>VLOOKUP($D35,个税系统表!$D:$AN,MATCH(海淀分公司工资表!AM$2,个税系统表!$D$1:$AM$1,0),FALSE)</f>
        <v>26842.6</v>
      </c>
      <c r="AN35" s="125">
        <f>VLOOKUP($D35,个税系统表!$D:$AN,MATCH(海淀分公司工资表!AN$2,个税系统表!$D$1:$AM$1,0),FALSE)</f>
        <v>805.28</v>
      </c>
      <c r="AO35" s="125">
        <f>VLOOKUP($D35,个税系统表!$D:$AN,MATCH(海淀分公司工资表!AO$2,个税系统表!$D$1:$AM$1,0),FALSE)</f>
        <v>521.65</v>
      </c>
      <c r="AP35" s="125">
        <f>VLOOKUP($D35,个税系统表!$D:$AN,MATCH(海淀分公司工资表!AP$2,个税系统表!$D$1:$AM$1,0),FALSE)</f>
        <v>283.63</v>
      </c>
      <c r="AQ35" s="126">
        <f t="shared" si="29"/>
        <v>14170.570000000002</v>
      </c>
      <c r="AR35" s="145"/>
      <c r="AS35" s="128">
        <f t="shared" si="23"/>
        <v>14170.57</v>
      </c>
      <c r="AT35" s="124">
        <f>VLOOKUP($H35,缴费比例!$B:$O,MATCH(AT$2,缴费比例!$B$1:$O$1,0),FALSE)</f>
        <v>170</v>
      </c>
      <c r="AU35" s="146"/>
      <c r="AV35" s="124">
        <f t="shared" si="24"/>
        <v>14624.2</v>
      </c>
      <c r="AW35" s="296" t="s">
        <v>428</v>
      </c>
      <c r="AX35" s="131" t="s">
        <v>303</v>
      </c>
      <c r="AY35" s="167" t="s">
        <v>429</v>
      </c>
      <c r="AZ35" s="132"/>
      <c r="BA35" s="133" t="str">
        <f t="shared" si="25"/>
        <v>正确</v>
      </c>
      <c r="BB35" s="289"/>
      <c r="BC35" s="289"/>
      <c r="BD35" s="289"/>
      <c r="BE35" s="289"/>
      <c r="BF35" s="289"/>
      <c r="BG35" s="289"/>
      <c r="BH35" s="289"/>
      <c r="BI35" s="289"/>
      <c r="BJ35" s="289"/>
      <c r="BK35" s="289"/>
      <c r="BL35" s="289"/>
      <c r="BM35" s="289"/>
    </row>
    <row r="36" spans="1:65" s="115" customFormat="1">
      <c r="A36" s="51">
        <v>33</v>
      </c>
      <c r="B36" s="52" t="s">
        <v>409</v>
      </c>
      <c r="C36" s="110" t="s">
        <v>371</v>
      </c>
      <c r="D36" s="138" t="s">
        <v>414</v>
      </c>
      <c r="E36" s="162" t="str">
        <f t="shared" si="17"/>
        <v>男</v>
      </c>
      <c r="F36" s="114">
        <f t="shared" si="18"/>
        <v>34081</v>
      </c>
      <c r="G36" s="163" t="s">
        <v>399</v>
      </c>
      <c r="H36" s="62" t="str">
        <f>VLOOKUP(D36,社保!C:D,2,FALSE)</f>
        <v>北京</v>
      </c>
      <c r="I36" s="62">
        <f>VLOOKUP(D36,融科!$B$2:$W$100,2,FALSE)</f>
        <v>44652</v>
      </c>
      <c r="J36" s="122"/>
      <c r="K36" s="121">
        <f>VLOOKUP(D36,融科!$B$2:$W$100,15,FALSE)</f>
        <v>0.7</v>
      </c>
      <c r="L36" s="121">
        <f>VLOOKUP(D36,融科!$B$2:$W$100,16,FALSE)</f>
        <v>0.3</v>
      </c>
      <c r="M36" s="122">
        <f>VLOOKUP(D36,融科!B35:W61,17,FALSE)</f>
        <v>10500</v>
      </c>
      <c r="N36" s="122">
        <f>VLOOKUP(D36,融科!B:W,18,FALSE)</f>
        <v>4500</v>
      </c>
      <c r="O36" s="122">
        <f>VLOOKUP(D36,融科!$B$2:$W$100,20,FALSE)</f>
        <v>0</v>
      </c>
      <c r="P36" s="122">
        <f>VLOOKUP(D36,融科!$B$2:$W$100,19,FALSE)</f>
        <v>0</v>
      </c>
      <c r="Q36" s="122">
        <f>VLOOKUP(D36,融科!$B$2:$W$100,21,FALSE)</f>
        <v>500</v>
      </c>
      <c r="R36" s="122"/>
      <c r="S36" s="122"/>
      <c r="T36" s="123">
        <f>VLOOKUP(D36,融科!$B$2:$W$100,22,FALSE)</f>
        <v>15500</v>
      </c>
      <c r="U36" s="124">
        <f>VLOOKUP($D36,社保!$C:$AF,MATCH(U$2,社保!$C$1:$AF$1,0),FALSE)</f>
        <v>428.8</v>
      </c>
      <c r="V36" s="124">
        <f>VLOOKUP($D36,社保!$C:$AF,MATCH(V$2,社保!$C$1:$AF$1,0),FALSE)+VLOOKUP($D36,社保!$C:$AF,MATCH("个人大病",社保!$C$1:$AF$1,0),FALSE)</f>
        <v>110.2</v>
      </c>
      <c r="W36" s="124">
        <f>VLOOKUP($D36,社保!$C:$AF,MATCH(W$2,社保!$C$1:$AF$1,0),FALSE)</f>
        <v>26.8</v>
      </c>
      <c r="X36" s="124">
        <f t="shared" si="30"/>
        <v>565.79999999999995</v>
      </c>
      <c r="Y36" s="124">
        <f>VLOOKUP($D36,社保!$C:$AF,MATCH(Y$2,社保!$C$1:$AF$1,0),FALSE)</f>
        <v>600</v>
      </c>
      <c r="Z36" s="124">
        <f t="shared" si="31"/>
        <v>1165.8</v>
      </c>
      <c r="AA36" s="165"/>
      <c r="AB36" s="125">
        <f>VLOOKUP($D36,个税系统表!$D:$AN,MATCH(海淀分公司工资表!AB$2,个税系统表!$D$1:$AM$1,0),FALSE)</f>
        <v>44700</v>
      </c>
      <c r="AC36" s="125">
        <f>VLOOKUP($D36,个税系统表!$D:$AN,MATCH(海淀分公司工资表!AC$2,个税系统表!$D$1:$AM$1,0),FALSE)</f>
        <v>15000</v>
      </c>
      <c r="AD36" s="125">
        <f>VLOOKUP($D36,个税系统表!$D:$AN,MATCH(海淀分公司工资表!AD$2,个税系统表!$D$1:$AM$1,0),FALSE)</f>
        <v>2897.4</v>
      </c>
      <c r="AE36" s="125">
        <f>VLOOKUP($D36,个税系统表!$D:$AN,MATCH(海淀分公司工资表!AE$3,个税系统表!$D$1:$AM$1,0),FALSE)</f>
        <v>0</v>
      </c>
      <c r="AF36" s="125">
        <f>VLOOKUP($D36,个税系统表!$D:$AN,MATCH(海淀分公司工资表!AF$3,个税系统表!$D$1:$AM$1,0),FALSE)</f>
        <v>0</v>
      </c>
      <c r="AG36" s="125">
        <f>VLOOKUP($D36,个税系统表!$D:$AN,MATCH(海淀分公司工资表!AG$3,个税系统表!$D$1:$AM$1,0),FALSE)</f>
        <v>0</v>
      </c>
      <c r="AH36" s="125">
        <f>VLOOKUP($D36,个税系统表!$D:$AN,MATCH(海淀分公司工资表!AH$3,个税系统表!$D$1:$AM$1,0),FALSE)</f>
        <v>0</v>
      </c>
      <c r="AI36" s="125">
        <f>VLOOKUP($D36,个税系统表!$D:$AN,MATCH(海淀分公司工资表!AI$3,个税系统表!$D$1:$AM$1,0),FALSE)</f>
        <v>0</v>
      </c>
      <c r="AJ36" s="143"/>
      <c r="AK36" s="125">
        <f t="shared" si="28"/>
        <v>0</v>
      </c>
      <c r="AL36" s="125">
        <f>VLOOKUP($D36,个税系统表!$D:$AN,MATCH(海淀分公司工资表!AL$2,个税系统表!$D$1:$AM$1,0),FALSE)</f>
        <v>0</v>
      </c>
      <c r="AM36" s="125">
        <f>VLOOKUP($D36,个税系统表!$D:$AN,MATCH(海淀分公司工资表!AM$2,个税系统表!$D$1:$AM$1,0),FALSE)</f>
        <v>26802.6</v>
      </c>
      <c r="AN36" s="125">
        <f>VLOOKUP($D36,个税系统表!$D:$AN,MATCH(海淀分公司工资表!AN$2,个税系统表!$D$1:$AM$1,0),FALSE)</f>
        <v>804.08</v>
      </c>
      <c r="AO36" s="125">
        <f>VLOOKUP($D36,个税系统表!$D:$AN,MATCH(海淀分公司工资表!AO$2,个税系统表!$D$1:$AM$1,0),FALSE)</f>
        <v>524.04999999999995</v>
      </c>
      <c r="AP36" s="125">
        <f>VLOOKUP($D36,个税系统表!$D:$AN,MATCH(海淀分公司工资表!AP$2,个税系统表!$D$1:$AM$1,0),FALSE)</f>
        <v>280.02999999999997</v>
      </c>
      <c r="AQ36" s="126">
        <f t="shared" si="29"/>
        <v>14054.17</v>
      </c>
      <c r="AR36" s="145"/>
      <c r="AS36" s="128">
        <f t="shared" si="23"/>
        <v>14054.17</v>
      </c>
      <c r="AT36" s="124">
        <f>VLOOKUP($H36,缴费比例!$B:$O,MATCH(AT$2,缴费比例!$B$1:$O$1,0),FALSE)</f>
        <v>170</v>
      </c>
      <c r="AU36" s="146"/>
      <c r="AV36" s="124">
        <f t="shared" si="24"/>
        <v>14504.2</v>
      </c>
      <c r="AW36" s="309" t="s">
        <v>452</v>
      </c>
      <c r="AX36" s="310" t="s">
        <v>303</v>
      </c>
      <c r="AY36" s="311" t="s">
        <v>429</v>
      </c>
      <c r="AZ36" s="132"/>
      <c r="BA36" s="133" t="str">
        <f t="shared" si="25"/>
        <v>正确</v>
      </c>
      <c r="BB36" s="289"/>
      <c r="BC36" s="289"/>
      <c r="BD36" s="289"/>
      <c r="BE36" s="289"/>
      <c r="BF36" s="289"/>
      <c r="BG36" s="289"/>
      <c r="BH36" s="289"/>
      <c r="BI36" s="289"/>
      <c r="BJ36" s="289"/>
      <c r="BK36" s="289"/>
      <c r="BL36" s="289"/>
      <c r="BM36" s="289"/>
    </row>
    <row r="37" spans="1:65" s="115" customFormat="1">
      <c r="A37" s="51">
        <v>34</v>
      </c>
      <c r="B37" s="298" t="s">
        <v>444</v>
      </c>
      <c r="C37" s="110" t="s">
        <v>445</v>
      </c>
      <c r="D37" s="299" t="s">
        <v>446</v>
      </c>
      <c r="E37" s="162" t="str">
        <f t="shared" si="17"/>
        <v>男</v>
      </c>
      <c r="F37" s="114">
        <f t="shared" si="18"/>
        <v>34968</v>
      </c>
      <c r="G37" s="142">
        <v>15055107235</v>
      </c>
      <c r="H37" s="62" t="str">
        <f>VLOOKUP(D37,社保!C:D,2,FALSE)</f>
        <v>合肥</v>
      </c>
      <c r="I37" s="62">
        <f>VLOOKUP(D37,融科!$B$2:$W$100,2,FALSE)</f>
        <v>44627</v>
      </c>
      <c r="J37" s="122"/>
      <c r="K37" s="121">
        <f>VLOOKUP(D37,融科!$B$2:$W$100,15,FALSE)</f>
        <v>0.7</v>
      </c>
      <c r="L37" s="121">
        <f>VLOOKUP(D37,融科!$B$2:$W$100,16,FALSE)</f>
        <v>0.3</v>
      </c>
      <c r="M37" s="122">
        <v>13300</v>
      </c>
      <c r="N37" s="122">
        <v>5700</v>
      </c>
      <c r="O37" s="122"/>
      <c r="P37" s="122">
        <v>1000</v>
      </c>
      <c r="Q37" s="122"/>
      <c r="R37" s="122"/>
      <c r="S37" s="122"/>
      <c r="T37" s="123">
        <f>VLOOKUP(D37,融科!$B$2:$W$100,22,FALSE)</f>
        <v>20000</v>
      </c>
      <c r="U37" s="124">
        <f>VLOOKUP($D37,社保!$C:$AF,MATCH(U$2,社保!$C$1:$AF$1,0),FALSE)</f>
        <v>274.39999999999998</v>
      </c>
      <c r="V37" s="124">
        <f>VLOOKUP($D37,社保!$C:$AF,MATCH(V$2,社保!$C$1:$AF$1,0),FALSE)+VLOOKUP($D37,社保!$C:$AF,MATCH("个人大病",社保!$C$1:$AF$1,0),FALSE)</f>
        <v>68.599999999999994</v>
      </c>
      <c r="W37" s="124">
        <f>VLOOKUP($D37,社保!$C:$AF,MATCH(W$2,社保!$C$1:$AF$1,0),FALSE)</f>
        <v>17.149999999999999</v>
      </c>
      <c r="X37" s="124">
        <f t="shared" ref="X37" si="32">SUM(U37:W37)</f>
        <v>360.15</v>
      </c>
      <c r="Y37" s="124">
        <f>VLOOKUP($D37,社保!$C:$AF,MATCH(Y$2,社保!$C$1:$AF$1,0),FALSE)</f>
        <v>82.5</v>
      </c>
      <c r="Z37" s="124">
        <f t="shared" ref="Z37" si="33">SUM(X37:Y37)</f>
        <v>442.65</v>
      </c>
      <c r="AA37" s="143"/>
      <c r="AB37" s="125">
        <f>VLOOKUP($D37,个税系统表!$D:$AN,MATCH(海淀分公司工资表!AB$2,个税系统表!$D$1:$AM$1,0),FALSE)</f>
        <v>60000</v>
      </c>
      <c r="AC37" s="125">
        <f>VLOOKUP($D37,个税系统表!$D:$AN,MATCH(海淀分公司工资表!AC$2,个税系统表!$D$1:$AM$1,0),FALSE)</f>
        <v>20000</v>
      </c>
      <c r="AD37" s="125">
        <f>VLOOKUP($D37,个税系统表!$D:$AN,MATCH(海淀分公司工资表!AD$2,个税系统表!$D$1:$AM$1,0),FALSE)</f>
        <v>1245.45</v>
      </c>
      <c r="AE37" s="125">
        <f>VLOOKUP($D37,个税系统表!$D:$AN,MATCH(海淀分公司工资表!AE$3,个税系统表!$D$1:$AM$1,0),FALSE)</f>
        <v>0</v>
      </c>
      <c r="AF37" s="125">
        <f>VLOOKUP($D37,个税系统表!$D:$AN,MATCH(海淀分公司工资表!AF$3,个税系统表!$D$1:$AM$1,0),FALSE)</f>
        <v>0</v>
      </c>
      <c r="AG37" s="125">
        <f>VLOOKUP($D37,个税系统表!$D:$AN,MATCH(海淀分公司工资表!AG$3,个税系统表!$D$1:$AM$1,0),FALSE)</f>
        <v>0</v>
      </c>
      <c r="AH37" s="125">
        <f>VLOOKUP($D37,个税系统表!$D:$AN,MATCH(海淀分公司工资表!AH$3,个税系统表!$D$1:$AM$1,0),FALSE)</f>
        <v>0</v>
      </c>
      <c r="AI37" s="125">
        <f>VLOOKUP($D37,个税系统表!$D:$AN,MATCH(海淀分公司工资表!AI$3,个税系统表!$D$1:$AM$1,0),FALSE)</f>
        <v>0</v>
      </c>
      <c r="AJ37" s="143"/>
      <c r="AK37" s="125">
        <f t="shared" ref="AK37" si="34">SUM(AE37:AJ37)</f>
        <v>0</v>
      </c>
      <c r="AL37" s="125">
        <f>VLOOKUP($D37,个税系统表!$D:$AN,MATCH(海淀分公司工资表!AL$2,个税系统表!$D$1:$AM$1,0),FALSE)</f>
        <v>0</v>
      </c>
      <c r="AM37" s="125">
        <f>VLOOKUP($D37,个税系统表!$D:$AN,MATCH(海淀分公司工资表!AM$2,个税系统表!$D$1:$AM$1,0),FALSE)</f>
        <v>38754.550000000003</v>
      </c>
      <c r="AN37" s="125">
        <f>VLOOKUP($D37,个税系统表!$D:$AN,MATCH(海淀分公司工资表!AN$2,个税系统表!$D$1:$AM$1,0),FALSE)</f>
        <v>1355.46</v>
      </c>
      <c r="AO37" s="125">
        <f>VLOOKUP($D37,个税系统表!$D:$AN,MATCH(海淀分公司工资表!AO$2,个税系统表!$D$1:$AM$1,0),FALSE)</f>
        <v>725.92</v>
      </c>
      <c r="AP37" s="125">
        <f>VLOOKUP($D37,个税系统表!$D:$AN,MATCH(海淀分公司工资表!AP$2,个税系统表!$D$1:$AM$1,0),FALSE)</f>
        <v>629.54</v>
      </c>
      <c r="AQ37" s="126">
        <f t="shared" si="29"/>
        <v>18927.809999999998</v>
      </c>
      <c r="AR37" s="145"/>
      <c r="AS37" s="128">
        <f t="shared" si="23"/>
        <v>18927.810000000001</v>
      </c>
      <c r="AT37" s="124">
        <f>VLOOKUP($H37,缴费比例!$B:$O,MATCH(AT$2,缴费比例!$B$1:$O$1,0),FALSE)</f>
        <v>180</v>
      </c>
      <c r="AU37" s="300">
        <v>2</v>
      </c>
      <c r="AV37" s="124">
        <f t="shared" si="24"/>
        <v>19739.349999999999</v>
      </c>
      <c r="AW37" s="296" t="s">
        <v>448</v>
      </c>
      <c r="AX37" s="132" t="s">
        <v>449</v>
      </c>
      <c r="AY37" s="132" t="s">
        <v>482</v>
      </c>
      <c r="AZ37" s="132"/>
      <c r="BA37" s="133" t="str">
        <f t="shared" si="25"/>
        <v>正确</v>
      </c>
      <c r="BB37" s="297"/>
      <c r="BC37" s="297"/>
      <c r="BD37" s="297"/>
      <c r="BE37" s="297"/>
      <c r="BF37" s="297"/>
      <c r="BG37" s="297"/>
      <c r="BH37" s="297"/>
      <c r="BI37" s="297"/>
      <c r="BJ37" s="297"/>
      <c r="BK37" s="297"/>
      <c r="BL37" s="297"/>
      <c r="BM37" s="297"/>
    </row>
    <row r="38" spans="1:65" s="115" customFormat="1">
      <c r="A38" s="51">
        <v>35</v>
      </c>
      <c r="B38" s="52" t="s">
        <v>458</v>
      </c>
      <c r="C38" s="110" t="s">
        <v>467</v>
      </c>
      <c r="D38" s="112" t="s">
        <v>462</v>
      </c>
      <c r="E38" s="162" t="str">
        <f t="shared" ref="E38" si="35">IF(VALUE(MID(D38,17,1))/2=INT(VALUE(MID(D38,17,1))/2),"女","男")</f>
        <v>男</v>
      </c>
      <c r="F38" s="114">
        <f t="shared" ref="F38" si="36">DATE(MID(D38,7,4),MID(D38,11,2),MID(D38,13,2))</f>
        <v>33488</v>
      </c>
      <c r="G38" s="142">
        <v>18105091510</v>
      </c>
      <c r="H38" s="62" t="str">
        <f>VLOOKUP(D38,社保!C:D,2,FALSE)</f>
        <v>福州</v>
      </c>
      <c r="I38" s="62">
        <f>VLOOKUP(D38,融科!$B$2:$W$100,2,FALSE)</f>
        <v>44682</v>
      </c>
      <c r="J38" s="122"/>
      <c r="K38" s="121">
        <f>VLOOKUP(D38,融科!$B$2:$W$100,15,FALSE)</f>
        <v>0.7</v>
      </c>
      <c r="L38" s="121">
        <f>VLOOKUP(D38,融科!$B$2:$W$100,16,FALSE)</f>
        <v>0.3</v>
      </c>
      <c r="M38" s="122">
        <v>13300</v>
      </c>
      <c r="N38" s="122">
        <v>5700</v>
      </c>
      <c r="O38" s="122"/>
      <c r="P38" s="122">
        <v>1000</v>
      </c>
      <c r="Q38" s="122"/>
      <c r="R38" s="122"/>
      <c r="S38" s="122"/>
      <c r="T38" s="123">
        <f>VLOOKUP(D38,融科!$B$2:$W$100,22,FALSE)</f>
        <v>17400</v>
      </c>
      <c r="U38" s="124">
        <f>VLOOKUP($D38,社保!$C:$AF,MATCH(U$2,社保!$C$1:$AF$1,0),FALSE)</f>
        <v>166</v>
      </c>
      <c r="V38" s="124">
        <f>VLOOKUP($D38,社保!$C:$AF,MATCH(V$2,社保!$C$1:$AF$1,0),FALSE)+VLOOKUP($D38,社保!$C:$AF,MATCH("个人大病",社保!$C$1:$AF$1,0),FALSE)</f>
        <v>73.52</v>
      </c>
      <c r="W38" s="124">
        <f>VLOOKUP($D38,社保!$C:$AF,MATCH(W$2,社保!$C$1:$AF$1,0),FALSE)</f>
        <v>10.38</v>
      </c>
      <c r="X38" s="124">
        <f t="shared" ref="X38:X42" si="37">SUM(U38:W38)</f>
        <v>249.89999999999998</v>
      </c>
      <c r="Y38" s="124">
        <f>VLOOKUP($D38,社保!$C:$AF,MATCH(Y$2,社保!$C$1:$AF$1,0),FALSE)</f>
        <v>720</v>
      </c>
      <c r="Z38" s="124">
        <f t="shared" ref="Z38:Z42" si="38">SUM(X38:Y38)</f>
        <v>969.9</v>
      </c>
      <c r="AA38" s="165"/>
      <c r="AB38" s="125">
        <f>VLOOKUP($D38,个税系统表!$D:$AN,MATCH(海淀分公司工资表!AB$2,个税系统表!$D$1:$AM$1,0),FALSE)</f>
        <v>34800</v>
      </c>
      <c r="AC38" s="125">
        <f>VLOOKUP($D38,个税系统表!$D:$AN,MATCH(海淀分公司工资表!AC$2,个税系统表!$D$1:$AM$1,0),FALSE)</f>
        <v>10000</v>
      </c>
      <c r="AD38" s="125">
        <f>VLOOKUP($D38,个税系统表!$D:$AN,MATCH(海淀分公司工资表!AD$2,个税系统表!$D$1:$AM$1,0),FALSE)</f>
        <v>1219.8</v>
      </c>
      <c r="AE38" s="125">
        <f>VLOOKUP($D38,个税系统表!$D:$AN,MATCH(海淀分公司工资表!AE$3,个税系统表!$D$1:$AM$1,0),FALSE)</f>
        <v>0</v>
      </c>
      <c r="AF38" s="125">
        <f>VLOOKUP($D38,个税系统表!$D:$AN,MATCH(海淀分公司工资表!AF$3,个税系统表!$D$1:$AM$1,0),FALSE)</f>
        <v>0</v>
      </c>
      <c r="AG38" s="125">
        <f>VLOOKUP($D38,个税系统表!$D:$AN,MATCH(海淀分公司工资表!AG$3,个税系统表!$D$1:$AM$1,0),FALSE)</f>
        <v>0</v>
      </c>
      <c r="AH38" s="125">
        <f>VLOOKUP($D38,个税系统表!$D:$AN,MATCH(海淀分公司工资表!AH$3,个税系统表!$D$1:$AM$1,0),FALSE)</f>
        <v>0</v>
      </c>
      <c r="AI38" s="125">
        <f>VLOOKUP($D38,个税系统表!$D:$AN,MATCH(海淀分公司工资表!AI$3,个税系统表!$D$1:$AM$1,0),FALSE)</f>
        <v>0</v>
      </c>
      <c r="AJ38" s="143"/>
      <c r="AK38" s="125">
        <f t="shared" ref="AK38" si="39">SUM(AE38:AJ38)</f>
        <v>0</v>
      </c>
      <c r="AL38" s="125">
        <f>VLOOKUP($D38,个税系统表!$D:$AN,MATCH(海淀分公司工资表!AL$2,个税系统表!$D$1:$AM$1,0),FALSE)</f>
        <v>0</v>
      </c>
      <c r="AM38" s="125">
        <f>VLOOKUP($D38,个税系统表!$D:$AN,MATCH(海淀分公司工资表!AM$2,个税系统表!$D$1:$AM$1,0),FALSE)</f>
        <v>23580.2</v>
      </c>
      <c r="AN38" s="125">
        <f>VLOOKUP($D38,个税系统表!$D:$AN,MATCH(海淀分公司工资表!AN$2,个税系统表!$D$1:$AM$1,0),FALSE)</f>
        <v>707.41</v>
      </c>
      <c r="AO38" s="125">
        <f>VLOOKUP($D38,个税系统表!$D:$AN,MATCH(海淀分公司工资表!AO$2,个税系统表!$D$1:$AM$1,0),FALSE)</f>
        <v>364.5</v>
      </c>
      <c r="AP38" s="125">
        <f>VLOOKUP($D38,个税系统表!$D:$AN,MATCH(海淀分公司工资表!AP$2,个税系统表!$D$1:$AM$1,0),FALSE)</f>
        <v>342.91</v>
      </c>
      <c r="AQ38" s="126">
        <f t="shared" ref="AQ38" si="40">T38-Z38-AA38-AP38</f>
        <v>16087.189999999999</v>
      </c>
      <c r="AR38" s="145"/>
      <c r="AS38" s="128">
        <f t="shared" ref="AS38:AS41" si="41">ROUND(AQ38+AR38,2)</f>
        <v>16087.19</v>
      </c>
      <c r="AT38" s="124">
        <f>VLOOKUP($H38,缴费比例!$B:$O,MATCH(AT$2,缴费比例!$B$1:$O$1,0),FALSE)</f>
        <v>180</v>
      </c>
      <c r="AU38" s="146">
        <v>2</v>
      </c>
      <c r="AV38" s="124">
        <f t="shared" si="24"/>
        <v>16612.099999999999</v>
      </c>
      <c r="AW38" s="296" t="s">
        <v>476</v>
      </c>
      <c r="AX38" s="132" t="s">
        <v>480</v>
      </c>
      <c r="AY38" s="132" t="s">
        <v>483</v>
      </c>
      <c r="AZ38" s="132"/>
      <c r="BA38" s="133" t="str">
        <f t="shared" si="25"/>
        <v>正确</v>
      </c>
      <c r="BB38" s="301"/>
      <c r="BC38" s="301"/>
      <c r="BD38" s="301"/>
      <c r="BE38" s="301"/>
      <c r="BF38" s="301"/>
      <c r="BG38" s="301"/>
      <c r="BH38" s="301"/>
      <c r="BI38" s="301"/>
      <c r="BJ38" s="301"/>
      <c r="BK38" s="301"/>
      <c r="BL38" s="301"/>
      <c r="BM38" s="301"/>
    </row>
    <row r="39" spans="1:65" s="115" customFormat="1">
      <c r="A39" s="51">
        <v>36</v>
      </c>
      <c r="B39" s="52" t="s">
        <v>458</v>
      </c>
      <c r="C39" s="110" t="s">
        <v>468</v>
      </c>
      <c r="D39" s="112" t="s">
        <v>463</v>
      </c>
      <c r="E39" s="162" t="str">
        <f t="shared" ref="E39:E42" si="42">IF(VALUE(MID(D39,17,1))/2=INT(VALUE(MID(D39,17,1))/2),"女","男")</f>
        <v>男</v>
      </c>
      <c r="F39" s="114">
        <f t="shared" ref="F39:F42" si="43">DATE(MID(D39,7,4),MID(D39,11,2),MID(D39,13,2))</f>
        <v>32907</v>
      </c>
      <c r="G39" s="163">
        <v>17710796146</v>
      </c>
      <c r="H39" s="62" t="str">
        <f>VLOOKUP(D39,社保!C:D,2,FALSE)</f>
        <v>北京</v>
      </c>
      <c r="I39" s="62">
        <f>VLOOKUP(D39,融科!$B$2:$W$100,2,FALSE)</f>
        <v>44682</v>
      </c>
      <c r="J39" s="122"/>
      <c r="K39" s="121">
        <f>VLOOKUP(D39,融科!$B$2:$W$100,15,FALSE)</f>
        <v>0.7</v>
      </c>
      <c r="L39" s="121">
        <f>VLOOKUP(D39,融科!$B$2:$W$100,16,FALSE)</f>
        <v>0.3</v>
      </c>
      <c r="M39" s="122">
        <v>13300</v>
      </c>
      <c r="N39" s="122">
        <v>5700</v>
      </c>
      <c r="O39" s="122"/>
      <c r="P39" s="122">
        <v>1000</v>
      </c>
      <c r="Q39" s="122"/>
      <c r="R39" s="122"/>
      <c r="S39" s="122"/>
      <c r="T39" s="123">
        <f>VLOOKUP(D39,融科!$B$2:$W$100,22,FALSE)</f>
        <v>10100</v>
      </c>
      <c r="U39" s="124">
        <f>VLOOKUP($D39,社保!$C:$AF,MATCH(U$2,社保!$C$1:$AF$1,0),FALSE)</f>
        <v>428.8</v>
      </c>
      <c r="V39" s="124">
        <f>VLOOKUP($D39,社保!$C:$AF,MATCH(V$2,社保!$C$1:$AF$1,0),FALSE)+VLOOKUP($D39,社保!$C:$AF,MATCH("个人大病",社保!$C$1:$AF$1,0),FALSE)</f>
        <v>110.2</v>
      </c>
      <c r="W39" s="124">
        <f>VLOOKUP($D39,社保!$C:$AF,MATCH(W$2,社保!$C$1:$AF$1,0),FALSE)</f>
        <v>26.8</v>
      </c>
      <c r="X39" s="124">
        <f t="shared" si="37"/>
        <v>565.79999999999995</v>
      </c>
      <c r="Y39" s="124">
        <f>VLOOKUP($D39,社保!$C:$AF,MATCH(Y$2,社保!$C$1:$AF$1,0),FALSE)</f>
        <v>316</v>
      </c>
      <c r="Z39" s="124">
        <f t="shared" si="38"/>
        <v>881.8</v>
      </c>
      <c r="AA39" s="165"/>
      <c r="AB39" s="125">
        <f>VLOOKUP($D39,个税系统表!$D:$AN,MATCH(海淀分公司工资表!AB$2,个税系统表!$D$1:$AM$1,0),FALSE)</f>
        <v>20200</v>
      </c>
      <c r="AC39" s="125">
        <f>VLOOKUP($D39,个税系统表!$D:$AN,MATCH(海淀分公司工资表!AC$2,个税系统表!$D$1:$AM$1,0),FALSE)</f>
        <v>10000</v>
      </c>
      <c r="AD39" s="125">
        <f>VLOOKUP($D39,个税系统表!$D:$AN,MATCH(海淀分公司工资表!AD$2,个税系统表!$D$1:$AM$1,0),FALSE)</f>
        <v>1447.6</v>
      </c>
      <c r="AE39" s="125">
        <f>VLOOKUP($D39,个税系统表!$D:$AN,MATCH(海淀分公司工资表!AE$3,个税系统表!$D$1:$AM$1,0),FALSE)</f>
        <v>0</v>
      </c>
      <c r="AF39" s="125">
        <f>VLOOKUP($D39,个税系统表!$D:$AN,MATCH(海淀分公司工资表!AF$3,个税系统表!$D$1:$AM$1,0),FALSE)</f>
        <v>0</v>
      </c>
      <c r="AG39" s="125">
        <f>VLOOKUP($D39,个税系统表!$D:$AN,MATCH(海淀分公司工资表!AG$3,个税系统表!$D$1:$AM$1,0),FALSE)</f>
        <v>0</v>
      </c>
      <c r="AH39" s="125">
        <f>VLOOKUP($D39,个税系统表!$D:$AN,MATCH(海淀分公司工资表!AH$3,个税系统表!$D$1:$AM$1,0),FALSE)</f>
        <v>0</v>
      </c>
      <c r="AI39" s="125">
        <f>VLOOKUP($D39,个税系统表!$D:$AN,MATCH(海淀分公司工资表!AI$3,个税系统表!$D$1:$AM$1,0),FALSE)</f>
        <v>0</v>
      </c>
      <c r="AJ39" s="143"/>
      <c r="AK39" s="125">
        <f t="shared" ref="AK39:AK42" si="44">SUM(AE39:AJ39)</f>
        <v>0</v>
      </c>
      <c r="AL39" s="125">
        <f>VLOOKUP($D39,个税系统表!$D:$AN,MATCH(海淀分公司工资表!AL$2,个税系统表!$D$1:$AM$1,0),FALSE)</f>
        <v>0</v>
      </c>
      <c r="AM39" s="125">
        <f>VLOOKUP($D39,个税系统表!$D:$AN,MATCH(海淀分公司工资表!AM$2,个税系统表!$D$1:$AM$1,0),FALSE)</f>
        <v>8752.4</v>
      </c>
      <c r="AN39" s="125">
        <f>VLOOKUP($D39,个税系统表!$D:$AN,MATCH(海淀分公司工资表!AN$2,个税系统表!$D$1:$AM$1,0),FALSE)</f>
        <v>262.57</v>
      </c>
      <c r="AO39" s="125">
        <f>VLOOKUP($D39,个税系统表!$D:$AN,MATCH(海淀分公司工资表!AO$2,个税系统表!$D$1:$AM$1,0),FALSE)</f>
        <v>136.03</v>
      </c>
      <c r="AP39" s="125">
        <f>VLOOKUP($D39,个税系统表!$D:$AN,MATCH(海淀分公司工资表!AP$2,个税系统表!$D$1:$AM$1,0),FALSE)</f>
        <v>126.54</v>
      </c>
      <c r="AQ39" s="126">
        <f t="shared" ref="AQ39:AQ42" si="45">T39-Z39-AA39-AP39</f>
        <v>9091.66</v>
      </c>
      <c r="AR39" s="145"/>
      <c r="AS39" s="128">
        <f t="shared" si="41"/>
        <v>9091.66</v>
      </c>
      <c r="AT39" s="124">
        <f>VLOOKUP($H39,缴费比例!$B:$O,MATCH(AT$2,缴费比例!$B$1:$O$1,0),FALSE)</f>
        <v>170</v>
      </c>
      <c r="AU39" s="146">
        <v>2</v>
      </c>
      <c r="AV39" s="124">
        <f t="shared" si="24"/>
        <v>9390.2000000000007</v>
      </c>
      <c r="AW39" s="296" t="s">
        <v>477</v>
      </c>
      <c r="AX39" s="132" t="s">
        <v>480</v>
      </c>
      <c r="AY39" s="132" t="s">
        <v>484</v>
      </c>
      <c r="AZ39" s="132"/>
      <c r="BA39" s="133" t="str">
        <f t="shared" si="25"/>
        <v>正确</v>
      </c>
      <c r="BB39" s="301"/>
      <c r="BC39" s="301"/>
      <c r="BD39" s="301"/>
      <c r="BE39" s="301"/>
      <c r="BF39" s="301"/>
      <c r="BG39" s="301"/>
      <c r="BH39" s="301"/>
      <c r="BI39" s="301"/>
      <c r="BJ39" s="301"/>
      <c r="BK39" s="301"/>
      <c r="BL39" s="301"/>
      <c r="BM39" s="301"/>
    </row>
    <row r="40" spans="1:65" s="115" customFormat="1">
      <c r="A40" s="51">
        <v>37</v>
      </c>
      <c r="B40" s="52" t="s">
        <v>458</v>
      </c>
      <c r="C40" s="110" t="s">
        <v>469</v>
      </c>
      <c r="D40" s="112" t="s">
        <v>465</v>
      </c>
      <c r="E40" s="162" t="str">
        <f t="shared" si="42"/>
        <v>男</v>
      </c>
      <c r="F40" s="114">
        <f t="shared" si="43"/>
        <v>32666</v>
      </c>
      <c r="G40" s="142">
        <v>15210185014</v>
      </c>
      <c r="H40" s="62" t="str">
        <f>VLOOKUP(D40,社保!C:D,2,FALSE)</f>
        <v>北京</v>
      </c>
      <c r="I40" s="62">
        <f>VLOOKUP(D40,融科!$B$2:$W$100,2,FALSE)</f>
        <v>44682</v>
      </c>
      <c r="J40" s="122"/>
      <c r="K40" s="121">
        <f>VLOOKUP(D40,融科!$B$2:$W$100,15,FALSE)</f>
        <v>0.7</v>
      </c>
      <c r="L40" s="121">
        <f>VLOOKUP(D40,融科!$B$2:$W$100,16,FALSE)</f>
        <v>0.3</v>
      </c>
      <c r="M40" s="122">
        <v>13300</v>
      </c>
      <c r="N40" s="122">
        <v>5700</v>
      </c>
      <c r="O40" s="122"/>
      <c r="P40" s="122">
        <v>1000</v>
      </c>
      <c r="Q40" s="122"/>
      <c r="R40" s="122"/>
      <c r="S40" s="122"/>
      <c r="T40" s="123">
        <f>VLOOKUP(D40,融科!$B$2:$W$100,22,FALSE)</f>
        <v>10600</v>
      </c>
      <c r="U40" s="124">
        <f>VLOOKUP($D40,社保!$C:$AF,MATCH(U$2,社保!$C$1:$AF$1,0),FALSE)</f>
        <v>428.8</v>
      </c>
      <c r="V40" s="124">
        <f>VLOOKUP($D40,社保!$C:$AF,MATCH(V$2,社保!$C$1:$AF$1,0),FALSE)+VLOOKUP($D40,社保!$C:$AF,MATCH("个人大病",社保!$C$1:$AF$1,0),FALSE)</f>
        <v>110.2</v>
      </c>
      <c r="W40" s="124">
        <f>VLOOKUP($D40,社保!$C:$AF,MATCH(W$2,社保!$C$1:$AF$1,0),FALSE)</f>
        <v>26.8</v>
      </c>
      <c r="X40" s="124">
        <f t="shared" si="37"/>
        <v>565.79999999999995</v>
      </c>
      <c r="Y40" s="124">
        <f>VLOOKUP($D40,社保!$C:$AF,MATCH(Y$2,社保!$C$1:$AF$1,0),FALSE)</f>
        <v>316</v>
      </c>
      <c r="Z40" s="124">
        <f t="shared" si="38"/>
        <v>881.8</v>
      </c>
      <c r="AA40" s="165"/>
      <c r="AB40" s="125">
        <f>VLOOKUP($D40,个税系统表!$D:$AN,MATCH(海淀分公司工资表!AB$2,个税系统表!$D$1:$AM$1,0),FALSE)</f>
        <v>21200</v>
      </c>
      <c r="AC40" s="125">
        <f>VLOOKUP($D40,个税系统表!$D:$AN,MATCH(海淀分公司工资表!AC$2,个税系统表!$D$1:$AM$1,0),FALSE)</f>
        <v>10000</v>
      </c>
      <c r="AD40" s="125">
        <f>VLOOKUP($D40,个税系统表!$D:$AN,MATCH(海淀分公司工资表!AD$2,个税系统表!$D$1:$AM$1,0),FALSE)</f>
        <v>1447.6</v>
      </c>
      <c r="AE40" s="125">
        <f>VLOOKUP($D40,个税系统表!$D:$AN,MATCH(海淀分公司工资表!AE$3,个税系统表!$D$1:$AM$1,0),FALSE)</f>
        <v>0</v>
      </c>
      <c r="AF40" s="125">
        <f>VLOOKUP($D40,个税系统表!$D:$AN,MATCH(海淀分公司工资表!AF$3,个税系统表!$D$1:$AM$1,0),FALSE)</f>
        <v>0</v>
      </c>
      <c r="AG40" s="125">
        <f>VLOOKUP($D40,个税系统表!$D:$AN,MATCH(海淀分公司工资表!AG$3,个税系统表!$D$1:$AM$1,0),FALSE)</f>
        <v>0</v>
      </c>
      <c r="AH40" s="125">
        <f>VLOOKUP($D40,个税系统表!$D:$AN,MATCH(海淀分公司工资表!AH$3,个税系统表!$D$1:$AM$1,0),FALSE)</f>
        <v>0</v>
      </c>
      <c r="AI40" s="125">
        <f>VLOOKUP($D40,个税系统表!$D:$AN,MATCH(海淀分公司工资表!AI$3,个税系统表!$D$1:$AM$1,0),FALSE)</f>
        <v>0</v>
      </c>
      <c r="AJ40" s="143"/>
      <c r="AK40" s="125">
        <f t="shared" si="44"/>
        <v>0</v>
      </c>
      <c r="AL40" s="125">
        <f>VLOOKUP($D40,个税系统表!$D:$AN,MATCH(海淀分公司工资表!AL$2,个税系统表!$D$1:$AM$1,0),FALSE)</f>
        <v>0</v>
      </c>
      <c r="AM40" s="125">
        <f>VLOOKUP($D40,个税系统表!$D:$AN,MATCH(海淀分公司工资表!AM$2,个税系统表!$D$1:$AM$1,0),FALSE)</f>
        <v>9752.4</v>
      </c>
      <c r="AN40" s="125">
        <f>VLOOKUP($D40,个税系统表!$D:$AN,MATCH(海淀分公司工资表!AN$2,个税系统表!$D$1:$AM$1,0),FALSE)</f>
        <v>292.57</v>
      </c>
      <c r="AO40" s="125">
        <f>VLOOKUP($D40,个税系统表!$D:$AN,MATCH(海淀分公司工资表!AO$2,个税系统表!$D$1:$AM$1,0),FALSE)</f>
        <v>151.03</v>
      </c>
      <c r="AP40" s="125">
        <f>VLOOKUP($D40,个税系统表!$D:$AN,MATCH(海淀分公司工资表!AP$2,个税系统表!$D$1:$AM$1,0),FALSE)</f>
        <v>141.54</v>
      </c>
      <c r="AQ40" s="126">
        <f t="shared" si="45"/>
        <v>9576.66</v>
      </c>
      <c r="AR40" s="145"/>
      <c r="AS40" s="128">
        <f t="shared" si="41"/>
        <v>9576.66</v>
      </c>
      <c r="AT40" s="124">
        <f>VLOOKUP($H40,缴费比例!$B:$O,MATCH(AT$2,缴费比例!$B$1:$O$1,0),FALSE)</f>
        <v>170</v>
      </c>
      <c r="AU40" s="146">
        <v>2</v>
      </c>
      <c r="AV40" s="124">
        <f t="shared" si="24"/>
        <v>9890.2000000000007</v>
      </c>
      <c r="AW40" s="296" t="s">
        <v>478</v>
      </c>
      <c r="AX40" s="132" t="s">
        <v>480</v>
      </c>
      <c r="AY40" s="132" t="s">
        <v>485</v>
      </c>
      <c r="AZ40" s="132"/>
      <c r="BA40" s="133" t="str">
        <f t="shared" si="25"/>
        <v>正确</v>
      </c>
      <c r="BB40" s="301"/>
      <c r="BC40" s="301"/>
      <c r="BD40" s="301"/>
      <c r="BE40" s="301"/>
      <c r="BF40" s="301"/>
      <c r="BG40" s="301"/>
      <c r="BH40" s="301"/>
      <c r="BI40" s="301"/>
      <c r="BJ40" s="301"/>
      <c r="BK40" s="301"/>
      <c r="BL40" s="301"/>
      <c r="BM40" s="301"/>
    </row>
    <row r="41" spans="1:65" s="115" customFormat="1">
      <c r="A41" s="51">
        <v>38</v>
      </c>
      <c r="B41" s="52" t="s">
        <v>458</v>
      </c>
      <c r="C41" s="110" t="s">
        <v>470</v>
      </c>
      <c r="D41" s="112" t="s">
        <v>466</v>
      </c>
      <c r="E41" s="162" t="str">
        <f t="shared" si="42"/>
        <v>女</v>
      </c>
      <c r="F41" s="114">
        <f t="shared" si="43"/>
        <v>34048</v>
      </c>
      <c r="G41" s="163">
        <v>18910438947</v>
      </c>
      <c r="H41" s="62" t="str">
        <f>VLOOKUP(D41,社保!C:D,2,FALSE)</f>
        <v>北京</v>
      </c>
      <c r="I41" s="62">
        <f>VLOOKUP(D41,融科!$B$2:$W$100,2,FALSE)</f>
        <v>44682</v>
      </c>
      <c r="J41" s="122"/>
      <c r="K41" s="121">
        <f>VLOOKUP(D41,融科!$B$2:$W$100,15,FALSE)</f>
        <v>0.7</v>
      </c>
      <c r="L41" s="121">
        <f>VLOOKUP(D41,融科!$B$2:$W$100,16,FALSE)</f>
        <v>0.3</v>
      </c>
      <c r="M41" s="122">
        <v>13300</v>
      </c>
      <c r="N41" s="122">
        <v>5700</v>
      </c>
      <c r="O41" s="122"/>
      <c r="P41" s="122">
        <v>1000</v>
      </c>
      <c r="Q41" s="122"/>
      <c r="R41" s="122"/>
      <c r="S41" s="122"/>
      <c r="T41" s="123">
        <f>VLOOKUP(D41,融科!$B$2:$W$100,22,FALSE)</f>
        <v>9740</v>
      </c>
      <c r="U41" s="124">
        <f>VLOOKUP($D41,社保!$C:$AF,MATCH(U$2,社保!$C$1:$AF$1,0),FALSE)</f>
        <v>428.8</v>
      </c>
      <c r="V41" s="124">
        <f>VLOOKUP($D41,社保!$C:$AF,MATCH(V$2,社保!$C$1:$AF$1,0),FALSE)+VLOOKUP($D41,社保!$C:$AF,MATCH("个人大病",社保!$C$1:$AF$1,0),FALSE)</f>
        <v>110.2</v>
      </c>
      <c r="W41" s="124">
        <f>VLOOKUP($D41,社保!$C:$AF,MATCH(W$2,社保!$C$1:$AF$1,0),FALSE)</f>
        <v>26.8</v>
      </c>
      <c r="X41" s="124">
        <f t="shared" ref="X41" si="46">SUM(U41:W41)</f>
        <v>565.79999999999995</v>
      </c>
      <c r="Y41" s="124">
        <f>VLOOKUP($D41,社保!$C:$AF,MATCH(Y$2,社保!$C$1:$AF$1,0),FALSE)</f>
        <v>316</v>
      </c>
      <c r="Z41" s="124">
        <f t="shared" si="38"/>
        <v>881.8</v>
      </c>
      <c r="AA41" s="165"/>
      <c r="AB41" s="125">
        <f>VLOOKUP($D41,个税系统表!$D:$AN,MATCH(海淀分公司工资表!AB$2,个税系统表!$D$1:$AM$1,0),FALSE)</f>
        <v>16740</v>
      </c>
      <c r="AC41" s="125">
        <f>VLOOKUP($D41,个税系统表!$D:$AN,MATCH(海淀分公司工资表!AC$2,个税系统表!$D$1:$AM$1,0),FALSE)</f>
        <v>10000</v>
      </c>
      <c r="AD41" s="125">
        <f>VLOOKUP($D41,个税系统表!$D:$AN,MATCH(海淀分公司工资表!AD$2,个税系统表!$D$1:$AM$1,0),FALSE)</f>
        <v>881.8</v>
      </c>
      <c r="AE41" s="125">
        <f>VLOOKUP($D41,个税系统表!$D:$AN,MATCH(海淀分公司工资表!AE$3,个税系统表!$D$1:$AM$1,0),FALSE)</f>
        <v>0</v>
      </c>
      <c r="AF41" s="125">
        <f>VLOOKUP($D41,个税系统表!$D:$AN,MATCH(海淀分公司工资表!AF$3,个税系统表!$D$1:$AM$1,0),FALSE)</f>
        <v>0</v>
      </c>
      <c r="AG41" s="125">
        <f>VLOOKUP($D41,个税系统表!$D:$AN,MATCH(海淀分公司工资表!AG$3,个税系统表!$D$1:$AM$1,0),FALSE)</f>
        <v>0</v>
      </c>
      <c r="AH41" s="125">
        <f>VLOOKUP($D41,个税系统表!$D:$AN,MATCH(海淀分公司工资表!AH$3,个税系统表!$D$1:$AM$1,0),FALSE)</f>
        <v>0</v>
      </c>
      <c r="AI41" s="125">
        <f>VLOOKUP($D41,个税系统表!$D:$AN,MATCH(海淀分公司工资表!AI$3,个税系统表!$D$1:$AM$1,0),FALSE)</f>
        <v>0</v>
      </c>
      <c r="AJ41" s="143"/>
      <c r="AK41" s="125">
        <f t="shared" si="44"/>
        <v>0</v>
      </c>
      <c r="AL41" s="125">
        <f>VLOOKUP($D41,个税系统表!$D:$AN,MATCH(海淀分公司工资表!AL$2,个税系统表!$D$1:$AM$1,0),FALSE)</f>
        <v>0</v>
      </c>
      <c r="AM41" s="125">
        <f>VLOOKUP($D41,个税系统表!$D:$AN,MATCH(海淀分公司工资表!AM$2,个税系统表!$D$1:$AM$1,0),FALSE)</f>
        <v>5858.2</v>
      </c>
      <c r="AN41" s="125">
        <f>VLOOKUP($D41,个税系统表!$D:$AN,MATCH(海淀分公司工资表!AN$2,个税系统表!$D$1:$AM$1,0),FALSE)</f>
        <v>175.75</v>
      </c>
      <c r="AO41" s="125">
        <f>VLOOKUP($D41,个税系统表!$D:$AN,MATCH(海淀分公司工资表!AO$2,个税系统表!$D$1:$AM$1,0),FALSE)</f>
        <v>60</v>
      </c>
      <c r="AP41" s="125">
        <f>VLOOKUP($D41,个税系统表!$D:$AN,MATCH(海淀分公司工资表!AP$2,个税系统表!$D$1:$AM$1,0),FALSE)</f>
        <v>115.75</v>
      </c>
      <c r="AQ41" s="126">
        <f t="shared" si="45"/>
        <v>8742.4500000000007</v>
      </c>
      <c r="AR41" s="145"/>
      <c r="AS41" s="128">
        <f t="shared" si="41"/>
        <v>8742.4500000000007</v>
      </c>
      <c r="AT41" s="124">
        <f>VLOOKUP($H41,缴费比例!$B:$O,MATCH(AT$2,缴费比例!$B$1:$O$1,0),FALSE)</f>
        <v>170</v>
      </c>
      <c r="AU41" s="146">
        <v>2</v>
      </c>
      <c r="AV41" s="124">
        <f t="shared" si="24"/>
        <v>9030.2000000000007</v>
      </c>
      <c r="AW41" s="296" t="s">
        <v>479</v>
      </c>
      <c r="AX41" s="132" t="s">
        <v>481</v>
      </c>
      <c r="AY41" s="132" t="s">
        <v>486</v>
      </c>
      <c r="AZ41" s="132"/>
      <c r="BA41" s="133" t="str">
        <f t="shared" si="25"/>
        <v>正确</v>
      </c>
      <c r="BB41" s="301"/>
      <c r="BC41" s="301"/>
      <c r="BD41" s="301"/>
      <c r="BE41" s="301"/>
      <c r="BF41" s="301"/>
      <c r="BG41" s="301"/>
      <c r="BH41" s="301"/>
      <c r="BI41" s="301"/>
      <c r="BJ41" s="301"/>
      <c r="BK41" s="301"/>
      <c r="BL41" s="301"/>
      <c r="BM41" s="301"/>
    </row>
    <row r="42" spans="1:65" s="115" customFormat="1">
      <c r="A42" s="51">
        <v>39</v>
      </c>
      <c r="B42" s="52" t="s">
        <v>400</v>
      </c>
      <c r="C42" s="110" t="s">
        <v>301</v>
      </c>
      <c r="D42" s="112" t="s">
        <v>401</v>
      </c>
      <c r="E42" s="162" t="str">
        <f t="shared" si="42"/>
        <v>男</v>
      </c>
      <c r="F42" s="114">
        <f t="shared" si="43"/>
        <v>30073</v>
      </c>
      <c r="G42" s="163">
        <v>13311097286</v>
      </c>
      <c r="H42" s="62" t="str">
        <f>VLOOKUP(D42,社保!C:D,2,FALSE)</f>
        <v>北京</v>
      </c>
      <c r="I42" s="62">
        <f>VLOOKUP(D42,翼水!D:AP,6,FALSE)</f>
        <v>44593</v>
      </c>
      <c r="J42" s="122"/>
      <c r="K42" s="121"/>
      <c r="L42" s="121"/>
      <c r="M42" s="122">
        <f>VLOOKUP(D42,翼水!D:AP,8,FALSE)</f>
        <v>20833</v>
      </c>
      <c r="N42" s="122"/>
      <c r="O42" s="122"/>
      <c r="P42" s="122"/>
      <c r="Q42" s="122"/>
      <c r="R42" s="122"/>
      <c r="S42" s="122"/>
      <c r="T42" s="123">
        <f>VLOOKUP(D42,翼水!D:AP,8,FALSE)</f>
        <v>20833</v>
      </c>
      <c r="U42" s="124">
        <f>VLOOKUP($D42,社保!$C:$AF,MATCH(U$2,社保!$C$1:$AF$1,0),FALSE)</f>
        <v>1559.28</v>
      </c>
      <c r="V42" s="124">
        <f>VLOOKUP($D42,社保!$C:$AF,MATCH(V$2,社保!$C$1:$AF$1,0),FALSE)+VLOOKUP($D42,社保!$C:$AF,MATCH("个人大病",社保!$C$1:$AF$1,0),FALSE)</f>
        <v>392.82</v>
      </c>
      <c r="W42" s="124">
        <f>VLOOKUP($D42,社保!$C:$AF,MATCH(W$2,社保!$C$1:$AF$1,0),FALSE)</f>
        <v>97.46</v>
      </c>
      <c r="X42" s="124">
        <f t="shared" si="37"/>
        <v>2049.56</v>
      </c>
      <c r="Y42" s="124">
        <f>VLOOKUP($D42,社保!$C:$AF,MATCH(Y$2,社保!$C$1:$AF$1,0),FALSE)</f>
        <v>2339</v>
      </c>
      <c r="Z42" s="124">
        <f t="shared" si="38"/>
        <v>4388.5599999999995</v>
      </c>
      <c r="AA42" s="165"/>
      <c r="AB42" s="125">
        <f>VLOOKUP($D42,个税系统表!$D:$AN,MATCH(海淀分公司工资表!AB$2,个税系统表!$D$1:$AM$1,0),FALSE)</f>
        <v>104165</v>
      </c>
      <c r="AC42" s="125">
        <f>VLOOKUP($D42,个税系统表!$D:$AN,MATCH(海淀分公司工资表!AC$2,个税系统表!$D$1:$AM$1,0),FALSE)</f>
        <v>25000</v>
      </c>
      <c r="AD42" s="125">
        <f>VLOOKUP($D42,个税系统表!$D:$AN,MATCH(海淀分公司工资表!AD$2,个税系统表!$D$1:$AM$1,0),FALSE)</f>
        <v>19603.8</v>
      </c>
      <c r="AE42" s="125">
        <f>VLOOKUP($D42,个税系统表!$D:$AN,MATCH(海淀分公司工资表!AE$3,个税系统表!$D$1:$AM$1,0),FALSE)</f>
        <v>10000</v>
      </c>
      <c r="AF42" s="125">
        <f>VLOOKUP($D42,个税系统表!$D:$AN,MATCH(海淀分公司工资表!AF$3,个税系统表!$D$1:$AM$1,0),FALSE)</f>
        <v>0</v>
      </c>
      <c r="AG42" s="125">
        <f>VLOOKUP($D42,个税系统表!$D:$AN,MATCH(海淀分公司工资表!AG$3,个税系统表!$D$1:$AM$1,0),FALSE)</f>
        <v>5000</v>
      </c>
      <c r="AH42" s="125">
        <f>VLOOKUP($D42,个税系统表!$D:$AN,MATCH(海淀分公司工资表!AH$3,个税系统表!$D$1:$AM$1,0),FALSE)</f>
        <v>0</v>
      </c>
      <c r="AI42" s="125">
        <f>VLOOKUP($D42,个税系统表!$D:$AN,MATCH(海淀分公司工资表!AI$3,个税系统表!$D$1:$AM$1,0),FALSE)</f>
        <v>10000</v>
      </c>
      <c r="AJ42" s="143"/>
      <c r="AK42" s="125">
        <f t="shared" si="44"/>
        <v>25000</v>
      </c>
      <c r="AL42" s="125">
        <f>VLOOKUP($D42,个税系统表!$D:$AN,MATCH(海淀分公司工资表!AL$2,个税系统表!$D$1:$AM$1,0),FALSE)</f>
        <v>0</v>
      </c>
      <c r="AM42" s="125">
        <f>VLOOKUP($D42,个税系统表!$D:$AN,MATCH(海淀分公司工资表!AM$2,个税系统表!$D$1:$AM$1,0),FALSE)</f>
        <v>34561.199999999997</v>
      </c>
      <c r="AN42" s="125">
        <f>VLOOKUP($D42,个税系统表!$D:$AN,MATCH(海淀分公司工资表!AN$2,个税系统表!$D$1:$AM$1,0),FALSE)</f>
        <v>1036.8399999999999</v>
      </c>
      <c r="AO42" s="125">
        <f>VLOOKUP($D42,个税系统表!$D:$AN,MATCH(海淀分公司工资表!AO$2,个税系统表!$D$1:$AM$1,0),FALSE)</f>
        <v>773.33</v>
      </c>
      <c r="AP42" s="125">
        <f>VLOOKUP($D42,个税系统表!$D:$AN,MATCH(海淀分公司工资表!AP$2,个税系统表!$D$1:$AM$1,0),FALSE)</f>
        <v>263.51</v>
      </c>
      <c r="AQ42" s="126">
        <f t="shared" si="45"/>
        <v>16180.930000000002</v>
      </c>
      <c r="AR42" s="145"/>
      <c r="AS42" s="128">
        <f t="shared" ref="AS42" si="47">ROUND(AQ42+AR42,2)</f>
        <v>16180.93</v>
      </c>
      <c r="AT42" s="124">
        <f>VLOOKUP($H42,缴费比例!$B:$O,MATCH(AT$2,缴费比例!$B$1:$O$1,0),FALSE)</f>
        <v>170</v>
      </c>
      <c r="AU42" s="146">
        <v>2</v>
      </c>
      <c r="AV42" s="124">
        <f t="shared" ref="AV42" si="48">ROUND(AP42+AQ42+AT42+AU42,2)</f>
        <v>16616.439999999999</v>
      </c>
      <c r="AW42" s="312" t="s">
        <v>402</v>
      </c>
      <c r="AX42" s="313" t="s">
        <v>403</v>
      </c>
      <c r="AY42" s="313" t="s">
        <v>404</v>
      </c>
      <c r="AZ42" s="132"/>
      <c r="BA42" s="133" t="str">
        <f t="shared" ref="BA42:BA43" si="49">IF(LEN(D42)=18,IF(RIGHT(D42,1)="X",IF(CHOOSE(MOD(SUM(LEFT(RIGHT(D42,18))*7+LEFT(RIGHT(D42,17))*9+LEFT(RIGHT(D42,16))*10+LEFT(RIGHT(D42,15))*5+LEFT(RIGHT(D42,14))*8+LEFT(RIGHT(D42,13))*4+LEFT(RIGHT(D42,12))*2+LEFT(RIGHT(D42,11))*1+LEFT(RIGHT(D42,10))*6+LEFT(RIGHT(D42,9))*3+LEFT(RIGHT(D42,8))*7+LEFT(RIGHT(D42,7))*9+LEFT(RIGHT(D42,6))*10+LEFT(RIGHT(D42,5))*5+LEFT(RIGHT(D42,4))*8+LEFT(RIGHT(D42,3))*4+LEFT(RIGHT(D42,2))*2),11)+1,1,0,"X",9,8,7,6,5,4,3,2)=LEFT(RIGHT(D42,1)),"正确","错误"),IF(CHOOSE(MOD(SUM(LEFT(RIGHT(D42,18))*7+LEFT(RIGHT(D42,17))*9+LEFT(RIGHT(D42,16))*10+LEFT(RIGHT(D42,15))*5+LEFT(RIGHT(D42,14))*8+LEFT(RIGHT(D42,13))*4+LEFT(RIGHT(D42,12))*2+LEFT(RIGHT(D42,11))*1+LEFT(RIGHT(D42,10))*6+LEFT(RIGHT(D42,9))*3+LEFT(RIGHT(D42,8))*7+LEFT(RIGHT(D42,7))*9+LEFT(RIGHT(D42,6))*10+LEFT(RIGHT(D42,5))*5+LEFT(RIGHT(D42,4))*8+LEFT(RIGHT(D42,3))*4+LEFT(RIGHT(D42,2))*2),11)+1,1,0,"X",9,8,7,6,5,4,3,2)=LEFT(RIGHT(D42,1))*1,"正确","错误")),IF(LEN(D42)=15,"老号，请注意！",IF(LEN(D42)=0,"未填写身份证号码","位数不对！")))</f>
        <v>正确</v>
      </c>
      <c r="BB42" s="302"/>
      <c r="BC42" s="302"/>
      <c r="BD42" s="302"/>
      <c r="BE42" s="302"/>
      <c r="BF42" s="302"/>
      <c r="BG42" s="302"/>
      <c r="BH42" s="302"/>
      <c r="BI42" s="302"/>
      <c r="BJ42" s="302"/>
      <c r="BK42" s="302"/>
      <c r="BL42" s="302"/>
      <c r="BM42" s="302"/>
    </row>
    <row r="43" spans="1:65" s="115" customFormat="1">
      <c r="A43" s="51">
        <v>40</v>
      </c>
      <c r="B43" s="52" t="s">
        <v>400</v>
      </c>
      <c r="C43" s="110" t="s">
        <v>493</v>
      </c>
      <c r="D43" s="112" t="s">
        <v>494</v>
      </c>
      <c r="E43" s="162" t="str">
        <f t="shared" ref="E43" si="50">IF(VALUE(MID(D43,17,1))/2=INT(VALUE(MID(D43,17,1))/2),"女","男")</f>
        <v>男</v>
      </c>
      <c r="F43" s="114">
        <f t="shared" ref="F43" si="51">DATE(MID(D43,7,4),MID(D43,11,2),MID(D43,13,2))</f>
        <v>33491</v>
      </c>
      <c r="G43" s="163">
        <v>15116307773</v>
      </c>
      <c r="H43" s="62" t="str">
        <f>VLOOKUP(D43,社保!C:D,2,FALSE)</f>
        <v>北京</v>
      </c>
      <c r="I43" s="62">
        <v>44728</v>
      </c>
      <c r="J43" s="122"/>
      <c r="K43" s="121"/>
      <c r="L43" s="121"/>
      <c r="M43" s="122"/>
      <c r="N43" s="122"/>
      <c r="O43" s="122"/>
      <c r="P43" s="122"/>
      <c r="Q43" s="122"/>
      <c r="R43" s="122"/>
      <c r="S43" s="122"/>
      <c r="T43" s="123"/>
      <c r="U43" s="124"/>
      <c r="V43" s="124"/>
      <c r="W43" s="124"/>
      <c r="X43" s="124"/>
      <c r="Y43" s="124"/>
      <c r="Z43" s="124"/>
      <c r="AA43" s="165"/>
      <c r="AB43" s="125"/>
      <c r="AC43" s="125"/>
      <c r="AD43" s="125"/>
      <c r="AE43" s="125"/>
      <c r="AF43" s="125"/>
      <c r="AG43" s="125"/>
      <c r="AH43" s="125"/>
      <c r="AI43" s="125"/>
      <c r="AJ43" s="143"/>
      <c r="AK43" s="125"/>
      <c r="AL43" s="125"/>
      <c r="AM43" s="125"/>
      <c r="AN43" s="125"/>
      <c r="AO43" s="125"/>
      <c r="AP43" s="125"/>
      <c r="AQ43" s="126"/>
      <c r="AR43" s="145"/>
      <c r="AS43" s="128"/>
      <c r="AT43" s="124">
        <v>170</v>
      </c>
      <c r="AU43" s="146"/>
      <c r="AV43" s="124"/>
      <c r="AW43" s="315" t="s">
        <v>495</v>
      </c>
      <c r="AX43" s="313" t="s">
        <v>497</v>
      </c>
      <c r="AY43" s="315" t="s">
        <v>496</v>
      </c>
      <c r="AZ43" s="132"/>
      <c r="BA43" s="133" t="str">
        <f t="shared" si="49"/>
        <v>正确</v>
      </c>
      <c r="BB43" s="314"/>
      <c r="BC43" s="314"/>
      <c r="BD43" s="314"/>
      <c r="BE43" s="314"/>
      <c r="BF43" s="314"/>
      <c r="BG43" s="314"/>
      <c r="BH43" s="314"/>
      <c r="BI43" s="314"/>
      <c r="BJ43" s="314"/>
      <c r="BK43" s="314"/>
      <c r="BL43" s="314"/>
      <c r="BM43" s="314"/>
    </row>
    <row r="44" spans="1:65" ht="28.5" customHeight="1">
      <c r="A44" s="54"/>
      <c r="B44" s="55"/>
      <c r="C44" s="55"/>
      <c r="D44" s="56"/>
      <c r="E44" s="57"/>
      <c r="F44" s="57"/>
      <c r="G44" s="147"/>
      <c r="H44" s="147"/>
      <c r="I44" s="58"/>
      <c r="J44" s="148"/>
      <c r="K44" s="149"/>
      <c r="L44" s="149"/>
      <c r="M44" s="150"/>
      <c r="N44" s="150"/>
      <c r="O44" s="150"/>
      <c r="P44" s="150"/>
      <c r="Q44" s="150"/>
      <c r="R44" s="150"/>
      <c r="S44" s="150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2"/>
      <c r="AT44" s="151"/>
      <c r="AU44" s="151"/>
      <c r="AV44" s="151"/>
      <c r="AW44" s="153"/>
      <c r="AX44" s="153"/>
      <c r="AY44" s="153"/>
      <c r="AZ44" s="154"/>
      <c r="BA44" s="148"/>
    </row>
    <row r="47" spans="1:65">
      <c r="A47" s="59"/>
      <c r="B47" s="59"/>
      <c r="C47" s="59"/>
      <c r="D47" s="59"/>
      <c r="E47" s="59"/>
      <c r="F47" s="59"/>
      <c r="G47" s="155"/>
      <c r="H47" s="155"/>
      <c r="I47" s="160"/>
      <c r="J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7"/>
      <c r="AN47" s="155"/>
      <c r="AO47" s="155"/>
      <c r="AP47" s="155"/>
      <c r="AQ47" s="155"/>
      <c r="AR47" s="155"/>
      <c r="AS47" s="155"/>
      <c r="AT47" s="155"/>
      <c r="AU47" s="155"/>
      <c r="AV47" s="155"/>
      <c r="AW47" s="158"/>
      <c r="AX47" s="158"/>
      <c r="AY47" s="158"/>
      <c r="AZ47" s="158"/>
      <c r="BA47" s="155"/>
    </row>
  </sheetData>
  <autoFilter ref="A3:BM43"/>
  <mergeCells count="50">
    <mergeCell ref="AV2:AV3"/>
    <mergeCell ref="AU2:AU3"/>
    <mergeCell ref="AP2:AP3"/>
    <mergeCell ref="AT2:AT3"/>
    <mergeCell ref="AQ2:AQ3"/>
    <mergeCell ref="AR2:AR3"/>
    <mergeCell ref="AS2:AS3"/>
    <mergeCell ref="E2:E3"/>
    <mergeCell ref="G2:G3"/>
    <mergeCell ref="I2:I3"/>
    <mergeCell ref="A2:A3"/>
    <mergeCell ref="B2:B3"/>
    <mergeCell ref="C2:C3"/>
    <mergeCell ref="D2:D3"/>
    <mergeCell ref="F2:F3"/>
    <mergeCell ref="J2:J3"/>
    <mergeCell ref="Z2:Z3"/>
    <mergeCell ref="H2:H3"/>
    <mergeCell ref="W2:W3"/>
    <mergeCell ref="Y2:Y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AA2:AA3"/>
    <mergeCell ref="T2:T3"/>
    <mergeCell ref="U2:U3"/>
    <mergeCell ref="V2:V3"/>
    <mergeCell ref="X2:X3"/>
    <mergeCell ref="BB2:BB3"/>
    <mergeCell ref="BC2:BC3"/>
    <mergeCell ref="AB2:AB3"/>
    <mergeCell ref="AC2:AC3"/>
    <mergeCell ref="AD2:AD3"/>
    <mergeCell ref="BA2:BA3"/>
    <mergeCell ref="AW2:AW3"/>
    <mergeCell ref="AX2:AX3"/>
    <mergeCell ref="AY2:AY3"/>
    <mergeCell ref="AZ2:AZ3"/>
    <mergeCell ref="AE2:AJ2"/>
    <mergeCell ref="AL2:AL3"/>
    <mergeCell ref="AM2:AM3"/>
    <mergeCell ref="AN2:AN3"/>
    <mergeCell ref="AO2:AO3"/>
    <mergeCell ref="AK2:AK3"/>
  </mergeCells>
  <phoneticPr fontId="2" type="noConversion"/>
  <conditionalFormatting sqref="C22:C24">
    <cfRule type="duplicateValues" dxfId="75" priority="27"/>
  </conditionalFormatting>
  <conditionalFormatting sqref="D25">
    <cfRule type="duplicateValues" dxfId="74" priority="60"/>
  </conditionalFormatting>
  <conditionalFormatting sqref="C25:C26">
    <cfRule type="duplicateValues" dxfId="73" priority="61"/>
  </conditionalFormatting>
  <conditionalFormatting sqref="D27:D36">
    <cfRule type="duplicateValues" dxfId="72" priority="16"/>
  </conditionalFormatting>
  <conditionalFormatting sqref="D38:D41">
    <cfRule type="duplicateValues" dxfId="71" priority="14"/>
  </conditionalFormatting>
  <conditionalFormatting sqref="C43 C38:C41">
    <cfRule type="duplicateValues" dxfId="70" priority="15"/>
  </conditionalFormatting>
  <conditionalFormatting sqref="C27:C36">
    <cfRule type="duplicateValues" dxfId="69" priority="62"/>
  </conditionalFormatting>
  <conditionalFormatting sqref="AW44:AW1048576 AW1:AW36">
    <cfRule type="duplicateValues" dxfId="68" priority="12"/>
  </conditionalFormatting>
  <conditionalFormatting sqref="C37">
    <cfRule type="duplicateValues" dxfId="67" priority="11"/>
  </conditionalFormatting>
  <conditionalFormatting sqref="D38:D41">
    <cfRule type="duplicateValues" dxfId="66" priority="8"/>
  </conditionalFormatting>
  <conditionalFormatting sqref="D38:D41">
    <cfRule type="duplicateValues" dxfId="65" priority="9"/>
  </conditionalFormatting>
  <conditionalFormatting sqref="C38:C41">
    <cfRule type="duplicateValues" dxfId="64" priority="10"/>
  </conditionalFormatting>
  <conditionalFormatting sqref="C38:C41">
    <cfRule type="duplicateValues" dxfId="63" priority="7"/>
  </conditionalFormatting>
  <conditionalFormatting sqref="D42:D43">
    <cfRule type="duplicateValues" dxfId="62" priority="5"/>
  </conditionalFormatting>
  <conditionalFormatting sqref="C42:C43">
    <cfRule type="duplicateValues" dxfId="61" priority="6"/>
  </conditionalFormatting>
  <conditionalFormatting sqref="AW42">
    <cfRule type="duplicateValues" dxfId="60" priority="4"/>
  </conditionalFormatting>
  <conditionalFormatting sqref="AW37:AW41">
    <cfRule type="duplicateValues" dxfId="59" priority="3"/>
  </conditionalFormatting>
  <conditionalFormatting sqref="D43">
    <cfRule type="duplicateValues" dxfId="58" priority="1"/>
  </conditionalFormatting>
  <conditionalFormatting sqref="D43">
    <cfRule type="duplicateValues" dxfId="57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workbookViewId="0">
      <pane xSplit="4" ySplit="1" topLeftCell="E38" activePane="bottomRight" state="frozen"/>
      <selection pane="topRight" activeCell="E1" sqref="E1"/>
      <selection pane="bottomLeft" activeCell="A2" sqref="A2"/>
      <selection pane="bottomRight" activeCell="A43" sqref="A43:XFD43"/>
    </sheetView>
  </sheetViews>
  <sheetFormatPr defaultRowHeight="20.25" customHeight="1"/>
  <cols>
    <col min="1" max="1" width="9" style="42"/>
    <col min="2" max="2" width="6.75" style="295" bestFit="1" customWidth="1"/>
    <col min="3" max="3" width="15.5" style="42" customWidth="1"/>
    <col min="4" max="4" width="7.375" style="42" customWidth="1"/>
    <col min="5" max="5" width="8.375" style="42" customWidth="1"/>
    <col min="6" max="6" width="11.25" style="42" customWidth="1"/>
    <col min="7" max="10" width="7.375" style="173" customWidth="1"/>
    <col min="11" max="11" width="8.875" style="173" customWidth="1"/>
    <col min="12" max="21" width="7.375" style="42" customWidth="1"/>
    <col min="22" max="23" width="7.375" style="87" customWidth="1"/>
    <col min="24" max="26" width="9.625" style="84" customWidth="1"/>
    <col min="27" max="27" width="10" style="42" customWidth="1"/>
    <col min="28" max="28" width="23" style="42" bestFit="1" customWidth="1"/>
    <col min="29" max="16384" width="9" style="42"/>
  </cols>
  <sheetData>
    <row r="1" spans="1:34" ht="22.5">
      <c r="A1" s="37" t="s">
        <v>135</v>
      </c>
      <c r="B1" s="294" t="s">
        <v>0</v>
      </c>
      <c r="C1" s="34" t="s">
        <v>128</v>
      </c>
      <c r="D1" s="34" t="s">
        <v>136</v>
      </c>
      <c r="E1" s="81" t="s">
        <v>237</v>
      </c>
      <c r="F1" s="81" t="s">
        <v>238</v>
      </c>
      <c r="G1" s="172" t="s">
        <v>129</v>
      </c>
      <c r="H1" s="172" t="s">
        <v>130</v>
      </c>
      <c r="I1" s="172" t="s">
        <v>131</v>
      </c>
      <c r="J1" s="172" t="s">
        <v>132</v>
      </c>
      <c r="K1" s="172" t="s">
        <v>133</v>
      </c>
      <c r="L1" s="38" t="s">
        <v>68</v>
      </c>
      <c r="M1" s="38" t="s">
        <v>27</v>
      </c>
      <c r="N1" s="38" t="s">
        <v>69</v>
      </c>
      <c r="O1" s="38" t="s">
        <v>29</v>
      </c>
      <c r="P1" s="38" t="s">
        <v>70</v>
      </c>
      <c r="Q1" s="48" t="s">
        <v>71</v>
      </c>
      <c r="R1" s="48" t="s">
        <v>28</v>
      </c>
      <c r="S1" s="48" t="s">
        <v>72</v>
      </c>
      <c r="T1" s="39" t="s">
        <v>73</v>
      </c>
      <c r="U1" s="39" t="s">
        <v>30</v>
      </c>
      <c r="V1" s="85" t="s">
        <v>253</v>
      </c>
      <c r="W1" s="85" t="s">
        <v>255</v>
      </c>
      <c r="X1" s="82" t="s">
        <v>249</v>
      </c>
      <c r="Y1" s="82" t="s">
        <v>250</v>
      </c>
      <c r="Z1" s="82" t="s">
        <v>256</v>
      </c>
      <c r="AA1" s="40" t="s">
        <v>246</v>
      </c>
      <c r="AB1" s="41"/>
      <c r="AC1" s="41"/>
      <c r="AD1" s="41"/>
      <c r="AE1" s="41"/>
      <c r="AF1" s="41"/>
      <c r="AG1" s="41"/>
      <c r="AH1" s="41"/>
    </row>
    <row r="2" spans="1:34" ht="20.25" customHeight="1">
      <c r="A2" s="49" t="s">
        <v>60</v>
      </c>
      <c r="B2" s="78" t="s">
        <v>3</v>
      </c>
      <c r="C2" s="79" t="s">
        <v>6</v>
      </c>
      <c r="D2" s="35" t="s">
        <v>62</v>
      </c>
      <c r="E2" s="32">
        <v>44562</v>
      </c>
      <c r="F2" s="80">
        <v>44743</v>
      </c>
      <c r="G2" s="171">
        <v>5360</v>
      </c>
      <c r="H2" s="171">
        <v>5360</v>
      </c>
      <c r="I2" s="171">
        <v>5360</v>
      </c>
      <c r="J2" s="171">
        <v>5360</v>
      </c>
      <c r="K2" s="171">
        <v>9000</v>
      </c>
      <c r="L2" s="43">
        <f>ROUND(G2*(VLOOKUP($D2,缴费比例!$B:$N,MATCH(L$1,缴费比例!$B$1:$N$1,0),FALSE)),2)</f>
        <v>857.6</v>
      </c>
      <c r="M2" s="43">
        <f>ROUND(G2*(VLOOKUP($D2,缴费比例!$B:$N,MATCH(M$1,缴费比例!$B$1:$N$1,0),FALSE)),2)</f>
        <v>428.8</v>
      </c>
      <c r="N2" s="43">
        <f>ROUND(H2*(VLOOKUP($D2,缴费比例!$B:$N,MATCH(N$1,缴费比例!$B$1:$N$1,0),FALSE)),2)</f>
        <v>26.8</v>
      </c>
      <c r="O2" s="43">
        <f>ROUND(H2*(VLOOKUP($D2,缴费比例!$B:$N,MATCH(O$1,缴费比例!$B$1:$N$1,0),FALSE)),2)</f>
        <v>26.8</v>
      </c>
      <c r="P2" s="43">
        <f>ROUND(I2*(VLOOKUP($D2,缴费比例!$B:$N,MATCH(P$1,缴费比例!$B$1:$N$1,0),FALSE)),2)</f>
        <v>10.72</v>
      </c>
      <c r="Q2" s="43">
        <f>ROUND(J2*(VLOOKUP($D2,缴费比例!$B:$N,MATCH(Q$1,缴费比例!$B$1:$N$1,0),FALSE)),2)+VLOOKUP($D2,缴费比例!$B:$N,MATCH("单位大病",缴费比例!$B$1:$N$1,0),FALSE)</f>
        <v>525.28</v>
      </c>
      <c r="R2" s="43">
        <f>ROUND(J2*(VLOOKUP($D2,缴费比例!$B:$N,MATCH(R$1,缴费比例!$B$1:$N$1,0),FALSE)),2)</f>
        <v>107.2</v>
      </c>
      <c r="S2" s="43">
        <f>ROUND((VLOOKUP($D2,缴费比例!$B:$N,MATCH(S$1,缴费比例!$B$1:$N$1,0),FALSE)),2)</f>
        <v>3</v>
      </c>
      <c r="T2" s="43">
        <f>IF(D2="合肥",ROUND(K2*(VLOOKUP($D2,缴费比例!$B:$N,MATCH(T$1,缴费比例!$B$1:$N$1,0),FALSE)),1),ROUND(K2*(VLOOKUP($D2,缴费比例!$B:$N,MATCH(T$1,缴费比例!$B$1:$N$1,0),FALSE)),0))</f>
        <v>1080</v>
      </c>
      <c r="U2" s="43">
        <f>IF(D2="合肥",ROUND(K2*(VLOOKUP($D2,缴费比例!$B:$N,MATCH(U$1,缴费比例!$B$1:$N$1,0),FALSE)),1),ROUND(K2*(VLOOKUP($D2,缴费比例!$B:$N,MATCH(U$1,缴费比例!$B$1:$N$1,0),FALSE)),0))</f>
        <v>1080</v>
      </c>
      <c r="V2" s="86">
        <f>L2+N2+P2+Q2</f>
        <v>1420.4</v>
      </c>
      <c r="W2" s="86">
        <f>M2+O2+R2+S2</f>
        <v>565.80000000000007</v>
      </c>
      <c r="X2" s="83">
        <f>SUM(L2:S2)</f>
        <v>1986.2</v>
      </c>
      <c r="Y2" s="83">
        <f>SUM(T2:U2)</f>
        <v>2160</v>
      </c>
      <c r="Z2" s="83" t="str">
        <f t="shared" ref="Z2:Z43" si="0">IF(D2="北京","北京","外地")</f>
        <v>北京</v>
      </c>
      <c r="AA2" s="44" t="s">
        <v>341</v>
      </c>
      <c r="AB2" s="45"/>
      <c r="AC2" s="45"/>
      <c r="AD2" s="46"/>
      <c r="AE2" s="46"/>
      <c r="AF2" s="46"/>
      <c r="AG2" s="47"/>
      <c r="AH2" s="46"/>
    </row>
    <row r="3" spans="1:34" ht="20.25" customHeight="1">
      <c r="A3" s="49" t="s">
        <v>60</v>
      </c>
      <c r="B3" s="78" t="s">
        <v>144</v>
      </c>
      <c r="C3" s="79" t="s">
        <v>32</v>
      </c>
      <c r="D3" s="35" t="s">
        <v>62</v>
      </c>
      <c r="E3" s="32">
        <v>44562</v>
      </c>
      <c r="F3" s="80">
        <v>44743</v>
      </c>
      <c r="G3" s="171">
        <v>5360</v>
      </c>
      <c r="H3" s="171">
        <v>5360</v>
      </c>
      <c r="I3" s="171">
        <v>5360</v>
      </c>
      <c r="J3" s="171">
        <v>5360</v>
      </c>
      <c r="K3" s="171">
        <v>2636</v>
      </c>
      <c r="L3" s="43">
        <f>ROUND(G3*(VLOOKUP($D3,缴费比例!B:N,MATCH(L$1,缴费比例!$B$1:$N$1,0),FALSE)),2)</f>
        <v>857.6</v>
      </c>
      <c r="M3" s="43">
        <f>ROUND(G3*(VLOOKUP($D3,缴费比例!$B:$N,MATCH(M$1,缴费比例!$B$1:$N$1,0),FALSE)),2)</f>
        <v>428.8</v>
      </c>
      <c r="N3" s="43">
        <f>ROUND(H3*(VLOOKUP($D3,缴费比例!$B:$N,MATCH(N$1,缴费比例!$B$1:$N$1,0),FALSE)),2)</f>
        <v>26.8</v>
      </c>
      <c r="O3" s="43">
        <f>ROUND(H3*(VLOOKUP($D3,缴费比例!$B:$N,MATCH(O$1,缴费比例!$B$1:$N$1,0),FALSE)),2)</f>
        <v>26.8</v>
      </c>
      <c r="P3" s="43">
        <f>ROUND(I3*(VLOOKUP($D3,缴费比例!$B:$N,MATCH(P$1,缴费比例!$B$1:$N$1,0),FALSE)),2)</f>
        <v>10.72</v>
      </c>
      <c r="Q3" s="43">
        <f>ROUND(J3*(VLOOKUP($D3,缴费比例!$B:$N,MATCH(Q$1,缴费比例!$B$1:$N$1,0),FALSE)),2)+VLOOKUP($D3,缴费比例!$B:$N,MATCH("单位大病",缴费比例!$B$1:$N$1,0),FALSE)</f>
        <v>525.28</v>
      </c>
      <c r="R3" s="43">
        <f>ROUND(J3*(VLOOKUP($D3,缴费比例!$B:$N,MATCH(R$1,缴费比例!$B$1:$N$1,0),FALSE)),2)</f>
        <v>107.2</v>
      </c>
      <c r="S3" s="43">
        <f>ROUND((VLOOKUP($D3,缴费比例!$B:$N,MATCH(S$1,缴费比例!$B$1:$N$1,0),FALSE)),2)</f>
        <v>3</v>
      </c>
      <c r="T3" s="43">
        <f>IF(D3="合肥",ROUND(K3*(VLOOKUP($D3,缴费比例!$B:$N,MATCH(T$1,缴费比例!$B$1:$N$1,0),FALSE)),1),ROUND(K3*(VLOOKUP($D3,缴费比例!$B:$N,MATCH(T$1,缴费比例!$B$1:$N$1,0),FALSE)),0))</f>
        <v>316</v>
      </c>
      <c r="U3" s="43">
        <f>IF(D3="合肥",ROUND(K3*(VLOOKUP($D3,缴费比例!$B:$N,MATCH(U$1,缴费比例!$B$1:$N$1,0),FALSE)),1),ROUND(K3*(VLOOKUP($D3,缴费比例!$B:$N,MATCH(U$1,缴费比例!$B$1:$N$1,0),FALSE)),0))</f>
        <v>316</v>
      </c>
      <c r="V3" s="86">
        <f t="shared" ref="V3:V23" si="1">L3+N3+P3+Q3</f>
        <v>1420.4</v>
      </c>
      <c r="W3" s="86">
        <f t="shared" ref="W3:W23" si="2">M3+O3+R3+S3</f>
        <v>565.80000000000007</v>
      </c>
      <c r="X3" s="83">
        <f t="shared" ref="X3:X23" si="3">SUM(L3:S3)</f>
        <v>1986.2</v>
      </c>
      <c r="Y3" s="83">
        <f t="shared" ref="Y3:Y23" si="4">SUM(T3:U3)</f>
        <v>632</v>
      </c>
      <c r="Z3" s="83" t="str">
        <f t="shared" si="0"/>
        <v>北京</v>
      </c>
      <c r="AA3" s="44" t="s">
        <v>341</v>
      </c>
      <c r="AB3" s="45"/>
      <c r="AC3" s="45"/>
      <c r="AD3" s="46"/>
      <c r="AE3" s="46"/>
      <c r="AF3" s="46"/>
      <c r="AG3" s="46"/>
      <c r="AH3" s="47"/>
    </row>
    <row r="4" spans="1:34" ht="20.25" customHeight="1">
      <c r="A4" s="49" t="s">
        <v>60</v>
      </c>
      <c r="B4" s="78" t="s">
        <v>33</v>
      </c>
      <c r="C4" s="79" t="s">
        <v>34</v>
      </c>
      <c r="D4" s="35" t="s">
        <v>62</v>
      </c>
      <c r="E4" s="32">
        <v>44562</v>
      </c>
      <c r="F4" s="80">
        <v>44743</v>
      </c>
      <c r="G4" s="171">
        <v>5360</v>
      </c>
      <c r="H4" s="171">
        <v>5360</v>
      </c>
      <c r="I4" s="171">
        <v>5360</v>
      </c>
      <c r="J4" s="171">
        <v>5360</v>
      </c>
      <c r="K4" s="171">
        <v>2636</v>
      </c>
      <c r="L4" s="43">
        <f>ROUND(G4*(VLOOKUP($D4,缴费比例!B:N,MATCH(L$1,缴费比例!$B$1:$N$1,0),FALSE)),2)</f>
        <v>857.6</v>
      </c>
      <c r="M4" s="43">
        <f>ROUND(G4*(VLOOKUP($D4,缴费比例!$B:$N,MATCH(M$1,缴费比例!$B$1:$N$1,0),FALSE)),2)</f>
        <v>428.8</v>
      </c>
      <c r="N4" s="43">
        <f>ROUND(H4*(VLOOKUP($D4,缴费比例!$B:$N,MATCH(N$1,缴费比例!$B$1:$N$1,0),FALSE)),2)</f>
        <v>26.8</v>
      </c>
      <c r="O4" s="43">
        <f>ROUND(H4*(VLOOKUP($D4,缴费比例!$B:$N,MATCH(O$1,缴费比例!$B$1:$N$1,0),FALSE)),2)</f>
        <v>26.8</v>
      </c>
      <c r="P4" s="43">
        <f>ROUND(I4*(VLOOKUP($D4,缴费比例!$B:$N,MATCH(P$1,缴费比例!$B$1:$N$1,0),FALSE)),2)</f>
        <v>10.72</v>
      </c>
      <c r="Q4" s="43">
        <f>ROUND(J4*(VLOOKUP($D4,缴费比例!$B:$N,MATCH(Q$1,缴费比例!$B$1:$N$1,0),FALSE)),2)+VLOOKUP($D4,缴费比例!$B:$N,MATCH("单位大病",缴费比例!$B$1:$N$1,0),FALSE)</f>
        <v>525.28</v>
      </c>
      <c r="R4" s="43">
        <f>ROUND(J4*(VLOOKUP($D4,缴费比例!$B:$N,MATCH(R$1,缴费比例!$B$1:$N$1,0),FALSE)),2)</f>
        <v>107.2</v>
      </c>
      <c r="S4" s="43">
        <f>ROUND((VLOOKUP($D4,缴费比例!$B:$N,MATCH(S$1,缴费比例!$B$1:$N$1,0),FALSE)),2)</f>
        <v>3</v>
      </c>
      <c r="T4" s="43">
        <f>IF(D4="合肥",ROUND(K4*(VLOOKUP($D4,缴费比例!$B:$N,MATCH(T$1,缴费比例!$B$1:$N$1,0),FALSE)),1),ROUND(K4*(VLOOKUP($D4,缴费比例!$B:$N,MATCH(T$1,缴费比例!$B$1:$N$1,0),FALSE)),0))</f>
        <v>316</v>
      </c>
      <c r="U4" s="43">
        <f>IF(D4="合肥",ROUND(K4*(VLOOKUP($D4,缴费比例!$B:$N,MATCH(U$1,缴费比例!$B$1:$N$1,0),FALSE)),1),ROUND(K4*(VLOOKUP($D4,缴费比例!$B:$N,MATCH(U$1,缴费比例!$B$1:$N$1,0),FALSE)),0))</f>
        <v>316</v>
      </c>
      <c r="V4" s="86">
        <f t="shared" si="1"/>
        <v>1420.4</v>
      </c>
      <c r="W4" s="86">
        <f t="shared" si="2"/>
        <v>565.80000000000007</v>
      </c>
      <c r="X4" s="83">
        <f t="shared" si="3"/>
        <v>1986.2</v>
      </c>
      <c r="Y4" s="83">
        <f t="shared" si="4"/>
        <v>632</v>
      </c>
      <c r="Z4" s="83" t="str">
        <f t="shared" si="0"/>
        <v>北京</v>
      </c>
      <c r="AA4" s="44" t="s">
        <v>341</v>
      </c>
      <c r="AB4" s="45"/>
      <c r="AC4" s="45"/>
      <c r="AD4" s="46"/>
      <c r="AE4" s="46"/>
      <c r="AF4" s="46"/>
      <c r="AG4" s="46"/>
      <c r="AH4" s="47"/>
    </row>
    <row r="5" spans="1:34" ht="20.25" customHeight="1">
      <c r="A5" s="49" t="s">
        <v>60</v>
      </c>
      <c r="B5" s="78" t="s">
        <v>2</v>
      </c>
      <c r="C5" s="76" t="s">
        <v>5</v>
      </c>
      <c r="D5" s="35" t="s">
        <v>62</v>
      </c>
      <c r="E5" s="32">
        <v>44562</v>
      </c>
      <c r="F5" s="80">
        <v>44743</v>
      </c>
      <c r="G5" s="171">
        <v>5360</v>
      </c>
      <c r="H5" s="171">
        <v>5360</v>
      </c>
      <c r="I5" s="171">
        <v>5360</v>
      </c>
      <c r="J5" s="171">
        <v>5360</v>
      </c>
      <c r="K5" s="171">
        <v>2636</v>
      </c>
      <c r="L5" s="43">
        <f>ROUND(G5*(VLOOKUP($D5,缴费比例!B:N,MATCH(L$1,缴费比例!$B$1:$N$1,0),FALSE)),2)</f>
        <v>857.6</v>
      </c>
      <c r="M5" s="43">
        <f>ROUND(G5*(VLOOKUP($D5,缴费比例!$B:$N,MATCH(M$1,缴费比例!$B$1:$N$1,0),FALSE)),2)</f>
        <v>428.8</v>
      </c>
      <c r="N5" s="43">
        <f>ROUND(H5*(VLOOKUP($D5,缴费比例!$B:$N,MATCH(N$1,缴费比例!$B$1:$N$1,0),FALSE)),2)</f>
        <v>26.8</v>
      </c>
      <c r="O5" s="43">
        <f>ROUND(H5*(VLOOKUP($D5,缴费比例!$B:$N,MATCH(O$1,缴费比例!$B$1:$N$1,0),FALSE)),2)</f>
        <v>26.8</v>
      </c>
      <c r="P5" s="43">
        <f>ROUND(I5*(VLOOKUP($D5,缴费比例!$B:$N,MATCH(P$1,缴费比例!$B$1:$N$1,0),FALSE)),2)</f>
        <v>10.72</v>
      </c>
      <c r="Q5" s="43">
        <f>ROUND(J5*(VLOOKUP($D5,缴费比例!$B:$N,MATCH(Q$1,缴费比例!$B$1:$N$1,0),FALSE)),2)+VLOOKUP($D5,缴费比例!$B:$N,MATCH("单位大病",缴费比例!$B$1:$N$1,0),FALSE)</f>
        <v>525.28</v>
      </c>
      <c r="R5" s="43">
        <f>ROUND(J5*(VLOOKUP($D5,缴费比例!$B:$N,MATCH(R$1,缴费比例!$B$1:$N$1,0),FALSE)),2)</f>
        <v>107.2</v>
      </c>
      <c r="S5" s="43">
        <f>ROUND((VLOOKUP($D5,缴费比例!$B:$N,MATCH(S$1,缴费比例!$B$1:$N$1,0),FALSE)),2)</f>
        <v>3</v>
      </c>
      <c r="T5" s="43">
        <f>IF(D5="合肥",ROUND(K5*(VLOOKUP($D5,缴费比例!$B:$N,MATCH(T$1,缴费比例!$B$1:$N$1,0),FALSE)),1),ROUND(K5*(VLOOKUP($D5,缴费比例!$B:$N,MATCH(T$1,缴费比例!$B$1:$N$1,0),FALSE)),0))</f>
        <v>316</v>
      </c>
      <c r="U5" s="43">
        <f>IF(D5="合肥",ROUND(K5*(VLOOKUP($D5,缴费比例!$B:$N,MATCH(U$1,缴费比例!$B$1:$N$1,0),FALSE)),1),ROUND(K5*(VLOOKUP($D5,缴费比例!$B:$N,MATCH(U$1,缴费比例!$B$1:$N$1,0),FALSE)),0))</f>
        <v>316</v>
      </c>
      <c r="V5" s="86">
        <f t="shared" si="1"/>
        <v>1420.4</v>
      </c>
      <c r="W5" s="86">
        <f t="shared" si="2"/>
        <v>565.80000000000007</v>
      </c>
      <c r="X5" s="83">
        <f t="shared" si="3"/>
        <v>1986.2</v>
      </c>
      <c r="Y5" s="83">
        <f t="shared" si="4"/>
        <v>632</v>
      </c>
      <c r="Z5" s="83" t="str">
        <f t="shared" si="0"/>
        <v>北京</v>
      </c>
      <c r="AA5" s="44" t="s">
        <v>341</v>
      </c>
      <c r="AB5" s="45"/>
      <c r="AC5" s="45"/>
      <c r="AD5" s="46"/>
      <c r="AE5" s="46"/>
      <c r="AF5" s="46"/>
      <c r="AG5" s="46"/>
      <c r="AH5" s="47"/>
    </row>
    <row r="6" spans="1:34" ht="20.25" customHeight="1">
      <c r="A6" s="49" t="s">
        <v>60</v>
      </c>
      <c r="B6" s="78" t="s">
        <v>1</v>
      </c>
      <c r="C6" s="76" t="s">
        <v>4</v>
      </c>
      <c r="D6" s="35" t="s">
        <v>62</v>
      </c>
      <c r="E6" s="32">
        <v>44562</v>
      </c>
      <c r="F6" s="80">
        <v>44743</v>
      </c>
      <c r="G6" s="171">
        <v>5360</v>
      </c>
      <c r="H6" s="171">
        <v>5360</v>
      </c>
      <c r="I6" s="171">
        <v>5360</v>
      </c>
      <c r="J6" s="171">
        <v>5360</v>
      </c>
      <c r="K6" s="171">
        <v>2636</v>
      </c>
      <c r="L6" s="43">
        <f>ROUND(G6*(VLOOKUP($D6,缴费比例!B:N,MATCH(L$1,缴费比例!$B$1:$N$1,0),FALSE)),2)</f>
        <v>857.6</v>
      </c>
      <c r="M6" s="43">
        <f>ROUND(G6*(VLOOKUP($D6,缴费比例!$B:$N,MATCH(M$1,缴费比例!$B$1:$N$1,0),FALSE)),2)</f>
        <v>428.8</v>
      </c>
      <c r="N6" s="43">
        <f>ROUND(H6*(VLOOKUP($D6,缴费比例!$B:$N,MATCH(N$1,缴费比例!$B$1:$N$1,0),FALSE)),2)</f>
        <v>26.8</v>
      </c>
      <c r="O6" s="43">
        <f>ROUND(H6*(VLOOKUP($D6,缴费比例!$B:$N,MATCH(O$1,缴费比例!$B$1:$N$1,0),FALSE)),2)</f>
        <v>26.8</v>
      </c>
      <c r="P6" s="43">
        <f>ROUND(I6*(VLOOKUP($D6,缴费比例!$B:$N,MATCH(P$1,缴费比例!$B$1:$N$1,0),FALSE)),2)</f>
        <v>10.72</v>
      </c>
      <c r="Q6" s="43">
        <f>ROUND(J6*(VLOOKUP($D6,缴费比例!$B:$N,MATCH(Q$1,缴费比例!$B$1:$N$1,0),FALSE)),2)+VLOOKUP($D6,缴费比例!$B:$N,MATCH("单位大病",缴费比例!$B$1:$N$1,0),FALSE)</f>
        <v>525.28</v>
      </c>
      <c r="R6" s="43">
        <f>ROUND(J6*(VLOOKUP($D6,缴费比例!$B:$N,MATCH(R$1,缴费比例!$B$1:$N$1,0),FALSE)),2)</f>
        <v>107.2</v>
      </c>
      <c r="S6" s="43">
        <f>ROUND((VLOOKUP($D6,缴费比例!$B:$N,MATCH(S$1,缴费比例!$B$1:$N$1,0),FALSE)),2)</f>
        <v>3</v>
      </c>
      <c r="T6" s="43">
        <f>IF(D6="合肥",ROUND(K6*(VLOOKUP($D6,缴费比例!$B:$N,MATCH(T$1,缴费比例!$B$1:$N$1,0),FALSE)),1),ROUND(K6*(VLOOKUP($D6,缴费比例!$B:$N,MATCH(T$1,缴费比例!$B$1:$N$1,0),FALSE)),0))</f>
        <v>316</v>
      </c>
      <c r="U6" s="43">
        <f>IF(D6="合肥",ROUND(K6*(VLOOKUP($D6,缴费比例!$B:$N,MATCH(U$1,缴费比例!$B$1:$N$1,0),FALSE)),1),ROUND(K6*(VLOOKUP($D6,缴费比例!$B:$N,MATCH(U$1,缴费比例!$B$1:$N$1,0),FALSE)),0))</f>
        <v>316</v>
      </c>
      <c r="V6" s="86">
        <f t="shared" si="1"/>
        <v>1420.4</v>
      </c>
      <c r="W6" s="86">
        <f t="shared" si="2"/>
        <v>565.80000000000007</v>
      </c>
      <c r="X6" s="83">
        <f t="shared" si="3"/>
        <v>1986.2</v>
      </c>
      <c r="Y6" s="83">
        <f t="shared" si="4"/>
        <v>632</v>
      </c>
      <c r="Z6" s="83" t="str">
        <f t="shared" si="0"/>
        <v>北京</v>
      </c>
      <c r="AA6" s="44" t="s">
        <v>341</v>
      </c>
      <c r="AB6" s="45"/>
      <c r="AC6" s="45"/>
      <c r="AD6" s="46"/>
      <c r="AE6" s="46"/>
      <c r="AF6" s="46"/>
      <c r="AG6" s="46"/>
      <c r="AH6" s="46"/>
    </row>
    <row r="7" spans="1:34" ht="20.25" customHeight="1">
      <c r="A7" s="49" t="s">
        <v>60</v>
      </c>
      <c r="B7" s="78" t="s">
        <v>35</v>
      </c>
      <c r="C7" s="76" t="s">
        <v>36</v>
      </c>
      <c r="D7" s="35" t="s">
        <v>62</v>
      </c>
      <c r="E7" s="32">
        <v>44593</v>
      </c>
      <c r="F7" s="80">
        <v>44743</v>
      </c>
      <c r="G7" s="171">
        <v>5360</v>
      </c>
      <c r="H7" s="171">
        <v>5360</v>
      </c>
      <c r="I7" s="171">
        <v>5360</v>
      </c>
      <c r="J7" s="171">
        <v>5360</v>
      </c>
      <c r="K7" s="171">
        <v>3800</v>
      </c>
      <c r="L7" s="43">
        <f>ROUND(G7*(VLOOKUP($D7,缴费比例!B:N,MATCH(L$1,缴费比例!$B$1:$N$1,0),FALSE)),2)</f>
        <v>857.6</v>
      </c>
      <c r="M7" s="43">
        <f>ROUND(G7*(VLOOKUP($D7,缴费比例!$B:$N,MATCH(M$1,缴费比例!$B$1:$N$1,0),FALSE)),2)</f>
        <v>428.8</v>
      </c>
      <c r="N7" s="43">
        <f>ROUND(H7*(VLOOKUP($D7,缴费比例!$B:$N,MATCH(N$1,缴费比例!$B$1:$N$1,0),FALSE)),2)</f>
        <v>26.8</v>
      </c>
      <c r="O7" s="43">
        <f>ROUND(H7*(VLOOKUP($D7,缴费比例!$B:$N,MATCH(O$1,缴费比例!$B$1:$N$1,0),FALSE)),2)</f>
        <v>26.8</v>
      </c>
      <c r="P7" s="43">
        <f>ROUND(I7*(VLOOKUP($D7,缴费比例!$B:$N,MATCH(P$1,缴费比例!$B$1:$N$1,0),FALSE)),2)</f>
        <v>10.72</v>
      </c>
      <c r="Q7" s="43">
        <f>ROUND(J7*(VLOOKUP($D7,缴费比例!$B:$N,MATCH(Q$1,缴费比例!$B$1:$N$1,0),FALSE)),2)+VLOOKUP($D7,缴费比例!$B:$N,MATCH("单位大病",缴费比例!$B$1:$N$1,0),FALSE)</f>
        <v>525.28</v>
      </c>
      <c r="R7" s="43">
        <f>ROUND(J7*(VLOOKUP($D7,缴费比例!$B:$N,MATCH(R$1,缴费比例!$B$1:$N$1,0),FALSE)),2)</f>
        <v>107.2</v>
      </c>
      <c r="S7" s="43">
        <f>ROUND((VLOOKUP($D7,缴费比例!$B:$N,MATCH(S$1,缴费比例!$B$1:$N$1,0),FALSE)),2)</f>
        <v>3</v>
      </c>
      <c r="T7" s="43">
        <f>IF(D7="合肥",ROUND(K7*(VLOOKUP($D7,缴费比例!$B:$N,MATCH(T$1,缴费比例!$B$1:$N$1,0),FALSE)),1),ROUND(K7*(VLOOKUP($D7,缴费比例!$B:$N,MATCH(T$1,缴费比例!$B$1:$N$1,0),FALSE)),0))</f>
        <v>456</v>
      </c>
      <c r="U7" s="43">
        <f>IF(D7="合肥",ROUND(K7*(VLOOKUP($D7,缴费比例!$B:$N,MATCH(U$1,缴费比例!$B$1:$N$1,0),FALSE)),1),ROUND(K7*(VLOOKUP($D7,缴费比例!$B:$N,MATCH(U$1,缴费比例!$B$1:$N$1,0),FALSE)),0))</f>
        <v>456</v>
      </c>
      <c r="V7" s="86">
        <f t="shared" si="1"/>
        <v>1420.4</v>
      </c>
      <c r="W7" s="86">
        <f t="shared" si="2"/>
        <v>565.80000000000007</v>
      </c>
      <c r="X7" s="83">
        <f t="shared" si="3"/>
        <v>1986.2</v>
      </c>
      <c r="Y7" s="83">
        <f t="shared" si="4"/>
        <v>912</v>
      </c>
      <c r="Z7" s="83" t="str">
        <f t="shared" si="0"/>
        <v>北京</v>
      </c>
      <c r="AA7" s="44" t="s">
        <v>341</v>
      </c>
      <c r="AB7" s="45"/>
      <c r="AC7" s="45"/>
      <c r="AD7" s="46"/>
      <c r="AE7" s="46"/>
      <c r="AF7" s="46"/>
      <c r="AG7" s="47"/>
      <c r="AH7" s="46"/>
    </row>
    <row r="8" spans="1:34" ht="20.25" customHeight="1">
      <c r="A8" s="49" t="s">
        <v>60</v>
      </c>
      <c r="B8" s="77" t="s">
        <v>143</v>
      </c>
      <c r="C8" s="76" t="s">
        <v>37</v>
      </c>
      <c r="D8" s="35" t="s">
        <v>62</v>
      </c>
      <c r="E8" s="32">
        <v>44593</v>
      </c>
      <c r="F8" s="80">
        <v>44743</v>
      </c>
      <c r="G8" s="171">
        <v>5360</v>
      </c>
      <c r="H8" s="171">
        <v>5360</v>
      </c>
      <c r="I8" s="171">
        <v>5360</v>
      </c>
      <c r="J8" s="171">
        <v>5360</v>
      </c>
      <c r="K8" s="171">
        <v>5360</v>
      </c>
      <c r="L8" s="43">
        <f>ROUND(G8*(VLOOKUP($D8,缴费比例!B:N,MATCH(L$1,缴费比例!$B$1:$N$1,0),FALSE)),2)</f>
        <v>857.6</v>
      </c>
      <c r="M8" s="43">
        <f>ROUND(G8*(VLOOKUP($D8,缴费比例!$B:$N,MATCH(M$1,缴费比例!$B$1:$N$1,0),FALSE)),2)</f>
        <v>428.8</v>
      </c>
      <c r="N8" s="43">
        <f>ROUND(H8*(VLOOKUP($D8,缴费比例!$B:$N,MATCH(N$1,缴费比例!$B$1:$N$1,0),FALSE)),2)</f>
        <v>26.8</v>
      </c>
      <c r="O8" s="43">
        <f>ROUND(H8*(VLOOKUP($D8,缴费比例!$B:$N,MATCH(O$1,缴费比例!$B$1:$N$1,0),FALSE)),2)</f>
        <v>26.8</v>
      </c>
      <c r="P8" s="43">
        <f>ROUND(I8*(VLOOKUP($D8,缴费比例!$B:$N,MATCH(P$1,缴费比例!$B$1:$N$1,0),FALSE)),2)</f>
        <v>10.72</v>
      </c>
      <c r="Q8" s="43">
        <f>ROUND(J8*(VLOOKUP($D8,缴费比例!$B:$N,MATCH(Q$1,缴费比例!$B$1:$N$1,0),FALSE)),2)+VLOOKUP($D8,缴费比例!$B:$N,MATCH("单位大病",缴费比例!$B$1:$N$1,0),FALSE)</f>
        <v>525.28</v>
      </c>
      <c r="R8" s="43">
        <f>ROUND(J8*(VLOOKUP($D8,缴费比例!$B:$N,MATCH(R$1,缴费比例!$B$1:$N$1,0),FALSE)),2)</f>
        <v>107.2</v>
      </c>
      <c r="S8" s="43">
        <f>ROUND((VLOOKUP($D8,缴费比例!$B:$N,MATCH(S$1,缴费比例!$B$1:$N$1,0),FALSE)),2)</f>
        <v>3</v>
      </c>
      <c r="T8" s="43">
        <f>IF(D8="合肥",ROUND(K8*(VLOOKUP($D8,缴费比例!$B:$N,MATCH(T$1,缴费比例!$B$1:$N$1,0),FALSE)),1),ROUND(K8*(VLOOKUP($D8,缴费比例!$B:$N,MATCH(T$1,缴费比例!$B$1:$N$1,0),FALSE)),0))</f>
        <v>643</v>
      </c>
      <c r="U8" s="43">
        <f>IF(D8="合肥",ROUND(K8*(VLOOKUP($D8,缴费比例!$B:$N,MATCH(U$1,缴费比例!$B$1:$N$1,0),FALSE)),1),ROUND(K8*(VLOOKUP($D8,缴费比例!$B:$N,MATCH(U$1,缴费比例!$B$1:$N$1,0),FALSE)),0))</f>
        <v>643</v>
      </c>
      <c r="V8" s="86">
        <f t="shared" si="1"/>
        <v>1420.4</v>
      </c>
      <c r="W8" s="86">
        <f t="shared" si="2"/>
        <v>565.80000000000007</v>
      </c>
      <c r="X8" s="83">
        <f t="shared" si="3"/>
        <v>1986.2</v>
      </c>
      <c r="Y8" s="83">
        <f t="shared" si="4"/>
        <v>1286</v>
      </c>
      <c r="Z8" s="83" t="str">
        <f t="shared" si="0"/>
        <v>北京</v>
      </c>
      <c r="AA8" s="44" t="s">
        <v>341</v>
      </c>
      <c r="AB8" s="45"/>
      <c r="AC8" s="45"/>
      <c r="AD8" s="33"/>
      <c r="AE8" s="33"/>
      <c r="AF8" s="33"/>
      <c r="AG8" s="33"/>
      <c r="AH8" s="33"/>
    </row>
    <row r="9" spans="1:34" ht="20.25" customHeight="1">
      <c r="A9" s="49" t="s">
        <v>60</v>
      </c>
      <c r="B9" s="77" t="s">
        <v>38</v>
      </c>
      <c r="C9" s="76" t="s">
        <v>39</v>
      </c>
      <c r="D9" s="35" t="s">
        <v>62</v>
      </c>
      <c r="E9" s="32">
        <v>44593</v>
      </c>
      <c r="F9" s="80">
        <v>44743</v>
      </c>
      <c r="G9" s="171">
        <v>11000</v>
      </c>
      <c r="H9" s="171">
        <v>11000</v>
      </c>
      <c r="I9" s="171">
        <v>11000</v>
      </c>
      <c r="J9" s="171">
        <v>11000</v>
      </c>
      <c r="K9" s="171">
        <v>11000</v>
      </c>
      <c r="L9" s="43">
        <f>ROUND(G9*(VLOOKUP($D9,缴费比例!B:N,MATCH(L$1,缴费比例!$B$1:$N$1,0),FALSE)),2)</f>
        <v>1760</v>
      </c>
      <c r="M9" s="43">
        <f>ROUND(G9*(VLOOKUP($D9,缴费比例!$B:$N,MATCH(M$1,缴费比例!$B$1:$N$1,0),FALSE)),2)</f>
        <v>880</v>
      </c>
      <c r="N9" s="43">
        <f>ROUND(H9*(VLOOKUP($D9,缴费比例!$B:$N,MATCH(N$1,缴费比例!$B$1:$N$1,0),FALSE)),2)</f>
        <v>55</v>
      </c>
      <c r="O9" s="43">
        <f>ROUND(H9*(VLOOKUP($D9,缴费比例!$B:$N,MATCH(O$1,缴费比例!$B$1:$N$1,0),FALSE)),2)</f>
        <v>55</v>
      </c>
      <c r="P9" s="43">
        <f>ROUND(I9*(VLOOKUP($D9,缴费比例!$B:$N,MATCH(P$1,缴费比例!$B$1:$N$1,0),FALSE)),2)</f>
        <v>22</v>
      </c>
      <c r="Q9" s="43">
        <f>ROUND(J9*(VLOOKUP($D9,缴费比例!$B:$N,MATCH(Q$1,缴费比例!$B$1:$N$1,0),FALSE)),2)+VLOOKUP($D9,缴费比例!$B:$N,MATCH("单位大病",缴费比例!$B$1:$N$1,0),FALSE)</f>
        <v>1078</v>
      </c>
      <c r="R9" s="43">
        <f>ROUND(J9*(VLOOKUP($D9,缴费比例!$B:$N,MATCH(R$1,缴费比例!$B$1:$N$1,0),FALSE)),2)</f>
        <v>220</v>
      </c>
      <c r="S9" s="43">
        <f>ROUND((VLOOKUP($D9,缴费比例!$B:$N,MATCH(S$1,缴费比例!$B$1:$N$1,0),FALSE)),2)</f>
        <v>3</v>
      </c>
      <c r="T9" s="43">
        <f>IF(D9="合肥",ROUND(K9*(VLOOKUP($D9,缴费比例!$B:$N,MATCH(T$1,缴费比例!$B$1:$N$1,0),FALSE)),1),ROUND(K9*(VLOOKUP($D9,缴费比例!$B:$N,MATCH(T$1,缴费比例!$B$1:$N$1,0),FALSE)),0))</f>
        <v>1320</v>
      </c>
      <c r="U9" s="43">
        <f>IF(D9="合肥",ROUND(K9*(VLOOKUP($D9,缴费比例!$B:$N,MATCH(U$1,缴费比例!$B$1:$N$1,0),FALSE)),1),ROUND(K9*(VLOOKUP($D9,缴费比例!$B:$N,MATCH(U$1,缴费比例!$B$1:$N$1,0),FALSE)),0))</f>
        <v>1320</v>
      </c>
      <c r="V9" s="86">
        <f t="shared" si="1"/>
        <v>2915</v>
      </c>
      <c r="W9" s="86">
        <f t="shared" si="2"/>
        <v>1158</v>
      </c>
      <c r="X9" s="83">
        <f t="shared" si="3"/>
        <v>4073</v>
      </c>
      <c r="Y9" s="83">
        <f t="shared" si="4"/>
        <v>2640</v>
      </c>
      <c r="Z9" s="83" t="str">
        <f t="shared" si="0"/>
        <v>北京</v>
      </c>
      <c r="AA9" s="44" t="s">
        <v>341</v>
      </c>
      <c r="AB9" s="45"/>
      <c r="AC9" s="45"/>
      <c r="AD9" s="33"/>
      <c r="AE9" s="33"/>
      <c r="AF9" s="33"/>
      <c r="AG9" s="33"/>
      <c r="AH9" s="33"/>
    </row>
    <row r="10" spans="1:34" ht="20.25" customHeight="1">
      <c r="A10" s="49" t="s">
        <v>60</v>
      </c>
      <c r="B10" s="77" t="s">
        <v>40</v>
      </c>
      <c r="C10" s="36" t="s">
        <v>41</v>
      </c>
      <c r="D10" s="36" t="s">
        <v>66</v>
      </c>
      <c r="E10" s="32">
        <v>44593</v>
      </c>
      <c r="F10" s="80">
        <v>44743</v>
      </c>
      <c r="G10" s="171">
        <v>2075</v>
      </c>
      <c r="H10" s="171">
        <v>2075</v>
      </c>
      <c r="I10" s="171">
        <v>3488.4</v>
      </c>
      <c r="J10" s="171">
        <v>3676</v>
      </c>
      <c r="K10" s="171">
        <v>1720</v>
      </c>
      <c r="L10" s="43">
        <f>ROUND(G10*(VLOOKUP($D10,缴费比例!B:N,MATCH(L$1,缴费比例!$B$1:$N$1,0),FALSE)),2)</f>
        <v>332</v>
      </c>
      <c r="M10" s="43">
        <f>ROUND(G10*(VLOOKUP($D10,缴费比例!$B:$N,MATCH(M$1,缴费比例!$B$1:$N$1,0),FALSE)),2)</f>
        <v>166</v>
      </c>
      <c r="N10" s="43">
        <f>ROUND(H10*(VLOOKUP($D10,缴费比例!$B:$N,MATCH(N$1,缴费比例!$B$1:$N$1,0),FALSE)),2)</f>
        <v>10.38</v>
      </c>
      <c r="O10" s="43">
        <f>ROUND(H10*(VLOOKUP($D10,缴费比例!$B:$N,MATCH(O$1,缴费比例!$B$1:$N$1,0),FALSE)),2)</f>
        <v>10.38</v>
      </c>
      <c r="P10" s="43">
        <f>ROUND(I10*(VLOOKUP($D10,缴费比例!$B:$N,MATCH(P$1,缴费比例!$B$1:$N$1,0),FALSE)),2)</f>
        <v>12.21</v>
      </c>
      <c r="Q10" s="43">
        <f>ROUND(J10*(VLOOKUP($D10,缴费比例!$B:$N,MATCH(Q$1,缴费比例!$B$1:$N$1,0),FALSE)),2)+VLOOKUP($D10,缴费比例!$B:$N,MATCH("单位大病",缴费比例!$B$1:$N$1,0),FALSE)</f>
        <v>319.81</v>
      </c>
      <c r="R10" s="43">
        <f>ROUND(J10*(VLOOKUP($D10,缴费比例!$B:$N,MATCH(R$1,缴费比例!$B$1:$N$1,0),FALSE)),2)</f>
        <v>73.52</v>
      </c>
      <c r="S10" s="43">
        <f>ROUND((VLOOKUP($D10,缴费比例!$B:$N,MATCH(S$1,缴费比例!$B$1:$N$1,0),FALSE)),2)</f>
        <v>0</v>
      </c>
      <c r="T10" s="43">
        <f>IF(D10="合肥",ROUND(K10*(VLOOKUP($D10,缴费比例!$B:$N,MATCH(T$1,缴费比例!$B$1:$N$1,0),FALSE)),1),ROUND(K10*(VLOOKUP($D10,缴费比例!$B:$N,MATCH(T$1,缴费比例!$B$1:$N$1,0),FALSE)),0))</f>
        <v>86</v>
      </c>
      <c r="U10" s="43">
        <f>IF(D10="合肥",ROUND(K10*(VLOOKUP($D10,缴费比例!$B:$N,MATCH(U$1,缴费比例!$B$1:$N$1,0),FALSE)),1),ROUND(K10*(VLOOKUP($D10,缴费比例!$B:$N,MATCH(U$1,缴费比例!$B$1:$N$1,0),FALSE)),0))</f>
        <v>86</v>
      </c>
      <c r="V10" s="86">
        <f t="shared" si="1"/>
        <v>674.4</v>
      </c>
      <c r="W10" s="86">
        <f t="shared" si="2"/>
        <v>249.89999999999998</v>
      </c>
      <c r="X10" s="83">
        <f t="shared" si="3"/>
        <v>924.3</v>
      </c>
      <c r="Y10" s="83">
        <f t="shared" si="4"/>
        <v>172</v>
      </c>
      <c r="Z10" s="83" t="str">
        <f t="shared" si="0"/>
        <v>外地</v>
      </c>
      <c r="AA10" s="44" t="s">
        <v>341</v>
      </c>
      <c r="AB10" s="45"/>
      <c r="AC10" s="45"/>
      <c r="AD10" s="33"/>
      <c r="AE10" s="33"/>
      <c r="AF10" s="33"/>
      <c r="AG10" s="33"/>
      <c r="AH10" s="33"/>
    </row>
    <row r="11" spans="1:34" ht="20.25" customHeight="1">
      <c r="A11" s="49" t="s">
        <v>60</v>
      </c>
      <c r="B11" s="77" t="s">
        <v>42</v>
      </c>
      <c r="C11" s="36" t="s">
        <v>43</v>
      </c>
      <c r="D11" s="36" t="s">
        <v>64</v>
      </c>
      <c r="E11" s="32">
        <v>44593</v>
      </c>
      <c r="F11" s="80">
        <v>44774</v>
      </c>
      <c r="G11" s="171">
        <v>3430</v>
      </c>
      <c r="H11" s="171">
        <v>3430</v>
      </c>
      <c r="I11" s="171">
        <v>3430</v>
      </c>
      <c r="J11" s="171">
        <v>3430</v>
      </c>
      <c r="K11" s="171">
        <v>1650</v>
      </c>
      <c r="L11" s="43">
        <f>ROUND(G11*(VLOOKUP($D11,缴费比例!B:N,MATCH(L$1,缴费比例!$B$1:$N$1,0),FALSE)),2)</f>
        <v>548.79999999999995</v>
      </c>
      <c r="M11" s="43">
        <f>ROUND(G11*(VLOOKUP($D11,缴费比例!$B:$N,MATCH(M$1,缴费比例!$B$1:$N$1,0),FALSE)),2)</f>
        <v>274.39999999999998</v>
      </c>
      <c r="N11" s="43">
        <f>ROUND(H11*(VLOOKUP($D11,缴费比例!$B:$N,MATCH(N$1,缴费比例!$B$1:$N$1,0),FALSE)),2)</f>
        <v>17.149999999999999</v>
      </c>
      <c r="O11" s="43">
        <f>ROUND(H11*(VLOOKUP($D11,缴费比例!$B:$N,MATCH(O$1,缴费比例!$B$1:$N$1,0),FALSE)),2)</f>
        <v>17.149999999999999</v>
      </c>
      <c r="P11" s="43">
        <f>ROUND(I11*(VLOOKUP($D11,缴费比例!$B:$N,MATCH(P$1,缴费比例!$B$1:$N$1,0),FALSE)),2)</f>
        <v>6.86</v>
      </c>
      <c r="Q11" s="43">
        <f>ROUND(J11*(VLOOKUP($D11,缴费比例!$B:$N,MATCH(Q$1,缴费比例!$B$1:$N$1,0),FALSE)),2)+VLOOKUP($D11,缴费比例!$B:$N,MATCH("单位大病",缴费比例!$B$1:$N$1,0),FALSE)</f>
        <v>234.52</v>
      </c>
      <c r="R11" s="43">
        <f>ROUND(J11*(VLOOKUP($D11,缴费比例!$B:$N,MATCH(R$1,缴费比例!$B$1:$N$1,0),FALSE)),2)</f>
        <v>68.599999999999994</v>
      </c>
      <c r="S11" s="43">
        <f>ROUND((VLOOKUP($D11,缴费比例!$B:$N,MATCH(S$1,缴费比例!$B$1:$N$1,0),FALSE)),2)</f>
        <v>0</v>
      </c>
      <c r="T11" s="43">
        <f>IF(D11="合肥",ROUND(K11*(VLOOKUP($D11,缴费比例!$B:$N,MATCH(T$1,缴费比例!$B$1:$N$1,0),FALSE)),1),ROUND(K11*(VLOOKUP($D11,缴费比例!$B:$N,MATCH(T$1,缴费比例!$B$1:$N$1,0),FALSE)),0))</f>
        <v>82.5</v>
      </c>
      <c r="U11" s="43">
        <f>IF(D11="合肥",ROUND(K11*(VLOOKUP($D11,缴费比例!$B:$N,MATCH(U$1,缴费比例!$B$1:$N$1,0),FALSE)),1),ROUND(K11*(VLOOKUP($D11,缴费比例!$B:$N,MATCH(U$1,缴费比例!$B$1:$N$1,0),FALSE)),0))</f>
        <v>82.5</v>
      </c>
      <c r="V11" s="86">
        <f t="shared" si="1"/>
        <v>807.32999999999993</v>
      </c>
      <c r="W11" s="86">
        <f t="shared" si="2"/>
        <v>360.15</v>
      </c>
      <c r="X11" s="83">
        <f t="shared" si="3"/>
        <v>1167.4799999999998</v>
      </c>
      <c r="Y11" s="83">
        <f t="shared" si="4"/>
        <v>165</v>
      </c>
      <c r="Z11" s="83" t="str">
        <f t="shared" si="0"/>
        <v>外地</v>
      </c>
      <c r="AA11" s="44" t="s">
        <v>341</v>
      </c>
      <c r="AB11" s="45"/>
      <c r="AC11" s="45"/>
      <c r="AD11" s="33"/>
      <c r="AE11" s="33"/>
      <c r="AF11" s="33"/>
      <c r="AG11" s="33"/>
      <c r="AH11" s="33"/>
    </row>
    <row r="12" spans="1:34" ht="20.25" customHeight="1">
      <c r="A12" s="49" t="s">
        <v>60</v>
      </c>
      <c r="B12" s="77" t="s">
        <v>44</v>
      </c>
      <c r="C12" s="36" t="s">
        <v>45</v>
      </c>
      <c r="D12" s="36" t="s">
        <v>64</v>
      </c>
      <c r="E12" s="32">
        <v>44593</v>
      </c>
      <c r="F12" s="80">
        <v>44774</v>
      </c>
      <c r="G12" s="171">
        <v>3430</v>
      </c>
      <c r="H12" s="171">
        <v>3430</v>
      </c>
      <c r="I12" s="171">
        <v>3430</v>
      </c>
      <c r="J12" s="171">
        <v>3430</v>
      </c>
      <c r="K12" s="171">
        <v>1650</v>
      </c>
      <c r="L12" s="43">
        <f>ROUND(G12*(VLOOKUP($D12,缴费比例!B:N,MATCH(L$1,缴费比例!$B$1:$N$1,0),FALSE)),2)</f>
        <v>548.79999999999995</v>
      </c>
      <c r="M12" s="43">
        <f>ROUND(G12*(VLOOKUP($D12,缴费比例!$B:$N,MATCH(M$1,缴费比例!$B$1:$N$1,0),FALSE)),2)</f>
        <v>274.39999999999998</v>
      </c>
      <c r="N12" s="43">
        <f>ROUND(H12*(VLOOKUP($D12,缴费比例!$B:$N,MATCH(N$1,缴费比例!$B$1:$N$1,0),FALSE)),2)</f>
        <v>17.149999999999999</v>
      </c>
      <c r="O12" s="43">
        <f>ROUND(H12*(VLOOKUP($D12,缴费比例!$B:$N,MATCH(O$1,缴费比例!$B$1:$N$1,0),FALSE)),2)</f>
        <v>17.149999999999999</v>
      </c>
      <c r="P12" s="43">
        <f>ROUND(I12*(VLOOKUP($D12,缴费比例!$B:$N,MATCH(P$1,缴费比例!$B$1:$N$1,0),FALSE)),2)</f>
        <v>6.86</v>
      </c>
      <c r="Q12" s="43">
        <f>ROUND(J12*(VLOOKUP($D12,缴费比例!$B:$N,MATCH(Q$1,缴费比例!$B$1:$N$1,0),FALSE)),2)+VLOOKUP($D12,缴费比例!$B:$N,MATCH("单位大病",缴费比例!$B$1:$N$1,0),FALSE)</f>
        <v>234.52</v>
      </c>
      <c r="R12" s="43">
        <f>ROUND(J12*(VLOOKUP($D12,缴费比例!$B:$N,MATCH(R$1,缴费比例!$B$1:$N$1,0),FALSE)),2)</f>
        <v>68.599999999999994</v>
      </c>
      <c r="S12" s="43">
        <f>ROUND((VLOOKUP($D12,缴费比例!$B:$N,MATCH(S$1,缴费比例!$B$1:$N$1,0),FALSE)),2)</f>
        <v>0</v>
      </c>
      <c r="T12" s="43">
        <f>IF(D12="合肥",ROUND(K12*(VLOOKUP($D12,缴费比例!$B:$N,MATCH(T$1,缴费比例!$B$1:$N$1,0),FALSE)),1),ROUND(K12*(VLOOKUP($D12,缴费比例!$B:$N,MATCH(T$1,缴费比例!$B$1:$N$1,0),FALSE)),0))</f>
        <v>82.5</v>
      </c>
      <c r="U12" s="43">
        <f>IF(D12="合肥",ROUND(K12*(VLOOKUP($D12,缴费比例!$B:$N,MATCH(U$1,缴费比例!$B$1:$N$1,0),FALSE)),1),ROUND(K12*(VLOOKUP($D12,缴费比例!$B:$N,MATCH(U$1,缴费比例!$B$1:$N$1,0),FALSE)),0))</f>
        <v>82.5</v>
      </c>
      <c r="V12" s="86">
        <f t="shared" si="1"/>
        <v>807.32999999999993</v>
      </c>
      <c r="W12" s="86">
        <f t="shared" si="2"/>
        <v>360.15</v>
      </c>
      <c r="X12" s="83">
        <f t="shared" si="3"/>
        <v>1167.4799999999998</v>
      </c>
      <c r="Y12" s="83">
        <f t="shared" si="4"/>
        <v>165</v>
      </c>
      <c r="Z12" s="83" t="str">
        <f t="shared" si="0"/>
        <v>外地</v>
      </c>
      <c r="AA12" s="44" t="s">
        <v>341</v>
      </c>
      <c r="AB12" s="45"/>
      <c r="AC12" s="45"/>
      <c r="AD12" s="33"/>
      <c r="AE12" s="33"/>
      <c r="AF12" s="33"/>
      <c r="AG12" s="33"/>
      <c r="AH12" s="33"/>
    </row>
    <row r="13" spans="1:34" ht="20.25" customHeight="1">
      <c r="A13" s="49" t="s">
        <v>60</v>
      </c>
      <c r="B13" s="77" t="s">
        <v>46</v>
      </c>
      <c r="C13" s="36" t="s">
        <v>47</v>
      </c>
      <c r="D13" s="36" t="s">
        <v>64</v>
      </c>
      <c r="E13" s="32">
        <v>44593</v>
      </c>
      <c r="F13" s="80">
        <v>44774</v>
      </c>
      <c r="G13" s="171">
        <v>3430</v>
      </c>
      <c r="H13" s="171">
        <v>3430</v>
      </c>
      <c r="I13" s="171">
        <v>3430</v>
      </c>
      <c r="J13" s="171">
        <v>3430</v>
      </c>
      <c r="K13" s="171">
        <v>1650</v>
      </c>
      <c r="L13" s="43">
        <f>ROUND(G13*(VLOOKUP($D13,缴费比例!B:N,MATCH(L$1,缴费比例!$B$1:$N$1,0),FALSE)),2)</f>
        <v>548.79999999999995</v>
      </c>
      <c r="M13" s="43">
        <f>ROUND(G13*(VLOOKUP($D13,缴费比例!$B:$N,MATCH(M$1,缴费比例!$B$1:$N$1,0),FALSE)),2)</f>
        <v>274.39999999999998</v>
      </c>
      <c r="N13" s="43">
        <f>ROUND(H13*(VLOOKUP($D13,缴费比例!$B:$N,MATCH(N$1,缴费比例!$B$1:$N$1,0),FALSE)),2)</f>
        <v>17.149999999999999</v>
      </c>
      <c r="O13" s="43">
        <f>ROUND(H13*(VLOOKUP($D13,缴费比例!$B:$N,MATCH(O$1,缴费比例!$B$1:$N$1,0),FALSE)),2)</f>
        <v>17.149999999999999</v>
      </c>
      <c r="P13" s="43">
        <f>ROUND(I13*(VLOOKUP($D13,缴费比例!$B:$N,MATCH(P$1,缴费比例!$B$1:$N$1,0),FALSE)),2)</f>
        <v>6.86</v>
      </c>
      <c r="Q13" s="43">
        <f>ROUND(J13*(VLOOKUP($D13,缴费比例!$B:$N,MATCH(Q$1,缴费比例!$B$1:$N$1,0),FALSE)),2)+VLOOKUP($D13,缴费比例!$B:$N,MATCH("单位大病",缴费比例!$B$1:$N$1,0),FALSE)</f>
        <v>234.52</v>
      </c>
      <c r="R13" s="43">
        <f>ROUND(J13*(VLOOKUP($D13,缴费比例!$B:$N,MATCH(R$1,缴费比例!$B$1:$N$1,0),FALSE)),2)</f>
        <v>68.599999999999994</v>
      </c>
      <c r="S13" s="43">
        <f>ROUND((VLOOKUP($D13,缴费比例!$B:$N,MATCH(S$1,缴费比例!$B$1:$N$1,0),FALSE)),2)</f>
        <v>0</v>
      </c>
      <c r="T13" s="43">
        <f>IF(D13="合肥",ROUND(K13*(VLOOKUP($D13,缴费比例!$B:$N,MATCH(T$1,缴费比例!$B$1:$N$1,0),FALSE)),1),ROUND(K13*(VLOOKUP($D13,缴费比例!$B:$N,MATCH(T$1,缴费比例!$B$1:$N$1,0),FALSE)),0))</f>
        <v>82.5</v>
      </c>
      <c r="U13" s="43">
        <f>IF(D13="合肥",ROUND(K13*(VLOOKUP($D13,缴费比例!$B:$N,MATCH(U$1,缴费比例!$B$1:$N$1,0),FALSE)),1),ROUND(K13*(VLOOKUP($D13,缴费比例!$B:$N,MATCH(U$1,缴费比例!$B$1:$N$1,0),FALSE)),0))</f>
        <v>82.5</v>
      </c>
      <c r="V13" s="86">
        <f t="shared" si="1"/>
        <v>807.32999999999993</v>
      </c>
      <c r="W13" s="86">
        <f t="shared" si="2"/>
        <v>360.15</v>
      </c>
      <c r="X13" s="83">
        <f t="shared" si="3"/>
        <v>1167.4799999999998</v>
      </c>
      <c r="Y13" s="83">
        <f t="shared" si="4"/>
        <v>165</v>
      </c>
      <c r="Z13" s="83" t="str">
        <f t="shared" si="0"/>
        <v>外地</v>
      </c>
      <c r="AA13" s="44" t="s">
        <v>341</v>
      </c>
      <c r="AB13" s="45"/>
      <c r="AC13" s="45"/>
      <c r="AD13" s="33"/>
      <c r="AE13" s="33"/>
      <c r="AF13" s="33"/>
      <c r="AG13" s="33"/>
      <c r="AH13" s="33"/>
    </row>
    <row r="14" spans="1:34" ht="20.25" customHeight="1">
      <c r="A14" s="49" t="s">
        <v>60</v>
      </c>
      <c r="B14" s="77" t="s">
        <v>48</v>
      </c>
      <c r="C14" s="36" t="s">
        <v>49</v>
      </c>
      <c r="D14" s="36" t="s">
        <v>64</v>
      </c>
      <c r="E14" s="32">
        <v>44593</v>
      </c>
      <c r="F14" s="80">
        <v>44774</v>
      </c>
      <c r="G14" s="171">
        <v>3430</v>
      </c>
      <c r="H14" s="171">
        <v>3430</v>
      </c>
      <c r="I14" s="171">
        <v>3430</v>
      </c>
      <c r="J14" s="171">
        <v>3430</v>
      </c>
      <c r="K14" s="171">
        <v>1650</v>
      </c>
      <c r="L14" s="43">
        <f>ROUND(G14*(VLOOKUP($D14,缴费比例!B:N,MATCH(L$1,缴费比例!$B$1:$N$1,0),FALSE)),2)</f>
        <v>548.79999999999995</v>
      </c>
      <c r="M14" s="43">
        <f>ROUND(G14*(VLOOKUP($D14,缴费比例!$B:$N,MATCH(M$1,缴费比例!$B$1:$N$1,0),FALSE)),2)</f>
        <v>274.39999999999998</v>
      </c>
      <c r="N14" s="43">
        <f>ROUND(H14*(VLOOKUP($D14,缴费比例!$B:$N,MATCH(N$1,缴费比例!$B$1:$N$1,0),FALSE)),2)</f>
        <v>17.149999999999999</v>
      </c>
      <c r="O14" s="43">
        <f>ROUND(H14*(VLOOKUP($D14,缴费比例!$B:$N,MATCH(O$1,缴费比例!$B$1:$N$1,0),FALSE)),2)</f>
        <v>17.149999999999999</v>
      </c>
      <c r="P14" s="43">
        <f>ROUND(I14*(VLOOKUP($D14,缴费比例!$B:$N,MATCH(P$1,缴费比例!$B$1:$N$1,0),FALSE)),2)</f>
        <v>6.86</v>
      </c>
      <c r="Q14" s="43">
        <f>ROUND(J14*(VLOOKUP($D14,缴费比例!$B:$N,MATCH(Q$1,缴费比例!$B$1:$N$1,0),FALSE)),2)+VLOOKUP($D14,缴费比例!$B:$N,MATCH("单位大病",缴费比例!$B$1:$N$1,0),FALSE)</f>
        <v>234.52</v>
      </c>
      <c r="R14" s="43">
        <f>ROUND(J14*(VLOOKUP($D14,缴费比例!$B:$N,MATCH(R$1,缴费比例!$B$1:$N$1,0),FALSE)),2)</f>
        <v>68.599999999999994</v>
      </c>
      <c r="S14" s="43">
        <f>ROUND((VLOOKUP($D14,缴费比例!$B:$N,MATCH(S$1,缴费比例!$B$1:$N$1,0),FALSE)),2)</f>
        <v>0</v>
      </c>
      <c r="T14" s="43">
        <f>IF(D14="合肥",ROUND(K14*(VLOOKUP($D14,缴费比例!$B:$N,MATCH(T$1,缴费比例!$B$1:$N$1,0),FALSE)),1),ROUND(K14*(VLOOKUP($D14,缴费比例!$B:$N,MATCH(T$1,缴费比例!$B$1:$N$1,0),FALSE)),0))</f>
        <v>82.5</v>
      </c>
      <c r="U14" s="43">
        <f>IF(D14="合肥",ROUND(K14*(VLOOKUP($D14,缴费比例!$B:$N,MATCH(U$1,缴费比例!$B$1:$N$1,0),FALSE)),1),ROUND(K14*(VLOOKUP($D14,缴费比例!$B:$N,MATCH(U$1,缴费比例!$B$1:$N$1,0),FALSE)),0))</f>
        <v>82.5</v>
      </c>
      <c r="V14" s="86">
        <f t="shared" si="1"/>
        <v>807.32999999999993</v>
      </c>
      <c r="W14" s="86">
        <f t="shared" si="2"/>
        <v>360.15</v>
      </c>
      <c r="X14" s="83">
        <f t="shared" si="3"/>
        <v>1167.4799999999998</v>
      </c>
      <c r="Y14" s="83">
        <f t="shared" si="4"/>
        <v>165</v>
      </c>
      <c r="Z14" s="83" t="str">
        <f t="shared" si="0"/>
        <v>外地</v>
      </c>
      <c r="AA14" s="44" t="s">
        <v>341</v>
      </c>
      <c r="AB14" s="45"/>
      <c r="AC14" s="45"/>
      <c r="AD14" s="33"/>
      <c r="AE14" s="33"/>
      <c r="AF14" s="33"/>
      <c r="AG14" s="33"/>
      <c r="AH14" s="33"/>
    </row>
    <row r="15" spans="1:34" ht="20.25" customHeight="1">
      <c r="A15" s="49" t="s">
        <v>60</v>
      </c>
      <c r="B15" s="77" t="s">
        <v>50</v>
      </c>
      <c r="C15" s="36" t="s">
        <v>51</v>
      </c>
      <c r="D15" s="36" t="s">
        <v>64</v>
      </c>
      <c r="E15" s="32">
        <v>44593</v>
      </c>
      <c r="F15" s="80">
        <v>44774</v>
      </c>
      <c r="G15" s="171">
        <v>3430</v>
      </c>
      <c r="H15" s="171">
        <v>3430</v>
      </c>
      <c r="I15" s="171">
        <v>3430</v>
      </c>
      <c r="J15" s="171">
        <v>3430</v>
      </c>
      <c r="K15" s="171">
        <v>1650</v>
      </c>
      <c r="L15" s="43">
        <f>ROUND(G15*(VLOOKUP($D15,缴费比例!B:N,MATCH(L$1,缴费比例!$B$1:$N$1,0),FALSE)),2)</f>
        <v>548.79999999999995</v>
      </c>
      <c r="M15" s="43">
        <f>ROUND(G15*(VLOOKUP($D15,缴费比例!$B:$N,MATCH(M$1,缴费比例!$B$1:$N$1,0),FALSE)),2)</f>
        <v>274.39999999999998</v>
      </c>
      <c r="N15" s="43">
        <f>ROUND(H15*(VLOOKUP($D15,缴费比例!$B:$N,MATCH(N$1,缴费比例!$B$1:$N$1,0),FALSE)),2)</f>
        <v>17.149999999999999</v>
      </c>
      <c r="O15" s="43">
        <f>ROUND(H15*(VLOOKUP($D15,缴费比例!$B:$N,MATCH(O$1,缴费比例!$B$1:$N$1,0),FALSE)),2)</f>
        <v>17.149999999999999</v>
      </c>
      <c r="P15" s="43">
        <f>ROUND(I15*(VLOOKUP($D15,缴费比例!$B:$N,MATCH(P$1,缴费比例!$B$1:$N$1,0),FALSE)),2)</f>
        <v>6.86</v>
      </c>
      <c r="Q15" s="43">
        <f>ROUND(J15*(VLOOKUP($D15,缴费比例!$B:$N,MATCH(Q$1,缴费比例!$B$1:$N$1,0),FALSE)),2)+VLOOKUP($D15,缴费比例!$B:$N,MATCH("单位大病",缴费比例!$B$1:$N$1,0),FALSE)</f>
        <v>234.52</v>
      </c>
      <c r="R15" s="43">
        <f>ROUND(J15*(VLOOKUP($D15,缴费比例!$B:$N,MATCH(R$1,缴费比例!$B$1:$N$1,0),FALSE)),2)</f>
        <v>68.599999999999994</v>
      </c>
      <c r="S15" s="43">
        <f>ROUND((VLOOKUP($D15,缴费比例!$B:$N,MATCH(S$1,缴费比例!$B$1:$N$1,0),FALSE)),2)</f>
        <v>0</v>
      </c>
      <c r="T15" s="43">
        <f>IF(D15="合肥",ROUND(K15*(VLOOKUP($D15,缴费比例!$B:$N,MATCH(T$1,缴费比例!$B$1:$N$1,0),FALSE)),1),ROUND(K15*(VLOOKUP($D15,缴费比例!$B:$N,MATCH(T$1,缴费比例!$B$1:$N$1,0),FALSE)),0))</f>
        <v>82.5</v>
      </c>
      <c r="U15" s="43">
        <f>IF(D15="合肥",ROUND(K15*(VLOOKUP($D15,缴费比例!$B:$N,MATCH(U$1,缴费比例!$B$1:$N$1,0),FALSE)),1),ROUND(K15*(VLOOKUP($D15,缴费比例!$B:$N,MATCH(U$1,缴费比例!$B$1:$N$1,0),FALSE)),0))</f>
        <v>82.5</v>
      </c>
      <c r="V15" s="86">
        <f t="shared" si="1"/>
        <v>807.32999999999993</v>
      </c>
      <c r="W15" s="86">
        <f t="shared" si="2"/>
        <v>360.15</v>
      </c>
      <c r="X15" s="83">
        <f t="shared" si="3"/>
        <v>1167.4799999999998</v>
      </c>
      <c r="Y15" s="83">
        <f t="shared" si="4"/>
        <v>165</v>
      </c>
      <c r="Z15" s="83" t="str">
        <f t="shared" si="0"/>
        <v>外地</v>
      </c>
      <c r="AA15" s="44" t="s">
        <v>341</v>
      </c>
      <c r="AB15" s="45"/>
      <c r="AC15" s="45"/>
      <c r="AD15" s="33"/>
      <c r="AE15" s="33"/>
      <c r="AF15" s="33"/>
      <c r="AG15" s="33"/>
      <c r="AH15" s="33"/>
    </row>
    <row r="16" spans="1:34" ht="20.25" customHeight="1">
      <c r="A16" s="49" t="s">
        <v>60</v>
      </c>
      <c r="B16" s="77" t="s">
        <v>52</v>
      </c>
      <c r="C16" s="36" t="s">
        <v>53</v>
      </c>
      <c r="D16" s="36" t="s">
        <v>126</v>
      </c>
      <c r="E16" s="32">
        <v>44593</v>
      </c>
      <c r="F16" s="80">
        <v>44774</v>
      </c>
      <c r="G16" s="171">
        <v>3430</v>
      </c>
      <c r="H16" s="171">
        <v>3430</v>
      </c>
      <c r="I16" s="171">
        <v>3430</v>
      </c>
      <c r="J16" s="171">
        <v>3430</v>
      </c>
      <c r="K16" s="171">
        <v>11000</v>
      </c>
      <c r="L16" s="43">
        <f>ROUND(G16*(VLOOKUP($D16,缴费比例!B:N,MATCH(L$1,缴费比例!$B$1:$N$1,0),FALSE)),2)</f>
        <v>548.79999999999995</v>
      </c>
      <c r="M16" s="43">
        <f>ROUND(G16*(VLOOKUP($D16,缴费比例!$B:$N,MATCH(M$1,缴费比例!$B$1:$N$1,0),FALSE)),2)</f>
        <v>274.39999999999998</v>
      </c>
      <c r="N16" s="43">
        <f>ROUND(H16*(VLOOKUP($D16,缴费比例!$B:$N,MATCH(N$1,缴费比例!$B$1:$N$1,0),FALSE)),2)</f>
        <v>17.149999999999999</v>
      </c>
      <c r="O16" s="43">
        <f>ROUND(H16*(VLOOKUP($D16,缴费比例!$B:$N,MATCH(O$1,缴费比例!$B$1:$N$1,0),FALSE)),2)</f>
        <v>17.149999999999999</v>
      </c>
      <c r="P16" s="43">
        <f>ROUND(I16*(VLOOKUP($D16,缴费比例!$B:$N,MATCH(P$1,缴费比例!$B$1:$N$1,0),FALSE)),2)</f>
        <v>6.86</v>
      </c>
      <c r="Q16" s="43">
        <f>ROUND(J16*(VLOOKUP($D16,缴费比例!$B:$N,MATCH(Q$1,缴费比例!$B$1:$N$1,0),FALSE)),2)+VLOOKUP($D16,缴费比例!$B:$N,MATCH("单位大病",缴费比例!$B$1:$N$1,0),FALSE)</f>
        <v>234.52</v>
      </c>
      <c r="R16" s="43">
        <f>ROUND(J16*(VLOOKUP($D16,缴费比例!$B:$N,MATCH(R$1,缴费比例!$B$1:$N$1,0),FALSE)),2)</f>
        <v>68.599999999999994</v>
      </c>
      <c r="S16" s="43">
        <f>ROUND((VLOOKUP($D16,缴费比例!$B:$N,MATCH(S$1,缴费比例!$B$1:$N$1,0),FALSE)),2)</f>
        <v>0</v>
      </c>
      <c r="T16" s="43">
        <f>IF(D16="合肥",ROUND(K16*(VLOOKUP($D16,缴费比例!$B:$N,MATCH(T$1,缴费比例!$B$1:$N$1,0),FALSE)),1),ROUND(K16*(VLOOKUP($D16,缴费比例!$B:$N,MATCH(T$1,缴费比例!$B$1:$N$1,0),FALSE)),0))</f>
        <v>1320</v>
      </c>
      <c r="U16" s="43">
        <f>IF(D16="合肥",ROUND(K16*(VLOOKUP($D16,缴费比例!$B:$N,MATCH(U$1,缴费比例!$B$1:$N$1,0),FALSE)),1),ROUND(K16*(VLOOKUP($D16,缴费比例!$B:$N,MATCH(U$1,缴费比例!$B$1:$N$1,0),FALSE)),0))</f>
        <v>1320</v>
      </c>
      <c r="V16" s="86">
        <f t="shared" si="1"/>
        <v>807.32999999999993</v>
      </c>
      <c r="W16" s="86">
        <f t="shared" si="2"/>
        <v>360.15</v>
      </c>
      <c r="X16" s="83">
        <f t="shared" si="3"/>
        <v>1167.4799999999998</v>
      </c>
      <c r="Y16" s="83">
        <f t="shared" si="4"/>
        <v>2640</v>
      </c>
      <c r="Z16" s="83" t="str">
        <f t="shared" si="0"/>
        <v>外地</v>
      </c>
      <c r="AA16" s="44" t="s">
        <v>341</v>
      </c>
      <c r="AB16" s="45"/>
      <c r="AC16" s="45"/>
    </row>
    <row r="17" spans="1:29" ht="20.25" customHeight="1">
      <c r="A17" s="49" t="s">
        <v>60</v>
      </c>
      <c r="B17" s="77" t="s">
        <v>54</v>
      </c>
      <c r="C17" s="36" t="s">
        <v>55</v>
      </c>
      <c r="D17" s="36" t="s">
        <v>64</v>
      </c>
      <c r="E17" s="32">
        <v>44593</v>
      </c>
      <c r="F17" s="80">
        <v>44774</v>
      </c>
      <c r="G17" s="171">
        <v>3430</v>
      </c>
      <c r="H17" s="171">
        <v>3430</v>
      </c>
      <c r="I17" s="171">
        <v>3430</v>
      </c>
      <c r="J17" s="171">
        <v>3430</v>
      </c>
      <c r="K17" s="171">
        <v>1650</v>
      </c>
      <c r="L17" s="43">
        <f>ROUND(G17*(VLOOKUP($D17,缴费比例!B:N,MATCH(L$1,缴费比例!$B$1:$N$1,0),FALSE)),2)</f>
        <v>548.79999999999995</v>
      </c>
      <c r="M17" s="43">
        <f>ROUND(G17*(VLOOKUP($D17,缴费比例!$B:$N,MATCH(M$1,缴费比例!$B$1:$N$1,0),FALSE)),2)</f>
        <v>274.39999999999998</v>
      </c>
      <c r="N17" s="43">
        <f>ROUND(H17*(VLOOKUP($D17,缴费比例!$B:$N,MATCH(N$1,缴费比例!$B$1:$N$1,0),FALSE)),2)</f>
        <v>17.149999999999999</v>
      </c>
      <c r="O17" s="43">
        <f>ROUND(H17*(VLOOKUP($D17,缴费比例!$B:$N,MATCH(O$1,缴费比例!$B$1:$N$1,0),FALSE)),2)</f>
        <v>17.149999999999999</v>
      </c>
      <c r="P17" s="43">
        <f>ROUND(I17*(VLOOKUP($D17,缴费比例!$B:$N,MATCH(P$1,缴费比例!$B$1:$N$1,0),FALSE)),2)</f>
        <v>6.86</v>
      </c>
      <c r="Q17" s="43">
        <f>ROUND(J17*(VLOOKUP($D17,缴费比例!$B:$N,MATCH(Q$1,缴费比例!$B$1:$N$1,0),FALSE)),2)+VLOOKUP($D17,缴费比例!$B:$N,MATCH("单位大病",缴费比例!$B$1:$N$1,0),FALSE)</f>
        <v>234.52</v>
      </c>
      <c r="R17" s="43">
        <f>ROUND(J17*(VLOOKUP($D17,缴费比例!$B:$N,MATCH(R$1,缴费比例!$B$1:$N$1,0),FALSE)),2)</f>
        <v>68.599999999999994</v>
      </c>
      <c r="S17" s="43">
        <f>ROUND((VLOOKUP($D17,缴费比例!$B:$N,MATCH(S$1,缴费比例!$B$1:$N$1,0),FALSE)),2)</f>
        <v>0</v>
      </c>
      <c r="T17" s="43">
        <f>IF(D17="合肥",ROUND(K17*(VLOOKUP($D17,缴费比例!$B:$N,MATCH(T$1,缴费比例!$B$1:$N$1,0),FALSE)),1),ROUND(K17*(VLOOKUP($D17,缴费比例!$B:$N,MATCH(T$1,缴费比例!$B$1:$N$1,0),FALSE)),0))</f>
        <v>82.5</v>
      </c>
      <c r="U17" s="43">
        <f>IF(D17="合肥",ROUND(K17*(VLOOKUP($D17,缴费比例!$B:$N,MATCH(U$1,缴费比例!$B$1:$N$1,0),FALSE)),1),ROUND(K17*(VLOOKUP($D17,缴费比例!$B:$N,MATCH(U$1,缴费比例!$B$1:$N$1,0),FALSE)),0))</f>
        <v>82.5</v>
      </c>
      <c r="V17" s="86">
        <f t="shared" si="1"/>
        <v>807.32999999999993</v>
      </c>
      <c r="W17" s="86">
        <f t="shared" si="2"/>
        <v>360.15</v>
      </c>
      <c r="X17" s="83">
        <f t="shared" si="3"/>
        <v>1167.4799999999998</v>
      </c>
      <c r="Y17" s="83">
        <f t="shared" si="4"/>
        <v>165</v>
      </c>
      <c r="Z17" s="83" t="str">
        <f t="shared" si="0"/>
        <v>外地</v>
      </c>
      <c r="AA17" s="44" t="s">
        <v>341</v>
      </c>
      <c r="AB17" s="45"/>
      <c r="AC17" s="45"/>
    </row>
    <row r="18" spans="1:29" ht="20.25" customHeight="1">
      <c r="A18" s="49" t="s">
        <v>60</v>
      </c>
      <c r="B18" s="77" t="s">
        <v>56</v>
      </c>
      <c r="C18" s="36" t="s">
        <v>57</v>
      </c>
      <c r="D18" s="36" t="s">
        <v>64</v>
      </c>
      <c r="E18" s="32">
        <v>44593</v>
      </c>
      <c r="F18" s="80">
        <v>44774</v>
      </c>
      <c r="G18" s="171">
        <v>3430</v>
      </c>
      <c r="H18" s="171">
        <v>3430</v>
      </c>
      <c r="I18" s="171">
        <v>3430</v>
      </c>
      <c r="J18" s="171">
        <v>3430</v>
      </c>
      <c r="K18" s="171">
        <v>1650</v>
      </c>
      <c r="L18" s="43">
        <f>ROUND(G18*(VLOOKUP($D18,缴费比例!B:N,MATCH(L$1,缴费比例!$B$1:$N$1,0),FALSE)),2)</f>
        <v>548.79999999999995</v>
      </c>
      <c r="M18" s="43">
        <f>ROUND(G18*(VLOOKUP($D18,缴费比例!$B:$N,MATCH(M$1,缴费比例!$B$1:$N$1,0),FALSE)),2)</f>
        <v>274.39999999999998</v>
      </c>
      <c r="N18" s="43">
        <f>ROUND(H18*(VLOOKUP($D18,缴费比例!$B:$N,MATCH(N$1,缴费比例!$B$1:$N$1,0),FALSE)),2)</f>
        <v>17.149999999999999</v>
      </c>
      <c r="O18" s="43">
        <f>ROUND(H18*(VLOOKUP($D18,缴费比例!$B:$N,MATCH(O$1,缴费比例!$B$1:$N$1,0),FALSE)),2)</f>
        <v>17.149999999999999</v>
      </c>
      <c r="P18" s="43">
        <f>ROUND(I18*(VLOOKUP($D18,缴费比例!$B:$N,MATCH(P$1,缴费比例!$B$1:$N$1,0),FALSE)),2)</f>
        <v>6.86</v>
      </c>
      <c r="Q18" s="43">
        <f>ROUND(J18*(VLOOKUP($D18,缴费比例!$B:$N,MATCH(Q$1,缴费比例!$B$1:$N$1,0),FALSE)),2)+VLOOKUP($D18,缴费比例!$B:$N,MATCH("单位大病",缴费比例!$B$1:$N$1,0),FALSE)</f>
        <v>234.52</v>
      </c>
      <c r="R18" s="43">
        <f>ROUND(J18*(VLOOKUP($D18,缴费比例!$B:$N,MATCH(R$1,缴费比例!$B$1:$N$1,0),FALSE)),2)</f>
        <v>68.599999999999994</v>
      </c>
      <c r="S18" s="43">
        <f>ROUND((VLOOKUP($D18,缴费比例!$B:$N,MATCH(S$1,缴费比例!$B$1:$N$1,0),FALSE)),2)</f>
        <v>0</v>
      </c>
      <c r="T18" s="43">
        <f>IF(D18="合肥",ROUND(K18*(VLOOKUP($D18,缴费比例!$B:$N,MATCH(T$1,缴费比例!$B$1:$N$1,0),FALSE)),1),ROUND(K18*(VLOOKUP($D18,缴费比例!$B:$N,MATCH(T$1,缴费比例!$B$1:$N$1,0),FALSE)),0))</f>
        <v>82.5</v>
      </c>
      <c r="U18" s="43">
        <f>IF(D18="合肥",ROUND(K18*(VLOOKUP($D18,缴费比例!$B:$N,MATCH(U$1,缴费比例!$B$1:$N$1,0),FALSE)),1),ROUND(K18*(VLOOKUP($D18,缴费比例!$B:$N,MATCH(U$1,缴费比例!$B$1:$N$1,0),FALSE)),0))</f>
        <v>82.5</v>
      </c>
      <c r="V18" s="86">
        <f t="shared" si="1"/>
        <v>807.32999999999993</v>
      </c>
      <c r="W18" s="86">
        <f t="shared" si="2"/>
        <v>360.15</v>
      </c>
      <c r="X18" s="83">
        <f t="shared" si="3"/>
        <v>1167.4799999999998</v>
      </c>
      <c r="Y18" s="83">
        <f t="shared" si="4"/>
        <v>165</v>
      </c>
      <c r="Z18" s="83" t="str">
        <f t="shared" si="0"/>
        <v>外地</v>
      </c>
      <c r="AA18" s="44" t="s">
        <v>341</v>
      </c>
      <c r="AB18" s="45"/>
      <c r="AC18" s="45"/>
    </row>
    <row r="19" spans="1:29" ht="20.25" customHeight="1">
      <c r="A19" s="49" t="s">
        <v>60</v>
      </c>
      <c r="B19" s="77" t="s">
        <v>58</v>
      </c>
      <c r="C19" s="36" t="s">
        <v>59</v>
      </c>
      <c r="D19" s="36" t="s">
        <v>64</v>
      </c>
      <c r="E19" s="32">
        <v>44593</v>
      </c>
      <c r="F19" s="80">
        <v>44774</v>
      </c>
      <c r="G19" s="171">
        <v>3430</v>
      </c>
      <c r="H19" s="171">
        <v>3430</v>
      </c>
      <c r="I19" s="171">
        <v>3430</v>
      </c>
      <c r="J19" s="171">
        <v>3430</v>
      </c>
      <c r="K19" s="171">
        <v>1650</v>
      </c>
      <c r="L19" s="43">
        <f>ROUND(G19*(VLOOKUP($D19,缴费比例!B:N,MATCH(L$1,缴费比例!$B$1:$N$1,0),FALSE)),2)</f>
        <v>548.79999999999995</v>
      </c>
      <c r="M19" s="43">
        <f>ROUND(G19*(VLOOKUP($D19,缴费比例!$B:$N,MATCH(M$1,缴费比例!$B$1:$N$1,0),FALSE)),2)</f>
        <v>274.39999999999998</v>
      </c>
      <c r="N19" s="43">
        <f>ROUND(H19*(VLOOKUP($D19,缴费比例!$B:$N,MATCH(N$1,缴费比例!$B$1:$N$1,0),FALSE)),2)</f>
        <v>17.149999999999999</v>
      </c>
      <c r="O19" s="43">
        <f>ROUND(H19*(VLOOKUP($D19,缴费比例!$B:$N,MATCH(O$1,缴费比例!$B$1:$N$1,0),FALSE)),2)</f>
        <v>17.149999999999999</v>
      </c>
      <c r="P19" s="43">
        <f>ROUND(I19*(VLOOKUP($D19,缴费比例!$B:$N,MATCH(P$1,缴费比例!$B$1:$N$1,0),FALSE)),2)</f>
        <v>6.86</v>
      </c>
      <c r="Q19" s="43">
        <f>ROUND(J19*(VLOOKUP($D19,缴费比例!$B:$N,MATCH(Q$1,缴费比例!$B$1:$N$1,0),FALSE)),2)+VLOOKUP($D19,缴费比例!$B:$N,MATCH("单位大病",缴费比例!$B$1:$N$1,0),FALSE)</f>
        <v>234.52</v>
      </c>
      <c r="R19" s="43">
        <f>ROUND(J19*(VLOOKUP($D19,缴费比例!$B:$N,MATCH(R$1,缴费比例!$B$1:$N$1,0),FALSE)),2)</f>
        <v>68.599999999999994</v>
      </c>
      <c r="S19" s="43">
        <f>ROUND((VLOOKUP($D19,缴费比例!$B:$N,MATCH(S$1,缴费比例!$B$1:$N$1,0),FALSE)),2)</f>
        <v>0</v>
      </c>
      <c r="T19" s="43">
        <f>IF(D19="合肥",ROUND(K19*(VLOOKUP($D19,缴费比例!$B:$N,MATCH(T$1,缴费比例!$B$1:$N$1,0),FALSE)),1),ROUND(K19*(VLOOKUP($D19,缴费比例!$B:$N,MATCH(T$1,缴费比例!$B$1:$N$1,0),FALSE)),0))</f>
        <v>82.5</v>
      </c>
      <c r="U19" s="43">
        <f>IF(D19="合肥",ROUND(K19*(VLOOKUP($D19,缴费比例!$B:$N,MATCH(U$1,缴费比例!$B$1:$N$1,0),FALSE)),1),ROUND(K19*(VLOOKUP($D19,缴费比例!$B:$N,MATCH(U$1,缴费比例!$B$1:$N$1,0),FALSE)),0))</f>
        <v>82.5</v>
      </c>
      <c r="V19" s="86">
        <f t="shared" si="1"/>
        <v>807.32999999999993</v>
      </c>
      <c r="W19" s="86">
        <f t="shared" si="2"/>
        <v>360.15</v>
      </c>
      <c r="X19" s="83">
        <f t="shared" si="3"/>
        <v>1167.4799999999998</v>
      </c>
      <c r="Y19" s="83">
        <f t="shared" si="4"/>
        <v>165</v>
      </c>
      <c r="Z19" s="83" t="str">
        <f t="shared" si="0"/>
        <v>外地</v>
      </c>
      <c r="AA19" s="44" t="s">
        <v>341</v>
      </c>
      <c r="AB19" s="45"/>
      <c r="AC19" s="45"/>
    </row>
    <row r="20" spans="1:29" ht="20.25" customHeight="1">
      <c r="A20" s="49" t="s">
        <v>235</v>
      </c>
      <c r="B20" s="78" t="s">
        <v>230</v>
      </c>
      <c r="C20" s="36" t="s">
        <v>231</v>
      </c>
      <c r="D20" s="36" t="s">
        <v>236</v>
      </c>
      <c r="E20" s="32">
        <v>44621</v>
      </c>
      <c r="F20" s="80">
        <v>44774</v>
      </c>
      <c r="G20" s="171">
        <v>3430</v>
      </c>
      <c r="H20" s="171">
        <v>3430</v>
      </c>
      <c r="I20" s="171">
        <v>3430</v>
      </c>
      <c r="J20" s="171">
        <v>3430</v>
      </c>
      <c r="K20" s="171">
        <v>1650</v>
      </c>
      <c r="L20" s="43">
        <f>ROUND(G20*(VLOOKUP($D20,缴费比例!B:N,MATCH(L$1,缴费比例!$B$1:$N$1,0),FALSE)),2)</f>
        <v>548.79999999999995</v>
      </c>
      <c r="M20" s="43">
        <f>ROUND(G20*(VLOOKUP($D20,缴费比例!$B:$N,MATCH(M$1,缴费比例!$B$1:$N$1,0),FALSE)),2)</f>
        <v>274.39999999999998</v>
      </c>
      <c r="N20" s="43">
        <f>ROUND(H20*(VLOOKUP($D20,缴费比例!$B:$N,MATCH(N$1,缴费比例!$B$1:$N$1,0),FALSE)),2)</f>
        <v>17.149999999999999</v>
      </c>
      <c r="O20" s="43">
        <f>ROUND(H20*(VLOOKUP($D20,缴费比例!$B:$N,MATCH(O$1,缴费比例!$B$1:$N$1,0),FALSE)),2)</f>
        <v>17.149999999999999</v>
      </c>
      <c r="P20" s="43">
        <f>ROUND(I20*(VLOOKUP($D20,缴费比例!$B:$N,MATCH(P$1,缴费比例!$B$1:$N$1,0),FALSE)),2)</f>
        <v>6.86</v>
      </c>
      <c r="Q20" s="43">
        <f>ROUND(J20*(VLOOKUP($D20,缴费比例!$B:$N,MATCH(Q$1,缴费比例!$B$1:$N$1,0),FALSE)),2)+VLOOKUP($D20,缴费比例!$B:$N,MATCH("单位大病",缴费比例!$B$1:$N$1,0),FALSE)</f>
        <v>234.52</v>
      </c>
      <c r="R20" s="43">
        <f>ROUND(J20*(VLOOKUP($D20,缴费比例!$B:$N,MATCH(R$1,缴费比例!$B$1:$N$1,0),FALSE)),2)</f>
        <v>68.599999999999994</v>
      </c>
      <c r="S20" s="43">
        <f>ROUND((VLOOKUP($D20,缴费比例!$B:$N,MATCH(S$1,缴费比例!$B$1:$N$1,0),FALSE)),2)</f>
        <v>0</v>
      </c>
      <c r="T20" s="43">
        <f>IF(D20="合肥",ROUND(K20*(VLOOKUP($D20,缴费比例!$B:$N,MATCH(T$1,缴费比例!$B$1:$N$1,0),FALSE)),1),ROUND(K20*(VLOOKUP($D20,缴费比例!$B:$N,MATCH(T$1,缴费比例!$B$1:$N$1,0),FALSE)),0))</f>
        <v>82.5</v>
      </c>
      <c r="U20" s="43">
        <f>IF(D20="合肥",ROUND(K20*(VLOOKUP($D20,缴费比例!$B:$N,MATCH(U$1,缴费比例!$B$1:$N$1,0),FALSE)),1),ROUND(K20*(VLOOKUP($D20,缴费比例!$B:$N,MATCH(U$1,缴费比例!$B$1:$N$1,0),FALSE)),0))</f>
        <v>82.5</v>
      </c>
      <c r="V20" s="86">
        <f t="shared" si="1"/>
        <v>807.32999999999993</v>
      </c>
      <c r="W20" s="86">
        <f t="shared" si="2"/>
        <v>360.15</v>
      </c>
      <c r="X20" s="83">
        <f t="shared" si="3"/>
        <v>1167.4799999999998</v>
      </c>
      <c r="Y20" s="83">
        <f t="shared" si="4"/>
        <v>165</v>
      </c>
      <c r="Z20" s="83" t="str">
        <f t="shared" si="0"/>
        <v>外地</v>
      </c>
      <c r="AA20" s="44" t="s">
        <v>341</v>
      </c>
      <c r="AB20" s="45"/>
      <c r="AC20" s="45"/>
    </row>
    <row r="21" spans="1:29" ht="20.25" customHeight="1">
      <c r="A21" s="49" t="s">
        <v>235</v>
      </c>
      <c r="B21" s="78" t="s">
        <v>232</v>
      </c>
      <c r="C21" s="36" t="s">
        <v>233</v>
      </c>
      <c r="D21" s="36" t="s">
        <v>236</v>
      </c>
      <c r="E21" s="32">
        <v>44621</v>
      </c>
      <c r="F21" s="80">
        <v>44774</v>
      </c>
      <c r="G21" s="171">
        <v>3430</v>
      </c>
      <c r="H21" s="171">
        <v>3430</v>
      </c>
      <c r="I21" s="171">
        <v>3430</v>
      </c>
      <c r="J21" s="171">
        <v>3430</v>
      </c>
      <c r="K21" s="171">
        <v>1650</v>
      </c>
      <c r="L21" s="43">
        <f>ROUND(G21*(VLOOKUP($D21,缴费比例!B:N,MATCH(L$1,缴费比例!$B$1:$N$1,0),FALSE)),2)</f>
        <v>548.79999999999995</v>
      </c>
      <c r="M21" s="43">
        <f>ROUND(G21*(VLOOKUP($D21,缴费比例!$B:$N,MATCH(M$1,缴费比例!$B$1:$N$1,0),FALSE)),2)</f>
        <v>274.39999999999998</v>
      </c>
      <c r="N21" s="43">
        <f>ROUND(H21*(VLOOKUP($D21,缴费比例!$B:$N,MATCH(N$1,缴费比例!$B$1:$N$1,0),FALSE)),2)</f>
        <v>17.149999999999999</v>
      </c>
      <c r="O21" s="43">
        <f>ROUND(H21*(VLOOKUP($D21,缴费比例!$B:$N,MATCH(O$1,缴费比例!$B$1:$N$1,0),FALSE)),2)</f>
        <v>17.149999999999999</v>
      </c>
      <c r="P21" s="43">
        <f>ROUND(I21*(VLOOKUP($D21,缴费比例!$B:$N,MATCH(P$1,缴费比例!$B$1:$N$1,0),FALSE)),2)</f>
        <v>6.86</v>
      </c>
      <c r="Q21" s="43">
        <f>ROUND(J21*(VLOOKUP($D21,缴费比例!$B:$N,MATCH(Q$1,缴费比例!$B$1:$N$1,0),FALSE)),2)+VLOOKUP($D21,缴费比例!$B:$N,MATCH("单位大病",缴费比例!$B$1:$N$1,0),FALSE)</f>
        <v>234.52</v>
      </c>
      <c r="R21" s="43">
        <f>ROUND(J21*(VLOOKUP($D21,缴费比例!$B:$N,MATCH(R$1,缴费比例!$B$1:$N$1,0),FALSE)),2)</f>
        <v>68.599999999999994</v>
      </c>
      <c r="S21" s="43">
        <f>ROUND((VLOOKUP($D21,缴费比例!$B:$N,MATCH(S$1,缴费比例!$B$1:$N$1,0),FALSE)),2)</f>
        <v>0</v>
      </c>
      <c r="T21" s="43">
        <f>IF(D21="合肥",ROUND(K21*(VLOOKUP($D21,缴费比例!$B:$N,MATCH(T$1,缴费比例!$B$1:$N$1,0),FALSE)),1),ROUND(K21*(VLOOKUP($D21,缴费比例!$B:$N,MATCH(T$1,缴费比例!$B$1:$N$1,0),FALSE)),0))</f>
        <v>82.5</v>
      </c>
      <c r="U21" s="43">
        <f>IF(D21="合肥",ROUND(K21*(VLOOKUP($D21,缴费比例!$B:$N,MATCH(U$1,缴费比例!$B$1:$N$1,0),FALSE)),1),ROUND(K21*(VLOOKUP($D21,缴费比例!$B:$N,MATCH(U$1,缴费比例!$B$1:$N$1,0),FALSE)),0))</f>
        <v>82.5</v>
      </c>
      <c r="V21" s="86">
        <f t="shared" si="1"/>
        <v>807.32999999999993</v>
      </c>
      <c r="W21" s="86">
        <f t="shared" si="2"/>
        <v>360.15</v>
      </c>
      <c r="X21" s="83">
        <f t="shared" si="3"/>
        <v>1167.4799999999998</v>
      </c>
      <c r="Y21" s="83">
        <f t="shared" si="4"/>
        <v>165</v>
      </c>
      <c r="Z21" s="83" t="str">
        <f t="shared" si="0"/>
        <v>外地</v>
      </c>
      <c r="AA21" s="44" t="s">
        <v>341</v>
      </c>
      <c r="AB21" s="45"/>
      <c r="AC21" s="45"/>
    </row>
    <row r="22" spans="1:29" ht="20.25" customHeight="1">
      <c r="A22" s="49" t="s">
        <v>235</v>
      </c>
      <c r="B22" s="78" t="s">
        <v>234</v>
      </c>
      <c r="C22" s="36" t="s">
        <v>305</v>
      </c>
      <c r="D22" s="36" t="s">
        <v>236</v>
      </c>
      <c r="E22" s="32">
        <v>44621</v>
      </c>
      <c r="F22" s="80">
        <v>44774</v>
      </c>
      <c r="G22" s="171">
        <v>3430</v>
      </c>
      <c r="H22" s="171">
        <v>3430</v>
      </c>
      <c r="I22" s="171">
        <v>3430</v>
      </c>
      <c r="J22" s="171">
        <v>3430</v>
      </c>
      <c r="K22" s="171">
        <v>1650</v>
      </c>
      <c r="L22" s="43">
        <f>ROUND(G22*(VLOOKUP($D22,缴费比例!B:N,MATCH(L$1,缴费比例!$B$1:$N$1,0),FALSE)),2)</f>
        <v>548.79999999999995</v>
      </c>
      <c r="M22" s="43">
        <f>ROUND(G22*(VLOOKUP($D22,缴费比例!$B:$N,MATCH(M$1,缴费比例!$B$1:$N$1,0),FALSE)),2)</f>
        <v>274.39999999999998</v>
      </c>
      <c r="N22" s="43">
        <f>ROUND(H22*(VLOOKUP($D22,缴费比例!$B:$N,MATCH(N$1,缴费比例!$B$1:$N$1,0),FALSE)),2)</f>
        <v>17.149999999999999</v>
      </c>
      <c r="O22" s="43">
        <f>ROUND(H22*(VLOOKUP($D22,缴费比例!$B:$N,MATCH(O$1,缴费比例!$B$1:$N$1,0),FALSE)),2)</f>
        <v>17.149999999999999</v>
      </c>
      <c r="P22" s="43">
        <f>ROUND(I22*(VLOOKUP($D22,缴费比例!$B:$N,MATCH(P$1,缴费比例!$B$1:$N$1,0),FALSE)),2)</f>
        <v>6.86</v>
      </c>
      <c r="Q22" s="43">
        <f>ROUND(J22*(VLOOKUP($D22,缴费比例!$B:$N,MATCH(Q$1,缴费比例!$B$1:$N$1,0),FALSE)),2)+VLOOKUP($D22,缴费比例!$B:$N,MATCH("单位大病",缴费比例!$B$1:$N$1,0),FALSE)</f>
        <v>234.52</v>
      </c>
      <c r="R22" s="43">
        <f>ROUND(J22*(VLOOKUP($D22,缴费比例!$B:$N,MATCH(R$1,缴费比例!$B$1:$N$1,0),FALSE)),2)</f>
        <v>68.599999999999994</v>
      </c>
      <c r="S22" s="43">
        <f>ROUND((VLOOKUP($D22,缴费比例!$B:$N,MATCH(S$1,缴费比例!$B$1:$N$1,0),FALSE)),2)</f>
        <v>0</v>
      </c>
      <c r="T22" s="43">
        <f>IF(D22="合肥",ROUND(K22*(VLOOKUP($D22,缴费比例!$B:$N,MATCH(T$1,缴费比例!$B$1:$N$1,0),FALSE)),1),ROUND(K22*(VLOOKUP($D22,缴费比例!$B:$N,MATCH(T$1,缴费比例!$B$1:$N$1,0),FALSE)),0))</f>
        <v>82.5</v>
      </c>
      <c r="U22" s="43">
        <f>IF(D22="合肥",ROUND(K22*(VLOOKUP($D22,缴费比例!$B:$N,MATCH(U$1,缴费比例!$B$1:$N$1,0),FALSE)),1),ROUND(K22*(VLOOKUP($D22,缴费比例!$B:$N,MATCH(U$1,缴费比例!$B$1:$N$1,0),FALSE)),0))</f>
        <v>82.5</v>
      </c>
      <c r="V22" s="86">
        <f t="shared" si="1"/>
        <v>807.32999999999993</v>
      </c>
      <c r="W22" s="86">
        <f t="shared" si="2"/>
        <v>360.15</v>
      </c>
      <c r="X22" s="83">
        <f t="shared" si="3"/>
        <v>1167.4799999999998</v>
      </c>
      <c r="Y22" s="83">
        <f t="shared" si="4"/>
        <v>165</v>
      </c>
      <c r="Z22" s="83" t="str">
        <f t="shared" si="0"/>
        <v>外地</v>
      </c>
      <c r="AA22" s="44" t="s">
        <v>341</v>
      </c>
      <c r="AB22" s="45"/>
      <c r="AC22" s="45"/>
    </row>
    <row r="23" spans="1:29" ht="20.25" customHeight="1">
      <c r="A23" s="49" t="s">
        <v>320</v>
      </c>
      <c r="B23" s="78" t="s">
        <v>301</v>
      </c>
      <c r="C23" s="36" t="s">
        <v>322</v>
      </c>
      <c r="D23" s="36" t="s">
        <v>321</v>
      </c>
      <c r="E23" s="32">
        <v>44593</v>
      </c>
      <c r="F23" s="80">
        <v>44743</v>
      </c>
      <c r="G23" s="171">
        <v>19491</v>
      </c>
      <c r="H23" s="171">
        <v>19491</v>
      </c>
      <c r="I23" s="171">
        <v>19491</v>
      </c>
      <c r="J23" s="171">
        <v>19491</v>
      </c>
      <c r="K23" s="171">
        <v>19491</v>
      </c>
      <c r="L23" s="43">
        <f>ROUND(G23*(VLOOKUP($D23,缴费比例!B:N,MATCH(L$1,缴费比例!$B$1:$N$1,0),FALSE)),2)</f>
        <v>3118.56</v>
      </c>
      <c r="M23" s="43">
        <f>ROUND(G23*(VLOOKUP($D23,缴费比例!$B:$N,MATCH(M$1,缴费比例!$B$1:$N$1,0),FALSE)),2)</f>
        <v>1559.28</v>
      </c>
      <c r="N23" s="43">
        <f>ROUND(H23*(VLOOKUP($D23,缴费比例!$B:$N,MATCH(N$1,缴费比例!$B$1:$N$1,0),FALSE)),2)</f>
        <v>97.46</v>
      </c>
      <c r="O23" s="43">
        <f>ROUND(H23*(VLOOKUP($D23,缴费比例!$B:$N,MATCH(O$1,缴费比例!$B$1:$N$1,0),FALSE)),2)</f>
        <v>97.46</v>
      </c>
      <c r="P23" s="43">
        <f>ROUND(I23*(VLOOKUP($D23,缴费比例!$B:$N,MATCH(P$1,缴费比例!$B$1:$N$1,0),FALSE)),2)</f>
        <v>38.979999999999997</v>
      </c>
      <c r="Q23" s="43">
        <f>ROUND(J23*(VLOOKUP($D23,缴费比例!$B:$N,MATCH(Q$1,缴费比例!$B$1:$N$1,0),FALSE)),2)+VLOOKUP($D23,缴费比例!$B:$N,MATCH("单位大病",缴费比例!$B$1:$N$1,0),FALSE)</f>
        <v>1910.12</v>
      </c>
      <c r="R23" s="43">
        <f>ROUND(J23*(VLOOKUP($D23,缴费比例!$B:$N,MATCH(R$1,缴费比例!$B$1:$N$1,0),FALSE)),2)</f>
        <v>389.82</v>
      </c>
      <c r="S23" s="43">
        <f>ROUND((VLOOKUP($D23,缴费比例!$B:$N,MATCH(S$1,缴费比例!$B$1:$N$1,0),FALSE)),2)</f>
        <v>3</v>
      </c>
      <c r="T23" s="43">
        <f>IF(D23="合肥",ROUND(K23*(VLOOKUP($D23,缴费比例!$B:$N,MATCH(T$1,缴费比例!$B$1:$N$1,0),FALSE)),1),ROUND(K23*(VLOOKUP($D23,缴费比例!$B:$N,MATCH(T$1,缴费比例!$B$1:$N$1,0),FALSE)),0))</f>
        <v>2339</v>
      </c>
      <c r="U23" s="43">
        <f>IF(D23="合肥",ROUND(K23*(VLOOKUP($D23,缴费比例!$B:$N,MATCH(U$1,缴费比例!$B$1:$N$1,0),FALSE)),1),ROUND(K23*(VLOOKUP($D23,缴费比例!$B:$N,MATCH(U$1,缴费比例!$B$1:$N$1,0),FALSE)),0))</f>
        <v>2339</v>
      </c>
      <c r="V23" s="86">
        <f t="shared" si="1"/>
        <v>5165.12</v>
      </c>
      <c r="W23" s="86">
        <f t="shared" si="2"/>
        <v>2049.56</v>
      </c>
      <c r="X23" s="83">
        <f t="shared" si="3"/>
        <v>7214.6799999999994</v>
      </c>
      <c r="Y23" s="83">
        <f t="shared" si="4"/>
        <v>4678</v>
      </c>
      <c r="Z23" s="83" t="str">
        <f t="shared" si="0"/>
        <v>北京</v>
      </c>
      <c r="AA23" s="44" t="s">
        <v>341</v>
      </c>
      <c r="AB23" s="45"/>
      <c r="AC23" s="45"/>
    </row>
    <row r="24" spans="1:29" ht="20.25" customHeight="1">
      <c r="A24" s="49" t="s">
        <v>60</v>
      </c>
      <c r="B24" s="78" t="s">
        <v>336</v>
      </c>
      <c r="C24" s="36" t="s">
        <v>339</v>
      </c>
      <c r="D24" s="36" t="s">
        <v>236</v>
      </c>
      <c r="E24" s="32">
        <v>44652</v>
      </c>
      <c r="F24" s="80">
        <v>44774</v>
      </c>
      <c r="G24" s="171">
        <v>3430</v>
      </c>
      <c r="H24" s="171">
        <v>3430</v>
      </c>
      <c r="I24" s="171">
        <v>3430</v>
      </c>
      <c r="J24" s="171">
        <v>3430</v>
      </c>
      <c r="K24" s="171">
        <v>1650</v>
      </c>
      <c r="L24" s="43">
        <f>ROUND(G24*(VLOOKUP($D24,缴费比例!B:N,MATCH(L$1,缴费比例!$B$1:$N$1,0),FALSE)),2)</f>
        <v>548.79999999999995</v>
      </c>
      <c r="M24" s="43">
        <f>ROUND(G24*(VLOOKUP($D24,缴费比例!$B:$N,MATCH(M$1,缴费比例!$B$1:$N$1,0),FALSE)),2)</f>
        <v>274.39999999999998</v>
      </c>
      <c r="N24" s="43">
        <f>ROUND(H24*(VLOOKUP($D24,缴费比例!$B:$N,MATCH(N$1,缴费比例!$B$1:$N$1,0),FALSE)),2)</f>
        <v>17.149999999999999</v>
      </c>
      <c r="O24" s="43">
        <f>ROUND(H24*(VLOOKUP($D24,缴费比例!$B:$N,MATCH(O$1,缴费比例!$B$1:$N$1,0),FALSE)),2)</f>
        <v>17.149999999999999</v>
      </c>
      <c r="P24" s="43">
        <f>ROUND(I24*(VLOOKUP($D24,缴费比例!$B:$N,MATCH(P$1,缴费比例!$B$1:$N$1,0),FALSE)),2)</f>
        <v>6.86</v>
      </c>
      <c r="Q24" s="43">
        <f>ROUND(J24*(VLOOKUP($D24,缴费比例!$B:$N,MATCH(Q$1,缴费比例!$B$1:$N$1,0),FALSE)),2)+VLOOKUP($D24,缴费比例!$B:$N,MATCH("单位大病",缴费比例!$B$1:$N$1,0),FALSE)</f>
        <v>234.52</v>
      </c>
      <c r="R24" s="43">
        <f>ROUND(J24*(VLOOKUP($D24,缴费比例!$B:$N,MATCH(R$1,缴费比例!$B$1:$N$1,0),FALSE)),2)</f>
        <v>68.599999999999994</v>
      </c>
      <c r="S24" s="43">
        <f>ROUND((VLOOKUP($D24,缴费比例!$B:$N,MATCH(S$1,缴费比例!$B$1:$N$1,0),FALSE)),2)</f>
        <v>0</v>
      </c>
      <c r="T24" s="43">
        <f>IF(D24="合肥",ROUND(K24*(VLOOKUP($D24,缴费比例!$B:$N,MATCH(T$1,缴费比例!$B$1:$N$1,0),FALSE)),1),ROUND(K24*(VLOOKUP($D24,缴费比例!$B:$N,MATCH(T$1,缴费比例!$B$1:$N$1,0),FALSE)),0))</f>
        <v>82.5</v>
      </c>
      <c r="U24" s="43">
        <f>IF(D24="合肥",ROUND(K24*(VLOOKUP($D24,缴费比例!$B:$N,MATCH(U$1,缴费比例!$B$1:$N$1,0),FALSE)),1),ROUND(K24*(VLOOKUP($D24,缴费比例!$B:$N,MATCH(U$1,缴费比例!$B$1:$N$1,0),FALSE)),0))</f>
        <v>82.5</v>
      </c>
      <c r="V24" s="86">
        <f t="shared" ref="V24:V25" si="5">L24+N24+P24+Q24</f>
        <v>807.32999999999993</v>
      </c>
      <c r="W24" s="86">
        <f t="shared" ref="W24:W25" si="6">M24+O24+R24+S24</f>
        <v>360.15</v>
      </c>
      <c r="X24" s="83">
        <f t="shared" ref="X24:X25" si="7">SUM(L24:S24)</f>
        <v>1167.4799999999998</v>
      </c>
      <c r="Y24" s="83">
        <f t="shared" ref="Y24:Y25" si="8">SUM(T24:U24)</f>
        <v>165</v>
      </c>
      <c r="Z24" s="83" t="str">
        <f t="shared" si="0"/>
        <v>外地</v>
      </c>
      <c r="AA24" s="44" t="s">
        <v>341</v>
      </c>
      <c r="AB24" s="45"/>
      <c r="AC24" s="45"/>
    </row>
    <row r="25" spans="1:29" ht="20.25" customHeight="1">
      <c r="A25" s="49" t="s">
        <v>60</v>
      </c>
      <c r="B25" s="78" t="s">
        <v>337</v>
      </c>
      <c r="C25" s="36" t="s">
        <v>340</v>
      </c>
      <c r="D25" s="36" t="s">
        <v>236</v>
      </c>
      <c r="E25" s="32">
        <v>44652</v>
      </c>
      <c r="F25" s="80">
        <v>44774</v>
      </c>
      <c r="G25" s="171">
        <v>3430</v>
      </c>
      <c r="H25" s="171">
        <v>3430</v>
      </c>
      <c r="I25" s="171">
        <v>3430</v>
      </c>
      <c r="J25" s="171">
        <v>3430</v>
      </c>
      <c r="K25" s="171">
        <v>1650</v>
      </c>
      <c r="L25" s="43">
        <f>ROUND(G25*(VLOOKUP($D25,缴费比例!B:N,MATCH(L$1,缴费比例!$B$1:$N$1,0),FALSE)),2)</f>
        <v>548.79999999999995</v>
      </c>
      <c r="M25" s="43">
        <f>ROUND(G25*(VLOOKUP($D25,缴费比例!$B:$N,MATCH(M$1,缴费比例!$B$1:$N$1,0),FALSE)),2)</f>
        <v>274.39999999999998</v>
      </c>
      <c r="N25" s="43">
        <f>ROUND(H25*(VLOOKUP($D25,缴费比例!$B:$N,MATCH(N$1,缴费比例!$B$1:$N$1,0),FALSE)),2)</f>
        <v>17.149999999999999</v>
      </c>
      <c r="O25" s="43">
        <f>ROUND(H25*(VLOOKUP($D25,缴费比例!$B:$N,MATCH(O$1,缴费比例!$B$1:$N$1,0),FALSE)),2)</f>
        <v>17.149999999999999</v>
      </c>
      <c r="P25" s="43">
        <f>ROUND(I25*(VLOOKUP($D25,缴费比例!$B:$N,MATCH(P$1,缴费比例!$B$1:$N$1,0),FALSE)),2)</f>
        <v>6.86</v>
      </c>
      <c r="Q25" s="43">
        <f>ROUND(J25*(VLOOKUP($D25,缴费比例!$B:$N,MATCH(Q$1,缴费比例!$B$1:$N$1,0),FALSE)),2)+VLOOKUP($D25,缴费比例!$B:$N,MATCH("单位大病",缴费比例!$B$1:$N$1,0),FALSE)</f>
        <v>234.52</v>
      </c>
      <c r="R25" s="43">
        <f>ROUND(J25*(VLOOKUP($D25,缴费比例!$B:$N,MATCH(R$1,缴费比例!$B$1:$N$1,0),FALSE)),2)</f>
        <v>68.599999999999994</v>
      </c>
      <c r="S25" s="43">
        <f>ROUND((VLOOKUP($D25,缴费比例!$B:$N,MATCH(S$1,缴费比例!$B$1:$N$1,0),FALSE)),2)</f>
        <v>0</v>
      </c>
      <c r="T25" s="43">
        <f>IF(D25="合肥",ROUND(K25*(VLOOKUP($D25,缴费比例!$B:$N,MATCH(T$1,缴费比例!$B$1:$N$1,0),FALSE)),1),ROUND(K25*(VLOOKUP($D25,缴费比例!$B:$N,MATCH(T$1,缴费比例!$B$1:$N$1,0),FALSE)),0))</f>
        <v>82.5</v>
      </c>
      <c r="U25" s="43">
        <f>IF(D25="合肥",ROUND(K25*(VLOOKUP($D25,缴费比例!$B:$N,MATCH(U$1,缴费比例!$B$1:$N$1,0),FALSE)),1),ROUND(K25*(VLOOKUP($D25,缴费比例!$B:$N,MATCH(U$1,缴费比例!$B$1:$N$1,0),FALSE)),0))</f>
        <v>82.5</v>
      </c>
      <c r="V25" s="86">
        <f t="shared" si="5"/>
        <v>807.32999999999993</v>
      </c>
      <c r="W25" s="86">
        <f t="shared" si="6"/>
        <v>360.15</v>
      </c>
      <c r="X25" s="83">
        <f t="shared" si="7"/>
        <v>1167.4799999999998</v>
      </c>
      <c r="Y25" s="83">
        <f t="shared" si="8"/>
        <v>165</v>
      </c>
      <c r="Z25" s="83" t="str">
        <f t="shared" si="0"/>
        <v>外地</v>
      </c>
      <c r="AA25" s="44" t="s">
        <v>341</v>
      </c>
      <c r="AB25" s="45"/>
      <c r="AC25" s="45"/>
    </row>
    <row r="26" spans="1:29" ht="20.25" customHeight="1">
      <c r="A26" s="49" t="s">
        <v>60</v>
      </c>
      <c r="B26" s="78" t="s">
        <v>362</v>
      </c>
      <c r="C26" s="36" t="s">
        <v>373</v>
      </c>
      <c r="D26" s="36" t="s">
        <v>236</v>
      </c>
      <c r="E26" s="32">
        <v>44652</v>
      </c>
      <c r="F26" s="80">
        <v>44774</v>
      </c>
      <c r="G26" s="171">
        <v>3430</v>
      </c>
      <c r="H26" s="171">
        <v>3430</v>
      </c>
      <c r="I26" s="171">
        <v>3430</v>
      </c>
      <c r="J26" s="171">
        <v>3430</v>
      </c>
      <c r="K26" s="171">
        <v>1650</v>
      </c>
      <c r="L26" s="43">
        <f>ROUND(G26*(VLOOKUP($D26,缴费比例!B:N,MATCH(L$1,缴费比例!$B$1:$N$1,0),FALSE)),2)</f>
        <v>548.79999999999995</v>
      </c>
      <c r="M26" s="43">
        <f>ROUND(G26*(VLOOKUP($D26,缴费比例!$B:$N,MATCH(M$1,缴费比例!$B$1:$N$1,0),FALSE)),2)</f>
        <v>274.39999999999998</v>
      </c>
      <c r="N26" s="43">
        <f>ROUND(H26*(VLOOKUP($D26,缴费比例!$B:$N,MATCH(N$1,缴费比例!$B$1:$N$1,0),FALSE)),2)</f>
        <v>17.149999999999999</v>
      </c>
      <c r="O26" s="43">
        <f>ROUND(H26*(VLOOKUP($D26,缴费比例!$B:$N,MATCH(O$1,缴费比例!$B$1:$N$1,0),FALSE)),2)</f>
        <v>17.149999999999999</v>
      </c>
      <c r="P26" s="43">
        <f>ROUND(I26*(VLOOKUP($D26,缴费比例!$B:$N,MATCH(P$1,缴费比例!$B$1:$N$1,0),FALSE)),2)</f>
        <v>6.86</v>
      </c>
      <c r="Q26" s="43">
        <f>ROUND(J26*(VLOOKUP($D26,缴费比例!$B:$N,MATCH(Q$1,缴费比例!$B$1:$N$1,0),FALSE)),2)+VLOOKUP($D26,缴费比例!$B:$N,MATCH("单位大病",缴费比例!$B$1:$N$1,0),FALSE)</f>
        <v>234.52</v>
      </c>
      <c r="R26" s="43">
        <f>ROUND(J26*(VLOOKUP($D26,缴费比例!$B:$N,MATCH(R$1,缴费比例!$B$1:$N$1,0),FALSE)),2)</f>
        <v>68.599999999999994</v>
      </c>
      <c r="S26" s="43">
        <f>ROUND((VLOOKUP($D26,缴费比例!$B:$N,MATCH(S$1,缴费比例!$B$1:$N$1,0),FALSE)),2)</f>
        <v>0</v>
      </c>
      <c r="T26" s="43">
        <f>IF(D26="合肥",ROUND(K26*(VLOOKUP($D26,缴费比例!$B:$N,MATCH(T$1,缴费比例!$B$1:$N$1,0),FALSE)),1),ROUND(K26*(VLOOKUP($D26,缴费比例!$B:$N,MATCH(T$1,缴费比例!$B$1:$N$1,0),FALSE)),0))</f>
        <v>82.5</v>
      </c>
      <c r="U26" s="43">
        <f>IF(D26="合肥",ROUND(K26*(VLOOKUP($D26,缴费比例!$B:$N,MATCH(U$1,缴费比例!$B$1:$N$1,0),FALSE)),1),ROUND(K26*(VLOOKUP($D26,缴费比例!$B:$N,MATCH(U$1,缴费比例!$B$1:$N$1,0),FALSE)),0))</f>
        <v>82.5</v>
      </c>
      <c r="V26" s="86">
        <f t="shared" ref="V26:V33" si="9">L26+N26+P26+Q26</f>
        <v>807.32999999999993</v>
      </c>
      <c r="W26" s="86">
        <f t="shared" ref="W26:W33" si="10">M26+O26+R26+S26</f>
        <v>360.15</v>
      </c>
      <c r="X26" s="83">
        <f t="shared" ref="X26:X33" si="11">SUM(L26:S26)</f>
        <v>1167.4799999999998</v>
      </c>
      <c r="Y26" s="83">
        <f t="shared" ref="Y26:Y33" si="12">SUM(T26:U26)</f>
        <v>165</v>
      </c>
      <c r="Z26" s="83" t="str">
        <f t="shared" si="0"/>
        <v>外地</v>
      </c>
      <c r="AA26" s="44" t="s">
        <v>341</v>
      </c>
    </row>
    <row r="27" spans="1:29" ht="20.25" customHeight="1">
      <c r="A27" s="49" t="s">
        <v>60</v>
      </c>
      <c r="B27" s="78" t="s">
        <v>363</v>
      </c>
      <c r="C27" s="36" t="s">
        <v>374</v>
      </c>
      <c r="D27" s="36" t="s">
        <v>236</v>
      </c>
      <c r="E27" s="32">
        <v>44652</v>
      </c>
      <c r="F27" s="80">
        <v>44774</v>
      </c>
      <c r="G27" s="171">
        <v>3430</v>
      </c>
      <c r="H27" s="171">
        <v>3430</v>
      </c>
      <c r="I27" s="171">
        <v>3430</v>
      </c>
      <c r="J27" s="171">
        <v>3430</v>
      </c>
      <c r="K27" s="171">
        <v>1650</v>
      </c>
      <c r="L27" s="43">
        <f>ROUND(G27*(VLOOKUP($D27,缴费比例!B:N,MATCH(L$1,缴费比例!$B$1:$N$1,0),FALSE)),2)</f>
        <v>548.79999999999995</v>
      </c>
      <c r="M27" s="43">
        <f>ROUND(G27*(VLOOKUP($D27,缴费比例!$B:$N,MATCH(M$1,缴费比例!$B$1:$N$1,0),FALSE)),2)</f>
        <v>274.39999999999998</v>
      </c>
      <c r="N27" s="43">
        <f>ROUND(H27*(VLOOKUP($D27,缴费比例!$B:$N,MATCH(N$1,缴费比例!$B$1:$N$1,0),FALSE)),2)</f>
        <v>17.149999999999999</v>
      </c>
      <c r="O27" s="43">
        <f>ROUND(H27*(VLOOKUP($D27,缴费比例!$B:$N,MATCH(O$1,缴费比例!$B$1:$N$1,0),FALSE)),2)</f>
        <v>17.149999999999999</v>
      </c>
      <c r="P27" s="43">
        <f>ROUND(I27*(VLOOKUP($D27,缴费比例!$B:$N,MATCH(P$1,缴费比例!$B$1:$N$1,0),FALSE)),2)</f>
        <v>6.86</v>
      </c>
      <c r="Q27" s="43">
        <f>ROUND(J27*(VLOOKUP($D27,缴费比例!$B:$N,MATCH(Q$1,缴费比例!$B$1:$N$1,0),FALSE)),2)+VLOOKUP($D27,缴费比例!$B:$N,MATCH("单位大病",缴费比例!$B$1:$N$1,0),FALSE)</f>
        <v>234.52</v>
      </c>
      <c r="R27" s="43">
        <f>ROUND(J27*(VLOOKUP($D27,缴费比例!$B:$N,MATCH(R$1,缴费比例!$B$1:$N$1,0),FALSE)),2)</f>
        <v>68.599999999999994</v>
      </c>
      <c r="S27" s="43">
        <f>ROUND((VLOOKUP($D27,缴费比例!$B:$N,MATCH(S$1,缴费比例!$B$1:$N$1,0),FALSE)),2)</f>
        <v>0</v>
      </c>
      <c r="T27" s="43">
        <f>IF(D27="合肥",ROUND(K27*(VLOOKUP($D27,缴费比例!$B:$N,MATCH(T$1,缴费比例!$B$1:$N$1,0),FALSE)),1),ROUND(K27*(VLOOKUP($D27,缴费比例!$B:$N,MATCH(T$1,缴费比例!$B$1:$N$1,0),FALSE)),0))</f>
        <v>82.5</v>
      </c>
      <c r="U27" s="43">
        <f>IF(D27="合肥",ROUND(K27*(VLOOKUP($D27,缴费比例!$B:$N,MATCH(U$1,缴费比例!$B$1:$N$1,0),FALSE)),1),ROUND(K27*(VLOOKUP($D27,缴费比例!$B:$N,MATCH(U$1,缴费比例!$B$1:$N$1,0),FALSE)),0))</f>
        <v>82.5</v>
      </c>
      <c r="V27" s="86">
        <f t="shared" si="9"/>
        <v>807.32999999999993</v>
      </c>
      <c r="W27" s="86">
        <f t="shared" si="10"/>
        <v>360.15</v>
      </c>
      <c r="X27" s="83">
        <f t="shared" si="11"/>
        <v>1167.4799999999998</v>
      </c>
      <c r="Y27" s="83">
        <f t="shared" si="12"/>
        <v>165</v>
      </c>
      <c r="Z27" s="83" t="str">
        <f t="shared" si="0"/>
        <v>外地</v>
      </c>
      <c r="AA27" s="44" t="s">
        <v>341</v>
      </c>
    </row>
    <row r="28" spans="1:29" ht="20.25" customHeight="1">
      <c r="A28" s="49" t="s">
        <v>60</v>
      </c>
      <c r="B28" s="78" t="s">
        <v>364</v>
      </c>
      <c r="C28" s="36" t="s">
        <v>375</v>
      </c>
      <c r="D28" s="36" t="s">
        <v>236</v>
      </c>
      <c r="E28" s="32">
        <v>44652</v>
      </c>
      <c r="F28" s="80">
        <v>44774</v>
      </c>
      <c r="G28" s="171">
        <v>3430</v>
      </c>
      <c r="H28" s="171">
        <v>3430</v>
      </c>
      <c r="I28" s="171">
        <v>3430</v>
      </c>
      <c r="J28" s="171">
        <v>3430</v>
      </c>
      <c r="K28" s="171">
        <v>1650</v>
      </c>
      <c r="L28" s="43">
        <f>ROUND(G28*(VLOOKUP($D28,缴费比例!B:N,MATCH(L$1,缴费比例!$B$1:$N$1,0),FALSE)),2)</f>
        <v>548.79999999999995</v>
      </c>
      <c r="M28" s="43">
        <f>ROUND(G28*(VLOOKUP($D28,缴费比例!$B:$N,MATCH(M$1,缴费比例!$B$1:$N$1,0),FALSE)),2)</f>
        <v>274.39999999999998</v>
      </c>
      <c r="N28" s="43">
        <f>ROUND(H28*(VLOOKUP($D28,缴费比例!$B:$N,MATCH(N$1,缴费比例!$B$1:$N$1,0),FALSE)),2)</f>
        <v>17.149999999999999</v>
      </c>
      <c r="O28" s="43">
        <f>ROUND(H28*(VLOOKUP($D28,缴费比例!$B:$N,MATCH(O$1,缴费比例!$B$1:$N$1,0),FALSE)),2)</f>
        <v>17.149999999999999</v>
      </c>
      <c r="P28" s="43">
        <f>ROUND(I28*(VLOOKUP($D28,缴费比例!$B:$N,MATCH(P$1,缴费比例!$B$1:$N$1,0),FALSE)),2)</f>
        <v>6.86</v>
      </c>
      <c r="Q28" s="43">
        <f>ROUND(J28*(VLOOKUP($D28,缴费比例!$B:$N,MATCH(Q$1,缴费比例!$B$1:$N$1,0),FALSE)),2)+VLOOKUP($D28,缴费比例!$B:$N,MATCH("单位大病",缴费比例!$B$1:$N$1,0),FALSE)</f>
        <v>234.52</v>
      </c>
      <c r="R28" s="43">
        <f>ROUND(J28*(VLOOKUP($D28,缴费比例!$B:$N,MATCH(R$1,缴费比例!$B$1:$N$1,0),FALSE)),2)</f>
        <v>68.599999999999994</v>
      </c>
      <c r="S28" s="43">
        <f>ROUND((VLOOKUP($D28,缴费比例!$B:$N,MATCH(S$1,缴费比例!$B$1:$N$1,0),FALSE)),2)</f>
        <v>0</v>
      </c>
      <c r="T28" s="43">
        <f>IF(D28="合肥",ROUND(K28*(VLOOKUP($D28,缴费比例!$B:$N,MATCH(T$1,缴费比例!$B$1:$N$1,0),FALSE)),1),ROUND(K28*(VLOOKUP($D28,缴费比例!$B:$N,MATCH(T$1,缴费比例!$B$1:$N$1,0),FALSE)),0))</f>
        <v>82.5</v>
      </c>
      <c r="U28" s="43">
        <f>IF(D28="合肥",ROUND(K28*(VLOOKUP($D28,缴费比例!$B:$N,MATCH(U$1,缴费比例!$B$1:$N$1,0),FALSE)),1),ROUND(K28*(VLOOKUP($D28,缴费比例!$B:$N,MATCH(U$1,缴费比例!$B$1:$N$1,0),FALSE)),0))</f>
        <v>82.5</v>
      </c>
      <c r="V28" s="86">
        <f t="shared" si="9"/>
        <v>807.32999999999993</v>
      </c>
      <c r="W28" s="86">
        <f t="shared" si="10"/>
        <v>360.15</v>
      </c>
      <c r="X28" s="83">
        <f t="shared" si="11"/>
        <v>1167.4799999999998</v>
      </c>
      <c r="Y28" s="83">
        <f t="shared" si="12"/>
        <v>165</v>
      </c>
      <c r="Z28" s="83" t="str">
        <f t="shared" si="0"/>
        <v>外地</v>
      </c>
      <c r="AA28" s="44" t="s">
        <v>341</v>
      </c>
    </row>
    <row r="29" spans="1:29" ht="20.25" customHeight="1">
      <c r="A29" s="49" t="s">
        <v>60</v>
      </c>
      <c r="B29" s="78" t="s">
        <v>365</v>
      </c>
      <c r="C29" s="36" t="s">
        <v>376</v>
      </c>
      <c r="D29" s="36" t="s">
        <v>236</v>
      </c>
      <c r="E29" s="32">
        <v>44652</v>
      </c>
      <c r="F29" s="80">
        <v>44774</v>
      </c>
      <c r="G29" s="171">
        <v>3430</v>
      </c>
      <c r="H29" s="171">
        <v>3430</v>
      </c>
      <c r="I29" s="171">
        <v>3430</v>
      </c>
      <c r="J29" s="171">
        <v>3430</v>
      </c>
      <c r="K29" s="171">
        <v>1650</v>
      </c>
      <c r="L29" s="43">
        <f>ROUND(G29*(VLOOKUP($D29,缴费比例!B:N,MATCH(L$1,缴费比例!$B$1:$N$1,0),FALSE)),2)</f>
        <v>548.79999999999995</v>
      </c>
      <c r="M29" s="43">
        <f>ROUND(G29*(VLOOKUP($D29,缴费比例!$B:$N,MATCH(M$1,缴费比例!$B$1:$N$1,0),FALSE)),2)</f>
        <v>274.39999999999998</v>
      </c>
      <c r="N29" s="43">
        <f>ROUND(H29*(VLOOKUP($D29,缴费比例!$B:$N,MATCH(N$1,缴费比例!$B$1:$N$1,0),FALSE)),2)</f>
        <v>17.149999999999999</v>
      </c>
      <c r="O29" s="43">
        <f>ROUND(H29*(VLOOKUP($D29,缴费比例!$B:$N,MATCH(O$1,缴费比例!$B$1:$N$1,0),FALSE)),2)</f>
        <v>17.149999999999999</v>
      </c>
      <c r="P29" s="43">
        <f>ROUND(I29*(VLOOKUP($D29,缴费比例!$B:$N,MATCH(P$1,缴费比例!$B$1:$N$1,0),FALSE)),2)</f>
        <v>6.86</v>
      </c>
      <c r="Q29" s="43">
        <f>ROUND(J29*(VLOOKUP($D29,缴费比例!$B:$N,MATCH(Q$1,缴费比例!$B$1:$N$1,0),FALSE)),2)+VLOOKUP($D29,缴费比例!$B:$N,MATCH("单位大病",缴费比例!$B$1:$N$1,0),FALSE)</f>
        <v>234.52</v>
      </c>
      <c r="R29" s="43">
        <f>ROUND(J29*(VLOOKUP($D29,缴费比例!$B:$N,MATCH(R$1,缴费比例!$B$1:$N$1,0),FALSE)),2)</f>
        <v>68.599999999999994</v>
      </c>
      <c r="S29" s="43">
        <f>ROUND((VLOOKUP($D29,缴费比例!$B:$N,MATCH(S$1,缴费比例!$B$1:$N$1,0),FALSE)),2)</f>
        <v>0</v>
      </c>
      <c r="T29" s="43">
        <f>IF(D29="合肥",ROUND(K29*(VLOOKUP($D29,缴费比例!$B:$N,MATCH(T$1,缴费比例!$B$1:$N$1,0),FALSE)),1),ROUND(K29*(VLOOKUP($D29,缴费比例!$B:$N,MATCH(T$1,缴费比例!$B$1:$N$1,0),FALSE)),0))</f>
        <v>82.5</v>
      </c>
      <c r="U29" s="43">
        <f>IF(D29="合肥",ROUND(K29*(VLOOKUP($D29,缴费比例!$B:$N,MATCH(U$1,缴费比例!$B$1:$N$1,0),FALSE)),1),ROUND(K29*(VLOOKUP($D29,缴费比例!$B:$N,MATCH(U$1,缴费比例!$B$1:$N$1,0),FALSE)),0))</f>
        <v>82.5</v>
      </c>
      <c r="V29" s="86">
        <f t="shared" si="9"/>
        <v>807.32999999999993</v>
      </c>
      <c r="W29" s="86">
        <f t="shared" si="10"/>
        <v>360.15</v>
      </c>
      <c r="X29" s="83">
        <f t="shared" si="11"/>
        <v>1167.4799999999998</v>
      </c>
      <c r="Y29" s="83">
        <f t="shared" si="12"/>
        <v>165</v>
      </c>
      <c r="Z29" s="83" t="str">
        <f t="shared" si="0"/>
        <v>外地</v>
      </c>
      <c r="AA29" s="44" t="s">
        <v>341</v>
      </c>
    </row>
    <row r="30" spans="1:29" ht="20.25" customHeight="1">
      <c r="A30" s="49" t="s">
        <v>60</v>
      </c>
      <c r="B30" s="78" t="s">
        <v>366</v>
      </c>
      <c r="C30" s="36" t="s">
        <v>377</v>
      </c>
      <c r="D30" s="36" t="s">
        <v>236</v>
      </c>
      <c r="E30" s="32">
        <v>44652</v>
      </c>
      <c r="F30" s="80">
        <v>44774</v>
      </c>
      <c r="G30" s="171">
        <v>3430</v>
      </c>
      <c r="H30" s="171">
        <v>3430</v>
      </c>
      <c r="I30" s="171">
        <v>3430</v>
      </c>
      <c r="J30" s="171">
        <v>3430</v>
      </c>
      <c r="K30" s="171">
        <v>1650</v>
      </c>
      <c r="L30" s="43">
        <f>ROUND(G30*(VLOOKUP($D30,缴费比例!B:N,MATCH(L$1,缴费比例!$B$1:$N$1,0),FALSE)),2)</f>
        <v>548.79999999999995</v>
      </c>
      <c r="M30" s="43">
        <f>ROUND(G30*(VLOOKUP($D30,缴费比例!$B:$N,MATCH(M$1,缴费比例!$B$1:$N$1,0),FALSE)),2)</f>
        <v>274.39999999999998</v>
      </c>
      <c r="N30" s="43">
        <f>ROUND(H30*(VLOOKUP($D30,缴费比例!$B:$N,MATCH(N$1,缴费比例!$B$1:$N$1,0),FALSE)),2)</f>
        <v>17.149999999999999</v>
      </c>
      <c r="O30" s="43">
        <f>ROUND(H30*(VLOOKUP($D30,缴费比例!$B:$N,MATCH(O$1,缴费比例!$B$1:$N$1,0),FALSE)),2)</f>
        <v>17.149999999999999</v>
      </c>
      <c r="P30" s="43">
        <f>ROUND(I30*(VLOOKUP($D30,缴费比例!$B:$N,MATCH(P$1,缴费比例!$B$1:$N$1,0),FALSE)),2)</f>
        <v>6.86</v>
      </c>
      <c r="Q30" s="43">
        <f>ROUND(J30*(VLOOKUP($D30,缴费比例!$B:$N,MATCH(Q$1,缴费比例!$B$1:$N$1,0),FALSE)),2)+VLOOKUP($D30,缴费比例!$B:$N,MATCH("单位大病",缴费比例!$B$1:$N$1,0),FALSE)</f>
        <v>234.52</v>
      </c>
      <c r="R30" s="43">
        <f>ROUND(J30*(VLOOKUP($D30,缴费比例!$B:$N,MATCH(R$1,缴费比例!$B$1:$N$1,0),FALSE)),2)</f>
        <v>68.599999999999994</v>
      </c>
      <c r="S30" s="43">
        <f>ROUND((VLOOKUP($D30,缴费比例!$B:$N,MATCH(S$1,缴费比例!$B$1:$N$1,0),FALSE)),2)</f>
        <v>0</v>
      </c>
      <c r="T30" s="43">
        <f>IF(D30="合肥",ROUND(K30*(VLOOKUP($D30,缴费比例!$B:$N,MATCH(T$1,缴费比例!$B$1:$N$1,0),FALSE)),1),ROUND(K30*(VLOOKUP($D30,缴费比例!$B:$N,MATCH(T$1,缴费比例!$B$1:$N$1,0),FALSE)),0))</f>
        <v>82.5</v>
      </c>
      <c r="U30" s="43">
        <f>IF(D30="合肥",ROUND(K30*(VLOOKUP($D30,缴费比例!$B:$N,MATCH(U$1,缴费比例!$B$1:$N$1,0),FALSE)),1),ROUND(K30*(VLOOKUP($D30,缴费比例!$B:$N,MATCH(U$1,缴费比例!$B$1:$N$1,0),FALSE)),0))</f>
        <v>82.5</v>
      </c>
      <c r="V30" s="86">
        <f t="shared" si="9"/>
        <v>807.32999999999993</v>
      </c>
      <c r="W30" s="86">
        <f t="shared" si="10"/>
        <v>360.15</v>
      </c>
      <c r="X30" s="83">
        <f t="shared" si="11"/>
        <v>1167.4799999999998</v>
      </c>
      <c r="Y30" s="83">
        <f t="shared" si="12"/>
        <v>165</v>
      </c>
      <c r="Z30" s="83" t="str">
        <f t="shared" si="0"/>
        <v>外地</v>
      </c>
      <c r="AA30" s="44" t="s">
        <v>341</v>
      </c>
    </row>
    <row r="31" spans="1:29" ht="20.25" customHeight="1">
      <c r="A31" s="49" t="s">
        <v>60</v>
      </c>
      <c r="B31" s="78" t="s">
        <v>367</v>
      </c>
      <c r="C31" s="36" t="s">
        <v>378</v>
      </c>
      <c r="D31" s="36" t="s">
        <v>236</v>
      </c>
      <c r="E31" s="32">
        <v>44652</v>
      </c>
      <c r="F31" s="80">
        <v>44774</v>
      </c>
      <c r="G31" s="171">
        <v>3430</v>
      </c>
      <c r="H31" s="171">
        <v>3430</v>
      </c>
      <c r="I31" s="171">
        <v>3430</v>
      </c>
      <c r="J31" s="171">
        <v>3430</v>
      </c>
      <c r="K31" s="171">
        <v>1650</v>
      </c>
      <c r="L31" s="43">
        <f>ROUND(G31*(VLOOKUP($D31,缴费比例!B:N,MATCH(L$1,缴费比例!$B$1:$N$1,0),FALSE)),2)</f>
        <v>548.79999999999995</v>
      </c>
      <c r="M31" s="43">
        <f>ROUND(G31*(VLOOKUP($D31,缴费比例!$B:$N,MATCH(M$1,缴费比例!$B$1:$N$1,0),FALSE)),2)</f>
        <v>274.39999999999998</v>
      </c>
      <c r="N31" s="43">
        <f>ROUND(H31*(VLOOKUP($D31,缴费比例!$B:$N,MATCH(N$1,缴费比例!$B$1:$N$1,0),FALSE)),2)</f>
        <v>17.149999999999999</v>
      </c>
      <c r="O31" s="43">
        <f>ROUND(H31*(VLOOKUP($D31,缴费比例!$B:$N,MATCH(O$1,缴费比例!$B$1:$N$1,0),FALSE)),2)</f>
        <v>17.149999999999999</v>
      </c>
      <c r="P31" s="43">
        <f>ROUND(I31*(VLOOKUP($D31,缴费比例!$B:$N,MATCH(P$1,缴费比例!$B$1:$N$1,0),FALSE)),2)</f>
        <v>6.86</v>
      </c>
      <c r="Q31" s="43">
        <f>ROUND(J31*(VLOOKUP($D31,缴费比例!$B:$N,MATCH(Q$1,缴费比例!$B$1:$N$1,0),FALSE)),2)+VLOOKUP($D31,缴费比例!$B:$N,MATCH("单位大病",缴费比例!$B$1:$N$1,0),FALSE)</f>
        <v>234.52</v>
      </c>
      <c r="R31" s="43">
        <f>ROUND(J31*(VLOOKUP($D31,缴费比例!$B:$N,MATCH(R$1,缴费比例!$B$1:$N$1,0),FALSE)),2)</f>
        <v>68.599999999999994</v>
      </c>
      <c r="S31" s="43">
        <f>ROUND((VLOOKUP($D31,缴费比例!$B:$N,MATCH(S$1,缴费比例!$B$1:$N$1,0),FALSE)),2)</f>
        <v>0</v>
      </c>
      <c r="T31" s="43">
        <f>IF(D31="合肥",ROUND(K31*(VLOOKUP($D31,缴费比例!$B:$N,MATCH(T$1,缴费比例!$B$1:$N$1,0),FALSE)),1),ROUND(K31*(VLOOKUP($D31,缴费比例!$B:$N,MATCH(T$1,缴费比例!$B$1:$N$1,0),FALSE)),0))</f>
        <v>82.5</v>
      </c>
      <c r="U31" s="43">
        <f>IF(D31="合肥",ROUND(K31*(VLOOKUP($D31,缴费比例!$B:$N,MATCH(U$1,缴费比例!$B$1:$N$1,0),FALSE)),1),ROUND(K31*(VLOOKUP($D31,缴费比例!$B:$N,MATCH(U$1,缴费比例!$B$1:$N$1,0),FALSE)),0))</f>
        <v>82.5</v>
      </c>
      <c r="V31" s="86">
        <f t="shared" si="9"/>
        <v>807.32999999999993</v>
      </c>
      <c r="W31" s="86">
        <f t="shared" si="10"/>
        <v>360.15</v>
      </c>
      <c r="X31" s="83">
        <f t="shared" si="11"/>
        <v>1167.4799999999998</v>
      </c>
      <c r="Y31" s="83">
        <f t="shared" si="12"/>
        <v>165</v>
      </c>
      <c r="Z31" s="83" t="str">
        <f t="shared" si="0"/>
        <v>外地</v>
      </c>
      <c r="AA31" s="44" t="s">
        <v>341</v>
      </c>
    </row>
    <row r="32" spans="1:29" ht="20.25" customHeight="1">
      <c r="A32" s="49" t="s">
        <v>60</v>
      </c>
      <c r="B32" s="78" t="s">
        <v>368</v>
      </c>
      <c r="C32" s="36" t="s">
        <v>379</v>
      </c>
      <c r="D32" s="36" t="s">
        <v>236</v>
      </c>
      <c r="E32" s="32">
        <v>44652</v>
      </c>
      <c r="F32" s="80">
        <v>44774</v>
      </c>
      <c r="G32" s="171">
        <v>3430</v>
      </c>
      <c r="H32" s="171">
        <v>3430</v>
      </c>
      <c r="I32" s="171">
        <v>3430</v>
      </c>
      <c r="J32" s="171">
        <v>3430</v>
      </c>
      <c r="K32" s="171">
        <v>1650</v>
      </c>
      <c r="L32" s="43">
        <f>ROUND(G32*(VLOOKUP($D32,缴费比例!B:N,MATCH(L$1,缴费比例!$B$1:$N$1,0),FALSE)),2)</f>
        <v>548.79999999999995</v>
      </c>
      <c r="M32" s="43">
        <f>ROUND(G32*(VLOOKUP($D32,缴费比例!$B:$N,MATCH(M$1,缴费比例!$B$1:$N$1,0),FALSE)),2)</f>
        <v>274.39999999999998</v>
      </c>
      <c r="N32" s="43">
        <f>ROUND(H32*(VLOOKUP($D32,缴费比例!$B:$N,MATCH(N$1,缴费比例!$B$1:$N$1,0),FALSE)),2)</f>
        <v>17.149999999999999</v>
      </c>
      <c r="O32" s="43">
        <f>ROUND(H32*(VLOOKUP($D32,缴费比例!$B:$N,MATCH(O$1,缴费比例!$B$1:$N$1,0),FALSE)),2)</f>
        <v>17.149999999999999</v>
      </c>
      <c r="P32" s="43">
        <f>ROUND(I32*(VLOOKUP($D32,缴费比例!$B:$N,MATCH(P$1,缴费比例!$B$1:$N$1,0),FALSE)),2)</f>
        <v>6.86</v>
      </c>
      <c r="Q32" s="43">
        <f>ROUND(J32*(VLOOKUP($D32,缴费比例!$B:$N,MATCH(Q$1,缴费比例!$B$1:$N$1,0),FALSE)),2)+VLOOKUP($D32,缴费比例!$B:$N,MATCH("单位大病",缴费比例!$B$1:$N$1,0),FALSE)</f>
        <v>234.52</v>
      </c>
      <c r="R32" s="43">
        <f>ROUND(J32*(VLOOKUP($D32,缴费比例!$B:$N,MATCH(R$1,缴费比例!$B$1:$N$1,0),FALSE)),2)</f>
        <v>68.599999999999994</v>
      </c>
      <c r="S32" s="43">
        <f>ROUND((VLOOKUP($D32,缴费比例!$B:$N,MATCH(S$1,缴费比例!$B$1:$N$1,0),FALSE)),2)</f>
        <v>0</v>
      </c>
      <c r="T32" s="43">
        <f>IF(D32="合肥",ROUND(K32*(VLOOKUP($D32,缴费比例!$B:$N,MATCH(T$1,缴费比例!$B$1:$N$1,0),FALSE)),1),ROUND(K32*(VLOOKUP($D32,缴费比例!$B:$N,MATCH(T$1,缴费比例!$B$1:$N$1,0),FALSE)),0))</f>
        <v>82.5</v>
      </c>
      <c r="U32" s="43">
        <f>IF(D32="合肥",ROUND(K32*(VLOOKUP($D32,缴费比例!$B:$N,MATCH(U$1,缴费比例!$B$1:$N$1,0),FALSE)),1),ROUND(K32*(VLOOKUP($D32,缴费比例!$B:$N,MATCH(U$1,缴费比例!$B$1:$N$1,0),FALSE)),0))</f>
        <v>82.5</v>
      </c>
      <c r="V32" s="86">
        <f t="shared" si="9"/>
        <v>807.32999999999993</v>
      </c>
      <c r="W32" s="86">
        <f t="shared" si="10"/>
        <v>360.15</v>
      </c>
      <c r="X32" s="83">
        <f t="shared" si="11"/>
        <v>1167.4799999999998</v>
      </c>
      <c r="Y32" s="83">
        <f t="shared" si="12"/>
        <v>165</v>
      </c>
      <c r="Z32" s="83" t="str">
        <f t="shared" si="0"/>
        <v>外地</v>
      </c>
      <c r="AA32" s="44" t="s">
        <v>341</v>
      </c>
    </row>
    <row r="33" spans="1:27" ht="20.25" customHeight="1">
      <c r="A33" s="49" t="s">
        <v>60</v>
      </c>
      <c r="B33" s="78" t="s">
        <v>369</v>
      </c>
      <c r="C33" s="36" t="s">
        <v>380</v>
      </c>
      <c r="D33" s="36" t="s">
        <v>236</v>
      </c>
      <c r="E33" s="32">
        <v>44652</v>
      </c>
      <c r="F33" s="80">
        <v>44774</v>
      </c>
      <c r="G33" s="171">
        <v>3430</v>
      </c>
      <c r="H33" s="171">
        <v>3430</v>
      </c>
      <c r="I33" s="171">
        <v>3430</v>
      </c>
      <c r="J33" s="171">
        <v>3430</v>
      </c>
      <c r="K33" s="171">
        <v>1650</v>
      </c>
      <c r="L33" s="43">
        <f>ROUND(G33*(VLOOKUP($D33,缴费比例!B:N,MATCH(L$1,缴费比例!$B$1:$N$1,0),FALSE)),2)</f>
        <v>548.79999999999995</v>
      </c>
      <c r="M33" s="43">
        <f>ROUND(G33*(VLOOKUP($D33,缴费比例!$B:$N,MATCH(M$1,缴费比例!$B$1:$N$1,0),FALSE)),2)</f>
        <v>274.39999999999998</v>
      </c>
      <c r="N33" s="43">
        <f>ROUND(H33*(VLOOKUP($D33,缴费比例!$B:$N,MATCH(N$1,缴费比例!$B$1:$N$1,0),FALSE)),2)</f>
        <v>17.149999999999999</v>
      </c>
      <c r="O33" s="43">
        <f>ROUND(H33*(VLOOKUP($D33,缴费比例!$B:$N,MATCH(O$1,缴费比例!$B$1:$N$1,0),FALSE)),2)</f>
        <v>17.149999999999999</v>
      </c>
      <c r="P33" s="43">
        <f>ROUND(I33*(VLOOKUP($D33,缴费比例!$B:$N,MATCH(P$1,缴费比例!$B$1:$N$1,0),FALSE)),2)</f>
        <v>6.86</v>
      </c>
      <c r="Q33" s="43">
        <f>ROUND(J33*(VLOOKUP($D33,缴费比例!$B:$N,MATCH(Q$1,缴费比例!$B$1:$N$1,0),FALSE)),2)+VLOOKUP($D33,缴费比例!$B:$N,MATCH("单位大病",缴费比例!$B$1:$N$1,0),FALSE)</f>
        <v>234.52</v>
      </c>
      <c r="R33" s="43">
        <f>ROUND(J33*(VLOOKUP($D33,缴费比例!$B:$N,MATCH(R$1,缴费比例!$B$1:$N$1,0),FALSE)),2)</f>
        <v>68.599999999999994</v>
      </c>
      <c r="S33" s="43">
        <f>ROUND((VLOOKUP($D33,缴费比例!$B:$N,MATCH(S$1,缴费比例!$B$1:$N$1,0),FALSE)),2)</f>
        <v>0</v>
      </c>
      <c r="T33" s="43">
        <f>IF(D33="合肥",ROUND(K33*(VLOOKUP($D33,缴费比例!$B:$N,MATCH(T$1,缴费比例!$B$1:$N$1,0),FALSE)),1),ROUND(K33*(VLOOKUP($D33,缴费比例!$B:$N,MATCH(T$1,缴费比例!$B$1:$N$1,0),FALSE)),0))</f>
        <v>82.5</v>
      </c>
      <c r="U33" s="43">
        <f>IF(D33="合肥",ROUND(K33*(VLOOKUP($D33,缴费比例!$B:$N,MATCH(U$1,缴费比例!$B$1:$N$1,0),FALSE)),1),ROUND(K33*(VLOOKUP($D33,缴费比例!$B:$N,MATCH(U$1,缴费比例!$B$1:$N$1,0),FALSE)),0))</f>
        <v>82.5</v>
      </c>
      <c r="V33" s="86">
        <f t="shared" si="9"/>
        <v>807.32999999999993</v>
      </c>
      <c r="W33" s="86">
        <f t="shared" si="10"/>
        <v>360.15</v>
      </c>
      <c r="X33" s="83">
        <f t="shared" si="11"/>
        <v>1167.4799999999998</v>
      </c>
      <c r="Y33" s="83">
        <f t="shared" si="12"/>
        <v>165</v>
      </c>
      <c r="Z33" s="83" t="str">
        <f t="shared" si="0"/>
        <v>外地</v>
      </c>
      <c r="AA33" s="44" t="s">
        <v>341</v>
      </c>
    </row>
    <row r="34" spans="1:27" ht="20.25" customHeight="1">
      <c r="A34" s="49" t="s">
        <v>60</v>
      </c>
      <c r="B34" s="78" t="s">
        <v>370</v>
      </c>
      <c r="C34" s="36" t="s">
        <v>381</v>
      </c>
      <c r="D34" s="36" t="s">
        <v>372</v>
      </c>
      <c r="E34" s="32">
        <v>44652</v>
      </c>
      <c r="F34" s="80">
        <v>44743</v>
      </c>
      <c r="G34" s="173">
        <v>5360</v>
      </c>
      <c r="H34" s="173">
        <v>5360</v>
      </c>
      <c r="I34" s="173">
        <v>5360</v>
      </c>
      <c r="J34" s="173">
        <v>5360</v>
      </c>
      <c r="K34" s="173">
        <v>4000</v>
      </c>
      <c r="L34" s="43">
        <f>ROUND(G34*(VLOOKUP($D34,缴费比例!B:N,MATCH(L$1,缴费比例!$B$1:$N$1,0),FALSE)),2)</f>
        <v>857.6</v>
      </c>
      <c r="M34" s="43">
        <f>ROUND(G34*(VLOOKUP($D34,缴费比例!$B:$N,MATCH(M$1,缴费比例!$B$1:$N$1,0),FALSE)),2)</f>
        <v>428.8</v>
      </c>
      <c r="N34" s="43">
        <f>ROUND(H34*(VLOOKUP($D34,缴费比例!$B:$N,MATCH(N$1,缴费比例!$B$1:$N$1,0),FALSE)),2)</f>
        <v>26.8</v>
      </c>
      <c r="O34" s="43">
        <f>ROUND(H34*(VLOOKUP($D34,缴费比例!$B:$N,MATCH(O$1,缴费比例!$B$1:$N$1,0),FALSE)),2)</f>
        <v>26.8</v>
      </c>
      <c r="P34" s="43">
        <f>ROUND(I34*(VLOOKUP($D34,缴费比例!$B:$N,MATCH(P$1,缴费比例!$B$1:$N$1,0),FALSE)),2)</f>
        <v>10.72</v>
      </c>
      <c r="Q34" s="43">
        <f>ROUND(J34*(VLOOKUP($D34,缴费比例!$B:$N,MATCH(Q$1,缴费比例!$B$1:$N$1,0),FALSE)),2)+VLOOKUP($D34,缴费比例!$B:$N,MATCH("单位大病",缴费比例!$B$1:$N$1,0),FALSE)</f>
        <v>525.28</v>
      </c>
      <c r="R34" s="43">
        <f>ROUND(J34*(VLOOKUP($D34,缴费比例!$B:$N,MATCH(R$1,缴费比例!$B$1:$N$1,0),FALSE)),2)</f>
        <v>107.2</v>
      </c>
      <c r="S34" s="43">
        <f>ROUND((VLOOKUP($D34,缴费比例!$B:$N,MATCH(S$1,缴费比例!$B$1:$N$1,0),FALSE)),2)</f>
        <v>3</v>
      </c>
      <c r="T34" s="43">
        <f>IF(D34="合肥",ROUND(K34*(VLOOKUP($D34,缴费比例!$B:$N,MATCH(T$1,缴费比例!$B$1:$N$1,0),FALSE)),1),ROUND(K34*(VLOOKUP($D34,缴费比例!$B:$N,MATCH(T$1,缴费比例!$B$1:$N$1,0),FALSE)),0))</f>
        <v>480</v>
      </c>
      <c r="U34" s="43">
        <f>IF(D34="合肥",ROUND(K34*(VLOOKUP($D34,缴费比例!$B:$N,MATCH(U$1,缴费比例!$B$1:$N$1,0),FALSE)),1),ROUND(K34*(VLOOKUP($D34,缴费比例!$B:$N,MATCH(U$1,缴费比例!$B$1:$N$1,0),FALSE)),0))</f>
        <v>480</v>
      </c>
      <c r="V34" s="86">
        <f t="shared" ref="V34:V35" si="13">L34+N34+P34+Q34</f>
        <v>1420.4</v>
      </c>
      <c r="W34" s="86">
        <f t="shared" ref="W34:W35" si="14">M34+O34+R34+S34</f>
        <v>565.80000000000007</v>
      </c>
      <c r="X34" s="83">
        <f t="shared" ref="X34:X35" si="15">SUM(L34:S34)</f>
        <v>1986.2</v>
      </c>
      <c r="Y34" s="83">
        <f t="shared" ref="Y34:Y35" si="16">SUM(T34:U34)</f>
        <v>960</v>
      </c>
      <c r="Z34" s="83" t="str">
        <f t="shared" si="0"/>
        <v>北京</v>
      </c>
      <c r="AA34" s="44" t="s">
        <v>341</v>
      </c>
    </row>
    <row r="35" spans="1:27" ht="20.25" customHeight="1">
      <c r="A35" s="49" t="s">
        <v>60</v>
      </c>
      <c r="B35" s="78" t="s">
        <v>371</v>
      </c>
      <c r="C35" s="36" t="s">
        <v>382</v>
      </c>
      <c r="D35" s="36" t="s">
        <v>372</v>
      </c>
      <c r="E35" s="32">
        <v>44652</v>
      </c>
      <c r="F35" s="80">
        <v>44743</v>
      </c>
      <c r="G35" s="173">
        <v>5360</v>
      </c>
      <c r="H35" s="173">
        <v>5360</v>
      </c>
      <c r="I35" s="173">
        <v>5360</v>
      </c>
      <c r="J35" s="173">
        <v>5360</v>
      </c>
      <c r="K35" s="173">
        <v>5000</v>
      </c>
      <c r="L35" s="43">
        <f>ROUND(G35*(VLOOKUP($D35,缴费比例!B:N,MATCH(L$1,缴费比例!$B$1:$N$1,0),FALSE)),2)</f>
        <v>857.6</v>
      </c>
      <c r="M35" s="43">
        <f>ROUND(G35*(VLOOKUP($D35,缴费比例!$B:$N,MATCH(M$1,缴费比例!$B$1:$N$1,0),FALSE)),2)</f>
        <v>428.8</v>
      </c>
      <c r="N35" s="43">
        <f>ROUND(H35*(VLOOKUP($D35,缴费比例!$B:$N,MATCH(N$1,缴费比例!$B$1:$N$1,0),FALSE)),2)</f>
        <v>26.8</v>
      </c>
      <c r="O35" s="43">
        <f>ROUND(H35*(VLOOKUP($D35,缴费比例!$B:$N,MATCH(O$1,缴费比例!$B$1:$N$1,0),FALSE)),2)</f>
        <v>26.8</v>
      </c>
      <c r="P35" s="43">
        <f>ROUND(I35*(VLOOKUP($D35,缴费比例!$B:$N,MATCH(P$1,缴费比例!$B$1:$N$1,0),FALSE)),2)</f>
        <v>10.72</v>
      </c>
      <c r="Q35" s="43">
        <f>ROUND(J35*(VLOOKUP($D35,缴费比例!$B:$N,MATCH(Q$1,缴费比例!$B$1:$N$1,0),FALSE)),2)+VLOOKUP($D35,缴费比例!$B:$N,MATCH("单位大病",缴费比例!$B$1:$N$1,0),FALSE)</f>
        <v>525.28</v>
      </c>
      <c r="R35" s="43">
        <f>ROUND(J35*(VLOOKUP($D35,缴费比例!$B:$N,MATCH(R$1,缴费比例!$B$1:$N$1,0),FALSE)),2)</f>
        <v>107.2</v>
      </c>
      <c r="S35" s="43">
        <f>ROUND((VLOOKUP($D35,缴费比例!$B:$N,MATCH(S$1,缴费比例!$B$1:$N$1,0),FALSE)),2)</f>
        <v>3</v>
      </c>
      <c r="T35" s="43">
        <f>IF(D35="合肥",ROUND(K35*(VLOOKUP($D35,缴费比例!$B:$N,MATCH(T$1,缴费比例!$B$1:$N$1,0),FALSE)),1),ROUND(K35*(VLOOKUP($D35,缴费比例!$B:$N,MATCH(T$1,缴费比例!$B$1:$N$1,0),FALSE)),0))</f>
        <v>600</v>
      </c>
      <c r="U35" s="43">
        <f>IF(D35="合肥",ROUND(K35*(VLOOKUP($D35,缴费比例!$B:$N,MATCH(U$1,缴费比例!$B$1:$N$1,0),FALSE)),1),ROUND(K35*(VLOOKUP($D35,缴费比例!$B:$N,MATCH(U$1,缴费比例!$B$1:$N$1,0),FALSE)),0))</f>
        <v>600</v>
      </c>
      <c r="V35" s="86">
        <f t="shared" si="13"/>
        <v>1420.4</v>
      </c>
      <c r="W35" s="86">
        <f t="shared" si="14"/>
        <v>565.80000000000007</v>
      </c>
      <c r="X35" s="83">
        <f t="shared" si="15"/>
        <v>1986.2</v>
      </c>
      <c r="Y35" s="83">
        <f t="shared" si="16"/>
        <v>1200</v>
      </c>
      <c r="Z35" s="83" t="str">
        <f t="shared" si="0"/>
        <v>北京</v>
      </c>
      <c r="AA35" s="44" t="s">
        <v>341</v>
      </c>
    </row>
    <row r="36" spans="1:27" ht="20.25" customHeight="1">
      <c r="A36" s="49" t="s">
        <v>458</v>
      </c>
      <c r="B36" s="78" t="s">
        <v>445</v>
      </c>
      <c r="C36" s="36" t="s">
        <v>459</v>
      </c>
      <c r="D36" s="36" t="s">
        <v>460</v>
      </c>
      <c r="E36" s="32">
        <v>44682</v>
      </c>
      <c r="F36" s="80">
        <v>44774</v>
      </c>
      <c r="G36" s="171">
        <v>3430</v>
      </c>
      <c r="H36" s="171">
        <v>3430</v>
      </c>
      <c r="I36" s="171">
        <v>3430</v>
      </c>
      <c r="J36" s="171">
        <v>3430</v>
      </c>
      <c r="K36" s="171">
        <v>1650</v>
      </c>
      <c r="L36" s="43">
        <f>ROUND(G36*(VLOOKUP($D36,缴费比例!B:N,MATCH(L$1,缴费比例!$B$1:$N$1,0),FALSE)),2)</f>
        <v>548.79999999999995</v>
      </c>
      <c r="M36" s="43">
        <f>ROUND(G36*(VLOOKUP($D36,缴费比例!$B:$N,MATCH(M$1,缴费比例!$B$1:$N$1,0),FALSE)),2)</f>
        <v>274.39999999999998</v>
      </c>
      <c r="N36" s="43">
        <f>ROUND(H36*(VLOOKUP($D36,缴费比例!$B:$N,MATCH(N$1,缴费比例!$B$1:$N$1,0),FALSE)),2)</f>
        <v>17.149999999999999</v>
      </c>
      <c r="O36" s="43">
        <f>ROUND(H36*(VLOOKUP($D36,缴费比例!$B:$N,MATCH(O$1,缴费比例!$B$1:$N$1,0),FALSE)),2)</f>
        <v>17.149999999999999</v>
      </c>
      <c r="P36" s="43">
        <f>ROUND(I36*(VLOOKUP($D36,缴费比例!$B:$N,MATCH(P$1,缴费比例!$B$1:$N$1,0),FALSE)),2)</f>
        <v>6.86</v>
      </c>
      <c r="Q36" s="43">
        <f>ROUND(J36*(VLOOKUP($D36,缴费比例!$B:$N,MATCH(Q$1,缴费比例!$B$1:$N$1,0),FALSE)),2)+VLOOKUP($D36,缴费比例!$B:$N,MATCH("单位大病",缴费比例!$B$1:$N$1,0),FALSE)</f>
        <v>234.52</v>
      </c>
      <c r="R36" s="43">
        <f>ROUND(J36*(VLOOKUP($D36,缴费比例!$B:$N,MATCH(R$1,缴费比例!$B$1:$N$1,0),FALSE)),2)</f>
        <v>68.599999999999994</v>
      </c>
      <c r="S36" s="43">
        <f>ROUND((VLOOKUP($D36,缴费比例!$B:$N,MATCH(S$1,缴费比例!$B$1:$N$1,0),FALSE)),2)</f>
        <v>0</v>
      </c>
      <c r="T36" s="43">
        <f>IF(D36="合肥",ROUND(K36*(VLOOKUP($D36,缴费比例!$B:$N,MATCH(T$1,缴费比例!$B$1:$N$1,0),FALSE)),1),ROUND(K36*(VLOOKUP($D36,缴费比例!$B:$N,MATCH(T$1,缴费比例!$B$1:$N$1,0),FALSE)),0))</f>
        <v>82.5</v>
      </c>
      <c r="U36" s="43">
        <f>IF(D36="合肥",ROUND(K36*(VLOOKUP($D36,缴费比例!$B:$N,MATCH(U$1,缴费比例!$B$1:$N$1,0),FALSE)),1),ROUND(K36*(VLOOKUP($D36,缴费比例!$B:$N,MATCH(U$1,缴费比例!$B$1:$N$1,0),FALSE)),0))</f>
        <v>82.5</v>
      </c>
      <c r="V36" s="86">
        <f t="shared" ref="V36" si="17">L36+N36+P36+Q36</f>
        <v>807.32999999999993</v>
      </c>
      <c r="W36" s="86">
        <f t="shared" ref="W36" si="18">M36+O36+R36+S36</f>
        <v>360.15</v>
      </c>
      <c r="X36" s="83">
        <f t="shared" ref="X36" si="19">SUM(L36:S36)</f>
        <v>1167.4799999999998</v>
      </c>
      <c r="Y36" s="83">
        <f t="shared" ref="Y36" si="20">SUM(T36:U36)</f>
        <v>165</v>
      </c>
      <c r="Z36" s="83" t="str">
        <f t="shared" si="0"/>
        <v>外地</v>
      </c>
      <c r="AA36" s="44" t="s">
        <v>461</v>
      </c>
    </row>
    <row r="37" spans="1:27" ht="20.25" customHeight="1">
      <c r="A37" s="49" t="s">
        <v>458</v>
      </c>
      <c r="B37" s="78" t="s">
        <v>467</v>
      </c>
      <c r="C37" s="36" t="s">
        <v>462</v>
      </c>
      <c r="D37" s="36" t="s">
        <v>457</v>
      </c>
      <c r="E37" s="32">
        <v>44682</v>
      </c>
      <c r="F37" s="80">
        <v>44743</v>
      </c>
      <c r="G37" s="171">
        <v>2075</v>
      </c>
      <c r="H37" s="171">
        <v>2075</v>
      </c>
      <c r="I37" s="171">
        <v>3488.4</v>
      </c>
      <c r="J37" s="171">
        <v>3676</v>
      </c>
      <c r="K37" s="171">
        <v>14400</v>
      </c>
      <c r="L37" s="43">
        <f>ROUND(G37*(VLOOKUP($D37,缴费比例!B:N,MATCH(L$1,缴费比例!$B$1:$N$1,0),FALSE)),2)</f>
        <v>332</v>
      </c>
      <c r="M37" s="43">
        <f>ROUND(G37*(VLOOKUP($D37,缴费比例!$B:$N,MATCH(M$1,缴费比例!$B$1:$N$1,0),FALSE)),2)</f>
        <v>166</v>
      </c>
      <c r="N37" s="43">
        <f>ROUND(H37*(VLOOKUP($D37,缴费比例!$B:$N,MATCH(N$1,缴费比例!$B$1:$N$1,0),FALSE)),2)</f>
        <v>10.38</v>
      </c>
      <c r="O37" s="43">
        <f>ROUND(H37*(VLOOKUP($D37,缴费比例!$B:$N,MATCH(O$1,缴费比例!$B$1:$N$1,0),FALSE)),2)</f>
        <v>10.38</v>
      </c>
      <c r="P37" s="43">
        <f>ROUND(I37*(VLOOKUP($D37,缴费比例!$B:$N,MATCH(P$1,缴费比例!$B$1:$N$1,0),FALSE)),2)</f>
        <v>12.21</v>
      </c>
      <c r="Q37" s="43">
        <f>ROUND(J37*(VLOOKUP($D37,缴费比例!$B:$N,MATCH(Q$1,缴费比例!$B$1:$N$1,0),FALSE)),2)+VLOOKUP($D37,缴费比例!$B:$N,MATCH("单位大病",缴费比例!$B$1:$N$1,0),FALSE)</f>
        <v>319.81</v>
      </c>
      <c r="R37" s="43">
        <f>ROUND(J37*(VLOOKUP($D37,缴费比例!$B:$N,MATCH(R$1,缴费比例!$B$1:$N$1,0),FALSE)),2)</f>
        <v>73.52</v>
      </c>
      <c r="S37" s="43">
        <f>ROUND((VLOOKUP($D37,缴费比例!$B:$N,MATCH(S$1,缴费比例!$B$1:$N$1,0),FALSE)),2)</f>
        <v>0</v>
      </c>
      <c r="T37" s="43">
        <f>IF(D37="合肥",ROUND(K37*(VLOOKUP($D37,缴费比例!$B:$N,MATCH(T$1,缴费比例!$B$1:$N$1,0),FALSE)),1),ROUND(K37*(VLOOKUP($D37,缴费比例!$B:$N,MATCH(T$1,缴费比例!$B$1:$N$1,0),FALSE)),0))</f>
        <v>720</v>
      </c>
      <c r="U37" s="43">
        <f>IF(D37="合肥",ROUND(K37*(VLOOKUP($D37,缴费比例!$B:$N,MATCH(U$1,缴费比例!$B$1:$N$1,0),FALSE)),1),ROUND(K37*(VLOOKUP($D37,缴费比例!$B:$N,MATCH(U$1,缴费比例!$B$1:$N$1,0),FALSE)),0))</f>
        <v>720</v>
      </c>
      <c r="V37" s="86">
        <f t="shared" ref="V37:V40" si="21">L37+N37+P37+Q37</f>
        <v>674.4</v>
      </c>
      <c r="W37" s="86">
        <f t="shared" ref="W37:W40" si="22">M37+O37+R37+S37</f>
        <v>249.89999999999998</v>
      </c>
      <c r="X37" s="83">
        <f t="shared" ref="X37:X40" si="23">SUM(L37:S37)</f>
        <v>924.3</v>
      </c>
      <c r="Y37" s="83">
        <f t="shared" ref="Y37:Y40" si="24">SUM(T37:U37)</f>
        <v>1440</v>
      </c>
      <c r="Z37" s="83" t="str">
        <f t="shared" ref="Z37" si="25">IF(D37="北京","北京","外地")</f>
        <v>外地</v>
      </c>
      <c r="AA37" s="44" t="s">
        <v>461</v>
      </c>
    </row>
    <row r="38" spans="1:27" ht="20.25" customHeight="1">
      <c r="A38" s="49" t="s">
        <v>458</v>
      </c>
      <c r="B38" s="78" t="s">
        <v>468</v>
      </c>
      <c r="C38" s="36" t="s">
        <v>463</v>
      </c>
      <c r="D38" s="36" t="s">
        <v>464</v>
      </c>
      <c r="E38" s="32">
        <v>44682</v>
      </c>
      <c r="F38" s="80">
        <v>44743</v>
      </c>
      <c r="G38" s="171">
        <v>5360</v>
      </c>
      <c r="H38" s="171">
        <v>5360</v>
      </c>
      <c r="I38" s="171">
        <v>5360</v>
      </c>
      <c r="J38" s="171">
        <v>5360</v>
      </c>
      <c r="K38" s="171">
        <v>2636</v>
      </c>
      <c r="L38" s="43">
        <f>ROUND(G38*(VLOOKUP($D38,缴费比例!B:N,MATCH(L$1,缴费比例!$B$1:$N$1,0),FALSE)),2)</f>
        <v>857.6</v>
      </c>
      <c r="M38" s="43">
        <f>ROUND(G38*(VLOOKUP($D38,缴费比例!$B:$N,MATCH(M$1,缴费比例!$B$1:$N$1,0),FALSE)),2)</f>
        <v>428.8</v>
      </c>
      <c r="N38" s="43">
        <f>ROUND(H38*(VLOOKUP($D38,缴费比例!$B:$N,MATCH(N$1,缴费比例!$B$1:$N$1,0),FALSE)),2)</f>
        <v>26.8</v>
      </c>
      <c r="O38" s="43">
        <f>ROUND(H38*(VLOOKUP($D38,缴费比例!$B:$N,MATCH(O$1,缴费比例!$B$1:$N$1,0),FALSE)),2)</f>
        <v>26.8</v>
      </c>
      <c r="P38" s="43">
        <f>ROUND(I38*(VLOOKUP($D38,缴费比例!$B:$N,MATCH(P$1,缴费比例!$B$1:$N$1,0),FALSE)),2)</f>
        <v>10.72</v>
      </c>
      <c r="Q38" s="43">
        <f>ROUND(J38*(VLOOKUP($D38,缴费比例!$B:$N,MATCH(Q$1,缴费比例!$B$1:$N$1,0),FALSE)),2)+VLOOKUP($D38,缴费比例!$B:$N,MATCH("单位大病",缴费比例!$B$1:$N$1,0),FALSE)</f>
        <v>525.28</v>
      </c>
      <c r="R38" s="43">
        <f>ROUND(J38*(VLOOKUP($D38,缴费比例!$B:$N,MATCH(R$1,缴费比例!$B$1:$N$1,0),FALSE)),2)</f>
        <v>107.2</v>
      </c>
      <c r="S38" s="43">
        <f>ROUND((VLOOKUP($D38,缴费比例!$B:$N,MATCH(S$1,缴费比例!$B$1:$N$1,0),FALSE)),2)</f>
        <v>3</v>
      </c>
      <c r="T38" s="43">
        <f>IF(D38="合肥",ROUND(K38*(VLOOKUP($D38,缴费比例!$B:$N,MATCH(T$1,缴费比例!$B$1:$N$1,0),FALSE)),1),ROUND(K38*(VLOOKUP($D38,缴费比例!$B:$N,MATCH(T$1,缴费比例!$B$1:$N$1,0),FALSE)),0))</f>
        <v>316</v>
      </c>
      <c r="U38" s="43">
        <f>IF(D38="合肥",ROUND(K38*(VLOOKUP($D38,缴费比例!$B:$N,MATCH(U$1,缴费比例!$B$1:$N$1,0),FALSE)),1),ROUND(K38*(VLOOKUP($D38,缴费比例!$B:$N,MATCH(U$1,缴费比例!$B$1:$N$1,0),FALSE)),0))</f>
        <v>316</v>
      </c>
      <c r="V38" s="86">
        <f t="shared" si="21"/>
        <v>1420.4</v>
      </c>
      <c r="W38" s="86">
        <f t="shared" si="22"/>
        <v>565.80000000000007</v>
      </c>
      <c r="X38" s="83">
        <f t="shared" si="23"/>
        <v>1986.2</v>
      </c>
      <c r="Y38" s="83">
        <f t="shared" si="24"/>
        <v>632</v>
      </c>
      <c r="Z38" s="83" t="str">
        <f t="shared" si="0"/>
        <v>北京</v>
      </c>
      <c r="AA38" s="44" t="s">
        <v>461</v>
      </c>
    </row>
    <row r="39" spans="1:27" ht="20.25" customHeight="1">
      <c r="A39" s="49" t="s">
        <v>458</v>
      </c>
      <c r="B39" s="78" t="s">
        <v>469</v>
      </c>
      <c r="C39" s="36" t="s">
        <v>465</v>
      </c>
      <c r="D39" s="36" t="s">
        <v>464</v>
      </c>
      <c r="E39" s="32">
        <v>44682</v>
      </c>
      <c r="F39" s="80">
        <v>44743</v>
      </c>
      <c r="G39" s="171">
        <v>5360</v>
      </c>
      <c r="H39" s="171">
        <v>5360</v>
      </c>
      <c r="I39" s="171">
        <v>5360</v>
      </c>
      <c r="J39" s="171">
        <v>5360</v>
      </c>
      <c r="K39" s="171">
        <v>2636</v>
      </c>
      <c r="L39" s="43">
        <f>ROUND(G39*(VLOOKUP($D39,缴费比例!B:N,MATCH(L$1,缴费比例!$B$1:$N$1,0),FALSE)),2)</f>
        <v>857.6</v>
      </c>
      <c r="M39" s="43">
        <f>ROUND(G39*(VLOOKUP($D39,缴费比例!$B:$N,MATCH(M$1,缴费比例!$B$1:$N$1,0),FALSE)),2)</f>
        <v>428.8</v>
      </c>
      <c r="N39" s="43">
        <f>ROUND(H39*(VLOOKUP($D39,缴费比例!$B:$N,MATCH(N$1,缴费比例!$B$1:$N$1,0),FALSE)),2)</f>
        <v>26.8</v>
      </c>
      <c r="O39" s="43">
        <f>ROUND(H39*(VLOOKUP($D39,缴费比例!$B:$N,MATCH(O$1,缴费比例!$B$1:$N$1,0),FALSE)),2)</f>
        <v>26.8</v>
      </c>
      <c r="P39" s="43">
        <f>ROUND(I39*(VLOOKUP($D39,缴费比例!$B:$N,MATCH(P$1,缴费比例!$B$1:$N$1,0),FALSE)),2)</f>
        <v>10.72</v>
      </c>
      <c r="Q39" s="43">
        <f>ROUND(J39*(VLOOKUP($D39,缴费比例!$B:$N,MATCH(Q$1,缴费比例!$B$1:$N$1,0),FALSE)),2)+VLOOKUP($D39,缴费比例!$B:$N,MATCH("单位大病",缴费比例!$B$1:$N$1,0),FALSE)</f>
        <v>525.28</v>
      </c>
      <c r="R39" s="43">
        <f>ROUND(J39*(VLOOKUP($D39,缴费比例!$B:$N,MATCH(R$1,缴费比例!$B$1:$N$1,0),FALSE)),2)</f>
        <v>107.2</v>
      </c>
      <c r="S39" s="43">
        <f>ROUND((VLOOKUP($D39,缴费比例!$B:$N,MATCH(S$1,缴费比例!$B$1:$N$1,0),FALSE)),2)</f>
        <v>3</v>
      </c>
      <c r="T39" s="43">
        <f>IF(D39="合肥",ROUND(K39*(VLOOKUP($D39,缴费比例!$B:$N,MATCH(T$1,缴费比例!$B$1:$N$1,0),FALSE)),1),ROUND(K39*(VLOOKUP($D39,缴费比例!$B:$N,MATCH(T$1,缴费比例!$B$1:$N$1,0),FALSE)),0))</f>
        <v>316</v>
      </c>
      <c r="U39" s="43">
        <f>IF(D39="合肥",ROUND(K39*(VLOOKUP($D39,缴费比例!$B:$N,MATCH(U$1,缴费比例!$B$1:$N$1,0),FALSE)),1),ROUND(K39*(VLOOKUP($D39,缴费比例!$B:$N,MATCH(U$1,缴费比例!$B$1:$N$1,0),FALSE)),0))</f>
        <v>316</v>
      </c>
      <c r="V39" s="86">
        <f t="shared" si="21"/>
        <v>1420.4</v>
      </c>
      <c r="W39" s="86">
        <f t="shared" si="22"/>
        <v>565.80000000000007</v>
      </c>
      <c r="X39" s="83">
        <f t="shared" si="23"/>
        <v>1986.2</v>
      </c>
      <c r="Y39" s="83">
        <f t="shared" si="24"/>
        <v>632</v>
      </c>
      <c r="Z39" s="83" t="str">
        <f t="shared" si="0"/>
        <v>北京</v>
      </c>
      <c r="AA39" s="44" t="s">
        <v>461</v>
      </c>
    </row>
    <row r="40" spans="1:27" ht="20.25" customHeight="1">
      <c r="A40" s="49" t="s">
        <v>458</v>
      </c>
      <c r="B40" s="78" t="s">
        <v>470</v>
      </c>
      <c r="C40" s="36" t="s">
        <v>466</v>
      </c>
      <c r="D40" s="36" t="s">
        <v>464</v>
      </c>
      <c r="E40" s="32">
        <v>44682</v>
      </c>
      <c r="F40" s="80">
        <v>44743</v>
      </c>
      <c r="G40" s="171">
        <v>5360</v>
      </c>
      <c r="H40" s="171">
        <v>5360</v>
      </c>
      <c r="I40" s="171">
        <v>5360</v>
      </c>
      <c r="J40" s="171">
        <v>5360</v>
      </c>
      <c r="K40" s="171">
        <v>2636</v>
      </c>
      <c r="L40" s="43">
        <f>ROUND(G40*(VLOOKUP($D40,缴费比例!B:N,MATCH(L$1,缴费比例!$B$1:$N$1,0),FALSE)),2)</f>
        <v>857.6</v>
      </c>
      <c r="M40" s="43">
        <f>ROUND(G40*(VLOOKUP($D40,缴费比例!$B:$N,MATCH(M$1,缴费比例!$B$1:$N$1,0),FALSE)),2)</f>
        <v>428.8</v>
      </c>
      <c r="N40" s="43">
        <f>ROUND(H40*(VLOOKUP($D40,缴费比例!$B:$N,MATCH(N$1,缴费比例!$B$1:$N$1,0),FALSE)),2)</f>
        <v>26.8</v>
      </c>
      <c r="O40" s="43">
        <f>ROUND(H40*(VLOOKUP($D40,缴费比例!$B:$N,MATCH(O$1,缴费比例!$B$1:$N$1,0),FALSE)),2)</f>
        <v>26.8</v>
      </c>
      <c r="P40" s="43">
        <f>ROUND(I40*(VLOOKUP($D40,缴费比例!$B:$N,MATCH(P$1,缴费比例!$B$1:$N$1,0),FALSE)),2)</f>
        <v>10.72</v>
      </c>
      <c r="Q40" s="43">
        <f>ROUND(J40*(VLOOKUP($D40,缴费比例!$B:$N,MATCH(Q$1,缴费比例!$B$1:$N$1,0),FALSE)),2)+VLOOKUP($D40,缴费比例!$B:$N,MATCH("单位大病",缴费比例!$B$1:$N$1,0),FALSE)</f>
        <v>525.28</v>
      </c>
      <c r="R40" s="43">
        <f>ROUND(J40*(VLOOKUP($D40,缴费比例!$B:$N,MATCH(R$1,缴费比例!$B$1:$N$1,0),FALSE)),2)</f>
        <v>107.2</v>
      </c>
      <c r="S40" s="43">
        <f>ROUND((VLOOKUP($D40,缴费比例!$B:$N,MATCH(S$1,缴费比例!$B$1:$N$1,0),FALSE)),2)</f>
        <v>3</v>
      </c>
      <c r="T40" s="43">
        <f>IF(D40="合肥",ROUND(K40*(VLOOKUP($D40,缴费比例!$B:$N,MATCH(T$1,缴费比例!$B$1:$N$1,0),FALSE)),1),ROUND(K40*(VLOOKUP($D40,缴费比例!$B:$N,MATCH(T$1,缴费比例!$B$1:$N$1,0),FALSE)),0))</f>
        <v>316</v>
      </c>
      <c r="U40" s="43">
        <f>IF(D40="合肥",ROUND(K40*(VLOOKUP($D40,缴费比例!$B:$N,MATCH(U$1,缴费比例!$B$1:$N$1,0),FALSE)),1),ROUND(K40*(VLOOKUP($D40,缴费比例!$B:$N,MATCH(U$1,缴费比例!$B$1:$N$1,0),FALSE)),0))</f>
        <v>316</v>
      </c>
      <c r="V40" s="86">
        <f t="shared" si="21"/>
        <v>1420.4</v>
      </c>
      <c r="W40" s="86">
        <f t="shared" si="22"/>
        <v>565.80000000000007</v>
      </c>
      <c r="X40" s="83">
        <f t="shared" si="23"/>
        <v>1986.2</v>
      </c>
      <c r="Y40" s="83">
        <f t="shared" si="24"/>
        <v>632</v>
      </c>
      <c r="Z40" s="83" t="str">
        <f t="shared" si="0"/>
        <v>北京</v>
      </c>
      <c r="AA40" s="44" t="s">
        <v>461</v>
      </c>
    </row>
    <row r="41" spans="1:27" ht="20.25" customHeight="1">
      <c r="A41" s="49" t="s">
        <v>320</v>
      </c>
      <c r="B41" s="78" t="s">
        <v>487</v>
      </c>
      <c r="C41" s="36" t="s">
        <v>488</v>
      </c>
      <c r="D41" s="36" t="s">
        <v>489</v>
      </c>
      <c r="E41" s="32">
        <v>44713</v>
      </c>
      <c r="F41" s="80">
        <v>44743</v>
      </c>
      <c r="G41" s="171">
        <v>5360</v>
      </c>
      <c r="H41" s="171">
        <v>5360</v>
      </c>
      <c r="I41" s="171">
        <v>5360</v>
      </c>
      <c r="J41" s="171">
        <v>5360</v>
      </c>
      <c r="K41" s="171">
        <v>5360</v>
      </c>
      <c r="L41" s="43">
        <f>ROUND(G41*(VLOOKUP($D41,缴费比例!B:N,MATCH(L$1,缴费比例!$B$1:$N$1,0),FALSE)),2)</f>
        <v>857.6</v>
      </c>
      <c r="M41" s="43">
        <f>ROUND(G41*(VLOOKUP($D41,缴费比例!$B:$N,MATCH(M$1,缴费比例!$B$1:$N$1,0),FALSE)),2)</f>
        <v>428.8</v>
      </c>
      <c r="N41" s="43">
        <f>ROUND(H41*(VLOOKUP($D41,缴费比例!$B:$N,MATCH(N$1,缴费比例!$B$1:$N$1,0),FALSE)),2)</f>
        <v>26.8</v>
      </c>
      <c r="O41" s="43">
        <f>ROUND(H41*(VLOOKUP($D41,缴费比例!$B:$N,MATCH(O$1,缴费比例!$B$1:$N$1,0),FALSE)),2)</f>
        <v>26.8</v>
      </c>
      <c r="P41" s="43">
        <f>ROUND(I41*(VLOOKUP($D41,缴费比例!$B:$N,MATCH(P$1,缴费比例!$B$1:$N$1,0),FALSE)),2)</f>
        <v>10.72</v>
      </c>
      <c r="Q41" s="43">
        <f>ROUND(J41*(VLOOKUP($D41,缴费比例!$B:$N,MATCH(Q$1,缴费比例!$B$1:$N$1,0),FALSE)),2)+VLOOKUP($D41,缴费比例!$B:$N,MATCH("单位大病",缴费比例!$B$1:$N$1,0),FALSE)</f>
        <v>525.28</v>
      </c>
      <c r="R41" s="43">
        <f>ROUND(J41*(VLOOKUP($D41,缴费比例!$B:$N,MATCH(R$1,缴费比例!$B$1:$N$1,0),FALSE)),2)</f>
        <v>107.2</v>
      </c>
      <c r="S41" s="43">
        <f>ROUND((VLOOKUP($D41,缴费比例!$B:$N,MATCH(S$1,缴费比例!$B$1:$N$1,0),FALSE)),2)</f>
        <v>3</v>
      </c>
      <c r="T41" s="43">
        <f>IF(D41="合肥",ROUND(K41*(VLOOKUP($D41,缴费比例!$B:$N,MATCH(T$1,缴费比例!$B$1:$N$1,0),FALSE)),1),ROUND(K41*(VLOOKUP($D41,缴费比例!$B:$N,MATCH(T$1,缴费比例!$B$1:$N$1,0),FALSE)),0))</f>
        <v>643</v>
      </c>
      <c r="U41" s="43">
        <f>IF(D41="合肥",ROUND(K41*(VLOOKUP($D41,缴费比例!$B:$N,MATCH(U$1,缴费比例!$B$1:$N$1,0),FALSE)),1),ROUND(K41*(VLOOKUP($D41,缴费比例!$B:$N,MATCH(U$1,缴费比例!$B$1:$N$1,0),FALSE)),0))</f>
        <v>643</v>
      </c>
      <c r="V41" s="86">
        <f t="shared" ref="V41:V43" si="26">L41+N41+P41+Q41</f>
        <v>1420.4</v>
      </c>
      <c r="W41" s="86">
        <f t="shared" ref="W41:W43" si="27">M41+O41+R41+S41</f>
        <v>565.80000000000007</v>
      </c>
      <c r="X41" s="83">
        <f t="shared" ref="X41:X43" si="28">SUM(L41:S41)</f>
        <v>1986.2</v>
      </c>
      <c r="Y41" s="83">
        <f t="shared" ref="Y41:Y43" si="29">SUM(T41:U41)</f>
        <v>1286</v>
      </c>
      <c r="Z41" s="83" t="str">
        <f t="shared" si="0"/>
        <v>北京</v>
      </c>
      <c r="AA41" s="44" t="s">
        <v>461</v>
      </c>
    </row>
    <row r="42" spans="1:27" ht="20.25" customHeight="1">
      <c r="A42" s="49" t="s">
        <v>405</v>
      </c>
      <c r="B42" s="78" t="s">
        <v>491</v>
      </c>
      <c r="C42" s="36" t="s">
        <v>492</v>
      </c>
      <c r="D42" s="36" t="s">
        <v>460</v>
      </c>
      <c r="E42" s="32">
        <v>44743</v>
      </c>
      <c r="F42" s="80">
        <v>44774</v>
      </c>
      <c r="G42" s="171">
        <v>3430</v>
      </c>
      <c r="H42" s="171">
        <v>3430</v>
      </c>
      <c r="I42" s="171">
        <v>3430</v>
      </c>
      <c r="J42" s="171">
        <v>3430</v>
      </c>
      <c r="K42" s="171">
        <v>1650</v>
      </c>
      <c r="L42" s="43">
        <f>ROUND(G42*(VLOOKUP($D42,缴费比例!B:N,MATCH(L$1,缴费比例!$B$1:$N$1,0),FALSE)),2)</f>
        <v>548.79999999999995</v>
      </c>
      <c r="M42" s="43">
        <f>ROUND(G42*(VLOOKUP($D42,缴费比例!$B:$N,MATCH(M$1,缴费比例!$B$1:$N$1,0),FALSE)),2)</f>
        <v>274.39999999999998</v>
      </c>
      <c r="N42" s="43">
        <f>ROUND(H42*(VLOOKUP($D42,缴费比例!$B:$N,MATCH(N$1,缴费比例!$B$1:$N$1,0),FALSE)),2)</f>
        <v>17.149999999999999</v>
      </c>
      <c r="O42" s="43">
        <f>ROUND(H42*(VLOOKUP($D42,缴费比例!$B:$N,MATCH(O$1,缴费比例!$B$1:$N$1,0),FALSE)),2)</f>
        <v>17.149999999999999</v>
      </c>
      <c r="P42" s="43">
        <f>ROUND(I42*(VLOOKUP($D42,缴费比例!$B:$N,MATCH(P$1,缴费比例!$B$1:$N$1,0),FALSE)),2)</f>
        <v>6.86</v>
      </c>
      <c r="Q42" s="43">
        <f>ROUND(J42*(VLOOKUP($D42,缴费比例!$B:$N,MATCH(Q$1,缴费比例!$B$1:$N$1,0),FALSE)),2)+VLOOKUP($D42,缴费比例!$B:$N,MATCH("单位大病",缴费比例!$B$1:$N$1,0),FALSE)</f>
        <v>234.52</v>
      </c>
      <c r="R42" s="43">
        <f>ROUND(J42*(VLOOKUP($D42,缴费比例!$B:$N,MATCH(R$1,缴费比例!$B$1:$N$1,0),FALSE)),2)</f>
        <v>68.599999999999994</v>
      </c>
      <c r="S42" s="43">
        <f>ROUND((VLOOKUP($D42,缴费比例!$B:$N,MATCH(S$1,缴费比例!$B$1:$N$1,0),FALSE)),2)</f>
        <v>0</v>
      </c>
      <c r="T42" s="43">
        <f>IF(D42="合肥",ROUND(K42*(VLOOKUP($D42,缴费比例!$B:$N,MATCH(T$1,缴费比例!$B$1:$N$1,0),FALSE)),1),ROUND(K42*(VLOOKUP($D42,缴费比例!$B:$N,MATCH(T$1,缴费比例!$B$1:$N$1,0),FALSE)),0))</f>
        <v>82.5</v>
      </c>
      <c r="U42" s="43">
        <f>IF(D42="合肥",ROUND(K42*(VLOOKUP($D42,缴费比例!$B:$N,MATCH(U$1,缴费比例!$B$1:$N$1,0),FALSE)),1),ROUND(K42*(VLOOKUP($D42,缴费比例!$B:$N,MATCH(U$1,缴费比例!$B$1:$N$1,0),FALSE)),0))</f>
        <v>82.5</v>
      </c>
      <c r="V42" s="86">
        <f t="shared" si="26"/>
        <v>807.32999999999993</v>
      </c>
      <c r="W42" s="86">
        <f t="shared" si="27"/>
        <v>360.15</v>
      </c>
      <c r="X42" s="83">
        <f t="shared" si="28"/>
        <v>1167.4799999999998</v>
      </c>
      <c r="Y42" s="83">
        <f t="shared" si="29"/>
        <v>165</v>
      </c>
      <c r="Z42" s="83" t="str">
        <f t="shared" ref="Z42" si="30">IF(D42="北京","北京","外地")</f>
        <v>外地</v>
      </c>
      <c r="AA42" s="44" t="s">
        <v>461</v>
      </c>
    </row>
    <row r="43" spans="1:27" ht="20.25" customHeight="1">
      <c r="A43" s="49" t="s">
        <v>320</v>
      </c>
      <c r="B43" s="78" t="s">
        <v>487</v>
      </c>
      <c r="C43" s="36" t="s">
        <v>488</v>
      </c>
      <c r="D43" s="36" t="s">
        <v>489</v>
      </c>
      <c r="E43" s="32">
        <v>44713</v>
      </c>
      <c r="F43" s="80">
        <v>44713</v>
      </c>
      <c r="G43" s="171">
        <v>5360</v>
      </c>
      <c r="H43" s="171">
        <v>5360</v>
      </c>
      <c r="I43" s="171">
        <v>5360</v>
      </c>
      <c r="J43" s="171">
        <v>5360</v>
      </c>
      <c r="K43" s="171">
        <v>5360</v>
      </c>
      <c r="L43" s="43">
        <f>ROUND(G43*(VLOOKUP($D43,缴费比例!B:N,MATCH(L$1,缴费比例!$B$1:$N$1,0),FALSE)),2)</f>
        <v>857.6</v>
      </c>
      <c r="M43" s="43">
        <f>ROUND(G43*(VLOOKUP($D43,缴费比例!$B:$N,MATCH(M$1,缴费比例!$B$1:$N$1,0),FALSE)),2)</f>
        <v>428.8</v>
      </c>
      <c r="N43" s="43">
        <f>ROUND(H43*(VLOOKUP($D43,缴费比例!$B:$N,MATCH(N$1,缴费比例!$B$1:$N$1,0),FALSE)),2)</f>
        <v>26.8</v>
      </c>
      <c r="O43" s="43">
        <f>ROUND(H43*(VLOOKUP($D43,缴费比例!$B:$N,MATCH(O$1,缴费比例!$B$1:$N$1,0),FALSE)),2)</f>
        <v>26.8</v>
      </c>
      <c r="P43" s="43">
        <f>ROUND(I43*(VLOOKUP($D43,缴费比例!$B:$N,MATCH(P$1,缴费比例!$B$1:$N$1,0),FALSE)),2)</f>
        <v>10.72</v>
      </c>
      <c r="Q43" s="43">
        <f>ROUND(J43*(VLOOKUP($D43,缴费比例!$B:$N,MATCH(Q$1,缴费比例!$B$1:$N$1,0),FALSE)),2)+VLOOKUP($D43,缴费比例!$B:$N,MATCH("单位大病",缴费比例!$B$1:$N$1,0),FALSE)</f>
        <v>525.28</v>
      </c>
      <c r="R43" s="43">
        <f>ROUND(J43*(VLOOKUP($D43,缴费比例!$B:$N,MATCH(R$1,缴费比例!$B$1:$N$1,0),FALSE)),2)</f>
        <v>107.2</v>
      </c>
      <c r="S43" s="43">
        <f>ROUND((VLOOKUP($D43,缴费比例!$B:$N,MATCH(S$1,缴费比例!$B$1:$N$1,0),FALSE)),2)</f>
        <v>3</v>
      </c>
      <c r="T43" s="43">
        <f>IF(D43="合肥",ROUND(K43*(VLOOKUP($D43,缴费比例!$B:$N,MATCH(T$1,缴费比例!$B$1:$N$1,0),FALSE)),1),ROUND(K43*(VLOOKUP($D43,缴费比例!$B:$N,MATCH(T$1,缴费比例!$B$1:$N$1,0),FALSE)),0))</f>
        <v>643</v>
      </c>
      <c r="U43" s="43">
        <f>IF(D43="合肥",ROUND(K43*(VLOOKUP($D43,缴费比例!$B:$N,MATCH(U$1,缴费比例!$B$1:$N$1,0),FALSE)),1),ROUND(K43*(VLOOKUP($D43,缴费比例!$B:$N,MATCH(U$1,缴费比例!$B$1:$N$1,0),FALSE)),0))</f>
        <v>643</v>
      </c>
      <c r="V43" s="86">
        <f t="shared" si="26"/>
        <v>1420.4</v>
      </c>
      <c r="W43" s="86">
        <f t="shared" si="27"/>
        <v>565.80000000000007</v>
      </c>
      <c r="X43" s="83">
        <f t="shared" si="28"/>
        <v>1986.2</v>
      </c>
      <c r="Y43" s="83">
        <f t="shared" si="29"/>
        <v>1286</v>
      </c>
      <c r="Z43" s="83" t="str">
        <f t="shared" si="0"/>
        <v>北京</v>
      </c>
      <c r="AA43" s="83" t="s">
        <v>490</v>
      </c>
    </row>
    <row r="44" spans="1:27" ht="20.25" customHeight="1">
      <c r="A44" s="49" t="s">
        <v>405</v>
      </c>
      <c r="B44" s="78" t="s">
        <v>491</v>
      </c>
      <c r="C44" s="36" t="s">
        <v>492</v>
      </c>
      <c r="D44" s="36" t="s">
        <v>460</v>
      </c>
      <c r="E44" s="32">
        <v>44743</v>
      </c>
      <c r="F44" s="80">
        <v>44743</v>
      </c>
      <c r="G44" s="171">
        <v>3430</v>
      </c>
      <c r="H44" s="171">
        <v>3430</v>
      </c>
      <c r="I44" s="171">
        <v>3430</v>
      </c>
      <c r="J44" s="171">
        <v>3430</v>
      </c>
      <c r="K44" s="171">
        <v>1650</v>
      </c>
      <c r="L44" s="43">
        <f>ROUND(G44*(VLOOKUP($D44,缴费比例!B:N,MATCH(L$1,缴费比例!$B$1:$N$1,0),FALSE)),2)</f>
        <v>548.79999999999995</v>
      </c>
      <c r="M44" s="43">
        <f>ROUND(G44*(VLOOKUP($D44,缴费比例!$B:$N,MATCH(M$1,缴费比例!$B$1:$N$1,0),FALSE)),2)</f>
        <v>274.39999999999998</v>
      </c>
      <c r="N44" s="43">
        <f>ROUND(H44*(VLOOKUP($D44,缴费比例!$B:$N,MATCH(N$1,缴费比例!$B$1:$N$1,0),FALSE)),2)</f>
        <v>17.149999999999999</v>
      </c>
      <c r="O44" s="43">
        <f>ROUND(H44*(VLOOKUP($D44,缴费比例!$B:$N,MATCH(O$1,缴费比例!$B$1:$N$1,0),FALSE)),2)</f>
        <v>17.149999999999999</v>
      </c>
      <c r="P44" s="43">
        <f>ROUND(I44*(VLOOKUP($D44,缴费比例!$B:$N,MATCH(P$1,缴费比例!$B$1:$N$1,0),FALSE)),2)</f>
        <v>6.86</v>
      </c>
      <c r="Q44" s="43">
        <f>ROUND(J44*(VLOOKUP($D44,缴费比例!$B:$N,MATCH(Q$1,缴费比例!$B$1:$N$1,0),FALSE)),2)+VLOOKUP($D44,缴费比例!$B:$N,MATCH("单位大病",缴费比例!$B$1:$N$1,0),FALSE)</f>
        <v>234.52</v>
      </c>
      <c r="R44" s="43">
        <f>ROUND(J44*(VLOOKUP($D44,缴费比例!$B:$N,MATCH(R$1,缴费比例!$B$1:$N$1,0),FALSE)),2)</f>
        <v>68.599999999999994</v>
      </c>
      <c r="S44" s="43">
        <f>ROUND((VLOOKUP($D44,缴费比例!$B:$N,MATCH(S$1,缴费比例!$B$1:$N$1,0),FALSE)),2)</f>
        <v>0</v>
      </c>
      <c r="T44" s="43">
        <f>IF(D44="合肥",ROUND(K44*(VLOOKUP($D44,缴费比例!$B:$N,MATCH(T$1,缴费比例!$B$1:$N$1,0),FALSE)),1),ROUND(K44*(VLOOKUP($D44,缴费比例!$B:$N,MATCH(T$1,缴费比例!$B$1:$N$1,0),FALSE)),0))</f>
        <v>82.5</v>
      </c>
      <c r="U44" s="43">
        <f>IF(D44="合肥",ROUND(K44*(VLOOKUP($D44,缴费比例!$B:$N,MATCH(U$1,缴费比例!$B$1:$N$1,0),FALSE)),1),ROUND(K44*(VLOOKUP($D44,缴费比例!$B:$N,MATCH(U$1,缴费比例!$B$1:$N$1,0),FALSE)),0))</f>
        <v>82.5</v>
      </c>
      <c r="V44" s="86">
        <f t="shared" ref="V44" si="31">L44+N44+P44+Q44</f>
        <v>807.32999999999993</v>
      </c>
      <c r="W44" s="86">
        <f t="shared" ref="W44" si="32">M44+O44+R44+S44</f>
        <v>360.15</v>
      </c>
      <c r="X44" s="83">
        <f t="shared" ref="X44" si="33">SUM(L44:S44)</f>
        <v>1167.4799999999998</v>
      </c>
      <c r="Y44" s="83">
        <f t="shared" ref="Y44" si="34">SUM(T44:U44)</f>
        <v>165</v>
      </c>
      <c r="Z44" s="83" t="str">
        <f t="shared" ref="Z44" si="35">IF(D44="北京","北京","外地")</f>
        <v>外地</v>
      </c>
      <c r="AA44" s="83" t="s">
        <v>490</v>
      </c>
    </row>
  </sheetData>
  <phoneticPr fontId="2" type="noConversion"/>
  <conditionalFormatting sqref="C45:C1048576 C1:C22">
    <cfRule type="duplicateValues" dxfId="56" priority="56"/>
  </conditionalFormatting>
  <conditionalFormatting sqref="C23:C40">
    <cfRule type="duplicateValues" dxfId="55" priority="77"/>
  </conditionalFormatting>
  <conditionalFormatting sqref="C24:C40">
    <cfRule type="duplicateValues" dxfId="54" priority="78"/>
  </conditionalFormatting>
  <conditionalFormatting sqref="B37:B40">
    <cfRule type="duplicateValues" dxfId="53" priority="21"/>
  </conditionalFormatting>
  <conditionalFormatting sqref="B36:B40">
    <cfRule type="duplicateValues" dxfId="52" priority="86"/>
  </conditionalFormatting>
  <conditionalFormatting sqref="C41">
    <cfRule type="duplicateValues" dxfId="51" priority="18"/>
  </conditionalFormatting>
  <conditionalFormatting sqref="C41">
    <cfRule type="duplicateValues" dxfId="50" priority="19"/>
  </conditionalFormatting>
  <conditionalFormatting sqref="B41">
    <cfRule type="duplicateValues" dxfId="49" priority="17"/>
  </conditionalFormatting>
  <conditionalFormatting sqref="B41">
    <cfRule type="duplicateValues" dxfId="48" priority="20"/>
  </conditionalFormatting>
  <conditionalFormatting sqref="C43">
    <cfRule type="duplicateValues" dxfId="47" priority="14"/>
  </conditionalFormatting>
  <conditionalFormatting sqref="C43">
    <cfRule type="duplicateValues" dxfId="46" priority="15"/>
  </conditionalFormatting>
  <conditionalFormatting sqref="B43">
    <cfRule type="duplicateValues" dxfId="45" priority="13"/>
  </conditionalFormatting>
  <conditionalFormatting sqref="B43">
    <cfRule type="duplicateValues" dxfId="44" priority="16"/>
  </conditionalFormatting>
  <conditionalFormatting sqref="C44">
    <cfRule type="duplicateValues" dxfId="43" priority="6"/>
  </conditionalFormatting>
  <conditionalFormatting sqref="C44">
    <cfRule type="duplicateValues" dxfId="42" priority="7"/>
  </conditionalFormatting>
  <conditionalFormatting sqref="B44">
    <cfRule type="duplicateValues" dxfId="41" priority="5"/>
  </conditionalFormatting>
  <conditionalFormatting sqref="B44">
    <cfRule type="duplicateValues" dxfId="40" priority="8"/>
  </conditionalFormatting>
  <conditionalFormatting sqref="C42">
    <cfRule type="duplicateValues" dxfId="39" priority="2"/>
  </conditionalFormatting>
  <conditionalFormatting sqref="C42">
    <cfRule type="duplicateValues" dxfId="38" priority="3"/>
  </conditionalFormatting>
  <conditionalFormatting sqref="B42">
    <cfRule type="duplicateValues" dxfId="37" priority="1"/>
  </conditionalFormatting>
  <conditionalFormatting sqref="B42">
    <cfRule type="duplicateValues" dxfId="36" priority="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opLeftCell="C1" workbookViewId="0">
      <selection activeCell="B3" sqref="A3:XFD3"/>
    </sheetView>
  </sheetViews>
  <sheetFormatPr defaultRowHeight="13.5"/>
  <cols>
    <col min="2" max="2" width="6.75" customWidth="1"/>
    <col min="3" max="3" width="46.375" bestFit="1" customWidth="1"/>
    <col min="4" max="4" width="8.625" customWidth="1"/>
    <col min="10" max="15" width="9" style="196"/>
  </cols>
  <sheetData>
    <row r="1" spans="1:25" ht="27">
      <c r="A1" s="11"/>
      <c r="B1" s="5" t="s">
        <v>67</v>
      </c>
      <c r="C1" s="9" t="s">
        <v>114</v>
      </c>
      <c r="D1" s="6" t="s">
        <v>68</v>
      </c>
      <c r="E1" s="6" t="s">
        <v>27</v>
      </c>
      <c r="F1" s="6" t="s">
        <v>69</v>
      </c>
      <c r="G1" s="6" t="s">
        <v>29</v>
      </c>
      <c r="H1" s="6" t="s">
        <v>70</v>
      </c>
      <c r="I1" s="6" t="s">
        <v>71</v>
      </c>
      <c r="J1" s="192" t="s">
        <v>202</v>
      </c>
      <c r="K1" s="192" t="s">
        <v>28</v>
      </c>
      <c r="L1" s="192" t="s">
        <v>72</v>
      </c>
      <c r="M1" s="192" t="s">
        <v>73</v>
      </c>
      <c r="N1" s="192" t="s">
        <v>30</v>
      </c>
      <c r="O1" s="193" t="s">
        <v>137</v>
      </c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>
      <c r="A2" s="11"/>
      <c r="B2" s="3" t="s">
        <v>74</v>
      </c>
      <c r="C2" s="10"/>
      <c r="D2" s="7">
        <v>0.16</v>
      </c>
      <c r="E2" s="7">
        <v>0.08</v>
      </c>
      <c r="F2" s="7">
        <v>5.0000000000000001E-3</v>
      </c>
      <c r="G2" s="7">
        <v>5.0000000000000001E-3</v>
      </c>
      <c r="H2" s="7">
        <v>2E-3</v>
      </c>
      <c r="I2" s="7">
        <v>9.8000000000000004E-2</v>
      </c>
      <c r="J2" s="194"/>
      <c r="K2" s="194">
        <v>0.02</v>
      </c>
      <c r="L2" s="194">
        <v>3</v>
      </c>
      <c r="M2" s="194">
        <v>0.12</v>
      </c>
      <c r="N2" s="194">
        <v>0.12</v>
      </c>
      <c r="O2" s="194">
        <v>170</v>
      </c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>
      <c r="A3" s="1"/>
      <c r="B3" s="3" t="s">
        <v>66</v>
      </c>
      <c r="C3" s="12" t="s">
        <v>127</v>
      </c>
      <c r="D3" s="13">
        <v>0.16</v>
      </c>
      <c r="E3" s="13">
        <v>0.08</v>
      </c>
      <c r="F3" s="7">
        <v>5.0000000000000001E-3</v>
      </c>
      <c r="G3" s="7">
        <v>5.0000000000000001E-3</v>
      </c>
      <c r="H3" s="7">
        <v>3.5000000000000001E-3</v>
      </c>
      <c r="I3" s="8">
        <v>8.6999999999999994E-2</v>
      </c>
      <c r="J3" s="195"/>
      <c r="K3" s="194">
        <v>0.02</v>
      </c>
      <c r="L3" s="194"/>
      <c r="M3" s="194">
        <v>0.05</v>
      </c>
      <c r="N3" s="194">
        <v>0.05</v>
      </c>
      <c r="O3" s="194">
        <v>180</v>
      </c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11"/>
      <c r="B4" s="4" t="s">
        <v>64</v>
      </c>
      <c r="C4" s="27" t="s">
        <v>115</v>
      </c>
      <c r="D4" s="7">
        <v>0.16</v>
      </c>
      <c r="E4" s="7">
        <v>0.08</v>
      </c>
      <c r="F4" s="7">
        <v>5.0000000000000001E-3</v>
      </c>
      <c r="G4" s="8">
        <v>5.0000000000000001E-3</v>
      </c>
      <c r="H4" s="7">
        <v>2E-3</v>
      </c>
      <c r="I4" s="8">
        <v>6.4000000000000001E-2</v>
      </c>
      <c r="J4" s="195">
        <v>15</v>
      </c>
      <c r="K4" s="194">
        <v>0.02</v>
      </c>
      <c r="L4" s="194"/>
      <c r="M4" s="194">
        <v>0.05</v>
      </c>
      <c r="N4" s="194">
        <v>0.05</v>
      </c>
      <c r="O4" s="194">
        <v>180</v>
      </c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11"/>
      <c r="B5" s="4" t="s">
        <v>126</v>
      </c>
      <c r="C5" s="27" t="s">
        <v>115</v>
      </c>
      <c r="D5" s="7">
        <v>0.16</v>
      </c>
      <c r="E5" s="7">
        <v>0.08</v>
      </c>
      <c r="F5" s="7">
        <v>5.0000000000000001E-3</v>
      </c>
      <c r="G5" s="8">
        <v>5.0000000000000001E-3</v>
      </c>
      <c r="H5" s="7">
        <v>2E-3</v>
      </c>
      <c r="I5" s="8">
        <v>6.4000000000000001E-2</v>
      </c>
      <c r="J5" s="195">
        <v>15</v>
      </c>
      <c r="K5" s="194">
        <v>0.02</v>
      </c>
      <c r="L5" s="194"/>
      <c r="M5" s="194">
        <v>0.12</v>
      </c>
      <c r="N5" s="194">
        <v>0.12</v>
      </c>
      <c r="O5" s="194">
        <v>180</v>
      </c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>
      <c r="O6" s="197"/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K17" sqref="K17"/>
    </sheetView>
  </sheetViews>
  <sheetFormatPr defaultRowHeight="13.5"/>
  <cols>
    <col min="3" max="3" width="23.5" bestFit="1" customWidth="1"/>
    <col min="13" max="13" width="9" style="196"/>
  </cols>
  <sheetData>
    <row r="1" spans="1:14" ht="24">
      <c r="A1" s="14" t="s">
        <v>75</v>
      </c>
      <c r="B1" s="14" t="s">
        <v>76</v>
      </c>
      <c r="C1" s="14" t="s">
        <v>77</v>
      </c>
      <c r="D1" s="14" t="s">
        <v>78</v>
      </c>
      <c r="E1" s="15" t="s">
        <v>79</v>
      </c>
      <c r="F1" s="15" t="s">
        <v>80</v>
      </c>
      <c r="G1" s="15" t="s">
        <v>81</v>
      </c>
      <c r="H1" s="15" t="s">
        <v>82</v>
      </c>
      <c r="I1" s="15" t="s">
        <v>83</v>
      </c>
      <c r="J1" s="15" t="s">
        <v>84</v>
      </c>
      <c r="K1" s="15" t="s">
        <v>85</v>
      </c>
      <c r="L1" s="15" t="s">
        <v>86</v>
      </c>
      <c r="M1" s="198" t="s">
        <v>87</v>
      </c>
      <c r="N1" s="22" t="s">
        <v>88</v>
      </c>
    </row>
    <row r="2" spans="1:14">
      <c r="A2" s="16" t="s">
        <v>65</v>
      </c>
      <c r="B2" s="17" t="s">
        <v>89</v>
      </c>
      <c r="C2" s="18" t="s">
        <v>90</v>
      </c>
      <c r="D2" s="19" t="s">
        <v>91</v>
      </c>
      <c r="E2" s="20" t="s">
        <v>92</v>
      </c>
      <c r="F2" s="21"/>
      <c r="G2" s="20">
        <v>0.08</v>
      </c>
      <c r="H2" s="21"/>
      <c r="I2" s="20" t="s">
        <v>93</v>
      </c>
      <c r="J2" s="20" t="s">
        <v>94</v>
      </c>
      <c r="K2" s="20" t="s">
        <v>93</v>
      </c>
      <c r="L2" s="20" t="s">
        <v>94</v>
      </c>
      <c r="M2" s="199">
        <v>2</v>
      </c>
      <c r="N2" s="374" t="s">
        <v>95</v>
      </c>
    </row>
    <row r="3" spans="1:14">
      <c r="A3" s="16" t="s">
        <v>65</v>
      </c>
      <c r="B3" s="17" t="s">
        <v>96</v>
      </c>
      <c r="C3" s="18" t="s">
        <v>97</v>
      </c>
      <c r="D3" s="19" t="s">
        <v>91</v>
      </c>
      <c r="E3" s="20" t="s">
        <v>98</v>
      </c>
      <c r="F3" s="21"/>
      <c r="G3" s="20">
        <v>0.02</v>
      </c>
      <c r="H3" s="21"/>
      <c r="I3" s="20" t="s">
        <v>93</v>
      </c>
      <c r="J3" s="20" t="s">
        <v>99</v>
      </c>
      <c r="K3" s="20" t="s">
        <v>93</v>
      </c>
      <c r="L3" s="20" t="s">
        <v>99</v>
      </c>
      <c r="M3" s="199">
        <v>2</v>
      </c>
      <c r="N3" s="375"/>
    </row>
    <row r="4" spans="1:14">
      <c r="A4" s="16" t="s">
        <v>65</v>
      </c>
      <c r="B4" s="17" t="s">
        <v>100</v>
      </c>
      <c r="C4" s="18" t="s">
        <v>90</v>
      </c>
      <c r="D4" s="19" t="s">
        <v>91</v>
      </c>
      <c r="E4" s="20" t="s">
        <v>101</v>
      </c>
      <c r="F4" s="21"/>
      <c r="G4" s="20" t="s">
        <v>101</v>
      </c>
      <c r="H4" s="21"/>
      <c r="I4" s="20" t="s">
        <v>93</v>
      </c>
      <c r="J4" s="20" t="s">
        <v>94</v>
      </c>
      <c r="K4" s="20" t="s">
        <v>93</v>
      </c>
      <c r="L4" s="20" t="s">
        <v>94</v>
      </c>
      <c r="M4" s="199">
        <v>0</v>
      </c>
      <c r="N4" s="375"/>
    </row>
    <row r="5" spans="1:14" s="69" customFormat="1">
      <c r="A5" s="104" t="s">
        <v>65</v>
      </c>
      <c r="B5" s="105" t="s">
        <v>102</v>
      </c>
      <c r="C5" s="106" t="s">
        <v>90</v>
      </c>
      <c r="D5" s="107" t="s">
        <v>91</v>
      </c>
      <c r="E5" s="108" t="s">
        <v>103</v>
      </c>
      <c r="F5" s="109"/>
      <c r="G5" s="109"/>
      <c r="H5" s="109"/>
      <c r="I5" s="108" t="s">
        <v>104</v>
      </c>
      <c r="J5" s="108" t="s">
        <v>105</v>
      </c>
      <c r="K5" s="108" t="s">
        <v>104</v>
      </c>
      <c r="L5" s="108" t="s">
        <v>105</v>
      </c>
      <c r="M5" s="199">
        <v>0</v>
      </c>
      <c r="N5" s="375"/>
    </row>
    <row r="6" spans="1:14">
      <c r="A6" s="16" t="s">
        <v>65</v>
      </c>
      <c r="B6" s="17" t="s">
        <v>106</v>
      </c>
      <c r="C6" s="18" t="s">
        <v>97</v>
      </c>
      <c r="D6" s="19" t="s">
        <v>91</v>
      </c>
      <c r="E6" s="20" t="s">
        <v>107</v>
      </c>
      <c r="F6" s="21"/>
      <c r="G6" s="21"/>
      <c r="H6" s="21"/>
      <c r="I6" s="20" t="s">
        <v>93</v>
      </c>
      <c r="J6" s="20" t="s">
        <v>99</v>
      </c>
      <c r="K6" s="20" t="s">
        <v>93</v>
      </c>
      <c r="L6" s="20" t="s">
        <v>99</v>
      </c>
      <c r="M6" s="199">
        <v>2</v>
      </c>
      <c r="N6" s="375"/>
    </row>
    <row r="7" spans="1:14">
      <c r="A7" s="16" t="s">
        <v>65</v>
      </c>
      <c r="B7" s="17" t="s">
        <v>108</v>
      </c>
      <c r="C7" s="18" t="s">
        <v>90</v>
      </c>
      <c r="D7" s="19" t="s">
        <v>91</v>
      </c>
      <c r="E7" s="20" t="s">
        <v>109</v>
      </c>
      <c r="F7" s="21"/>
      <c r="G7" s="20" t="s">
        <v>109</v>
      </c>
      <c r="H7" s="21"/>
      <c r="I7" s="20" t="s">
        <v>110</v>
      </c>
      <c r="J7" s="20" t="s">
        <v>111</v>
      </c>
      <c r="K7" s="20" t="s">
        <v>110</v>
      </c>
      <c r="L7" s="20" t="s">
        <v>111</v>
      </c>
      <c r="M7" s="199">
        <v>2</v>
      </c>
      <c r="N7" s="375"/>
    </row>
    <row r="8" spans="1:14">
      <c r="A8" s="16" t="s">
        <v>65</v>
      </c>
      <c r="B8" s="17" t="s">
        <v>108</v>
      </c>
      <c r="C8" s="18" t="s">
        <v>90</v>
      </c>
      <c r="D8" s="19" t="s">
        <v>91</v>
      </c>
      <c r="E8" s="20" t="s">
        <v>112</v>
      </c>
      <c r="F8" s="21"/>
      <c r="G8" s="20" t="s">
        <v>112</v>
      </c>
      <c r="H8" s="21"/>
      <c r="I8" s="20" t="s">
        <v>110</v>
      </c>
      <c r="J8" s="20" t="s">
        <v>111</v>
      </c>
      <c r="K8" s="20" t="s">
        <v>110</v>
      </c>
      <c r="L8" s="20" t="s">
        <v>111</v>
      </c>
      <c r="M8" s="199">
        <v>2</v>
      </c>
      <c r="N8" s="375"/>
    </row>
    <row r="9" spans="1:14">
      <c r="A9" s="16" t="s">
        <v>65</v>
      </c>
      <c r="B9" s="17" t="s">
        <v>108</v>
      </c>
      <c r="C9" s="18" t="s">
        <v>90</v>
      </c>
      <c r="D9" s="19" t="s">
        <v>91</v>
      </c>
      <c r="E9" s="20" t="s">
        <v>113</v>
      </c>
      <c r="F9" s="21"/>
      <c r="G9" s="20" t="s">
        <v>113</v>
      </c>
      <c r="H9" s="21"/>
      <c r="I9" s="20" t="s">
        <v>110</v>
      </c>
      <c r="J9" s="20" t="s">
        <v>111</v>
      </c>
      <c r="K9" s="20" t="s">
        <v>110</v>
      </c>
      <c r="L9" s="20" t="s">
        <v>111</v>
      </c>
      <c r="M9" s="199">
        <v>2</v>
      </c>
      <c r="N9" s="375"/>
    </row>
  </sheetData>
  <mergeCells count="1">
    <mergeCell ref="N2:N9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A5" sqref="A5:XFD5"/>
    </sheetView>
  </sheetViews>
  <sheetFormatPr defaultRowHeight="13.5"/>
  <cols>
    <col min="3" max="3" width="23.5" bestFit="1" customWidth="1"/>
    <col min="13" max="13" width="9" style="196"/>
  </cols>
  <sheetData>
    <row r="1" spans="1:14" ht="24">
      <c r="A1" s="23" t="s">
        <v>75</v>
      </c>
      <c r="B1" s="23" t="s">
        <v>76</v>
      </c>
      <c r="C1" s="23" t="s">
        <v>77</v>
      </c>
      <c r="D1" s="23" t="s">
        <v>78</v>
      </c>
      <c r="E1" s="24" t="s">
        <v>79</v>
      </c>
      <c r="F1" s="24" t="s">
        <v>80</v>
      </c>
      <c r="G1" s="24" t="s">
        <v>81</v>
      </c>
      <c r="H1" s="24" t="s">
        <v>82</v>
      </c>
      <c r="I1" s="24" t="s">
        <v>83</v>
      </c>
      <c r="J1" s="24" t="s">
        <v>84</v>
      </c>
      <c r="K1" s="24" t="s">
        <v>85</v>
      </c>
      <c r="L1" s="24" t="s">
        <v>86</v>
      </c>
      <c r="M1" s="198" t="s">
        <v>87</v>
      </c>
      <c r="N1" s="31" t="s">
        <v>88</v>
      </c>
    </row>
    <row r="2" spans="1:14">
      <c r="A2" s="25" t="s">
        <v>63</v>
      </c>
      <c r="B2" s="26" t="s">
        <v>89</v>
      </c>
      <c r="C2" s="27" t="s">
        <v>115</v>
      </c>
      <c r="D2" s="28" t="s">
        <v>116</v>
      </c>
      <c r="E2" s="29" t="s">
        <v>92</v>
      </c>
      <c r="F2" s="30"/>
      <c r="G2" s="29">
        <v>0.08</v>
      </c>
      <c r="H2" s="30"/>
      <c r="I2" s="29" t="s">
        <v>117</v>
      </c>
      <c r="J2" s="29" t="s">
        <v>118</v>
      </c>
      <c r="K2" s="29" t="s">
        <v>117</v>
      </c>
      <c r="L2" s="29" t="s">
        <v>118</v>
      </c>
      <c r="M2" s="199">
        <v>3</v>
      </c>
      <c r="N2" s="376" t="s">
        <v>119</v>
      </c>
    </row>
    <row r="3" spans="1:14">
      <c r="A3" s="25" t="s">
        <v>63</v>
      </c>
      <c r="B3" s="26" t="s">
        <v>96</v>
      </c>
      <c r="C3" s="27" t="s">
        <v>115</v>
      </c>
      <c r="D3" s="28" t="s">
        <v>116</v>
      </c>
      <c r="E3" s="29" t="s">
        <v>120</v>
      </c>
      <c r="F3" s="30"/>
      <c r="G3" s="29">
        <v>0.02</v>
      </c>
      <c r="H3" s="30"/>
      <c r="I3" s="29" t="s">
        <v>117</v>
      </c>
      <c r="J3" s="29" t="s">
        <v>118</v>
      </c>
      <c r="K3" s="29" t="s">
        <v>117</v>
      </c>
      <c r="L3" s="29" t="s">
        <v>118</v>
      </c>
      <c r="M3" s="199">
        <v>3</v>
      </c>
      <c r="N3" s="376"/>
    </row>
    <row r="4" spans="1:14">
      <c r="A4" s="25" t="s">
        <v>63</v>
      </c>
      <c r="B4" s="26" t="s">
        <v>100</v>
      </c>
      <c r="C4" s="27" t="s">
        <v>115</v>
      </c>
      <c r="D4" s="28" t="s">
        <v>116</v>
      </c>
      <c r="E4" s="29" t="s">
        <v>101</v>
      </c>
      <c r="F4" s="30"/>
      <c r="G4" s="29" t="s">
        <v>101</v>
      </c>
      <c r="H4" s="30"/>
      <c r="I4" s="29" t="s">
        <v>117</v>
      </c>
      <c r="J4" s="29" t="s">
        <v>118</v>
      </c>
      <c r="K4" s="29" t="s">
        <v>117</v>
      </c>
      <c r="L4" s="29" t="s">
        <v>118</v>
      </c>
      <c r="M4" s="199">
        <v>3</v>
      </c>
      <c r="N4" s="376"/>
    </row>
    <row r="5" spans="1:14">
      <c r="A5" s="25" t="s">
        <v>63</v>
      </c>
      <c r="B5" s="26" t="s">
        <v>102</v>
      </c>
      <c r="C5" s="27" t="s">
        <v>115</v>
      </c>
      <c r="D5" s="28" t="s">
        <v>116</v>
      </c>
      <c r="E5" s="29" t="s">
        <v>121</v>
      </c>
      <c r="F5" s="30"/>
      <c r="G5" s="30"/>
      <c r="H5" s="30"/>
      <c r="I5" s="29" t="s">
        <v>117</v>
      </c>
      <c r="J5" s="29" t="s">
        <v>118</v>
      </c>
      <c r="K5" s="29" t="s">
        <v>117</v>
      </c>
      <c r="L5" s="29" t="s">
        <v>118</v>
      </c>
      <c r="M5" s="199">
        <v>3</v>
      </c>
      <c r="N5" s="376"/>
    </row>
    <row r="6" spans="1:14">
      <c r="A6" s="25" t="s">
        <v>63</v>
      </c>
      <c r="B6" s="26" t="s">
        <v>122</v>
      </c>
      <c r="C6" s="27" t="s">
        <v>115</v>
      </c>
      <c r="D6" s="28" t="s">
        <v>116</v>
      </c>
      <c r="E6" s="29"/>
      <c r="F6" s="30" t="s">
        <v>123</v>
      </c>
      <c r="G6" s="30"/>
      <c r="H6" s="30"/>
      <c r="I6" s="29"/>
      <c r="J6" s="29"/>
      <c r="K6" s="29"/>
      <c r="L6" s="29"/>
      <c r="M6" s="199">
        <v>3</v>
      </c>
      <c r="N6" s="376"/>
    </row>
    <row r="7" spans="1:14">
      <c r="A7" s="25" t="s">
        <v>63</v>
      </c>
      <c r="B7" s="26" t="s">
        <v>108</v>
      </c>
      <c r="C7" s="27" t="s">
        <v>115</v>
      </c>
      <c r="D7" s="28" t="s">
        <v>116</v>
      </c>
      <c r="E7" s="29" t="s">
        <v>109</v>
      </c>
      <c r="F7" s="30"/>
      <c r="G7" s="29" t="s">
        <v>109</v>
      </c>
      <c r="H7" s="30"/>
      <c r="I7" s="29" t="s">
        <v>124</v>
      </c>
      <c r="J7" s="29" t="s">
        <v>125</v>
      </c>
      <c r="K7" s="29" t="s">
        <v>124</v>
      </c>
      <c r="L7" s="29" t="s">
        <v>125</v>
      </c>
      <c r="M7" s="199">
        <v>3</v>
      </c>
      <c r="N7" s="376"/>
    </row>
    <row r="8" spans="1:14">
      <c r="A8" s="25" t="s">
        <v>63</v>
      </c>
      <c r="B8" s="26" t="s">
        <v>108</v>
      </c>
      <c r="C8" s="27" t="s">
        <v>115</v>
      </c>
      <c r="D8" s="28" t="s">
        <v>116</v>
      </c>
      <c r="E8" s="29" t="s">
        <v>113</v>
      </c>
      <c r="F8" s="30"/>
      <c r="G8" s="29" t="s">
        <v>113</v>
      </c>
      <c r="H8" s="30"/>
      <c r="I8" s="29" t="s">
        <v>124</v>
      </c>
      <c r="J8" s="29" t="s">
        <v>125</v>
      </c>
      <c r="K8" s="29" t="s">
        <v>124</v>
      </c>
      <c r="L8" s="29" t="s">
        <v>125</v>
      </c>
      <c r="M8" s="199">
        <v>3</v>
      </c>
      <c r="N8" s="376"/>
    </row>
  </sheetData>
  <mergeCells count="1">
    <mergeCell ref="N2:N8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"/>
  <sheetViews>
    <sheetView workbookViewId="0">
      <selection sqref="A1:AL1048576"/>
    </sheetView>
  </sheetViews>
  <sheetFormatPr defaultRowHeight="13.5"/>
  <cols>
    <col min="1" max="4" width="9" style="72"/>
    <col min="5" max="5" width="12.625" style="71" customWidth="1"/>
    <col min="6" max="6" width="11.75" style="71" customWidth="1"/>
    <col min="7" max="7" width="9" style="71"/>
    <col min="8" max="9" width="9" style="66"/>
    <col min="10" max="10" width="13.5" style="66" customWidth="1"/>
    <col min="11" max="12" width="18" style="66" customWidth="1"/>
    <col min="13" max="13" width="15.125" style="66" customWidth="1"/>
    <col min="14" max="15" width="13.125" style="66" customWidth="1"/>
    <col min="16" max="16" width="13.75" style="66" customWidth="1"/>
    <col min="17" max="17" width="17.625" style="66" customWidth="1"/>
    <col min="18" max="18" width="18.625" style="66" customWidth="1"/>
    <col min="19" max="20" width="12.5" style="66" customWidth="1"/>
    <col min="21" max="21" width="14.5" style="66" customWidth="1"/>
    <col min="22" max="22" width="15.125" style="66" customWidth="1"/>
    <col min="23" max="23" width="18.625" style="66" customWidth="1"/>
    <col min="24" max="24" width="14.75" style="66" customWidth="1"/>
    <col min="25" max="25" width="14.875" style="66" customWidth="1"/>
    <col min="26" max="26" width="18" style="66" customWidth="1"/>
    <col min="27" max="27" width="19.625" style="66" customWidth="1"/>
    <col min="28" max="28" width="19.125" style="66" customWidth="1"/>
    <col min="29" max="29" width="12.375" style="66" customWidth="1"/>
    <col min="30" max="30" width="18" style="66" customWidth="1"/>
    <col min="31" max="31" width="16.25" style="66" customWidth="1"/>
    <col min="32" max="32" width="9" style="74"/>
    <col min="33" max="33" width="12.25" style="66" customWidth="1"/>
    <col min="34" max="34" width="12.75" style="66" customWidth="1"/>
    <col min="35" max="35" width="12.625" style="66" customWidth="1"/>
    <col min="36" max="36" width="14.25" style="66" customWidth="1"/>
    <col min="37" max="37" width="13.75" style="66" customWidth="1"/>
    <col min="38" max="38" width="15.375" style="66" customWidth="1"/>
    <col min="39" max="39" width="9" style="72"/>
    <col min="40" max="260" width="9" style="71"/>
    <col min="261" max="261" width="12.625" style="71" customWidth="1"/>
    <col min="262" max="262" width="11.75" style="71" customWidth="1"/>
    <col min="263" max="265" width="9" style="71"/>
    <col min="266" max="266" width="13.5" style="71" customWidth="1"/>
    <col min="267" max="268" width="18" style="71" customWidth="1"/>
    <col min="269" max="269" width="15.125" style="71" customWidth="1"/>
    <col min="270" max="271" width="13.125" style="71" customWidth="1"/>
    <col min="272" max="272" width="13.75" style="71" customWidth="1"/>
    <col min="273" max="273" width="17.625" style="71" customWidth="1"/>
    <col min="274" max="274" width="18.625" style="71" customWidth="1"/>
    <col min="275" max="276" width="12.5" style="71" customWidth="1"/>
    <col min="277" max="277" width="14.5" style="71" customWidth="1"/>
    <col min="278" max="278" width="15.125" style="71" customWidth="1"/>
    <col min="279" max="279" width="18.625" style="71" customWidth="1"/>
    <col min="280" max="280" width="14.75" style="71" customWidth="1"/>
    <col min="281" max="281" width="14.875" style="71" customWidth="1"/>
    <col min="282" max="282" width="18" style="71" customWidth="1"/>
    <col min="283" max="283" width="19.625" style="71" customWidth="1"/>
    <col min="284" max="284" width="19.125" style="71" customWidth="1"/>
    <col min="285" max="285" width="12.375" style="71" customWidth="1"/>
    <col min="286" max="286" width="18" style="71" customWidth="1"/>
    <col min="287" max="287" width="16.25" style="71" customWidth="1"/>
    <col min="288" max="288" width="9" style="71"/>
    <col min="289" max="289" width="12.25" style="71" customWidth="1"/>
    <col min="290" max="290" width="12.75" style="71" customWidth="1"/>
    <col min="291" max="291" width="12.625" style="71" customWidth="1"/>
    <col min="292" max="292" width="14.25" style="71" customWidth="1"/>
    <col min="293" max="293" width="13.75" style="71" customWidth="1"/>
    <col min="294" max="294" width="15.375" style="71" customWidth="1"/>
    <col min="295" max="516" width="9" style="71"/>
    <col min="517" max="517" width="12.625" style="71" customWidth="1"/>
    <col min="518" max="518" width="11.75" style="71" customWidth="1"/>
    <col min="519" max="521" width="9" style="71"/>
    <col min="522" max="522" width="13.5" style="71" customWidth="1"/>
    <col min="523" max="524" width="18" style="71" customWidth="1"/>
    <col min="525" max="525" width="15.125" style="71" customWidth="1"/>
    <col min="526" max="527" width="13.125" style="71" customWidth="1"/>
    <col min="528" max="528" width="13.75" style="71" customWidth="1"/>
    <col min="529" max="529" width="17.625" style="71" customWidth="1"/>
    <col min="530" max="530" width="18.625" style="71" customWidth="1"/>
    <col min="531" max="532" width="12.5" style="71" customWidth="1"/>
    <col min="533" max="533" width="14.5" style="71" customWidth="1"/>
    <col min="534" max="534" width="15.125" style="71" customWidth="1"/>
    <col min="535" max="535" width="18.625" style="71" customWidth="1"/>
    <col min="536" max="536" width="14.75" style="71" customWidth="1"/>
    <col min="537" max="537" width="14.875" style="71" customWidth="1"/>
    <col min="538" max="538" width="18" style="71" customWidth="1"/>
    <col min="539" max="539" width="19.625" style="71" customWidth="1"/>
    <col min="540" max="540" width="19.125" style="71" customWidth="1"/>
    <col min="541" max="541" width="12.375" style="71" customWidth="1"/>
    <col min="542" max="542" width="18" style="71" customWidth="1"/>
    <col min="543" max="543" width="16.25" style="71" customWidth="1"/>
    <col min="544" max="544" width="9" style="71"/>
    <col min="545" max="545" width="12.25" style="71" customWidth="1"/>
    <col min="546" max="546" width="12.75" style="71" customWidth="1"/>
    <col min="547" max="547" width="12.625" style="71" customWidth="1"/>
    <col min="548" max="548" width="14.25" style="71" customWidth="1"/>
    <col min="549" max="549" width="13.75" style="71" customWidth="1"/>
    <col min="550" max="550" width="15.375" style="71" customWidth="1"/>
    <col min="551" max="772" width="9" style="71"/>
    <col min="773" max="773" width="12.625" style="71" customWidth="1"/>
    <col min="774" max="774" width="11.75" style="71" customWidth="1"/>
    <col min="775" max="777" width="9" style="71"/>
    <col min="778" max="778" width="13.5" style="71" customWidth="1"/>
    <col min="779" max="780" width="18" style="71" customWidth="1"/>
    <col min="781" max="781" width="15.125" style="71" customWidth="1"/>
    <col min="782" max="783" width="13.125" style="71" customWidth="1"/>
    <col min="784" max="784" width="13.75" style="71" customWidth="1"/>
    <col min="785" max="785" width="17.625" style="71" customWidth="1"/>
    <col min="786" max="786" width="18.625" style="71" customWidth="1"/>
    <col min="787" max="788" width="12.5" style="71" customWidth="1"/>
    <col min="789" max="789" width="14.5" style="71" customWidth="1"/>
    <col min="790" max="790" width="15.125" style="71" customWidth="1"/>
    <col min="791" max="791" width="18.625" style="71" customWidth="1"/>
    <col min="792" max="792" width="14.75" style="71" customWidth="1"/>
    <col min="793" max="793" width="14.875" style="71" customWidth="1"/>
    <col min="794" max="794" width="18" style="71" customWidth="1"/>
    <col min="795" max="795" width="19.625" style="71" customWidth="1"/>
    <col min="796" max="796" width="19.125" style="71" customWidth="1"/>
    <col min="797" max="797" width="12.375" style="71" customWidth="1"/>
    <col min="798" max="798" width="18" style="71" customWidth="1"/>
    <col min="799" max="799" width="16.25" style="71" customWidth="1"/>
    <col min="800" max="800" width="9" style="71"/>
    <col min="801" max="801" width="12.25" style="71" customWidth="1"/>
    <col min="802" max="802" width="12.75" style="71" customWidth="1"/>
    <col min="803" max="803" width="12.625" style="71" customWidth="1"/>
    <col min="804" max="804" width="14.25" style="71" customWidth="1"/>
    <col min="805" max="805" width="13.75" style="71" customWidth="1"/>
    <col min="806" max="806" width="15.375" style="71" customWidth="1"/>
    <col min="807" max="1028" width="9" style="71"/>
    <col min="1029" max="1029" width="12.625" style="71" customWidth="1"/>
    <col min="1030" max="1030" width="11.75" style="71" customWidth="1"/>
    <col min="1031" max="1033" width="9" style="71"/>
    <col min="1034" max="1034" width="13.5" style="71" customWidth="1"/>
    <col min="1035" max="1036" width="18" style="71" customWidth="1"/>
    <col min="1037" max="1037" width="15.125" style="71" customWidth="1"/>
    <col min="1038" max="1039" width="13.125" style="71" customWidth="1"/>
    <col min="1040" max="1040" width="13.75" style="71" customWidth="1"/>
    <col min="1041" max="1041" width="17.625" style="71" customWidth="1"/>
    <col min="1042" max="1042" width="18.625" style="71" customWidth="1"/>
    <col min="1043" max="1044" width="12.5" style="71" customWidth="1"/>
    <col min="1045" max="1045" width="14.5" style="71" customWidth="1"/>
    <col min="1046" max="1046" width="15.125" style="71" customWidth="1"/>
    <col min="1047" max="1047" width="18.625" style="71" customWidth="1"/>
    <col min="1048" max="1048" width="14.75" style="71" customWidth="1"/>
    <col min="1049" max="1049" width="14.875" style="71" customWidth="1"/>
    <col min="1050" max="1050" width="18" style="71" customWidth="1"/>
    <col min="1051" max="1051" width="19.625" style="71" customWidth="1"/>
    <col min="1052" max="1052" width="19.125" style="71" customWidth="1"/>
    <col min="1053" max="1053" width="12.375" style="71" customWidth="1"/>
    <col min="1054" max="1054" width="18" style="71" customWidth="1"/>
    <col min="1055" max="1055" width="16.25" style="71" customWidth="1"/>
    <col min="1056" max="1056" width="9" style="71"/>
    <col min="1057" max="1057" width="12.25" style="71" customWidth="1"/>
    <col min="1058" max="1058" width="12.75" style="71" customWidth="1"/>
    <col min="1059" max="1059" width="12.625" style="71" customWidth="1"/>
    <col min="1060" max="1060" width="14.25" style="71" customWidth="1"/>
    <col min="1061" max="1061" width="13.75" style="71" customWidth="1"/>
    <col min="1062" max="1062" width="15.375" style="71" customWidth="1"/>
    <col min="1063" max="1284" width="9" style="71"/>
    <col min="1285" max="1285" width="12.625" style="71" customWidth="1"/>
    <col min="1286" max="1286" width="11.75" style="71" customWidth="1"/>
    <col min="1287" max="1289" width="9" style="71"/>
    <col min="1290" max="1290" width="13.5" style="71" customWidth="1"/>
    <col min="1291" max="1292" width="18" style="71" customWidth="1"/>
    <col min="1293" max="1293" width="15.125" style="71" customWidth="1"/>
    <col min="1294" max="1295" width="13.125" style="71" customWidth="1"/>
    <col min="1296" max="1296" width="13.75" style="71" customWidth="1"/>
    <col min="1297" max="1297" width="17.625" style="71" customWidth="1"/>
    <col min="1298" max="1298" width="18.625" style="71" customWidth="1"/>
    <col min="1299" max="1300" width="12.5" style="71" customWidth="1"/>
    <col min="1301" max="1301" width="14.5" style="71" customWidth="1"/>
    <col min="1302" max="1302" width="15.125" style="71" customWidth="1"/>
    <col min="1303" max="1303" width="18.625" style="71" customWidth="1"/>
    <col min="1304" max="1304" width="14.75" style="71" customWidth="1"/>
    <col min="1305" max="1305" width="14.875" style="71" customWidth="1"/>
    <col min="1306" max="1306" width="18" style="71" customWidth="1"/>
    <col min="1307" max="1307" width="19.625" style="71" customWidth="1"/>
    <col min="1308" max="1308" width="19.125" style="71" customWidth="1"/>
    <col min="1309" max="1309" width="12.375" style="71" customWidth="1"/>
    <col min="1310" max="1310" width="18" style="71" customWidth="1"/>
    <col min="1311" max="1311" width="16.25" style="71" customWidth="1"/>
    <col min="1312" max="1312" width="9" style="71"/>
    <col min="1313" max="1313" width="12.25" style="71" customWidth="1"/>
    <col min="1314" max="1314" width="12.75" style="71" customWidth="1"/>
    <col min="1315" max="1315" width="12.625" style="71" customWidth="1"/>
    <col min="1316" max="1316" width="14.25" style="71" customWidth="1"/>
    <col min="1317" max="1317" width="13.75" style="71" customWidth="1"/>
    <col min="1318" max="1318" width="15.375" style="71" customWidth="1"/>
    <col min="1319" max="1540" width="9" style="71"/>
    <col min="1541" max="1541" width="12.625" style="71" customWidth="1"/>
    <col min="1542" max="1542" width="11.75" style="71" customWidth="1"/>
    <col min="1543" max="1545" width="9" style="71"/>
    <col min="1546" max="1546" width="13.5" style="71" customWidth="1"/>
    <col min="1547" max="1548" width="18" style="71" customWidth="1"/>
    <col min="1549" max="1549" width="15.125" style="71" customWidth="1"/>
    <col min="1550" max="1551" width="13.125" style="71" customWidth="1"/>
    <col min="1552" max="1552" width="13.75" style="71" customWidth="1"/>
    <col min="1553" max="1553" width="17.625" style="71" customWidth="1"/>
    <col min="1554" max="1554" width="18.625" style="71" customWidth="1"/>
    <col min="1555" max="1556" width="12.5" style="71" customWidth="1"/>
    <col min="1557" max="1557" width="14.5" style="71" customWidth="1"/>
    <col min="1558" max="1558" width="15.125" style="71" customWidth="1"/>
    <col min="1559" max="1559" width="18.625" style="71" customWidth="1"/>
    <col min="1560" max="1560" width="14.75" style="71" customWidth="1"/>
    <col min="1561" max="1561" width="14.875" style="71" customWidth="1"/>
    <col min="1562" max="1562" width="18" style="71" customWidth="1"/>
    <col min="1563" max="1563" width="19.625" style="71" customWidth="1"/>
    <col min="1564" max="1564" width="19.125" style="71" customWidth="1"/>
    <col min="1565" max="1565" width="12.375" style="71" customWidth="1"/>
    <col min="1566" max="1566" width="18" style="71" customWidth="1"/>
    <col min="1567" max="1567" width="16.25" style="71" customWidth="1"/>
    <col min="1568" max="1568" width="9" style="71"/>
    <col min="1569" max="1569" width="12.25" style="71" customWidth="1"/>
    <col min="1570" max="1570" width="12.75" style="71" customWidth="1"/>
    <col min="1571" max="1571" width="12.625" style="71" customWidth="1"/>
    <col min="1572" max="1572" width="14.25" style="71" customWidth="1"/>
    <col min="1573" max="1573" width="13.75" style="71" customWidth="1"/>
    <col min="1574" max="1574" width="15.375" style="71" customWidth="1"/>
    <col min="1575" max="1796" width="9" style="71"/>
    <col min="1797" max="1797" width="12.625" style="71" customWidth="1"/>
    <col min="1798" max="1798" width="11.75" style="71" customWidth="1"/>
    <col min="1799" max="1801" width="9" style="71"/>
    <col min="1802" max="1802" width="13.5" style="71" customWidth="1"/>
    <col min="1803" max="1804" width="18" style="71" customWidth="1"/>
    <col min="1805" max="1805" width="15.125" style="71" customWidth="1"/>
    <col min="1806" max="1807" width="13.125" style="71" customWidth="1"/>
    <col min="1808" max="1808" width="13.75" style="71" customWidth="1"/>
    <col min="1809" max="1809" width="17.625" style="71" customWidth="1"/>
    <col min="1810" max="1810" width="18.625" style="71" customWidth="1"/>
    <col min="1811" max="1812" width="12.5" style="71" customWidth="1"/>
    <col min="1813" max="1813" width="14.5" style="71" customWidth="1"/>
    <col min="1814" max="1814" width="15.125" style="71" customWidth="1"/>
    <col min="1815" max="1815" width="18.625" style="71" customWidth="1"/>
    <col min="1816" max="1816" width="14.75" style="71" customWidth="1"/>
    <col min="1817" max="1817" width="14.875" style="71" customWidth="1"/>
    <col min="1818" max="1818" width="18" style="71" customWidth="1"/>
    <col min="1819" max="1819" width="19.625" style="71" customWidth="1"/>
    <col min="1820" max="1820" width="19.125" style="71" customWidth="1"/>
    <col min="1821" max="1821" width="12.375" style="71" customWidth="1"/>
    <col min="1822" max="1822" width="18" style="71" customWidth="1"/>
    <col min="1823" max="1823" width="16.25" style="71" customWidth="1"/>
    <col min="1824" max="1824" width="9" style="71"/>
    <col min="1825" max="1825" width="12.25" style="71" customWidth="1"/>
    <col min="1826" max="1826" width="12.75" style="71" customWidth="1"/>
    <col min="1827" max="1827" width="12.625" style="71" customWidth="1"/>
    <col min="1828" max="1828" width="14.25" style="71" customWidth="1"/>
    <col min="1829" max="1829" width="13.75" style="71" customWidth="1"/>
    <col min="1830" max="1830" width="15.375" style="71" customWidth="1"/>
    <col min="1831" max="2052" width="9" style="71"/>
    <col min="2053" max="2053" width="12.625" style="71" customWidth="1"/>
    <col min="2054" max="2054" width="11.75" style="71" customWidth="1"/>
    <col min="2055" max="2057" width="9" style="71"/>
    <col min="2058" max="2058" width="13.5" style="71" customWidth="1"/>
    <col min="2059" max="2060" width="18" style="71" customWidth="1"/>
    <col min="2061" max="2061" width="15.125" style="71" customWidth="1"/>
    <col min="2062" max="2063" width="13.125" style="71" customWidth="1"/>
    <col min="2064" max="2064" width="13.75" style="71" customWidth="1"/>
    <col min="2065" max="2065" width="17.625" style="71" customWidth="1"/>
    <col min="2066" max="2066" width="18.625" style="71" customWidth="1"/>
    <col min="2067" max="2068" width="12.5" style="71" customWidth="1"/>
    <col min="2069" max="2069" width="14.5" style="71" customWidth="1"/>
    <col min="2070" max="2070" width="15.125" style="71" customWidth="1"/>
    <col min="2071" max="2071" width="18.625" style="71" customWidth="1"/>
    <col min="2072" max="2072" width="14.75" style="71" customWidth="1"/>
    <col min="2073" max="2073" width="14.875" style="71" customWidth="1"/>
    <col min="2074" max="2074" width="18" style="71" customWidth="1"/>
    <col min="2075" max="2075" width="19.625" style="71" customWidth="1"/>
    <col min="2076" max="2076" width="19.125" style="71" customWidth="1"/>
    <col min="2077" max="2077" width="12.375" style="71" customWidth="1"/>
    <col min="2078" max="2078" width="18" style="71" customWidth="1"/>
    <col min="2079" max="2079" width="16.25" style="71" customWidth="1"/>
    <col min="2080" max="2080" width="9" style="71"/>
    <col min="2081" max="2081" width="12.25" style="71" customWidth="1"/>
    <col min="2082" max="2082" width="12.75" style="71" customWidth="1"/>
    <col min="2083" max="2083" width="12.625" style="71" customWidth="1"/>
    <col min="2084" max="2084" width="14.25" style="71" customWidth="1"/>
    <col min="2085" max="2085" width="13.75" style="71" customWidth="1"/>
    <col min="2086" max="2086" width="15.375" style="71" customWidth="1"/>
    <col min="2087" max="2308" width="9" style="71"/>
    <col min="2309" max="2309" width="12.625" style="71" customWidth="1"/>
    <col min="2310" max="2310" width="11.75" style="71" customWidth="1"/>
    <col min="2311" max="2313" width="9" style="71"/>
    <col min="2314" max="2314" width="13.5" style="71" customWidth="1"/>
    <col min="2315" max="2316" width="18" style="71" customWidth="1"/>
    <col min="2317" max="2317" width="15.125" style="71" customWidth="1"/>
    <col min="2318" max="2319" width="13.125" style="71" customWidth="1"/>
    <col min="2320" max="2320" width="13.75" style="71" customWidth="1"/>
    <col min="2321" max="2321" width="17.625" style="71" customWidth="1"/>
    <col min="2322" max="2322" width="18.625" style="71" customWidth="1"/>
    <col min="2323" max="2324" width="12.5" style="71" customWidth="1"/>
    <col min="2325" max="2325" width="14.5" style="71" customWidth="1"/>
    <col min="2326" max="2326" width="15.125" style="71" customWidth="1"/>
    <col min="2327" max="2327" width="18.625" style="71" customWidth="1"/>
    <col min="2328" max="2328" width="14.75" style="71" customWidth="1"/>
    <col min="2329" max="2329" width="14.875" style="71" customWidth="1"/>
    <col min="2330" max="2330" width="18" style="71" customWidth="1"/>
    <col min="2331" max="2331" width="19.625" style="71" customWidth="1"/>
    <col min="2332" max="2332" width="19.125" style="71" customWidth="1"/>
    <col min="2333" max="2333" width="12.375" style="71" customWidth="1"/>
    <col min="2334" max="2334" width="18" style="71" customWidth="1"/>
    <col min="2335" max="2335" width="16.25" style="71" customWidth="1"/>
    <col min="2336" max="2336" width="9" style="71"/>
    <col min="2337" max="2337" width="12.25" style="71" customWidth="1"/>
    <col min="2338" max="2338" width="12.75" style="71" customWidth="1"/>
    <col min="2339" max="2339" width="12.625" style="71" customWidth="1"/>
    <col min="2340" max="2340" width="14.25" style="71" customWidth="1"/>
    <col min="2341" max="2341" width="13.75" style="71" customWidth="1"/>
    <col min="2342" max="2342" width="15.375" style="71" customWidth="1"/>
    <col min="2343" max="2564" width="9" style="71"/>
    <col min="2565" max="2565" width="12.625" style="71" customWidth="1"/>
    <col min="2566" max="2566" width="11.75" style="71" customWidth="1"/>
    <col min="2567" max="2569" width="9" style="71"/>
    <col min="2570" max="2570" width="13.5" style="71" customWidth="1"/>
    <col min="2571" max="2572" width="18" style="71" customWidth="1"/>
    <col min="2573" max="2573" width="15.125" style="71" customWidth="1"/>
    <col min="2574" max="2575" width="13.125" style="71" customWidth="1"/>
    <col min="2576" max="2576" width="13.75" style="71" customWidth="1"/>
    <col min="2577" max="2577" width="17.625" style="71" customWidth="1"/>
    <col min="2578" max="2578" width="18.625" style="71" customWidth="1"/>
    <col min="2579" max="2580" width="12.5" style="71" customWidth="1"/>
    <col min="2581" max="2581" width="14.5" style="71" customWidth="1"/>
    <col min="2582" max="2582" width="15.125" style="71" customWidth="1"/>
    <col min="2583" max="2583" width="18.625" style="71" customWidth="1"/>
    <col min="2584" max="2584" width="14.75" style="71" customWidth="1"/>
    <col min="2585" max="2585" width="14.875" style="71" customWidth="1"/>
    <col min="2586" max="2586" width="18" style="71" customWidth="1"/>
    <col min="2587" max="2587" width="19.625" style="71" customWidth="1"/>
    <col min="2588" max="2588" width="19.125" style="71" customWidth="1"/>
    <col min="2589" max="2589" width="12.375" style="71" customWidth="1"/>
    <col min="2590" max="2590" width="18" style="71" customWidth="1"/>
    <col min="2591" max="2591" width="16.25" style="71" customWidth="1"/>
    <col min="2592" max="2592" width="9" style="71"/>
    <col min="2593" max="2593" width="12.25" style="71" customWidth="1"/>
    <col min="2594" max="2594" width="12.75" style="71" customWidth="1"/>
    <col min="2595" max="2595" width="12.625" style="71" customWidth="1"/>
    <col min="2596" max="2596" width="14.25" style="71" customWidth="1"/>
    <col min="2597" max="2597" width="13.75" style="71" customWidth="1"/>
    <col min="2598" max="2598" width="15.375" style="71" customWidth="1"/>
    <col min="2599" max="2820" width="9" style="71"/>
    <col min="2821" max="2821" width="12.625" style="71" customWidth="1"/>
    <col min="2822" max="2822" width="11.75" style="71" customWidth="1"/>
    <col min="2823" max="2825" width="9" style="71"/>
    <col min="2826" max="2826" width="13.5" style="71" customWidth="1"/>
    <col min="2827" max="2828" width="18" style="71" customWidth="1"/>
    <col min="2829" max="2829" width="15.125" style="71" customWidth="1"/>
    <col min="2830" max="2831" width="13.125" style="71" customWidth="1"/>
    <col min="2832" max="2832" width="13.75" style="71" customWidth="1"/>
    <col min="2833" max="2833" width="17.625" style="71" customWidth="1"/>
    <col min="2834" max="2834" width="18.625" style="71" customWidth="1"/>
    <col min="2835" max="2836" width="12.5" style="71" customWidth="1"/>
    <col min="2837" max="2837" width="14.5" style="71" customWidth="1"/>
    <col min="2838" max="2838" width="15.125" style="71" customWidth="1"/>
    <col min="2839" max="2839" width="18.625" style="71" customWidth="1"/>
    <col min="2840" max="2840" width="14.75" style="71" customWidth="1"/>
    <col min="2841" max="2841" width="14.875" style="71" customWidth="1"/>
    <col min="2842" max="2842" width="18" style="71" customWidth="1"/>
    <col min="2843" max="2843" width="19.625" style="71" customWidth="1"/>
    <col min="2844" max="2844" width="19.125" style="71" customWidth="1"/>
    <col min="2845" max="2845" width="12.375" style="71" customWidth="1"/>
    <col min="2846" max="2846" width="18" style="71" customWidth="1"/>
    <col min="2847" max="2847" width="16.25" style="71" customWidth="1"/>
    <col min="2848" max="2848" width="9" style="71"/>
    <col min="2849" max="2849" width="12.25" style="71" customWidth="1"/>
    <col min="2850" max="2850" width="12.75" style="71" customWidth="1"/>
    <col min="2851" max="2851" width="12.625" style="71" customWidth="1"/>
    <col min="2852" max="2852" width="14.25" style="71" customWidth="1"/>
    <col min="2853" max="2853" width="13.75" style="71" customWidth="1"/>
    <col min="2854" max="2854" width="15.375" style="71" customWidth="1"/>
    <col min="2855" max="3076" width="9" style="71"/>
    <col min="3077" max="3077" width="12.625" style="71" customWidth="1"/>
    <col min="3078" max="3078" width="11.75" style="71" customWidth="1"/>
    <col min="3079" max="3081" width="9" style="71"/>
    <col min="3082" max="3082" width="13.5" style="71" customWidth="1"/>
    <col min="3083" max="3084" width="18" style="71" customWidth="1"/>
    <col min="3085" max="3085" width="15.125" style="71" customWidth="1"/>
    <col min="3086" max="3087" width="13.125" style="71" customWidth="1"/>
    <col min="3088" max="3088" width="13.75" style="71" customWidth="1"/>
    <col min="3089" max="3089" width="17.625" style="71" customWidth="1"/>
    <col min="3090" max="3090" width="18.625" style="71" customWidth="1"/>
    <col min="3091" max="3092" width="12.5" style="71" customWidth="1"/>
    <col min="3093" max="3093" width="14.5" style="71" customWidth="1"/>
    <col min="3094" max="3094" width="15.125" style="71" customWidth="1"/>
    <col min="3095" max="3095" width="18.625" style="71" customWidth="1"/>
    <col min="3096" max="3096" width="14.75" style="71" customWidth="1"/>
    <col min="3097" max="3097" width="14.875" style="71" customWidth="1"/>
    <col min="3098" max="3098" width="18" style="71" customWidth="1"/>
    <col min="3099" max="3099" width="19.625" style="71" customWidth="1"/>
    <col min="3100" max="3100" width="19.125" style="71" customWidth="1"/>
    <col min="3101" max="3101" width="12.375" style="71" customWidth="1"/>
    <col min="3102" max="3102" width="18" style="71" customWidth="1"/>
    <col min="3103" max="3103" width="16.25" style="71" customWidth="1"/>
    <col min="3104" max="3104" width="9" style="71"/>
    <col min="3105" max="3105" width="12.25" style="71" customWidth="1"/>
    <col min="3106" max="3106" width="12.75" style="71" customWidth="1"/>
    <col min="3107" max="3107" width="12.625" style="71" customWidth="1"/>
    <col min="3108" max="3108" width="14.25" style="71" customWidth="1"/>
    <col min="3109" max="3109" width="13.75" style="71" customWidth="1"/>
    <col min="3110" max="3110" width="15.375" style="71" customWidth="1"/>
    <col min="3111" max="3332" width="9" style="71"/>
    <col min="3333" max="3333" width="12.625" style="71" customWidth="1"/>
    <col min="3334" max="3334" width="11.75" style="71" customWidth="1"/>
    <col min="3335" max="3337" width="9" style="71"/>
    <col min="3338" max="3338" width="13.5" style="71" customWidth="1"/>
    <col min="3339" max="3340" width="18" style="71" customWidth="1"/>
    <col min="3341" max="3341" width="15.125" style="71" customWidth="1"/>
    <col min="3342" max="3343" width="13.125" style="71" customWidth="1"/>
    <col min="3344" max="3344" width="13.75" style="71" customWidth="1"/>
    <col min="3345" max="3345" width="17.625" style="71" customWidth="1"/>
    <col min="3346" max="3346" width="18.625" style="71" customWidth="1"/>
    <col min="3347" max="3348" width="12.5" style="71" customWidth="1"/>
    <col min="3349" max="3349" width="14.5" style="71" customWidth="1"/>
    <col min="3350" max="3350" width="15.125" style="71" customWidth="1"/>
    <col min="3351" max="3351" width="18.625" style="71" customWidth="1"/>
    <col min="3352" max="3352" width="14.75" style="71" customWidth="1"/>
    <col min="3353" max="3353" width="14.875" style="71" customWidth="1"/>
    <col min="3354" max="3354" width="18" style="71" customWidth="1"/>
    <col min="3355" max="3355" width="19.625" style="71" customWidth="1"/>
    <col min="3356" max="3356" width="19.125" style="71" customWidth="1"/>
    <col min="3357" max="3357" width="12.375" style="71" customWidth="1"/>
    <col min="3358" max="3358" width="18" style="71" customWidth="1"/>
    <col min="3359" max="3359" width="16.25" style="71" customWidth="1"/>
    <col min="3360" max="3360" width="9" style="71"/>
    <col min="3361" max="3361" width="12.25" style="71" customWidth="1"/>
    <col min="3362" max="3362" width="12.75" style="71" customWidth="1"/>
    <col min="3363" max="3363" width="12.625" style="71" customWidth="1"/>
    <col min="3364" max="3364" width="14.25" style="71" customWidth="1"/>
    <col min="3365" max="3365" width="13.75" style="71" customWidth="1"/>
    <col min="3366" max="3366" width="15.375" style="71" customWidth="1"/>
    <col min="3367" max="3588" width="9" style="71"/>
    <col min="3589" max="3589" width="12.625" style="71" customWidth="1"/>
    <col min="3590" max="3590" width="11.75" style="71" customWidth="1"/>
    <col min="3591" max="3593" width="9" style="71"/>
    <col min="3594" max="3594" width="13.5" style="71" customWidth="1"/>
    <col min="3595" max="3596" width="18" style="71" customWidth="1"/>
    <col min="3597" max="3597" width="15.125" style="71" customWidth="1"/>
    <col min="3598" max="3599" width="13.125" style="71" customWidth="1"/>
    <col min="3600" max="3600" width="13.75" style="71" customWidth="1"/>
    <col min="3601" max="3601" width="17.625" style="71" customWidth="1"/>
    <col min="3602" max="3602" width="18.625" style="71" customWidth="1"/>
    <col min="3603" max="3604" width="12.5" style="71" customWidth="1"/>
    <col min="3605" max="3605" width="14.5" style="71" customWidth="1"/>
    <col min="3606" max="3606" width="15.125" style="71" customWidth="1"/>
    <col min="3607" max="3607" width="18.625" style="71" customWidth="1"/>
    <col min="3608" max="3608" width="14.75" style="71" customWidth="1"/>
    <col min="3609" max="3609" width="14.875" style="71" customWidth="1"/>
    <col min="3610" max="3610" width="18" style="71" customWidth="1"/>
    <col min="3611" max="3611" width="19.625" style="71" customWidth="1"/>
    <col min="3612" max="3612" width="19.125" style="71" customWidth="1"/>
    <col min="3613" max="3613" width="12.375" style="71" customWidth="1"/>
    <col min="3614" max="3614" width="18" style="71" customWidth="1"/>
    <col min="3615" max="3615" width="16.25" style="71" customWidth="1"/>
    <col min="3616" max="3616" width="9" style="71"/>
    <col min="3617" max="3617" width="12.25" style="71" customWidth="1"/>
    <col min="3618" max="3618" width="12.75" style="71" customWidth="1"/>
    <col min="3619" max="3619" width="12.625" style="71" customWidth="1"/>
    <col min="3620" max="3620" width="14.25" style="71" customWidth="1"/>
    <col min="3621" max="3621" width="13.75" style="71" customWidth="1"/>
    <col min="3622" max="3622" width="15.375" style="71" customWidth="1"/>
    <col min="3623" max="3844" width="9" style="71"/>
    <col min="3845" max="3845" width="12.625" style="71" customWidth="1"/>
    <col min="3846" max="3846" width="11.75" style="71" customWidth="1"/>
    <col min="3847" max="3849" width="9" style="71"/>
    <col min="3850" max="3850" width="13.5" style="71" customWidth="1"/>
    <col min="3851" max="3852" width="18" style="71" customWidth="1"/>
    <col min="3853" max="3853" width="15.125" style="71" customWidth="1"/>
    <col min="3854" max="3855" width="13.125" style="71" customWidth="1"/>
    <col min="3856" max="3856" width="13.75" style="71" customWidth="1"/>
    <col min="3857" max="3857" width="17.625" style="71" customWidth="1"/>
    <col min="3858" max="3858" width="18.625" style="71" customWidth="1"/>
    <col min="3859" max="3860" width="12.5" style="71" customWidth="1"/>
    <col min="3861" max="3861" width="14.5" style="71" customWidth="1"/>
    <col min="3862" max="3862" width="15.125" style="71" customWidth="1"/>
    <col min="3863" max="3863" width="18.625" style="71" customWidth="1"/>
    <col min="3864" max="3864" width="14.75" style="71" customWidth="1"/>
    <col min="3865" max="3865" width="14.875" style="71" customWidth="1"/>
    <col min="3866" max="3866" width="18" style="71" customWidth="1"/>
    <col min="3867" max="3867" width="19.625" style="71" customWidth="1"/>
    <col min="3868" max="3868" width="19.125" style="71" customWidth="1"/>
    <col min="3869" max="3869" width="12.375" style="71" customWidth="1"/>
    <col min="3870" max="3870" width="18" style="71" customWidth="1"/>
    <col min="3871" max="3871" width="16.25" style="71" customWidth="1"/>
    <col min="3872" max="3872" width="9" style="71"/>
    <col min="3873" max="3873" width="12.25" style="71" customWidth="1"/>
    <col min="3874" max="3874" width="12.75" style="71" customWidth="1"/>
    <col min="3875" max="3875" width="12.625" style="71" customWidth="1"/>
    <col min="3876" max="3876" width="14.25" style="71" customWidth="1"/>
    <col min="3877" max="3877" width="13.75" style="71" customWidth="1"/>
    <col min="3878" max="3878" width="15.375" style="71" customWidth="1"/>
    <col min="3879" max="4100" width="9" style="71"/>
    <col min="4101" max="4101" width="12.625" style="71" customWidth="1"/>
    <col min="4102" max="4102" width="11.75" style="71" customWidth="1"/>
    <col min="4103" max="4105" width="9" style="71"/>
    <col min="4106" max="4106" width="13.5" style="71" customWidth="1"/>
    <col min="4107" max="4108" width="18" style="71" customWidth="1"/>
    <col min="4109" max="4109" width="15.125" style="71" customWidth="1"/>
    <col min="4110" max="4111" width="13.125" style="71" customWidth="1"/>
    <col min="4112" max="4112" width="13.75" style="71" customWidth="1"/>
    <col min="4113" max="4113" width="17.625" style="71" customWidth="1"/>
    <col min="4114" max="4114" width="18.625" style="71" customWidth="1"/>
    <col min="4115" max="4116" width="12.5" style="71" customWidth="1"/>
    <col min="4117" max="4117" width="14.5" style="71" customWidth="1"/>
    <col min="4118" max="4118" width="15.125" style="71" customWidth="1"/>
    <col min="4119" max="4119" width="18.625" style="71" customWidth="1"/>
    <col min="4120" max="4120" width="14.75" style="71" customWidth="1"/>
    <col min="4121" max="4121" width="14.875" style="71" customWidth="1"/>
    <col min="4122" max="4122" width="18" style="71" customWidth="1"/>
    <col min="4123" max="4123" width="19.625" style="71" customWidth="1"/>
    <col min="4124" max="4124" width="19.125" style="71" customWidth="1"/>
    <col min="4125" max="4125" width="12.375" style="71" customWidth="1"/>
    <col min="4126" max="4126" width="18" style="71" customWidth="1"/>
    <col min="4127" max="4127" width="16.25" style="71" customWidth="1"/>
    <col min="4128" max="4128" width="9" style="71"/>
    <col min="4129" max="4129" width="12.25" style="71" customWidth="1"/>
    <col min="4130" max="4130" width="12.75" style="71" customWidth="1"/>
    <col min="4131" max="4131" width="12.625" style="71" customWidth="1"/>
    <col min="4132" max="4132" width="14.25" style="71" customWidth="1"/>
    <col min="4133" max="4133" width="13.75" style="71" customWidth="1"/>
    <col min="4134" max="4134" width="15.375" style="71" customWidth="1"/>
    <col min="4135" max="4356" width="9" style="71"/>
    <col min="4357" max="4357" width="12.625" style="71" customWidth="1"/>
    <col min="4358" max="4358" width="11.75" style="71" customWidth="1"/>
    <col min="4359" max="4361" width="9" style="71"/>
    <col min="4362" max="4362" width="13.5" style="71" customWidth="1"/>
    <col min="4363" max="4364" width="18" style="71" customWidth="1"/>
    <col min="4365" max="4365" width="15.125" style="71" customWidth="1"/>
    <col min="4366" max="4367" width="13.125" style="71" customWidth="1"/>
    <col min="4368" max="4368" width="13.75" style="71" customWidth="1"/>
    <col min="4369" max="4369" width="17.625" style="71" customWidth="1"/>
    <col min="4370" max="4370" width="18.625" style="71" customWidth="1"/>
    <col min="4371" max="4372" width="12.5" style="71" customWidth="1"/>
    <col min="4373" max="4373" width="14.5" style="71" customWidth="1"/>
    <col min="4374" max="4374" width="15.125" style="71" customWidth="1"/>
    <col min="4375" max="4375" width="18.625" style="71" customWidth="1"/>
    <col min="4376" max="4376" width="14.75" style="71" customWidth="1"/>
    <col min="4377" max="4377" width="14.875" style="71" customWidth="1"/>
    <col min="4378" max="4378" width="18" style="71" customWidth="1"/>
    <col min="4379" max="4379" width="19.625" style="71" customWidth="1"/>
    <col min="4380" max="4380" width="19.125" style="71" customWidth="1"/>
    <col min="4381" max="4381" width="12.375" style="71" customWidth="1"/>
    <col min="4382" max="4382" width="18" style="71" customWidth="1"/>
    <col min="4383" max="4383" width="16.25" style="71" customWidth="1"/>
    <col min="4384" max="4384" width="9" style="71"/>
    <col min="4385" max="4385" width="12.25" style="71" customWidth="1"/>
    <col min="4386" max="4386" width="12.75" style="71" customWidth="1"/>
    <col min="4387" max="4387" width="12.625" style="71" customWidth="1"/>
    <col min="4388" max="4388" width="14.25" style="71" customWidth="1"/>
    <col min="4389" max="4389" width="13.75" style="71" customWidth="1"/>
    <col min="4390" max="4390" width="15.375" style="71" customWidth="1"/>
    <col min="4391" max="4612" width="9" style="71"/>
    <col min="4613" max="4613" width="12.625" style="71" customWidth="1"/>
    <col min="4614" max="4614" width="11.75" style="71" customWidth="1"/>
    <col min="4615" max="4617" width="9" style="71"/>
    <col min="4618" max="4618" width="13.5" style="71" customWidth="1"/>
    <col min="4619" max="4620" width="18" style="71" customWidth="1"/>
    <col min="4621" max="4621" width="15.125" style="71" customWidth="1"/>
    <col min="4622" max="4623" width="13.125" style="71" customWidth="1"/>
    <col min="4624" max="4624" width="13.75" style="71" customWidth="1"/>
    <col min="4625" max="4625" width="17.625" style="71" customWidth="1"/>
    <col min="4626" max="4626" width="18.625" style="71" customWidth="1"/>
    <col min="4627" max="4628" width="12.5" style="71" customWidth="1"/>
    <col min="4629" max="4629" width="14.5" style="71" customWidth="1"/>
    <col min="4630" max="4630" width="15.125" style="71" customWidth="1"/>
    <col min="4631" max="4631" width="18.625" style="71" customWidth="1"/>
    <col min="4632" max="4632" width="14.75" style="71" customWidth="1"/>
    <col min="4633" max="4633" width="14.875" style="71" customWidth="1"/>
    <col min="4634" max="4634" width="18" style="71" customWidth="1"/>
    <col min="4635" max="4635" width="19.625" style="71" customWidth="1"/>
    <col min="4636" max="4636" width="19.125" style="71" customWidth="1"/>
    <col min="4637" max="4637" width="12.375" style="71" customWidth="1"/>
    <col min="4638" max="4638" width="18" style="71" customWidth="1"/>
    <col min="4639" max="4639" width="16.25" style="71" customWidth="1"/>
    <col min="4640" max="4640" width="9" style="71"/>
    <col min="4641" max="4641" width="12.25" style="71" customWidth="1"/>
    <col min="4642" max="4642" width="12.75" style="71" customWidth="1"/>
    <col min="4643" max="4643" width="12.625" style="71" customWidth="1"/>
    <col min="4644" max="4644" width="14.25" style="71" customWidth="1"/>
    <col min="4645" max="4645" width="13.75" style="71" customWidth="1"/>
    <col min="4646" max="4646" width="15.375" style="71" customWidth="1"/>
    <col min="4647" max="4868" width="9" style="71"/>
    <col min="4869" max="4869" width="12.625" style="71" customWidth="1"/>
    <col min="4870" max="4870" width="11.75" style="71" customWidth="1"/>
    <col min="4871" max="4873" width="9" style="71"/>
    <col min="4874" max="4874" width="13.5" style="71" customWidth="1"/>
    <col min="4875" max="4876" width="18" style="71" customWidth="1"/>
    <col min="4877" max="4877" width="15.125" style="71" customWidth="1"/>
    <col min="4878" max="4879" width="13.125" style="71" customWidth="1"/>
    <col min="4880" max="4880" width="13.75" style="71" customWidth="1"/>
    <col min="4881" max="4881" width="17.625" style="71" customWidth="1"/>
    <col min="4882" max="4882" width="18.625" style="71" customWidth="1"/>
    <col min="4883" max="4884" width="12.5" style="71" customWidth="1"/>
    <col min="4885" max="4885" width="14.5" style="71" customWidth="1"/>
    <col min="4886" max="4886" width="15.125" style="71" customWidth="1"/>
    <col min="4887" max="4887" width="18.625" style="71" customWidth="1"/>
    <col min="4888" max="4888" width="14.75" style="71" customWidth="1"/>
    <col min="4889" max="4889" width="14.875" style="71" customWidth="1"/>
    <col min="4890" max="4890" width="18" style="71" customWidth="1"/>
    <col min="4891" max="4891" width="19.625" style="71" customWidth="1"/>
    <col min="4892" max="4892" width="19.125" style="71" customWidth="1"/>
    <col min="4893" max="4893" width="12.375" style="71" customWidth="1"/>
    <col min="4894" max="4894" width="18" style="71" customWidth="1"/>
    <col min="4895" max="4895" width="16.25" style="71" customWidth="1"/>
    <col min="4896" max="4896" width="9" style="71"/>
    <col min="4897" max="4897" width="12.25" style="71" customWidth="1"/>
    <col min="4898" max="4898" width="12.75" style="71" customWidth="1"/>
    <col min="4899" max="4899" width="12.625" style="71" customWidth="1"/>
    <col min="4900" max="4900" width="14.25" style="71" customWidth="1"/>
    <col min="4901" max="4901" width="13.75" style="71" customWidth="1"/>
    <col min="4902" max="4902" width="15.375" style="71" customWidth="1"/>
    <col min="4903" max="5124" width="9" style="71"/>
    <col min="5125" max="5125" width="12.625" style="71" customWidth="1"/>
    <col min="5126" max="5126" width="11.75" style="71" customWidth="1"/>
    <col min="5127" max="5129" width="9" style="71"/>
    <col min="5130" max="5130" width="13.5" style="71" customWidth="1"/>
    <col min="5131" max="5132" width="18" style="71" customWidth="1"/>
    <col min="5133" max="5133" width="15.125" style="71" customWidth="1"/>
    <col min="5134" max="5135" width="13.125" style="71" customWidth="1"/>
    <col min="5136" max="5136" width="13.75" style="71" customWidth="1"/>
    <col min="5137" max="5137" width="17.625" style="71" customWidth="1"/>
    <col min="5138" max="5138" width="18.625" style="71" customWidth="1"/>
    <col min="5139" max="5140" width="12.5" style="71" customWidth="1"/>
    <col min="5141" max="5141" width="14.5" style="71" customWidth="1"/>
    <col min="5142" max="5142" width="15.125" style="71" customWidth="1"/>
    <col min="5143" max="5143" width="18.625" style="71" customWidth="1"/>
    <col min="5144" max="5144" width="14.75" style="71" customWidth="1"/>
    <col min="5145" max="5145" width="14.875" style="71" customWidth="1"/>
    <col min="5146" max="5146" width="18" style="71" customWidth="1"/>
    <col min="5147" max="5147" width="19.625" style="71" customWidth="1"/>
    <col min="5148" max="5148" width="19.125" style="71" customWidth="1"/>
    <col min="5149" max="5149" width="12.375" style="71" customWidth="1"/>
    <col min="5150" max="5150" width="18" style="71" customWidth="1"/>
    <col min="5151" max="5151" width="16.25" style="71" customWidth="1"/>
    <col min="5152" max="5152" width="9" style="71"/>
    <col min="5153" max="5153" width="12.25" style="71" customWidth="1"/>
    <col min="5154" max="5154" width="12.75" style="71" customWidth="1"/>
    <col min="5155" max="5155" width="12.625" style="71" customWidth="1"/>
    <col min="5156" max="5156" width="14.25" style="71" customWidth="1"/>
    <col min="5157" max="5157" width="13.75" style="71" customWidth="1"/>
    <col min="5158" max="5158" width="15.375" style="71" customWidth="1"/>
    <col min="5159" max="5380" width="9" style="71"/>
    <col min="5381" max="5381" width="12.625" style="71" customWidth="1"/>
    <col min="5382" max="5382" width="11.75" style="71" customWidth="1"/>
    <col min="5383" max="5385" width="9" style="71"/>
    <col min="5386" max="5386" width="13.5" style="71" customWidth="1"/>
    <col min="5387" max="5388" width="18" style="71" customWidth="1"/>
    <col min="5389" max="5389" width="15.125" style="71" customWidth="1"/>
    <col min="5390" max="5391" width="13.125" style="71" customWidth="1"/>
    <col min="5392" max="5392" width="13.75" style="71" customWidth="1"/>
    <col min="5393" max="5393" width="17.625" style="71" customWidth="1"/>
    <col min="5394" max="5394" width="18.625" style="71" customWidth="1"/>
    <col min="5395" max="5396" width="12.5" style="71" customWidth="1"/>
    <col min="5397" max="5397" width="14.5" style="71" customWidth="1"/>
    <col min="5398" max="5398" width="15.125" style="71" customWidth="1"/>
    <col min="5399" max="5399" width="18.625" style="71" customWidth="1"/>
    <col min="5400" max="5400" width="14.75" style="71" customWidth="1"/>
    <col min="5401" max="5401" width="14.875" style="71" customWidth="1"/>
    <col min="5402" max="5402" width="18" style="71" customWidth="1"/>
    <col min="5403" max="5403" width="19.625" style="71" customWidth="1"/>
    <col min="5404" max="5404" width="19.125" style="71" customWidth="1"/>
    <col min="5405" max="5405" width="12.375" style="71" customWidth="1"/>
    <col min="5406" max="5406" width="18" style="71" customWidth="1"/>
    <col min="5407" max="5407" width="16.25" style="71" customWidth="1"/>
    <col min="5408" max="5408" width="9" style="71"/>
    <col min="5409" max="5409" width="12.25" style="71" customWidth="1"/>
    <col min="5410" max="5410" width="12.75" style="71" customWidth="1"/>
    <col min="5411" max="5411" width="12.625" style="71" customWidth="1"/>
    <col min="5412" max="5412" width="14.25" style="71" customWidth="1"/>
    <col min="5413" max="5413" width="13.75" style="71" customWidth="1"/>
    <col min="5414" max="5414" width="15.375" style="71" customWidth="1"/>
    <col min="5415" max="5636" width="9" style="71"/>
    <col min="5637" max="5637" width="12.625" style="71" customWidth="1"/>
    <col min="5638" max="5638" width="11.75" style="71" customWidth="1"/>
    <col min="5639" max="5641" width="9" style="71"/>
    <col min="5642" max="5642" width="13.5" style="71" customWidth="1"/>
    <col min="5643" max="5644" width="18" style="71" customWidth="1"/>
    <col min="5645" max="5645" width="15.125" style="71" customWidth="1"/>
    <col min="5646" max="5647" width="13.125" style="71" customWidth="1"/>
    <col min="5648" max="5648" width="13.75" style="71" customWidth="1"/>
    <col min="5649" max="5649" width="17.625" style="71" customWidth="1"/>
    <col min="5650" max="5650" width="18.625" style="71" customWidth="1"/>
    <col min="5651" max="5652" width="12.5" style="71" customWidth="1"/>
    <col min="5653" max="5653" width="14.5" style="71" customWidth="1"/>
    <col min="5654" max="5654" width="15.125" style="71" customWidth="1"/>
    <col min="5655" max="5655" width="18.625" style="71" customWidth="1"/>
    <col min="5656" max="5656" width="14.75" style="71" customWidth="1"/>
    <col min="5657" max="5657" width="14.875" style="71" customWidth="1"/>
    <col min="5658" max="5658" width="18" style="71" customWidth="1"/>
    <col min="5659" max="5659" width="19.625" style="71" customWidth="1"/>
    <col min="5660" max="5660" width="19.125" style="71" customWidth="1"/>
    <col min="5661" max="5661" width="12.375" style="71" customWidth="1"/>
    <col min="5662" max="5662" width="18" style="71" customWidth="1"/>
    <col min="5663" max="5663" width="16.25" style="71" customWidth="1"/>
    <col min="5664" max="5664" width="9" style="71"/>
    <col min="5665" max="5665" width="12.25" style="71" customWidth="1"/>
    <col min="5666" max="5666" width="12.75" style="71" customWidth="1"/>
    <col min="5667" max="5667" width="12.625" style="71" customWidth="1"/>
    <col min="5668" max="5668" width="14.25" style="71" customWidth="1"/>
    <col min="5669" max="5669" width="13.75" style="71" customWidth="1"/>
    <col min="5670" max="5670" width="15.375" style="71" customWidth="1"/>
    <col min="5671" max="5892" width="9" style="71"/>
    <col min="5893" max="5893" width="12.625" style="71" customWidth="1"/>
    <col min="5894" max="5894" width="11.75" style="71" customWidth="1"/>
    <col min="5895" max="5897" width="9" style="71"/>
    <col min="5898" max="5898" width="13.5" style="71" customWidth="1"/>
    <col min="5899" max="5900" width="18" style="71" customWidth="1"/>
    <col min="5901" max="5901" width="15.125" style="71" customWidth="1"/>
    <col min="5902" max="5903" width="13.125" style="71" customWidth="1"/>
    <col min="5904" max="5904" width="13.75" style="71" customWidth="1"/>
    <col min="5905" max="5905" width="17.625" style="71" customWidth="1"/>
    <col min="5906" max="5906" width="18.625" style="71" customWidth="1"/>
    <col min="5907" max="5908" width="12.5" style="71" customWidth="1"/>
    <col min="5909" max="5909" width="14.5" style="71" customWidth="1"/>
    <col min="5910" max="5910" width="15.125" style="71" customWidth="1"/>
    <col min="5911" max="5911" width="18.625" style="71" customWidth="1"/>
    <col min="5912" max="5912" width="14.75" style="71" customWidth="1"/>
    <col min="5913" max="5913" width="14.875" style="71" customWidth="1"/>
    <col min="5914" max="5914" width="18" style="71" customWidth="1"/>
    <col min="5915" max="5915" width="19.625" style="71" customWidth="1"/>
    <col min="5916" max="5916" width="19.125" style="71" customWidth="1"/>
    <col min="5917" max="5917" width="12.375" style="71" customWidth="1"/>
    <col min="5918" max="5918" width="18" style="71" customWidth="1"/>
    <col min="5919" max="5919" width="16.25" style="71" customWidth="1"/>
    <col min="5920" max="5920" width="9" style="71"/>
    <col min="5921" max="5921" width="12.25" style="71" customWidth="1"/>
    <col min="5922" max="5922" width="12.75" style="71" customWidth="1"/>
    <col min="5923" max="5923" width="12.625" style="71" customWidth="1"/>
    <col min="5924" max="5924" width="14.25" style="71" customWidth="1"/>
    <col min="5925" max="5925" width="13.75" style="71" customWidth="1"/>
    <col min="5926" max="5926" width="15.375" style="71" customWidth="1"/>
    <col min="5927" max="6148" width="9" style="71"/>
    <col min="6149" max="6149" width="12.625" style="71" customWidth="1"/>
    <col min="6150" max="6150" width="11.75" style="71" customWidth="1"/>
    <col min="6151" max="6153" width="9" style="71"/>
    <col min="6154" max="6154" width="13.5" style="71" customWidth="1"/>
    <col min="6155" max="6156" width="18" style="71" customWidth="1"/>
    <col min="6157" max="6157" width="15.125" style="71" customWidth="1"/>
    <col min="6158" max="6159" width="13.125" style="71" customWidth="1"/>
    <col min="6160" max="6160" width="13.75" style="71" customWidth="1"/>
    <col min="6161" max="6161" width="17.625" style="71" customWidth="1"/>
    <col min="6162" max="6162" width="18.625" style="71" customWidth="1"/>
    <col min="6163" max="6164" width="12.5" style="71" customWidth="1"/>
    <col min="6165" max="6165" width="14.5" style="71" customWidth="1"/>
    <col min="6166" max="6166" width="15.125" style="71" customWidth="1"/>
    <col min="6167" max="6167" width="18.625" style="71" customWidth="1"/>
    <col min="6168" max="6168" width="14.75" style="71" customWidth="1"/>
    <col min="6169" max="6169" width="14.875" style="71" customWidth="1"/>
    <col min="6170" max="6170" width="18" style="71" customWidth="1"/>
    <col min="6171" max="6171" width="19.625" style="71" customWidth="1"/>
    <col min="6172" max="6172" width="19.125" style="71" customWidth="1"/>
    <col min="6173" max="6173" width="12.375" style="71" customWidth="1"/>
    <col min="6174" max="6174" width="18" style="71" customWidth="1"/>
    <col min="6175" max="6175" width="16.25" style="71" customWidth="1"/>
    <col min="6176" max="6176" width="9" style="71"/>
    <col min="6177" max="6177" width="12.25" style="71" customWidth="1"/>
    <col min="6178" max="6178" width="12.75" style="71" customWidth="1"/>
    <col min="6179" max="6179" width="12.625" style="71" customWidth="1"/>
    <col min="6180" max="6180" width="14.25" style="71" customWidth="1"/>
    <col min="6181" max="6181" width="13.75" style="71" customWidth="1"/>
    <col min="6182" max="6182" width="15.375" style="71" customWidth="1"/>
    <col min="6183" max="6404" width="9" style="71"/>
    <col min="6405" max="6405" width="12.625" style="71" customWidth="1"/>
    <col min="6406" max="6406" width="11.75" style="71" customWidth="1"/>
    <col min="6407" max="6409" width="9" style="71"/>
    <col min="6410" max="6410" width="13.5" style="71" customWidth="1"/>
    <col min="6411" max="6412" width="18" style="71" customWidth="1"/>
    <col min="6413" max="6413" width="15.125" style="71" customWidth="1"/>
    <col min="6414" max="6415" width="13.125" style="71" customWidth="1"/>
    <col min="6416" max="6416" width="13.75" style="71" customWidth="1"/>
    <col min="6417" max="6417" width="17.625" style="71" customWidth="1"/>
    <col min="6418" max="6418" width="18.625" style="71" customWidth="1"/>
    <col min="6419" max="6420" width="12.5" style="71" customWidth="1"/>
    <col min="6421" max="6421" width="14.5" style="71" customWidth="1"/>
    <col min="6422" max="6422" width="15.125" style="71" customWidth="1"/>
    <col min="6423" max="6423" width="18.625" style="71" customWidth="1"/>
    <col min="6424" max="6424" width="14.75" style="71" customWidth="1"/>
    <col min="6425" max="6425" width="14.875" style="71" customWidth="1"/>
    <col min="6426" max="6426" width="18" style="71" customWidth="1"/>
    <col min="6427" max="6427" width="19.625" style="71" customWidth="1"/>
    <col min="6428" max="6428" width="19.125" style="71" customWidth="1"/>
    <col min="6429" max="6429" width="12.375" style="71" customWidth="1"/>
    <col min="6430" max="6430" width="18" style="71" customWidth="1"/>
    <col min="6431" max="6431" width="16.25" style="71" customWidth="1"/>
    <col min="6432" max="6432" width="9" style="71"/>
    <col min="6433" max="6433" width="12.25" style="71" customWidth="1"/>
    <col min="6434" max="6434" width="12.75" style="71" customWidth="1"/>
    <col min="6435" max="6435" width="12.625" style="71" customWidth="1"/>
    <col min="6436" max="6436" width="14.25" style="71" customWidth="1"/>
    <col min="6437" max="6437" width="13.75" style="71" customWidth="1"/>
    <col min="6438" max="6438" width="15.375" style="71" customWidth="1"/>
    <col min="6439" max="6660" width="9" style="71"/>
    <col min="6661" max="6661" width="12.625" style="71" customWidth="1"/>
    <col min="6662" max="6662" width="11.75" style="71" customWidth="1"/>
    <col min="6663" max="6665" width="9" style="71"/>
    <col min="6666" max="6666" width="13.5" style="71" customWidth="1"/>
    <col min="6667" max="6668" width="18" style="71" customWidth="1"/>
    <col min="6669" max="6669" width="15.125" style="71" customWidth="1"/>
    <col min="6670" max="6671" width="13.125" style="71" customWidth="1"/>
    <col min="6672" max="6672" width="13.75" style="71" customWidth="1"/>
    <col min="6673" max="6673" width="17.625" style="71" customWidth="1"/>
    <col min="6674" max="6674" width="18.625" style="71" customWidth="1"/>
    <col min="6675" max="6676" width="12.5" style="71" customWidth="1"/>
    <col min="6677" max="6677" width="14.5" style="71" customWidth="1"/>
    <col min="6678" max="6678" width="15.125" style="71" customWidth="1"/>
    <col min="6679" max="6679" width="18.625" style="71" customWidth="1"/>
    <col min="6680" max="6680" width="14.75" style="71" customWidth="1"/>
    <col min="6681" max="6681" width="14.875" style="71" customWidth="1"/>
    <col min="6682" max="6682" width="18" style="71" customWidth="1"/>
    <col min="6683" max="6683" width="19.625" style="71" customWidth="1"/>
    <col min="6684" max="6684" width="19.125" style="71" customWidth="1"/>
    <col min="6685" max="6685" width="12.375" style="71" customWidth="1"/>
    <col min="6686" max="6686" width="18" style="71" customWidth="1"/>
    <col min="6687" max="6687" width="16.25" style="71" customWidth="1"/>
    <col min="6688" max="6688" width="9" style="71"/>
    <col min="6689" max="6689" width="12.25" style="71" customWidth="1"/>
    <col min="6690" max="6690" width="12.75" style="71" customWidth="1"/>
    <col min="6691" max="6691" width="12.625" style="71" customWidth="1"/>
    <col min="6692" max="6692" width="14.25" style="71" customWidth="1"/>
    <col min="6693" max="6693" width="13.75" style="71" customWidth="1"/>
    <col min="6694" max="6694" width="15.375" style="71" customWidth="1"/>
    <col min="6695" max="6916" width="9" style="71"/>
    <col min="6917" max="6917" width="12.625" style="71" customWidth="1"/>
    <col min="6918" max="6918" width="11.75" style="71" customWidth="1"/>
    <col min="6919" max="6921" width="9" style="71"/>
    <col min="6922" max="6922" width="13.5" style="71" customWidth="1"/>
    <col min="6923" max="6924" width="18" style="71" customWidth="1"/>
    <col min="6925" max="6925" width="15.125" style="71" customWidth="1"/>
    <col min="6926" max="6927" width="13.125" style="71" customWidth="1"/>
    <col min="6928" max="6928" width="13.75" style="71" customWidth="1"/>
    <col min="6929" max="6929" width="17.625" style="71" customWidth="1"/>
    <col min="6930" max="6930" width="18.625" style="71" customWidth="1"/>
    <col min="6931" max="6932" width="12.5" style="71" customWidth="1"/>
    <col min="6933" max="6933" width="14.5" style="71" customWidth="1"/>
    <col min="6934" max="6934" width="15.125" style="71" customWidth="1"/>
    <col min="6935" max="6935" width="18.625" style="71" customWidth="1"/>
    <col min="6936" max="6936" width="14.75" style="71" customWidth="1"/>
    <col min="6937" max="6937" width="14.875" style="71" customWidth="1"/>
    <col min="6938" max="6938" width="18" style="71" customWidth="1"/>
    <col min="6939" max="6939" width="19.625" style="71" customWidth="1"/>
    <col min="6940" max="6940" width="19.125" style="71" customWidth="1"/>
    <col min="6941" max="6941" width="12.375" style="71" customWidth="1"/>
    <col min="6942" max="6942" width="18" style="71" customWidth="1"/>
    <col min="6943" max="6943" width="16.25" style="71" customWidth="1"/>
    <col min="6944" max="6944" width="9" style="71"/>
    <col min="6945" max="6945" width="12.25" style="71" customWidth="1"/>
    <col min="6946" max="6946" width="12.75" style="71" customWidth="1"/>
    <col min="6947" max="6947" width="12.625" style="71" customWidth="1"/>
    <col min="6948" max="6948" width="14.25" style="71" customWidth="1"/>
    <col min="6949" max="6949" width="13.75" style="71" customWidth="1"/>
    <col min="6950" max="6950" width="15.375" style="71" customWidth="1"/>
    <col min="6951" max="7172" width="9" style="71"/>
    <col min="7173" max="7173" width="12.625" style="71" customWidth="1"/>
    <col min="7174" max="7174" width="11.75" style="71" customWidth="1"/>
    <col min="7175" max="7177" width="9" style="71"/>
    <col min="7178" max="7178" width="13.5" style="71" customWidth="1"/>
    <col min="7179" max="7180" width="18" style="71" customWidth="1"/>
    <col min="7181" max="7181" width="15.125" style="71" customWidth="1"/>
    <col min="7182" max="7183" width="13.125" style="71" customWidth="1"/>
    <col min="7184" max="7184" width="13.75" style="71" customWidth="1"/>
    <col min="7185" max="7185" width="17.625" style="71" customWidth="1"/>
    <col min="7186" max="7186" width="18.625" style="71" customWidth="1"/>
    <col min="7187" max="7188" width="12.5" style="71" customWidth="1"/>
    <col min="7189" max="7189" width="14.5" style="71" customWidth="1"/>
    <col min="7190" max="7190" width="15.125" style="71" customWidth="1"/>
    <col min="7191" max="7191" width="18.625" style="71" customWidth="1"/>
    <col min="7192" max="7192" width="14.75" style="71" customWidth="1"/>
    <col min="7193" max="7193" width="14.875" style="71" customWidth="1"/>
    <col min="7194" max="7194" width="18" style="71" customWidth="1"/>
    <col min="7195" max="7195" width="19.625" style="71" customWidth="1"/>
    <col min="7196" max="7196" width="19.125" style="71" customWidth="1"/>
    <col min="7197" max="7197" width="12.375" style="71" customWidth="1"/>
    <col min="7198" max="7198" width="18" style="71" customWidth="1"/>
    <col min="7199" max="7199" width="16.25" style="71" customWidth="1"/>
    <col min="7200" max="7200" width="9" style="71"/>
    <col min="7201" max="7201" width="12.25" style="71" customWidth="1"/>
    <col min="7202" max="7202" width="12.75" style="71" customWidth="1"/>
    <col min="7203" max="7203" width="12.625" style="71" customWidth="1"/>
    <col min="7204" max="7204" width="14.25" style="71" customWidth="1"/>
    <col min="7205" max="7205" width="13.75" style="71" customWidth="1"/>
    <col min="7206" max="7206" width="15.375" style="71" customWidth="1"/>
    <col min="7207" max="7428" width="9" style="71"/>
    <col min="7429" max="7429" width="12.625" style="71" customWidth="1"/>
    <col min="7430" max="7430" width="11.75" style="71" customWidth="1"/>
    <col min="7431" max="7433" width="9" style="71"/>
    <col min="7434" max="7434" width="13.5" style="71" customWidth="1"/>
    <col min="7435" max="7436" width="18" style="71" customWidth="1"/>
    <col min="7437" max="7437" width="15.125" style="71" customWidth="1"/>
    <col min="7438" max="7439" width="13.125" style="71" customWidth="1"/>
    <col min="7440" max="7440" width="13.75" style="71" customWidth="1"/>
    <col min="7441" max="7441" width="17.625" style="71" customWidth="1"/>
    <col min="7442" max="7442" width="18.625" style="71" customWidth="1"/>
    <col min="7443" max="7444" width="12.5" style="71" customWidth="1"/>
    <col min="7445" max="7445" width="14.5" style="71" customWidth="1"/>
    <col min="7446" max="7446" width="15.125" style="71" customWidth="1"/>
    <col min="7447" max="7447" width="18.625" style="71" customWidth="1"/>
    <col min="7448" max="7448" width="14.75" style="71" customWidth="1"/>
    <col min="7449" max="7449" width="14.875" style="71" customWidth="1"/>
    <col min="7450" max="7450" width="18" style="71" customWidth="1"/>
    <col min="7451" max="7451" width="19.625" style="71" customWidth="1"/>
    <col min="7452" max="7452" width="19.125" style="71" customWidth="1"/>
    <col min="7453" max="7453" width="12.375" style="71" customWidth="1"/>
    <col min="7454" max="7454" width="18" style="71" customWidth="1"/>
    <col min="7455" max="7455" width="16.25" style="71" customWidth="1"/>
    <col min="7456" max="7456" width="9" style="71"/>
    <col min="7457" max="7457" width="12.25" style="71" customWidth="1"/>
    <col min="7458" max="7458" width="12.75" style="71" customWidth="1"/>
    <col min="7459" max="7459" width="12.625" style="71" customWidth="1"/>
    <col min="7460" max="7460" width="14.25" style="71" customWidth="1"/>
    <col min="7461" max="7461" width="13.75" style="71" customWidth="1"/>
    <col min="7462" max="7462" width="15.375" style="71" customWidth="1"/>
    <col min="7463" max="7684" width="9" style="71"/>
    <col min="7685" max="7685" width="12.625" style="71" customWidth="1"/>
    <col min="7686" max="7686" width="11.75" style="71" customWidth="1"/>
    <col min="7687" max="7689" width="9" style="71"/>
    <col min="7690" max="7690" width="13.5" style="71" customWidth="1"/>
    <col min="7691" max="7692" width="18" style="71" customWidth="1"/>
    <col min="7693" max="7693" width="15.125" style="71" customWidth="1"/>
    <col min="7694" max="7695" width="13.125" style="71" customWidth="1"/>
    <col min="7696" max="7696" width="13.75" style="71" customWidth="1"/>
    <col min="7697" max="7697" width="17.625" style="71" customWidth="1"/>
    <col min="7698" max="7698" width="18.625" style="71" customWidth="1"/>
    <col min="7699" max="7700" width="12.5" style="71" customWidth="1"/>
    <col min="7701" max="7701" width="14.5" style="71" customWidth="1"/>
    <col min="7702" max="7702" width="15.125" style="71" customWidth="1"/>
    <col min="7703" max="7703" width="18.625" style="71" customWidth="1"/>
    <col min="7704" max="7704" width="14.75" style="71" customWidth="1"/>
    <col min="7705" max="7705" width="14.875" style="71" customWidth="1"/>
    <col min="7706" max="7706" width="18" style="71" customWidth="1"/>
    <col min="7707" max="7707" width="19.625" style="71" customWidth="1"/>
    <col min="7708" max="7708" width="19.125" style="71" customWidth="1"/>
    <col min="7709" max="7709" width="12.375" style="71" customWidth="1"/>
    <col min="7710" max="7710" width="18" style="71" customWidth="1"/>
    <col min="7711" max="7711" width="16.25" style="71" customWidth="1"/>
    <col min="7712" max="7712" width="9" style="71"/>
    <col min="7713" max="7713" width="12.25" style="71" customWidth="1"/>
    <col min="7714" max="7714" width="12.75" style="71" customWidth="1"/>
    <col min="7715" max="7715" width="12.625" style="71" customWidth="1"/>
    <col min="7716" max="7716" width="14.25" style="71" customWidth="1"/>
    <col min="7717" max="7717" width="13.75" style="71" customWidth="1"/>
    <col min="7718" max="7718" width="15.375" style="71" customWidth="1"/>
    <col min="7719" max="7940" width="9" style="71"/>
    <col min="7941" max="7941" width="12.625" style="71" customWidth="1"/>
    <col min="7942" max="7942" width="11.75" style="71" customWidth="1"/>
    <col min="7943" max="7945" width="9" style="71"/>
    <col min="7946" max="7946" width="13.5" style="71" customWidth="1"/>
    <col min="7947" max="7948" width="18" style="71" customWidth="1"/>
    <col min="7949" max="7949" width="15.125" style="71" customWidth="1"/>
    <col min="7950" max="7951" width="13.125" style="71" customWidth="1"/>
    <col min="7952" max="7952" width="13.75" style="71" customWidth="1"/>
    <col min="7953" max="7953" width="17.625" style="71" customWidth="1"/>
    <col min="7954" max="7954" width="18.625" style="71" customWidth="1"/>
    <col min="7955" max="7956" width="12.5" style="71" customWidth="1"/>
    <col min="7957" max="7957" width="14.5" style="71" customWidth="1"/>
    <col min="7958" max="7958" width="15.125" style="71" customWidth="1"/>
    <col min="7959" max="7959" width="18.625" style="71" customWidth="1"/>
    <col min="7960" max="7960" width="14.75" style="71" customWidth="1"/>
    <col min="7961" max="7961" width="14.875" style="71" customWidth="1"/>
    <col min="7962" max="7962" width="18" style="71" customWidth="1"/>
    <col min="7963" max="7963" width="19.625" style="71" customWidth="1"/>
    <col min="7964" max="7964" width="19.125" style="71" customWidth="1"/>
    <col min="7965" max="7965" width="12.375" style="71" customWidth="1"/>
    <col min="7966" max="7966" width="18" style="71" customWidth="1"/>
    <col min="7967" max="7967" width="16.25" style="71" customWidth="1"/>
    <col min="7968" max="7968" width="9" style="71"/>
    <col min="7969" max="7969" width="12.25" style="71" customWidth="1"/>
    <col min="7970" max="7970" width="12.75" style="71" customWidth="1"/>
    <col min="7971" max="7971" width="12.625" style="71" customWidth="1"/>
    <col min="7972" max="7972" width="14.25" style="71" customWidth="1"/>
    <col min="7973" max="7973" width="13.75" style="71" customWidth="1"/>
    <col min="7974" max="7974" width="15.375" style="71" customWidth="1"/>
    <col min="7975" max="8196" width="9" style="71"/>
    <col min="8197" max="8197" width="12.625" style="71" customWidth="1"/>
    <col min="8198" max="8198" width="11.75" style="71" customWidth="1"/>
    <col min="8199" max="8201" width="9" style="71"/>
    <col min="8202" max="8202" width="13.5" style="71" customWidth="1"/>
    <col min="8203" max="8204" width="18" style="71" customWidth="1"/>
    <col min="8205" max="8205" width="15.125" style="71" customWidth="1"/>
    <col min="8206" max="8207" width="13.125" style="71" customWidth="1"/>
    <col min="8208" max="8208" width="13.75" style="71" customWidth="1"/>
    <col min="8209" max="8209" width="17.625" style="71" customWidth="1"/>
    <col min="8210" max="8210" width="18.625" style="71" customWidth="1"/>
    <col min="8211" max="8212" width="12.5" style="71" customWidth="1"/>
    <col min="8213" max="8213" width="14.5" style="71" customWidth="1"/>
    <col min="8214" max="8214" width="15.125" style="71" customWidth="1"/>
    <col min="8215" max="8215" width="18.625" style="71" customWidth="1"/>
    <col min="8216" max="8216" width="14.75" style="71" customWidth="1"/>
    <col min="8217" max="8217" width="14.875" style="71" customWidth="1"/>
    <col min="8218" max="8218" width="18" style="71" customWidth="1"/>
    <col min="8219" max="8219" width="19.625" style="71" customWidth="1"/>
    <col min="8220" max="8220" width="19.125" style="71" customWidth="1"/>
    <col min="8221" max="8221" width="12.375" style="71" customWidth="1"/>
    <col min="8222" max="8222" width="18" style="71" customWidth="1"/>
    <col min="8223" max="8223" width="16.25" style="71" customWidth="1"/>
    <col min="8224" max="8224" width="9" style="71"/>
    <col min="8225" max="8225" width="12.25" style="71" customWidth="1"/>
    <col min="8226" max="8226" width="12.75" style="71" customWidth="1"/>
    <col min="8227" max="8227" width="12.625" style="71" customWidth="1"/>
    <col min="8228" max="8228" width="14.25" style="71" customWidth="1"/>
    <col min="8229" max="8229" width="13.75" style="71" customWidth="1"/>
    <col min="8230" max="8230" width="15.375" style="71" customWidth="1"/>
    <col min="8231" max="8452" width="9" style="71"/>
    <col min="8453" max="8453" width="12.625" style="71" customWidth="1"/>
    <col min="8454" max="8454" width="11.75" style="71" customWidth="1"/>
    <col min="8455" max="8457" width="9" style="71"/>
    <col min="8458" max="8458" width="13.5" style="71" customWidth="1"/>
    <col min="8459" max="8460" width="18" style="71" customWidth="1"/>
    <col min="8461" max="8461" width="15.125" style="71" customWidth="1"/>
    <col min="8462" max="8463" width="13.125" style="71" customWidth="1"/>
    <col min="8464" max="8464" width="13.75" style="71" customWidth="1"/>
    <col min="8465" max="8465" width="17.625" style="71" customWidth="1"/>
    <col min="8466" max="8466" width="18.625" style="71" customWidth="1"/>
    <col min="8467" max="8468" width="12.5" style="71" customWidth="1"/>
    <col min="8469" max="8469" width="14.5" style="71" customWidth="1"/>
    <col min="8470" max="8470" width="15.125" style="71" customWidth="1"/>
    <col min="8471" max="8471" width="18.625" style="71" customWidth="1"/>
    <col min="8472" max="8472" width="14.75" style="71" customWidth="1"/>
    <col min="8473" max="8473" width="14.875" style="71" customWidth="1"/>
    <col min="8474" max="8474" width="18" style="71" customWidth="1"/>
    <col min="8475" max="8475" width="19.625" style="71" customWidth="1"/>
    <col min="8476" max="8476" width="19.125" style="71" customWidth="1"/>
    <col min="8477" max="8477" width="12.375" style="71" customWidth="1"/>
    <col min="8478" max="8478" width="18" style="71" customWidth="1"/>
    <col min="8479" max="8479" width="16.25" style="71" customWidth="1"/>
    <col min="8480" max="8480" width="9" style="71"/>
    <col min="8481" max="8481" width="12.25" style="71" customWidth="1"/>
    <col min="8482" max="8482" width="12.75" style="71" customWidth="1"/>
    <col min="8483" max="8483" width="12.625" style="71" customWidth="1"/>
    <col min="8484" max="8484" width="14.25" style="71" customWidth="1"/>
    <col min="8485" max="8485" width="13.75" style="71" customWidth="1"/>
    <col min="8486" max="8486" width="15.375" style="71" customWidth="1"/>
    <col min="8487" max="8708" width="9" style="71"/>
    <col min="8709" max="8709" width="12.625" style="71" customWidth="1"/>
    <col min="8710" max="8710" width="11.75" style="71" customWidth="1"/>
    <col min="8711" max="8713" width="9" style="71"/>
    <col min="8714" max="8714" width="13.5" style="71" customWidth="1"/>
    <col min="8715" max="8716" width="18" style="71" customWidth="1"/>
    <col min="8717" max="8717" width="15.125" style="71" customWidth="1"/>
    <col min="8718" max="8719" width="13.125" style="71" customWidth="1"/>
    <col min="8720" max="8720" width="13.75" style="71" customWidth="1"/>
    <col min="8721" max="8721" width="17.625" style="71" customWidth="1"/>
    <col min="8722" max="8722" width="18.625" style="71" customWidth="1"/>
    <col min="8723" max="8724" width="12.5" style="71" customWidth="1"/>
    <col min="8725" max="8725" width="14.5" style="71" customWidth="1"/>
    <col min="8726" max="8726" width="15.125" style="71" customWidth="1"/>
    <col min="8727" max="8727" width="18.625" style="71" customWidth="1"/>
    <col min="8728" max="8728" width="14.75" style="71" customWidth="1"/>
    <col min="8729" max="8729" width="14.875" style="71" customWidth="1"/>
    <col min="8730" max="8730" width="18" style="71" customWidth="1"/>
    <col min="8731" max="8731" width="19.625" style="71" customWidth="1"/>
    <col min="8732" max="8732" width="19.125" style="71" customWidth="1"/>
    <col min="8733" max="8733" width="12.375" style="71" customWidth="1"/>
    <col min="8734" max="8734" width="18" style="71" customWidth="1"/>
    <col min="8735" max="8735" width="16.25" style="71" customWidth="1"/>
    <col min="8736" max="8736" width="9" style="71"/>
    <col min="8737" max="8737" width="12.25" style="71" customWidth="1"/>
    <col min="8738" max="8738" width="12.75" style="71" customWidth="1"/>
    <col min="8739" max="8739" width="12.625" style="71" customWidth="1"/>
    <col min="8740" max="8740" width="14.25" style="71" customWidth="1"/>
    <col min="8741" max="8741" width="13.75" style="71" customWidth="1"/>
    <col min="8742" max="8742" width="15.375" style="71" customWidth="1"/>
    <col min="8743" max="8964" width="9" style="71"/>
    <col min="8965" max="8965" width="12.625" style="71" customWidth="1"/>
    <col min="8966" max="8966" width="11.75" style="71" customWidth="1"/>
    <col min="8967" max="8969" width="9" style="71"/>
    <col min="8970" max="8970" width="13.5" style="71" customWidth="1"/>
    <col min="8971" max="8972" width="18" style="71" customWidth="1"/>
    <col min="8973" max="8973" width="15.125" style="71" customWidth="1"/>
    <col min="8974" max="8975" width="13.125" style="71" customWidth="1"/>
    <col min="8976" max="8976" width="13.75" style="71" customWidth="1"/>
    <col min="8977" max="8977" width="17.625" style="71" customWidth="1"/>
    <col min="8978" max="8978" width="18.625" style="71" customWidth="1"/>
    <col min="8979" max="8980" width="12.5" style="71" customWidth="1"/>
    <col min="8981" max="8981" width="14.5" style="71" customWidth="1"/>
    <col min="8982" max="8982" width="15.125" style="71" customWidth="1"/>
    <col min="8983" max="8983" width="18.625" style="71" customWidth="1"/>
    <col min="8984" max="8984" width="14.75" style="71" customWidth="1"/>
    <col min="8985" max="8985" width="14.875" style="71" customWidth="1"/>
    <col min="8986" max="8986" width="18" style="71" customWidth="1"/>
    <col min="8987" max="8987" width="19.625" style="71" customWidth="1"/>
    <col min="8988" max="8988" width="19.125" style="71" customWidth="1"/>
    <col min="8989" max="8989" width="12.375" style="71" customWidth="1"/>
    <col min="8990" max="8990" width="18" style="71" customWidth="1"/>
    <col min="8991" max="8991" width="16.25" style="71" customWidth="1"/>
    <col min="8992" max="8992" width="9" style="71"/>
    <col min="8993" max="8993" width="12.25" style="71" customWidth="1"/>
    <col min="8994" max="8994" width="12.75" style="71" customWidth="1"/>
    <col min="8995" max="8995" width="12.625" style="71" customWidth="1"/>
    <col min="8996" max="8996" width="14.25" style="71" customWidth="1"/>
    <col min="8997" max="8997" width="13.75" style="71" customWidth="1"/>
    <col min="8998" max="8998" width="15.375" style="71" customWidth="1"/>
    <col min="8999" max="9220" width="9" style="71"/>
    <col min="9221" max="9221" width="12.625" style="71" customWidth="1"/>
    <col min="9222" max="9222" width="11.75" style="71" customWidth="1"/>
    <col min="9223" max="9225" width="9" style="71"/>
    <col min="9226" max="9226" width="13.5" style="71" customWidth="1"/>
    <col min="9227" max="9228" width="18" style="71" customWidth="1"/>
    <col min="9229" max="9229" width="15.125" style="71" customWidth="1"/>
    <col min="9230" max="9231" width="13.125" style="71" customWidth="1"/>
    <col min="9232" max="9232" width="13.75" style="71" customWidth="1"/>
    <col min="9233" max="9233" width="17.625" style="71" customWidth="1"/>
    <col min="9234" max="9234" width="18.625" style="71" customWidth="1"/>
    <col min="9235" max="9236" width="12.5" style="71" customWidth="1"/>
    <col min="9237" max="9237" width="14.5" style="71" customWidth="1"/>
    <col min="9238" max="9238" width="15.125" style="71" customWidth="1"/>
    <col min="9239" max="9239" width="18.625" style="71" customWidth="1"/>
    <col min="9240" max="9240" width="14.75" style="71" customWidth="1"/>
    <col min="9241" max="9241" width="14.875" style="71" customWidth="1"/>
    <col min="9242" max="9242" width="18" style="71" customWidth="1"/>
    <col min="9243" max="9243" width="19.625" style="71" customWidth="1"/>
    <col min="9244" max="9244" width="19.125" style="71" customWidth="1"/>
    <col min="9245" max="9245" width="12.375" style="71" customWidth="1"/>
    <col min="9246" max="9246" width="18" style="71" customWidth="1"/>
    <col min="9247" max="9247" width="16.25" style="71" customWidth="1"/>
    <col min="9248" max="9248" width="9" style="71"/>
    <col min="9249" max="9249" width="12.25" style="71" customWidth="1"/>
    <col min="9250" max="9250" width="12.75" style="71" customWidth="1"/>
    <col min="9251" max="9251" width="12.625" style="71" customWidth="1"/>
    <col min="9252" max="9252" width="14.25" style="71" customWidth="1"/>
    <col min="9253" max="9253" width="13.75" style="71" customWidth="1"/>
    <col min="9254" max="9254" width="15.375" style="71" customWidth="1"/>
    <col min="9255" max="9476" width="9" style="71"/>
    <col min="9477" max="9477" width="12.625" style="71" customWidth="1"/>
    <col min="9478" max="9478" width="11.75" style="71" customWidth="1"/>
    <col min="9479" max="9481" width="9" style="71"/>
    <col min="9482" max="9482" width="13.5" style="71" customWidth="1"/>
    <col min="9483" max="9484" width="18" style="71" customWidth="1"/>
    <col min="9485" max="9485" width="15.125" style="71" customWidth="1"/>
    <col min="9486" max="9487" width="13.125" style="71" customWidth="1"/>
    <col min="9488" max="9488" width="13.75" style="71" customWidth="1"/>
    <col min="9489" max="9489" width="17.625" style="71" customWidth="1"/>
    <col min="9490" max="9490" width="18.625" style="71" customWidth="1"/>
    <col min="9491" max="9492" width="12.5" style="71" customWidth="1"/>
    <col min="9493" max="9493" width="14.5" style="71" customWidth="1"/>
    <col min="9494" max="9494" width="15.125" style="71" customWidth="1"/>
    <col min="9495" max="9495" width="18.625" style="71" customWidth="1"/>
    <col min="9496" max="9496" width="14.75" style="71" customWidth="1"/>
    <col min="9497" max="9497" width="14.875" style="71" customWidth="1"/>
    <col min="9498" max="9498" width="18" style="71" customWidth="1"/>
    <col min="9499" max="9499" width="19.625" style="71" customWidth="1"/>
    <col min="9500" max="9500" width="19.125" style="71" customWidth="1"/>
    <col min="9501" max="9501" width="12.375" style="71" customWidth="1"/>
    <col min="9502" max="9502" width="18" style="71" customWidth="1"/>
    <col min="9503" max="9503" width="16.25" style="71" customWidth="1"/>
    <col min="9504" max="9504" width="9" style="71"/>
    <col min="9505" max="9505" width="12.25" style="71" customWidth="1"/>
    <col min="9506" max="9506" width="12.75" style="71" customWidth="1"/>
    <col min="9507" max="9507" width="12.625" style="71" customWidth="1"/>
    <col min="9508" max="9508" width="14.25" style="71" customWidth="1"/>
    <col min="9509" max="9509" width="13.75" style="71" customWidth="1"/>
    <col min="9510" max="9510" width="15.375" style="71" customWidth="1"/>
    <col min="9511" max="9732" width="9" style="71"/>
    <col min="9733" max="9733" width="12.625" style="71" customWidth="1"/>
    <col min="9734" max="9734" width="11.75" style="71" customWidth="1"/>
    <col min="9735" max="9737" width="9" style="71"/>
    <col min="9738" max="9738" width="13.5" style="71" customWidth="1"/>
    <col min="9739" max="9740" width="18" style="71" customWidth="1"/>
    <col min="9741" max="9741" width="15.125" style="71" customWidth="1"/>
    <col min="9742" max="9743" width="13.125" style="71" customWidth="1"/>
    <col min="9744" max="9744" width="13.75" style="71" customWidth="1"/>
    <col min="9745" max="9745" width="17.625" style="71" customWidth="1"/>
    <col min="9746" max="9746" width="18.625" style="71" customWidth="1"/>
    <col min="9747" max="9748" width="12.5" style="71" customWidth="1"/>
    <col min="9749" max="9749" width="14.5" style="71" customWidth="1"/>
    <col min="9750" max="9750" width="15.125" style="71" customWidth="1"/>
    <col min="9751" max="9751" width="18.625" style="71" customWidth="1"/>
    <col min="9752" max="9752" width="14.75" style="71" customWidth="1"/>
    <col min="9753" max="9753" width="14.875" style="71" customWidth="1"/>
    <col min="9754" max="9754" width="18" style="71" customWidth="1"/>
    <col min="9755" max="9755" width="19.625" style="71" customWidth="1"/>
    <col min="9756" max="9756" width="19.125" style="71" customWidth="1"/>
    <col min="9757" max="9757" width="12.375" style="71" customWidth="1"/>
    <col min="9758" max="9758" width="18" style="71" customWidth="1"/>
    <col min="9759" max="9759" width="16.25" style="71" customWidth="1"/>
    <col min="9760" max="9760" width="9" style="71"/>
    <col min="9761" max="9761" width="12.25" style="71" customWidth="1"/>
    <col min="9762" max="9762" width="12.75" style="71" customWidth="1"/>
    <col min="9763" max="9763" width="12.625" style="71" customWidth="1"/>
    <col min="9764" max="9764" width="14.25" style="71" customWidth="1"/>
    <col min="9765" max="9765" width="13.75" style="71" customWidth="1"/>
    <col min="9766" max="9766" width="15.375" style="71" customWidth="1"/>
    <col min="9767" max="9988" width="9" style="71"/>
    <col min="9989" max="9989" width="12.625" style="71" customWidth="1"/>
    <col min="9990" max="9990" width="11.75" style="71" customWidth="1"/>
    <col min="9991" max="9993" width="9" style="71"/>
    <col min="9994" max="9994" width="13.5" style="71" customWidth="1"/>
    <col min="9995" max="9996" width="18" style="71" customWidth="1"/>
    <col min="9997" max="9997" width="15.125" style="71" customWidth="1"/>
    <col min="9998" max="9999" width="13.125" style="71" customWidth="1"/>
    <col min="10000" max="10000" width="13.75" style="71" customWidth="1"/>
    <col min="10001" max="10001" width="17.625" style="71" customWidth="1"/>
    <col min="10002" max="10002" width="18.625" style="71" customWidth="1"/>
    <col min="10003" max="10004" width="12.5" style="71" customWidth="1"/>
    <col min="10005" max="10005" width="14.5" style="71" customWidth="1"/>
    <col min="10006" max="10006" width="15.125" style="71" customWidth="1"/>
    <col min="10007" max="10007" width="18.625" style="71" customWidth="1"/>
    <col min="10008" max="10008" width="14.75" style="71" customWidth="1"/>
    <col min="10009" max="10009" width="14.875" style="71" customWidth="1"/>
    <col min="10010" max="10010" width="18" style="71" customWidth="1"/>
    <col min="10011" max="10011" width="19.625" style="71" customWidth="1"/>
    <col min="10012" max="10012" width="19.125" style="71" customWidth="1"/>
    <col min="10013" max="10013" width="12.375" style="71" customWidth="1"/>
    <col min="10014" max="10014" width="18" style="71" customWidth="1"/>
    <col min="10015" max="10015" width="16.25" style="71" customWidth="1"/>
    <col min="10016" max="10016" width="9" style="71"/>
    <col min="10017" max="10017" width="12.25" style="71" customWidth="1"/>
    <col min="10018" max="10018" width="12.75" style="71" customWidth="1"/>
    <col min="10019" max="10019" width="12.625" style="71" customWidth="1"/>
    <col min="10020" max="10020" width="14.25" style="71" customWidth="1"/>
    <col min="10021" max="10021" width="13.75" style="71" customWidth="1"/>
    <col min="10022" max="10022" width="15.375" style="71" customWidth="1"/>
    <col min="10023" max="10244" width="9" style="71"/>
    <col min="10245" max="10245" width="12.625" style="71" customWidth="1"/>
    <col min="10246" max="10246" width="11.75" style="71" customWidth="1"/>
    <col min="10247" max="10249" width="9" style="71"/>
    <col min="10250" max="10250" width="13.5" style="71" customWidth="1"/>
    <col min="10251" max="10252" width="18" style="71" customWidth="1"/>
    <col min="10253" max="10253" width="15.125" style="71" customWidth="1"/>
    <col min="10254" max="10255" width="13.125" style="71" customWidth="1"/>
    <col min="10256" max="10256" width="13.75" style="71" customWidth="1"/>
    <col min="10257" max="10257" width="17.625" style="71" customWidth="1"/>
    <col min="10258" max="10258" width="18.625" style="71" customWidth="1"/>
    <col min="10259" max="10260" width="12.5" style="71" customWidth="1"/>
    <col min="10261" max="10261" width="14.5" style="71" customWidth="1"/>
    <col min="10262" max="10262" width="15.125" style="71" customWidth="1"/>
    <col min="10263" max="10263" width="18.625" style="71" customWidth="1"/>
    <col min="10264" max="10264" width="14.75" style="71" customWidth="1"/>
    <col min="10265" max="10265" width="14.875" style="71" customWidth="1"/>
    <col min="10266" max="10266" width="18" style="71" customWidth="1"/>
    <col min="10267" max="10267" width="19.625" style="71" customWidth="1"/>
    <col min="10268" max="10268" width="19.125" style="71" customWidth="1"/>
    <col min="10269" max="10269" width="12.375" style="71" customWidth="1"/>
    <col min="10270" max="10270" width="18" style="71" customWidth="1"/>
    <col min="10271" max="10271" width="16.25" style="71" customWidth="1"/>
    <col min="10272" max="10272" width="9" style="71"/>
    <col min="10273" max="10273" width="12.25" style="71" customWidth="1"/>
    <col min="10274" max="10274" width="12.75" style="71" customWidth="1"/>
    <col min="10275" max="10275" width="12.625" style="71" customWidth="1"/>
    <col min="10276" max="10276" width="14.25" style="71" customWidth="1"/>
    <col min="10277" max="10277" width="13.75" style="71" customWidth="1"/>
    <col min="10278" max="10278" width="15.375" style="71" customWidth="1"/>
    <col min="10279" max="10500" width="9" style="71"/>
    <col min="10501" max="10501" width="12.625" style="71" customWidth="1"/>
    <col min="10502" max="10502" width="11.75" style="71" customWidth="1"/>
    <col min="10503" max="10505" width="9" style="71"/>
    <col min="10506" max="10506" width="13.5" style="71" customWidth="1"/>
    <col min="10507" max="10508" width="18" style="71" customWidth="1"/>
    <col min="10509" max="10509" width="15.125" style="71" customWidth="1"/>
    <col min="10510" max="10511" width="13.125" style="71" customWidth="1"/>
    <col min="10512" max="10512" width="13.75" style="71" customWidth="1"/>
    <col min="10513" max="10513" width="17.625" style="71" customWidth="1"/>
    <col min="10514" max="10514" width="18.625" style="71" customWidth="1"/>
    <col min="10515" max="10516" width="12.5" style="71" customWidth="1"/>
    <col min="10517" max="10517" width="14.5" style="71" customWidth="1"/>
    <col min="10518" max="10518" width="15.125" style="71" customWidth="1"/>
    <col min="10519" max="10519" width="18.625" style="71" customWidth="1"/>
    <col min="10520" max="10520" width="14.75" style="71" customWidth="1"/>
    <col min="10521" max="10521" width="14.875" style="71" customWidth="1"/>
    <col min="10522" max="10522" width="18" style="71" customWidth="1"/>
    <col min="10523" max="10523" width="19.625" style="71" customWidth="1"/>
    <col min="10524" max="10524" width="19.125" style="71" customWidth="1"/>
    <col min="10525" max="10525" width="12.375" style="71" customWidth="1"/>
    <col min="10526" max="10526" width="18" style="71" customWidth="1"/>
    <col min="10527" max="10527" width="16.25" style="71" customWidth="1"/>
    <col min="10528" max="10528" width="9" style="71"/>
    <col min="10529" max="10529" width="12.25" style="71" customWidth="1"/>
    <col min="10530" max="10530" width="12.75" style="71" customWidth="1"/>
    <col min="10531" max="10531" width="12.625" style="71" customWidth="1"/>
    <col min="10532" max="10532" width="14.25" style="71" customWidth="1"/>
    <col min="10533" max="10533" width="13.75" style="71" customWidth="1"/>
    <col min="10534" max="10534" width="15.375" style="71" customWidth="1"/>
    <col min="10535" max="10756" width="9" style="71"/>
    <col min="10757" max="10757" width="12.625" style="71" customWidth="1"/>
    <col min="10758" max="10758" width="11.75" style="71" customWidth="1"/>
    <col min="10759" max="10761" width="9" style="71"/>
    <col min="10762" max="10762" width="13.5" style="71" customWidth="1"/>
    <col min="10763" max="10764" width="18" style="71" customWidth="1"/>
    <col min="10765" max="10765" width="15.125" style="71" customWidth="1"/>
    <col min="10766" max="10767" width="13.125" style="71" customWidth="1"/>
    <col min="10768" max="10768" width="13.75" style="71" customWidth="1"/>
    <col min="10769" max="10769" width="17.625" style="71" customWidth="1"/>
    <col min="10770" max="10770" width="18.625" style="71" customWidth="1"/>
    <col min="10771" max="10772" width="12.5" style="71" customWidth="1"/>
    <col min="10773" max="10773" width="14.5" style="71" customWidth="1"/>
    <col min="10774" max="10774" width="15.125" style="71" customWidth="1"/>
    <col min="10775" max="10775" width="18.625" style="71" customWidth="1"/>
    <col min="10776" max="10776" width="14.75" style="71" customWidth="1"/>
    <col min="10777" max="10777" width="14.875" style="71" customWidth="1"/>
    <col min="10778" max="10778" width="18" style="71" customWidth="1"/>
    <col min="10779" max="10779" width="19.625" style="71" customWidth="1"/>
    <col min="10780" max="10780" width="19.125" style="71" customWidth="1"/>
    <col min="10781" max="10781" width="12.375" style="71" customWidth="1"/>
    <col min="10782" max="10782" width="18" style="71" customWidth="1"/>
    <col min="10783" max="10783" width="16.25" style="71" customWidth="1"/>
    <col min="10784" max="10784" width="9" style="71"/>
    <col min="10785" max="10785" width="12.25" style="71" customWidth="1"/>
    <col min="10786" max="10786" width="12.75" style="71" customWidth="1"/>
    <col min="10787" max="10787" width="12.625" style="71" customWidth="1"/>
    <col min="10788" max="10788" width="14.25" style="71" customWidth="1"/>
    <col min="10789" max="10789" width="13.75" style="71" customWidth="1"/>
    <col min="10790" max="10790" width="15.375" style="71" customWidth="1"/>
    <col min="10791" max="11012" width="9" style="71"/>
    <col min="11013" max="11013" width="12.625" style="71" customWidth="1"/>
    <col min="11014" max="11014" width="11.75" style="71" customWidth="1"/>
    <col min="11015" max="11017" width="9" style="71"/>
    <col min="11018" max="11018" width="13.5" style="71" customWidth="1"/>
    <col min="11019" max="11020" width="18" style="71" customWidth="1"/>
    <col min="11021" max="11021" width="15.125" style="71" customWidth="1"/>
    <col min="11022" max="11023" width="13.125" style="71" customWidth="1"/>
    <col min="11024" max="11024" width="13.75" style="71" customWidth="1"/>
    <col min="11025" max="11025" width="17.625" style="71" customWidth="1"/>
    <col min="11026" max="11026" width="18.625" style="71" customWidth="1"/>
    <col min="11027" max="11028" width="12.5" style="71" customWidth="1"/>
    <col min="11029" max="11029" width="14.5" style="71" customWidth="1"/>
    <col min="11030" max="11030" width="15.125" style="71" customWidth="1"/>
    <col min="11031" max="11031" width="18.625" style="71" customWidth="1"/>
    <col min="11032" max="11032" width="14.75" style="71" customWidth="1"/>
    <col min="11033" max="11033" width="14.875" style="71" customWidth="1"/>
    <col min="11034" max="11034" width="18" style="71" customWidth="1"/>
    <col min="11035" max="11035" width="19.625" style="71" customWidth="1"/>
    <col min="11036" max="11036" width="19.125" style="71" customWidth="1"/>
    <col min="11037" max="11037" width="12.375" style="71" customWidth="1"/>
    <col min="11038" max="11038" width="18" style="71" customWidth="1"/>
    <col min="11039" max="11039" width="16.25" style="71" customWidth="1"/>
    <col min="11040" max="11040" width="9" style="71"/>
    <col min="11041" max="11041" width="12.25" style="71" customWidth="1"/>
    <col min="11042" max="11042" width="12.75" style="71" customWidth="1"/>
    <col min="11043" max="11043" width="12.625" style="71" customWidth="1"/>
    <col min="11044" max="11044" width="14.25" style="71" customWidth="1"/>
    <col min="11045" max="11045" width="13.75" style="71" customWidth="1"/>
    <col min="11046" max="11046" width="15.375" style="71" customWidth="1"/>
    <col min="11047" max="11268" width="9" style="71"/>
    <col min="11269" max="11269" width="12.625" style="71" customWidth="1"/>
    <col min="11270" max="11270" width="11.75" style="71" customWidth="1"/>
    <col min="11271" max="11273" width="9" style="71"/>
    <col min="11274" max="11274" width="13.5" style="71" customWidth="1"/>
    <col min="11275" max="11276" width="18" style="71" customWidth="1"/>
    <col min="11277" max="11277" width="15.125" style="71" customWidth="1"/>
    <col min="11278" max="11279" width="13.125" style="71" customWidth="1"/>
    <col min="11280" max="11280" width="13.75" style="71" customWidth="1"/>
    <col min="11281" max="11281" width="17.625" style="71" customWidth="1"/>
    <col min="11282" max="11282" width="18.625" style="71" customWidth="1"/>
    <col min="11283" max="11284" width="12.5" style="71" customWidth="1"/>
    <col min="11285" max="11285" width="14.5" style="71" customWidth="1"/>
    <col min="11286" max="11286" width="15.125" style="71" customWidth="1"/>
    <col min="11287" max="11287" width="18.625" style="71" customWidth="1"/>
    <col min="11288" max="11288" width="14.75" style="71" customWidth="1"/>
    <col min="11289" max="11289" width="14.875" style="71" customWidth="1"/>
    <col min="11290" max="11290" width="18" style="71" customWidth="1"/>
    <col min="11291" max="11291" width="19.625" style="71" customWidth="1"/>
    <col min="11292" max="11292" width="19.125" style="71" customWidth="1"/>
    <col min="11293" max="11293" width="12.375" style="71" customWidth="1"/>
    <col min="11294" max="11294" width="18" style="71" customWidth="1"/>
    <col min="11295" max="11295" width="16.25" style="71" customWidth="1"/>
    <col min="11296" max="11296" width="9" style="71"/>
    <col min="11297" max="11297" width="12.25" style="71" customWidth="1"/>
    <col min="11298" max="11298" width="12.75" style="71" customWidth="1"/>
    <col min="11299" max="11299" width="12.625" style="71" customWidth="1"/>
    <col min="11300" max="11300" width="14.25" style="71" customWidth="1"/>
    <col min="11301" max="11301" width="13.75" style="71" customWidth="1"/>
    <col min="11302" max="11302" width="15.375" style="71" customWidth="1"/>
    <col min="11303" max="11524" width="9" style="71"/>
    <col min="11525" max="11525" width="12.625" style="71" customWidth="1"/>
    <col min="11526" max="11526" width="11.75" style="71" customWidth="1"/>
    <col min="11527" max="11529" width="9" style="71"/>
    <col min="11530" max="11530" width="13.5" style="71" customWidth="1"/>
    <col min="11531" max="11532" width="18" style="71" customWidth="1"/>
    <col min="11533" max="11533" width="15.125" style="71" customWidth="1"/>
    <col min="11534" max="11535" width="13.125" style="71" customWidth="1"/>
    <col min="11536" max="11536" width="13.75" style="71" customWidth="1"/>
    <col min="11537" max="11537" width="17.625" style="71" customWidth="1"/>
    <col min="11538" max="11538" width="18.625" style="71" customWidth="1"/>
    <col min="11539" max="11540" width="12.5" style="71" customWidth="1"/>
    <col min="11541" max="11541" width="14.5" style="71" customWidth="1"/>
    <col min="11542" max="11542" width="15.125" style="71" customWidth="1"/>
    <col min="11543" max="11543" width="18.625" style="71" customWidth="1"/>
    <col min="11544" max="11544" width="14.75" style="71" customWidth="1"/>
    <col min="11545" max="11545" width="14.875" style="71" customWidth="1"/>
    <col min="11546" max="11546" width="18" style="71" customWidth="1"/>
    <col min="11547" max="11547" width="19.625" style="71" customWidth="1"/>
    <col min="11548" max="11548" width="19.125" style="71" customWidth="1"/>
    <col min="11549" max="11549" width="12.375" style="71" customWidth="1"/>
    <col min="11550" max="11550" width="18" style="71" customWidth="1"/>
    <col min="11551" max="11551" width="16.25" style="71" customWidth="1"/>
    <col min="11552" max="11552" width="9" style="71"/>
    <col min="11553" max="11553" width="12.25" style="71" customWidth="1"/>
    <col min="11554" max="11554" width="12.75" style="71" customWidth="1"/>
    <col min="11555" max="11555" width="12.625" style="71" customWidth="1"/>
    <col min="11556" max="11556" width="14.25" style="71" customWidth="1"/>
    <col min="11557" max="11557" width="13.75" style="71" customWidth="1"/>
    <col min="11558" max="11558" width="15.375" style="71" customWidth="1"/>
    <col min="11559" max="11780" width="9" style="71"/>
    <col min="11781" max="11781" width="12.625" style="71" customWidth="1"/>
    <col min="11782" max="11782" width="11.75" style="71" customWidth="1"/>
    <col min="11783" max="11785" width="9" style="71"/>
    <col min="11786" max="11786" width="13.5" style="71" customWidth="1"/>
    <col min="11787" max="11788" width="18" style="71" customWidth="1"/>
    <col min="11789" max="11789" width="15.125" style="71" customWidth="1"/>
    <col min="11790" max="11791" width="13.125" style="71" customWidth="1"/>
    <col min="11792" max="11792" width="13.75" style="71" customWidth="1"/>
    <col min="11793" max="11793" width="17.625" style="71" customWidth="1"/>
    <col min="11794" max="11794" width="18.625" style="71" customWidth="1"/>
    <col min="11795" max="11796" width="12.5" style="71" customWidth="1"/>
    <col min="11797" max="11797" width="14.5" style="71" customWidth="1"/>
    <col min="11798" max="11798" width="15.125" style="71" customWidth="1"/>
    <col min="11799" max="11799" width="18.625" style="71" customWidth="1"/>
    <col min="11800" max="11800" width="14.75" style="71" customWidth="1"/>
    <col min="11801" max="11801" width="14.875" style="71" customWidth="1"/>
    <col min="11802" max="11802" width="18" style="71" customWidth="1"/>
    <col min="11803" max="11803" width="19.625" style="71" customWidth="1"/>
    <col min="11804" max="11804" width="19.125" style="71" customWidth="1"/>
    <col min="11805" max="11805" width="12.375" style="71" customWidth="1"/>
    <col min="11806" max="11806" width="18" style="71" customWidth="1"/>
    <col min="11807" max="11807" width="16.25" style="71" customWidth="1"/>
    <col min="11808" max="11808" width="9" style="71"/>
    <col min="11809" max="11809" width="12.25" style="71" customWidth="1"/>
    <col min="11810" max="11810" width="12.75" style="71" customWidth="1"/>
    <col min="11811" max="11811" width="12.625" style="71" customWidth="1"/>
    <col min="11812" max="11812" width="14.25" style="71" customWidth="1"/>
    <col min="11813" max="11813" width="13.75" style="71" customWidth="1"/>
    <col min="11814" max="11814" width="15.375" style="71" customWidth="1"/>
    <col min="11815" max="12036" width="9" style="71"/>
    <col min="12037" max="12037" width="12.625" style="71" customWidth="1"/>
    <col min="12038" max="12038" width="11.75" style="71" customWidth="1"/>
    <col min="12039" max="12041" width="9" style="71"/>
    <col min="12042" max="12042" width="13.5" style="71" customWidth="1"/>
    <col min="12043" max="12044" width="18" style="71" customWidth="1"/>
    <col min="12045" max="12045" width="15.125" style="71" customWidth="1"/>
    <col min="12046" max="12047" width="13.125" style="71" customWidth="1"/>
    <col min="12048" max="12048" width="13.75" style="71" customWidth="1"/>
    <col min="12049" max="12049" width="17.625" style="71" customWidth="1"/>
    <col min="12050" max="12050" width="18.625" style="71" customWidth="1"/>
    <col min="12051" max="12052" width="12.5" style="71" customWidth="1"/>
    <col min="12053" max="12053" width="14.5" style="71" customWidth="1"/>
    <col min="12054" max="12054" width="15.125" style="71" customWidth="1"/>
    <col min="12055" max="12055" width="18.625" style="71" customWidth="1"/>
    <col min="12056" max="12056" width="14.75" style="71" customWidth="1"/>
    <col min="12057" max="12057" width="14.875" style="71" customWidth="1"/>
    <col min="12058" max="12058" width="18" style="71" customWidth="1"/>
    <col min="12059" max="12059" width="19.625" style="71" customWidth="1"/>
    <col min="12060" max="12060" width="19.125" style="71" customWidth="1"/>
    <col min="12061" max="12061" width="12.375" style="71" customWidth="1"/>
    <col min="12062" max="12062" width="18" style="71" customWidth="1"/>
    <col min="12063" max="12063" width="16.25" style="71" customWidth="1"/>
    <col min="12064" max="12064" width="9" style="71"/>
    <col min="12065" max="12065" width="12.25" style="71" customWidth="1"/>
    <col min="12066" max="12066" width="12.75" style="71" customWidth="1"/>
    <col min="12067" max="12067" width="12.625" style="71" customWidth="1"/>
    <col min="12068" max="12068" width="14.25" style="71" customWidth="1"/>
    <col min="12069" max="12069" width="13.75" style="71" customWidth="1"/>
    <col min="12070" max="12070" width="15.375" style="71" customWidth="1"/>
    <col min="12071" max="12292" width="9" style="71"/>
    <col min="12293" max="12293" width="12.625" style="71" customWidth="1"/>
    <col min="12294" max="12294" width="11.75" style="71" customWidth="1"/>
    <col min="12295" max="12297" width="9" style="71"/>
    <col min="12298" max="12298" width="13.5" style="71" customWidth="1"/>
    <col min="12299" max="12300" width="18" style="71" customWidth="1"/>
    <col min="12301" max="12301" width="15.125" style="71" customWidth="1"/>
    <col min="12302" max="12303" width="13.125" style="71" customWidth="1"/>
    <col min="12304" max="12304" width="13.75" style="71" customWidth="1"/>
    <col min="12305" max="12305" width="17.625" style="71" customWidth="1"/>
    <col min="12306" max="12306" width="18.625" style="71" customWidth="1"/>
    <col min="12307" max="12308" width="12.5" style="71" customWidth="1"/>
    <col min="12309" max="12309" width="14.5" style="71" customWidth="1"/>
    <col min="12310" max="12310" width="15.125" style="71" customWidth="1"/>
    <col min="12311" max="12311" width="18.625" style="71" customWidth="1"/>
    <col min="12312" max="12312" width="14.75" style="71" customWidth="1"/>
    <col min="12313" max="12313" width="14.875" style="71" customWidth="1"/>
    <col min="12314" max="12314" width="18" style="71" customWidth="1"/>
    <col min="12315" max="12315" width="19.625" style="71" customWidth="1"/>
    <col min="12316" max="12316" width="19.125" style="71" customWidth="1"/>
    <col min="12317" max="12317" width="12.375" style="71" customWidth="1"/>
    <col min="12318" max="12318" width="18" style="71" customWidth="1"/>
    <col min="12319" max="12319" width="16.25" style="71" customWidth="1"/>
    <col min="12320" max="12320" width="9" style="71"/>
    <col min="12321" max="12321" width="12.25" style="71" customWidth="1"/>
    <col min="12322" max="12322" width="12.75" style="71" customWidth="1"/>
    <col min="12323" max="12323" width="12.625" style="71" customWidth="1"/>
    <col min="12324" max="12324" width="14.25" style="71" customWidth="1"/>
    <col min="12325" max="12325" width="13.75" style="71" customWidth="1"/>
    <col min="12326" max="12326" width="15.375" style="71" customWidth="1"/>
    <col min="12327" max="12548" width="9" style="71"/>
    <col min="12549" max="12549" width="12.625" style="71" customWidth="1"/>
    <col min="12550" max="12550" width="11.75" style="71" customWidth="1"/>
    <col min="12551" max="12553" width="9" style="71"/>
    <col min="12554" max="12554" width="13.5" style="71" customWidth="1"/>
    <col min="12555" max="12556" width="18" style="71" customWidth="1"/>
    <col min="12557" max="12557" width="15.125" style="71" customWidth="1"/>
    <col min="12558" max="12559" width="13.125" style="71" customWidth="1"/>
    <col min="12560" max="12560" width="13.75" style="71" customWidth="1"/>
    <col min="12561" max="12561" width="17.625" style="71" customWidth="1"/>
    <col min="12562" max="12562" width="18.625" style="71" customWidth="1"/>
    <col min="12563" max="12564" width="12.5" style="71" customWidth="1"/>
    <col min="12565" max="12565" width="14.5" style="71" customWidth="1"/>
    <col min="12566" max="12566" width="15.125" style="71" customWidth="1"/>
    <col min="12567" max="12567" width="18.625" style="71" customWidth="1"/>
    <col min="12568" max="12568" width="14.75" style="71" customWidth="1"/>
    <col min="12569" max="12569" width="14.875" style="71" customWidth="1"/>
    <col min="12570" max="12570" width="18" style="71" customWidth="1"/>
    <col min="12571" max="12571" width="19.625" style="71" customWidth="1"/>
    <col min="12572" max="12572" width="19.125" style="71" customWidth="1"/>
    <col min="12573" max="12573" width="12.375" style="71" customWidth="1"/>
    <col min="12574" max="12574" width="18" style="71" customWidth="1"/>
    <col min="12575" max="12575" width="16.25" style="71" customWidth="1"/>
    <col min="12576" max="12576" width="9" style="71"/>
    <col min="12577" max="12577" width="12.25" style="71" customWidth="1"/>
    <col min="12578" max="12578" width="12.75" style="71" customWidth="1"/>
    <col min="12579" max="12579" width="12.625" style="71" customWidth="1"/>
    <col min="12580" max="12580" width="14.25" style="71" customWidth="1"/>
    <col min="12581" max="12581" width="13.75" style="71" customWidth="1"/>
    <col min="12582" max="12582" width="15.375" style="71" customWidth="1"/>
    <col min="12583" max="12804" width="9" style="71"/>
    <col min="12805" max="12805" width="12.625" style="71" customWidth="1"/>
    <col min="12806" max="12806" width="11.75" style="71" customWidth="1"/>
    <col min="12807" max="12809" width="9" style="71"/>
    <col min="12810" max="12810" width="13.5" style="71" customWidth="1"/>
    <col min="12811" max="12812" width="18" style="71" customWidth="1"/>
    <col min="12813" max="12813" width="15.125" style="71" customWidth="1"/>
    <col min="12814" max="12815" width="13.125" style="71" customWidth="1"/>
    <col min="12816" max="12816" width="13.75" style="71" customWidth="1"/>
    <col min="12817" max="12817" width="17.625" style="71" customWidth="1"/>
    <col min="12818" max="12818" width="18.625" style="71" customWidth="1"/>
    <col min="12819" max="12820" width="12.5" style="71" customWidth="1"/>
    <col min="12821" max="12821" width="14.5" style="71" customWidth="1"/>
    <col min="12822" max="12822" width="15.125" style="71" customWidth="1"/>
    <col min="12823" max="12823" width="18.625" style="71" customWidth="1"/>
    <col min="12824" max="12824" width="14.75" style="71" customWidth="1"/>
    <col min="12825" max="12825" width="14.875" style="71" customWidth="1"/>
    <col min="12826" max="12826" width="18" style="71" customWidth="1"/>
    <col min="12827" max="12827" width="19.625" style="71" customWidth="1"/>
    <col min="12828" max="12828" width="19.125" style="71" customWidth="1"/>
    <col min="12829" max="12829" width="12.375" style="71" customWidth="1"/>
    <col min="12830" max="12830" width="18" style="71" customWidth="1"/>
    <col min="12831" max="12831" width="16.25" style="71" customWidth="1"/>
    <col min="12832" max="12832" width="9" style="71"/>
    <col min="12833" max="12833" width="12.25" style="71" customWidth="1"/>
    <col min="12834" max="12834" width="12.75" style="71" customWidth="1"/>
    <col min="12835" max="12835" width="12.625" style="71" customWidth="1"/>
    <col min="12836" max="12836" width="14.25" style="71" customWidth="1"/>
    <col min="12837" max="12837" width="13.75" style="71" customWidth="1"/>
    <col min="12838" max="12838" width="15.375" style="71" customWidth="1"/>
    <col min="12839" max="13060" width="9" style="71"/>
    <col min="13061" max="13061" width="12.625" style="71" customWidth="1"/>
    <col min="13062" max="13062" width="11.75" style="71" customWidth="1"/>
    <col min="13063" max="13065" width="9" style="71"/>
    <col min="13066" max="13066" width="13.5" style="71" customWidth="1"/>
    <col min="13067" max="13068" width="18" style="71" customWidth="1"/>
    <col min="13069" max="13069" width="15.125" style="71" customWidth="1"/>
    <col min="13070" max="13071" width="13.125" style="71" customWidth="1"/>
    <col min="13072" max="13072" width="13.75" style="71" customWidth="1"/>
    <col min="13073" max="13073" width="17.625" style="71" customWidth="1"/>
    <col min="13074" max="13074" width="18.625" style="71" customWidth="1"/>
    <col min="13075" max="13076" width="12.5" style="71" customWidth="1"/>
    <col min="13077" max="13077" width="14.5" style="71" customWidth="1"/>
    <col min="13078" max="13078" width="15.125" style="71" customWidth="1"/>
    <col min="13079" max="13079" width="18.625" style="71" customWidth="1"/>
    <col min="13080" max="13080" width="14.75" style="71" customWidth="1"/>
    <col min="13081" max="13081" width="14.875" style="71" customWidth="1"/>
    <col min="13082" max="13082" width="18" style="71" customWidth="1"/>
    <col min="13083" max="13083" width="19.625" style="71" customWidth="1"/>
    <col min="13084" max="13084" width="19.125" style="71" customWidth="1"/>
    <col min="13085" max="13085" width="12.375" style="71" customWidth="1"/>
    <col min="13086" max="13086" width="18" style="71" customWidth="1"/>
    <col min="13087" max="13087" width="16.25" style="71" customWidth="1"/>
    <col min="13088" max="13088" width="9" style="71"/>
    <col min="13089" max="13089" width="12.25" style="71" customWidth="1"/>
    <col min="13090" max="13090" width="12.75" style="71" customWidth="1"/>
    <col min="13091" max="13091" width="12.625" style="71" customWidth="1"/>
    <col min="13092" max="13092" width="14.25" style="71" customWidth="1"/>
    <col min="13093" max="13093" width="13.75" style="71" customWidth="1"/>
    <col min="13094" max="13094" width="15.375" style="71" customWidth="1"/>
    <col min="13095" max="13316" width="9" style="71"/>
    <col min="13317" max="13317" width="12.625" style="71" customWidth="1"/>
    <col min="13318" max="13318" width="11.75" style="71" customWidth="1"/>
    <col min="13319" max="13321" width="9" style="71"/>
    <col min="13322" max="13322" width="13.5" style="71" customWidth="1"/>
    <col min="13323" max="13324" width="18" style="71" customWidth="1"/>
    <col min="13325" max="13325" width="15.125" style="71" customWidth="1"/>
    <col min="13326" max="13327" width="13.125" style="71" customWidth="1"/>
    <col min="13328" max="13328" width="13.75" style="71" customWidth="1"/>
    <col min="13329" max="13329" width="17.625" style="71" customWidth="1"/>
    <col min="13330" max="13330" width="18.625" style="71" customWidth="1"/>
    <col min="13331" max="13332" width="12.5" style="71" customWidth="1"/>
    <col min="13333" max="13333" width="14.5" style="71" customWidth="1"/>
    <col min="13334" max="13334" width="15.125" style="71" customWidth="1"/>
    <col min="13335" max="13335" width="18.625" style="71" customWidth="1"/>
    <col min="13336" max="13336" width="14.75" style="71" customWidth="1"/>
    <col min="13337" max="13337" width="14.875" style="71" customWidth="1"/>
    <col min="13338" max="13338" width="18" style="71" customWidth="1"/>
    <col min="13339" max="13339" width="19.625" style="71" customWidth="1"/>
    <col min="13340" max="13340" width="19.125" style="71" customWidth="1"/>
    <col min="13341" max="13341" width="12.375" style="71" customWidth="1"/>
    <col min="13342" max="13342" width="18" style="71" customWidth="1"/>
    <col min="13343" max="13343" width="16.25" style="71" customWidth="1"/>
    <col min="13344" max="13344" width="9" style="71"/>
    <col min="13345" max="13345" width="12.25" style="71" customWidth="1"/>
    <col min="13346" max="13346" width="12.75" style="71" customWidth="1"/>
    <col min="13347" max="13347" width="12.625" style="71" customWidth="1"/>
    <col min="13348" max="13348" width="14.25" style="71" customWidth="1"/>
    <col min="13349" max="13349" width="13.75" style="71" customWidth="1"/>
    <col min="13350" max="13350" width="15.375" style="71" customWidth="1"/>
    <col min="13351" max="13572" width="9" style="71"/>
    <col min="13573" max="13573" width="12.625" style="71" customWidth="1"/>
    <col min="13574" max="13574" width="11.75" style="71" customWidth="1"/>
    <col min="13575" max="13577" width="9" style="71"/>
    <col min="13578" max="13578" width="13.5" style="71" customWidth="1"/>
    <col min="13579" max="13580" width="18" style="71" customWidth="1"/>
    <col min="13581" max="13581" width="15.125" style="71" customWidth="1"/>
    <col min="13582" max="13583" width="13.125" style="71" customWidth="1"/>
    <col min="13584" max="13584" width="13.75" style="71" customWidth="1"/>
    <col min="13585" max="13585" width="17.625" style="71" customWidth="1"/>
    <col min="13586" max="13586" width="18.625" style="71" customWidth="1"/>
    <col min="13587" max="13588" width="12.5" style="71" customWidth="1"/>
    <col min="13589" max="13589" width="14.5" style="71" customWidth="1"/>
    <col min="13590" max="13590" width="15.125" style="71" customWidth="1"/>
    <col min="13591" max="13591" width="18.625" style="71" customWidth="1"/>
    <col min="13592" max="13592" width="14.75" style="71" customWidth="1"/>
    <col min="13593" max="13593" width="14.875" style="71" customWidth="1"/>
    <col min="13594" max="13594" width="18" style="71" customWidth="1"/>
    <col min="13595" max="13595" width="19.625" style="71" customWidth="1"/>
    <col min="13596" max="13596" width="19.125" style="71" customWidth="1"/>
    <col min="13597" max="13597" width="12.375" style="71" customWidth="1"/>
    <col min="13598" max="13598" width="18" style="71" customWidth="1"/>
    <col min="13599" max="13599" width="16.25" style="71" customWidth="1"/>
    <col min="13600" max="13600" width="9" style="71"/>
    <col min="13601" max="13601" width="12.25" style="71" customWidth="1"/>
    <col min="13602" max="13602" width="12.75" style="71" customWidth="1"/>
    <col min="13603" max="13603" width="12.625" style="71" customWidth="1"/>
    <col min="13604" max="13604" width="14.25" style="71" customWidth="1"/>
    <col min="13605" max="13605" width="13.75" style="71" customWidth="1"/>
    <col min="13606" max="13606" width="15.375" style="71" customWidth="1"/>
    <col min="13607" max="13828" width="9" style="71"/>
    <col min="13829" max="13829" width="12.625" style="71" customWidth="1"/>
    <col min="13830" max="13830" width="11.75" style="71" customWidth="1"/>
    <col min="13831" max="13833" width="9" style="71"/>
    <col min="13834" max="13834" width="13.5" style="71" customWidth="1"/>
    <col min="13835" max="13836" width="18" style="71" customWidth="1"/>
    <col min="13837" max="13837" width="15.125" style="71" customWidth="1"/>
    <col min="13838" max="13839" width="13.125" style="71" customWidth="1"/>
    <col min="13840" max="13840" width="13.75" style="71" customWidth="1"/>
    <col min="13841" max="13841" width="17.625" style="71" customWidth="1"/>
    <col min="13842" max="13842" width="18.625" style="71" customWidth="1"/>
    <col min="13843" max="13844" width="12.5" style="71" customWidth="1"/>
    <col min="13845" max="13845" width="14.5" style="71" customWidth="1"/>
    <col min="13846" max="13846" width="15.125" style="71" customWidth="1"/>
    <col min="13847" max="13847" width="18.625" style="71" customWidth="1"/>
    <col min="13848" max="13848" width="14.75" style="71" customWidth="1"/>
    <col min="13849" max="13849" width="14.875" style="71" customWidth="1"/>
    <col min="13850" max="13850" width="18" style="71" customWidth="1"/>
    <col min="13851" max="13851" width="19.625" style="71" customWidth="1"/>
    <col min="13852" max="13852" width="19.125" style="71" customWidth="1"/>
    <col min="13853" max="13853" width="12.375" style="71" customWidth="1"/>
    <col min="13854" max="13854" width="18" style="71" customWidth="1"/>
    <col min="13855" max="13855" width="16.25" style="71" customWidth="1"/>
    <col min="13856" max="13856" width="9" style="71"/>
    <col min="13857" max="13857" width="12.25" style="71" customWidth="1"/>
    <col min="13858" max="13858" width="12.75" style="71" customWidth="1"/>
    <col min="13859" max="13859" width="12.625" style="71" customWidth="1"/>
    <col min="13860" max="13860" width="14.25" style="71" customWidth="1"/>
    <col min="13861" max="13861" width="13.75" style="71" customWidth="1"/>
    <col min="13862" max="13862" width="15.375" style="71" customWidth="1"/>
    <col min="13863" max="14084" width="9" style="71"/>
    <col min="14085" max="14085" width="12.625" style="71" customWidth="1"/>
    <col min="14086" max="14086" width="11.75" style="71" customWidth="1"/>
    <col min="14087" max="14089" width="9" style="71"/>
    <col min="14090" max="14090" width="13.5" style="71" customWidth="1"/>
    <col min="14091" max="14092" width="18" style="71" customWidth="1"/>
    <col min="14093" max="14093" width="15.125" style="71" customWidth="1"/>
    <col min="14094" max="14095" width="13.125" style="71" customWidth="1"/>
    <col min="14096" max="14096" width="13.75" style="71" customWidth="1"/>
    <col min="14097" max="14097" width="17.625" style="71" customWidth="1"/>
    <col min="14098" max="14098" width="18.625" style="71" customWidth="1"/>
    <col min="14099" max="14100" width="12.5" style="71" customWidth="1"/>
    <col min="14101" max="14101" width="14.5" style="71" customWidth="1"/>
    <col min="14102" max="14102" width="15.125" style="71" customWidth="1"/>
    <col min="14103" max="14103" width="18.625" style="71" customWidth="1"/>
    <col min="14104" max="14104" width="14.75" style="71" customWidth="1"/>
    <col min="14105" max="14105" width="14.875" style="71" customWidth="1"/>
    <col min="14106" max="14106" width="18" style="71" customWidth="1"/>
    <col min="14107" max="14107" width="19.625" style="71" customWidth="1"/>
    <col min="14108" max="14108" width="19.125" style="71" customWidth="1"/>
    <col min="14109" max="14109" width="12.375" style="71" customWidth="1"/>
    <col min="14110" max="14110" width="18" style="71" customWidth="1"/>
    <col min="14111" max="14111" width="16.25" style="71" customWidth="1"/>
    <col min="14112" max="14112" width="9" style="71"/>
    <col min="14113" max="14113" width="12.25" style="71" customWidth="1"/>
    <col min="14114" max="14114" width="12.75" style="71" customWidth="1"/>
    <col min="14115" max="14115" width="12.625" style="71" customWidth="1"/>
    <col min="14116" max="14116" width="14.25" style="71" customWidth="1"/>
    <col min="14117" max="14117" width="13.75" style="71" customWidth="1"/>
    <col min="14118" max="14118" width="15.375" style="71" customWidth="1"/>
    <col min="14119" max="14340" width="9" style="71"/>
    <col min="14341" max="14341" width="12.625" style="71" customWidth="1"/>
    <col min="14342" max="14342" width="11.75" style="71" customWidth="1"/>
    <col min="14343" max="14345" width="9" style="71"/>
    <col min="14346" max="14346" width="13.5" style="71" customWidth="1"/>
    <col min="14347" max="14348" width="18" style="71" customWidth="1"/>
    <col min="14349" max="14349" width="15.125" style="71" customWidth="1"/>
    <col min="14350" max="14351" width="13.125" style="71" customWidth="1"/>
    <col min="14352" max="14352" width="13.75" style="71" customWidth="1"/>
    <col min="14353" max="14353" width="17.625" style="71" customWidth="1"/>
    <col min="14354" max="14354" width="18.625" style="71" customWidth="1"/>
    <col min="14355" max="14356" width="12.5" style="71" customWidth="1"/>
    <col min="14357" max="14357" width="14.5" style="71" customWidth="1"/>
    <col min="14358" max="14358" width="15.125" style="71" customWidth="1"/>
    <col min="14359" max="14359" width="18.625" style="71" customWidth="1"/>
    <col min="14360" max="14360" width="14.75" style="71" customWidth="1"/>
    <col min="14361" max="14361" width="14.875" style="71" customWidth="1"/>
    <col min="14362" max="14362" width="18" style="71" customWidth="1"/>
    <col min="14363" max="14363" width="19.625" style="71" customWidth="1"/>
    <col min="14364" max="14364" width="19.125" style="71" customWidth="1"/>
    <col min="14365" max="14365" width="12.375" style="71" customWidth="1"/>
    <col min="14366" max="14366" width="18" style="71" customWidth="1"/>
    <col min="14367" max="14367" width="16.25" style="71" customWidth="1"/>
    <col min="14368" max="14368" width="9" style="71"/>
    <col min="14369" max="14369" width="12.25" style="71" customWidth="1"/>
    <col min="14370" max="14370" width="12.75" style="71" customWidth="1"/>
    <col min="14371" max="14371" width="12.625" style="71" customWidth="1"/>
    <col min="14372" max="14372" width="14.25" style="71" customWidth="1"/>
    <col min="14373" max="14373" width="13.75" style="71" customWidth="1"/>
    <col min="14374" max="14374" width="15.375" style="71" customWidth="1"/>
    <col min="14375" max="14596" width="9" style="71"/>
    <col min="14597" max="14597" width="12.625" style="71" customWidth="1"/>
    <col min="14598" max="14598" width="11.75" style="71" customWidth="1"/>
    <col min="14599" max="14601" width="9" style="71"/>
    <col min="14602" max="14602" width="13.5" style="71" customWidth="1"/>
    <col min="14603" max="14604" width="18" style="71" customWidth="1"/>
    <col min="14605" max="14605" width="15.125" style="71" customWidth="1"/>
    <col min="14606" max="14607" width="13.125" style="71" customWidth="1"/>
    <col min="14608" max="14608" width="13.75" style="71" customWidth="1"/>
    <col min="14609" max="14609" width="17.625" style="71" customWidth="1"/>
    <col min="14610" max="14610" width="18.625" style="71" customWidth="1"/>
    <col min="14611" max="14612" width="12.5" style="71" customWidth="1"/>
    <col min="14613" max="14613" width="14.5" style="71" customWidth="1"/>
    <col min="14614" max="14614" width="15.125" style="71" customWidth="1"/>
    <col min="14615" max="14615" width="18.625" style="71" customWidth="1"/>
    <col min="14616" max="14616" width="14.75" style="71" customWidth="1"/>
    <col min="14617" max="14617" width="14.875" style="71" customWidth="1"/>
    <col min="14618" max="14618" width="18" style="71" customWidth="1"/>
    <col min="14619" max="14619" width="19.625" style="71" customWidth="1"/>
    <col min="14620" max="14620" width="19.125" style="71" customWidth="1"/>
    <col min="14621" max="14621" width="12.375" style="71" customWidth="1"/>
    <col min="14622" max="14622" width="18" style="71" customWidth="1"/>
    <col min="14623" max="14623" width="16.25" style="71" customWidth="1"/>
    <col min="14624" max="14624" width="9" style="71"/>
    <col min="14625" max="14625" width="12.25" style="71" customWidth="1"/>
    <col min="14626" max="14626" width="12.75" style="71" customWidth="1"/>
    <col min="14627" max="14627" width="12.625" style="71" customWidth="1"/>
    <col min="14628" max="14628" width="14.25" style="71" customWidth="1"/>
    <col min="14629" max="14629" width="13.75" style="71" customWidth="1"/>
    <col min="14630" max="14630" width="15.375" style="71" customWidth="1"/>
    <col min="14631" max="14852" width="9" style="71"/>
    <col min="14853" max="14853" width="12.625" style="71" customWidth="1"/>
    <col min="14854" max="14854" width="11.75" style="71" customWidth="1"/>
    <col min="14855" max="14857" width="9" style="71"/>
    <col min="14858" max="14858" width="13.5" style="71" customWidth="1"/>
    <col min="14859" max="14860" width="18" style="71" customWidth="1"/>
    <col min="14861" max="14861" width="15.125" style="71" customWidth="1"/>
    <col min="14862" max="14863" width="13.125" style="71" customWidth="1"/>
    <col min="14864" max="14864" width="13.75" style="71" customWidth="1"/>
    <col min="14865" max="14865" width="17.625" style="71" customWidth="1"/>
    <col min="14866" max="14866" width="18.625" style="71" customWidth="1"/>
    <col min="14867" max="14868" width="12.5" style="71" customWidth="1"/>
    <col min="14869" max="14869" width="14.5" style="71" customWidth="1"/>
    <col min="14870" max="14870" width="15.125" style="71" customWidth="1"/>
    <col min="14871" max="14871" width="18.625" style="71" customWidth="1"/>
    <col min="14872" max="14872" width="14.75" style="71" customWidth="1"/>
    <col min="14873" max="14873" width="14.875" style="71" customWidth="1"/>
    <col min="14874" max="14874" width="18" style="71" customWidth="1"/>
    <col min="14875" max="14875" width="19.625" style="71" customWidth="1"/>
    <col min="14876" max="14876" width="19.125" style="71" customWidth="1"/>
    <col min="14877" max="14877" width="12.375" style="71" customWidth="1"/>
    <col min="14878" max="14878" width="18" style="71" customWidth="1"/>
    <col min="14879" max="14879" width="16.25" style="71" customWidth="1"/>
    <col min="14880" max="14880" width="9" style="71"/>
    <col min="14881" max="14881" width="12.25" style="71" customWidth="1"/>
    <col min="14882" max="14882" width="12.75" style="71" customWidth="1"/>
    <col min="14883" max="14883" width="12.625" style="71" customWidth="1"/>
    <col min="14884" max="14884" width="14.25" style="71" customWidth="1"/>
    <col min="14885" max="14885" width="13.75" style="71" customWidth="1"/>
    <col min="14886" max="14886" width="15.375" style="71" customWidth="1"/>
    <col min="14887" max="15108" width="9" style="71"/>
    <col min="15109" max="15109" width="12.625" style="71" customWidth="1"/>
    <col min="15110" max="15110" width="11.75" style="71" customWidth="1"/>
    <col min="15111" max="15113" width="9" style="71"/>
    <col min="15114" max="15114" width="13.5" style="71" customWidth="1"/>
    <col min="15115" max="15116" width="18" style="71" customWidth="1"/>
    <col min="15117" max="15117" width="15.125" style="71" customWidth="1"/>
    <col min="15118" max="15119" width="13.125" style="71" customWidth="1"/>
    <col min="15120" max="15120" width="13.75" style="71" customWidth="1"/>
    <col min="15121" max="15121" width="17.625" style="71" customWidth="1"/>
    <col min="15122" max="15122" width="18.625" style="71" customWidth="1"/>
    <col min="15123" max="15124" width="12.5" style="71" customWidth="1"/>
    <col min="15125" max="15125" width="14.5" style="71" customWidth="1"/>
    <col min="15126" max="15126" width="15.125" style="71" customWidth="1"/>
    <col min="15127" max="15127" width="18.625" style="71" customWidth="1"/>
    <col min="15128" max="15128" width="14.75" style="71" customWidth="1"/>
    <col min="15129" max="15129" width="14.875" style="71" customWidth="1"/>
    <col min="15130" max="15130" width="18" style="71" customWidth="1"/>
    <col min="15131" max="15131" width="19.625" style="71" customWidth="1"/>
    <col min="15132" max="15132" width="19.125" style="71" customWidth="1"/>
    <col min="15133" max="15133" width="12.375" style="71" customWidth="1"/>
    <col min="15134" max="15134" width="18" style="71" customWidth="1"/>
    <col min="15135" max="15135" width="16.25" style="71" customWidth="1"/>
    <col min="15136" max="15136" width="9" style="71"/>
    <col min="15137" max="15137" width="12.25" style="71" customWidth="1"/>
    <col min="15138" max="15138" width="12.75" style="71" customWidth="1"/>
    <col min="15139" max="15139" width="12.625" style="71" customWidth="1"/>
    <col min="15140" max="15140" width="14.25" style="71" customWidth="1"/>
    <col min="15141" max="15141" width="13.75" style="71" customWidth="1"/>
    <col min="15142" max="15142" width="15.375" style="71" customWidth="1"/>
    <col min="15143" max="15364" width="9" style="71"/>
    <col min="15365" max="15365" width="12.625" style="71" customWidth="1"/>
    <col min="15366" max="15366" width="11.75" style="71" customWidth="1"/>
    <col min="15367" max="15369" width="9" style="71"/>
    <col min="15370" max="15370" width="13.5" style="71" customWidth="1"/>
    <col min="15371" max="15372" width="18" style="71" customWidth="1"/>
    <col min="15373" max="15373" width="15.125" style="71" customWidth="1"/>
    <col min="15374" max="15375" width="13.125" style="71" customWidth="1"/>
    <col min="15376" max="15376" width="13.75" style="71" customWidth="1"/>
    <col min="15377" max="15377" width="17.625" style="71" customWidth="1"/>
    <col min="15378" max="15378" width="18.625" style="71" customWidth="1"/>
    <col min="15379" max="15380" width="12.5" style="71" customWidth="1"/>
    <col min="15381" max="15381" width="14.5" style="71" customWidth="1"/>
    <col min="15382" max="15382" width="15.125" style="71" customWidth="1"/>
    <col min="15383" max="15383" width="18.625" style="71" customWidth="1"/>
    <col min="15384" max="15384" width="14.75" style="71" customWidth="1"/>
    <col min="15385" max="15385" width="14.875" style="71" customWidth="1"/>
    <col min="15386" max="15386" width="18" style="71" customWidth="1"/>
    <col min="15387" max="15387" width="19.625" style="71" customWidth="1"/>
    <col min="15388" max="15388" width="19.125" style="71" customWidth="1"/>
    <col min="15389" max="15389" width="12.375" style="71" customWidth="1"/>
    <col min="15390" max="15390" width="18" style="71" customWidth="1"/>
    <col min="15391" max="15391" width="16.25" style="71" customWidth="1"/>
    <col min="15392" max="15392" width="9" style="71"/>
    <col min="15393" max="15393" width="12.25" style="71" customWidth="1"/>
    <col min="15394" max="15394" width="12.75" style="71" customWidth="1"/>
    <col min="15395" max="15395" width="12.625" style="71" customWidth="1"/>
    <col min="15396" max="15396" width="14.25" style="71" customWidth="1"/>
    <col min="15397" max="15397" width="13.75" style="71" customWidth="1"/>
    <col min="15398" max="15398" width="15.375" style="71" customWidth="1"/>
    <col min="15399" max="15620" width="9" style="71"/>
    <col min="15621" max="15621" width="12.625" style="71" customWidth="1"/>
    <col min="15622" max="15622" width="11.75" style="71" customWidth="1"/>
    <col min="15623" max="15625" width="9" style="71"/>
    <col min="15626" max="15626" width="13.5" style="71" customWidth="1"/>
    <col min="15627" max="15628" width="18" style="71" customWidth="1"/>
    <col min="15629" max="15629" width="15.125" style="71" customWidth="1"/>
    <col min="15630" max="15631" width="13.125" style="71" customWidth="1"/>
    <col min="15632" max="15632" width="13.75" style="71" customWidth="1"/>
    <col min="15633" max="15633" width="17.625" style="71" customWidth="1"/>
    <col min="15634" max="15634" width="18.625" style="71" customWidth="1"/>
    <col min="15635" max="15636" width="12.5" style="71" customWidth="1"/>
    <col min="15637" max="15637" width="14.5" style="71" customWidth="1"/>
    <col min="15638" max="15638" width="15.125" style="71" customWidth="1"/>
    <col min="15639" max="15639" width="18.625" style="71" customWidth="1"/>
    <col min="15640" max="15640" width="14.75" style="71" customWidth="1"/>
    <col min="15641" max="15641" width="14.875" style="71" customWidth="1"/>
    <col min="15642" max="15642" width="18" style="71" customWidth="1"/>
    <col min="15643" max="15643" width="19.625" style="71" customWidth="1"/>
    <col min="15644" max="15644" width="19.125" style="71" customWidth="1"/>
    <col min="15645" max="15645" width="12.375" style="71" customWidth="1"/>
    <col min="15646" max="15646" width="18" style="71" customWidth="1"/>
    <col min="15647" max="15647" width="16.25" style="71" customWidth="1"/>
    <col min="15648" max="15648" width="9" style="71"/>
    <col min="15649" max="15649" width="12.25" style="71" customWidth="1"/>
    <col min="15650" max="15650" width="12.75" style="71" customWidth="1"/>
    <col min="15651" max="15651" width="12.625" style="71" customWidth="1"/>
    <col min="15652" max="15652" width="14.25" style="71" customWidth="1"/>
    <col min="15653" max="15653" width="13.75" style="71" customWidth="1"/>
    <col min="15654" max="15654" width="15.375" style="71" customWidth="1"/>
    <col min="15655" max="15876" width="9" style="71"/>
    <col min="15877" max="15877" width="12.625" style="71" customWidth="1"/>
    <col min="15878" max="15878" width="11.75" style="71" customWidth="1"/>
    <col min="15879" max="15881" width="9" style="71"/>
    <col min="15882" max="15882" width="13.5" style="71" customWidth="1"/>
    <col min="15883" max="15884" width="18" style="71" customWidth="1"/>
    <col min="15885" max="15885" width="15.125" style="71" customWidth="1"/>
    <col min="15886" max="15887" width="13.125" style="71" customWidth="1"/>
    <col min="15888" max="15888" width="13.75" style="71" customWidth="1"/>
    <col min="15889" max="15889" width="17.625" style="71" customWidth="1"/>
    <col min="15890" max="15890" width="18.625" style="71" customWidth="1"/>
    <col min="15891" max="15892" width="12.5" style="71" customWidth="1"/>
    <col min="15893" max="15893" width="14.5" style="71" customWidth="1"/>
    <col min="15894" max="15894" width="15.125" style="71" customWidth="1"/>
    <col min="15895" max="15895" width="18.625" style="71" customWidth="1"/>
    <col min="15896" max="15896" width="14.75" style="71" customWidth="1"/>
    <col min="15897" max="15897" width="14.875" style="71" customWidth="1"/>
    <col min="15898" max="15898" width="18" style="71" customWidth="1"/>
    <col min="15899" max="15899" width="19.625" style="71" customWidth="1"/>
    <col min="15900" max="15900" width="19.125" style="71" customWidth="1"/>
    <col min="15901" max="15901" width="12.375" style="71" customWidth="1"/>
    <col min="15902" max="15902" width="18" style="71" customWidth="1"/>
    <col min="15903" max="15903" width="16.25" style="71" customWidth="1"/>
    <col min="15904" max="15904" width="9" style="71"/>
    <col min="15905" max="15905" width="12.25" style="71" customWidth="1"/>
    <col min="15906" max="15906" width="12.75" style="71" customWidth="1"/>
    <col min="15907" max="15907" width="12.625" style="71" customWidth="1"/>
    <col min="15908" max="15908" width="14.25" style="71" customWidth="1"/>
    <col min="15909" max="15909" width="13.75" style="71" customWidth="1"/>
    <col min="15910" max="15910" width="15.375" style="71" customWidth="1"/>
    <col min="15911" max="16132" width="9" style="71"/>
    <col min="16133" max="16133" width="12.625" style="71" customWidth="1"/>
    <col min="16134" max="16134" width="11.75" style="71" customWidth="1"/>
    <col min="16135" max="16137" width="9" style="71"/>
    <col min="16138" max="16138" width="13.5" style="71" customWidth="1"/>
    <col min="16139" max="16140" width="18" style="71" customWidth="1"/>
    <col min="16141" max="16141" width="15.125" style="71" customWidth="1"/>
    <col min="16142" max="16143" width="13.125" style="71" customWidth="1"/>
    <col min="16144" max="16144" width="13.75" style="71" customWidth="1"/>
    <col min="16145" max="16145" width="17.625" style="71" customWidth="1"/>
    <col min="16146" max="16146" width="18.625" style="71" customWidth="1"/>
    <col min="16147" max="16148" width="12.5" style="71" customWidth="1"/>
    <col min="16149" max="16149" width="14.5" style="71" customWidth="1"/>
    <col min="16150" max="16150" width="15.125" style="71" customWidth="1"/>
    <col min="16151" max="16151" width="18.625" style="71" customWidth="1"/>
    <col min="16152" max="16152" width="14.75" style="71" customWidth="1"/>
    <col min="16153" max="16153" width="14.875" style="71" customWidth="1"/>
    <col min="16154" max="16154" width="18" style="71" customWidth="1"/>
    <col min="16155" max="16155" width="19.625" style="71" customWidth="1"/>
    <col min="16156" max="16156" width="19.125" style="71" customWidth="1"/>
    <col min="16157" max="16157" width="12.375" style="71" customWidth="1"/>
    <col min="16158" max="16158" width="18" style="71" customWidth="1"/>
    <col min="16159" max="16159" width="16.25" style="71" customWidth="1"/>
    <col min="16160" max="16160" width="9" style="71"/>
    <col min="16161" max="16161" width="12.25" style="71" customWidth="1"/>
    <col min="16162" max="16162" width="12.75" style="71" customWidth="1"/>
    <col min="16163" max="16163" width="12.625" style="71" customWidth="1"/>
    <col min="16164" max="16164" width="14.25" style="71" customWidth="1"/>
    <col min="16165" max="16165" width="13.75" style="71" customWidth="1"/>
    <col min="16166" max="16166" width="15.375" style="71" customWidth="1"/>
    <col min="16167" max="16384" width="9" style="71"/>
  </cols>
  <sheetData>
    <row r="1" spans="1:39">
      <c r="A1" s="68" t="s">
        <v>168</v>
      </c>
      <c r="B1" s="68" t="s">
        <v>0</v>
      </c>
      <c r="C1" s="68" t="s">
        <v>169</v>
      </c>
      <c r="D1" s="308" t="s">
        <v>170</v>
      </c>
      <c r="E1" s="69" t="s">
        <v>171</v>
      </c>
      <c r="F1" s="69" t="s">
        <v>172</v>
      </c>
      <c r="G1" s="69" t="s">
        <v>173</v>
      </c>
      <c r="H1" s="67" t="s">
        <v>174</v>
      </c>
      <c r="I1" s="67" t="s">
        <v>175</v>
      </c>
      <c r="J1" s="67" t="s">
        <v>176</v>
      </c>
      <c r="K1" s="67" t="s">
        <v>177</v>
      </c>
      <c r="L1" s="67" t="s">
        <v>178</v>
      </c>
      <c r="M1" s="67" t="s">
        <v>179</v>
      </c>
      <c r="N1" s="67" t="s">
        <v>180</v>
      </c>
      <c r="O1" s="67" t="s">
        <v>181</v>
      </c>
      <c r="P1" s="67" t="s">
        <v>182</v>
      </c>
      <c r="Q1" s="67" t="s">
        <v>183</v>
      </c>
      <c r="R1" s="67" t="s">
        <v>184</v>
      </c>
      <c r="S1" s="67" t="s">
        <v>16</v>
      </c>
      <c r="T1" s="67" t="s">
        <v>185</v>
      </c>
      <c r="U1" s="67" t="s">
        <v>17</v>
      </c>
      <c r="V1" s="67" t="s">
        <v>18</v>
      </c>
      <c r="W1" s="67" t="s">
        <v>163</v>
      </c>
      <c r="X1" s="67" t="s">
        <v>164</v>
      </c>
      <c r="Y1" s="67" t="s">
        <v>165</v>
      </c>
      <c r="Z1" s="67" t="s">
        <v>166</v>
      </c>
      <c r="AA1" s="67" t="s">
        <v>167</v>
      </c>
      <c r="AB1" s="67" t="s">
        <v>447</v>
      </c>
      <c r="AC1" s="67" t="s">
        <v>21</v>
      </c>
      <c r="AD1" s="67" t="s">
        <v>186</v>
      </c>
      <c r="AE1" s="67" t="s">
        <v>187</v>
      </c>
      <c r="AF1" s="70" t="s">
        <v>188</v>
      </c>
      <c r="AG1" s="67" t="s">
        <v>189</v>
      </c>
      <c r="AH1" s="67" t="s">
        <v>190</v>
      </c>
      <c r="AI1" s="67" t="s">
        <v>191</v>
      </c>
      <c r="AJ1" s="67" t="s">
        <v>192</v>
      </c>
      <c r="AK1" s="67" t="s">
        <v>193</v>
      </c>
      <c r="AL1" s="67" t="s">
        <v>194</v>
      </c>
      <c r="AM1" s="68" t="s">
        <v>195</v>
      </c>
    </row>
    <row r="2" spans="1:39">
      <c r="A2" s="72" t="s">
        <v>196</v>
      </c>
      <c r="B2" s="72" t="s">
        <v>232</v>
      </c>
      <c r="C2" s="72" t="s">
        <v>197</v>
      </c>
      <c r="D2" s="72" t="s">
        <v>233</v>
      </c>
      <c r="E2" s="72" t="s">
        <v>500</v>
      </c>
      <c r="F2" s="72" t="s">
        <v>501</v>
      </c>
      <c r="G2" s="73" t="s">
        <v>198</v>
      </c>
      <c r="H2" s="66">
        <v>16287.36</v>
      </c>
      <c r="I2" s="66">
        <v>0</v>
      </c>
      <c r="J2" s="66">
        <v>0</v>
      </c>
      <c r="K2" s="66">
        <v>274.39999999999998</v>
      </c>
      <c r="L2" s="66">
        <v>68.599999999999994</v>
      </c>
      <c r="M2" s="66">
        <v>17.149999999999999</v>
      </c>
      <c r="N2" s="66">
        <v>82.5</v>
      </c>
      <c r="O2" s="66">
        <v>0</v>
      </c>
      <c r="P2" s="66">
        <v>0</v>
      </c>
      <c r="Q2" s="66">
        <v>0</v>
      </c>
      <c r="R2" s="66">
        <v>0</v>
      </c>
      <c r="S2" s="66">
        <v>63666.66</v>
      </c>
      <c r="T2" s="66">
        <v>0</v>
      </c>
      <c r="U2" s="66">
        <v>25000</v>
      </c>
      <c r="V2" s="66">
        <v>2130.75</v>
      </c>
      <c r="W2" s="66">
        <v>0</v>
      </c>
      <c r="X2" s="66">
        <v>0</v>
      </c>
      <c r="Y2" s="66">
        <v>0</v>
      </c>
      <c r="Z2" s="66">
        <v>0</v>
      </c>
      <c r="AA2" s="66">
        <v>0</v>
      </c>
      <c r="AB2" s="66">
        <v>0</v>
      </c>
      <c r="AC2" s="66">
        <v>0</v>
      </c>
      <c r="AD2" s="66">
        <v>0</v>
      </c>
      <c r="AE2" s="66">
        <v>36535.910000000003</v>
      </c>
      <c r="AF2" s="74">
        <v>0.1</v>
      </c>
      <c r="AG2" s="66">
        <v>2520</v>
      </c>
      <c r="AH2" s="66">
        <v>1133.5899999999999</v>
      </c>
      <c r="AI2" s="66">
        <v>0</v>
      </c>
      <c r="AJ2" s="66">
        <v>1133.5899999999999</v>
      </c>
      <c r="AK2" s="66">
        <v>770.74</v>
      </c>
      <c r="AL2" s="66">
        <v>362.85</v>
      </c>
      <c r="AM2" s="72" t="s">
        <v>196</v>
      </c>
    </row>
    <row r="3" spans="1:39">
      <c r="A3" s="72" t="s">
        <v>196</v>
      </c>
      <c r="B3" s="72" t="s">
        <v>44</v>
      </c>
      <c r="C3" s="72" t="s">
        <v>197</v>
      </c>
      <c r="D3" s="72" t="s">
        <v>45</v>
      </c>
      <c r="E3" s="72" t="s">
        <v>500</v>
      </c>
      <c r="F3" s="72" t="s">
        <v>501</v>
      </c>
      <c r="G3" s="73" t="s">
        <v>198</v>
      </c>
      <c r="H3" s="66">
        <v>20000</v>
      </c>
      <c r="I3" s="66">
        <v>0</v>
      </c>
      <c r="J3" s="66">
        <v>0</v>
      </c>
      <c r="K3" s="66">
        <v>274.39999999999998</v>
      </c>
      <c r="L3" s="66">
        <v>68.599999999999994</v>
      </c>
      <c r="M3" s="66">
        <v>17.149999999999999</v>
      </c>
      <c r="N3" s="66">
        <v>82.5</v>
      </c>
      <c r="O3" s="66">
        <v>0</v>
      </c>
      <c r="P3" s="66">
        <v>0</v>
      </c>
      <c r="Q3" s="66">
        <v>0</v>
      </c>
      <c r="R3" s="66">
        <v>0</v>
      </c>
      <c r="S3" s="66">
        <v>115880.8</v>
      </c>
      <c r="T3" s="66">
        <v>0</v>
      </c>
      <c r="U3" s="66">
        <v>30000</v>
      </c>
      <c r="V3" s="66">
        <v>2573.4</v>
      </c>
      <c r="W3" s="66">
        <v>0</v>
      </c>
      <c r="X3" s="66">
        <v>0</v>
      </c>
      <c r="Y3" s="66">
        <v>0</v>
      </c>
      <c r="Z3" s="66">
        <v>0</v>
      </c>
      <c r="AA3" s="66">
        <v>0</v>
      </c>
      <c r="AB3" s="66">
        <v>0</v>
      </c>
      <c r="AC3" s="66">
        <v>0</v>
      </c>
      <c r="AD3" s="66">
        <v>0</v>
      </c>
      <c r="AE3" s="66">
        <v>83307.399999999994</v>
      </c>
      <c r="AF3" s="74">
        <v>0.1</v>
      </c>
      <c r="AG3" s="66">
        <v>2520</v>
      </c>
      <c r="AH3" s="66">
        <v>5810.74</v>
      </c>
      <c r="AI3" s="66">
        <v>0</v>
      </c>
      <c r="AJ3" s="66">
        <v>5810.74</v>
      </c>
      <c r="AK3" s="66">
        <v>4355.01</v>
      </c>
      <c r="AL3" s="66">
        <v>1455.73</v>
      </c>
      <c r="AM3" s="72" t="s">
        <v>196</v>
      </c>
    </row>
    <row r="4" spans="1:39">
      <c r="A4" s="72" t="s">
        <v>196</v>
      </c>
      <c r="B4" s="72" t="s">
        <v>471</v>
      </c>
      <c r="C4" s="72" t="s">
        <v>197</v>
      </c>
      <c r="D4" s="72" t="s">
        <v>453</v>
      </c>
      <c r="E4" s="72" t="s">
        <v>500</v>
      </c>
      <c r="F4" s="72" t="s">
        <v>501</v>
      </c>
      <c r="G4" s="73" t="s">
        <v>198</v>
      </c>
      <c r="H4" s="66">
        <v>17400</v>
      </c>
      <c r="I4" s="66">
        <v>0</v>
      </c>
      <c r="J4" s="66">
        <v>0</v>
      </c>
      <c r="K4" s="66">
        <v>166</v>
      </c>
      <c r="L4" s="66">
        <v>73.52</v>
      </c>
      <c r="M4" s="66">
        <v>10.38</v>
      </c>
      <c r="N4" s="66">
        <v>720</v>
      </c>
      <c r="O4" s="66">
        <v>0</v>
      </c>
      <c r="P4" s="66">
        <v>0</v>
      </c>
      <c r="Q4" s="66">
        <v>0</v>
      </c>
      <c r="R4" s="66">
        <v>0</v>
      </c>
      <c r="S4" s="66">
        <v>34800</v>
      </c>
      <c r="T4" s="66">
        <v>0</v>
      </c>
      <c r="U4" s="66">
        <v>10000</v>
      </c>
      <c r="V4" s="66">
        <v>1219.8</v>
      </c>
      <c r="W4" s="66">
        <v>0</v>
      </c>
      <c r="X4" s="66">
        <v>0</v>
      </c>
      <c r="Y4" s="66">
        <v>0</v>
      </c>
      <c r="Z4" s="66">
        <v>0</v>
      </c>
      <c r="AA4" s="66">
        <v>0</v>
      </c>
      <c r="AB4" s="66">
        <v>0</v>
      </c>
      <c r="AC4" s="66">
        <v>0</v>
      </c>
      <c r="AD4" s="66">
        <v>0</v>
      </c>
      <c r="AE4" s="66">
        <v>23580.2</v>
      </c>
      <c r="AF4" s="74">
        <v>0.03</v>
      </c>
      <c r="AG4" s="66">
        <v>0</v>
      </c>
      <c r="AH4" s="66">
        <v>707.41</v>
      </c>
      <c r="AI4" s="66">
        <v>0</v>
      </c>
      <c r="AJ4" s="66">
        <v>707.41</v>
      </c>
      <c r="AK4" s="66">
        <v>364.5</v>
      </c>
      <c r="AL4" s="66">
        <v>342.91</v>
      </c>
      <c r="AM4" s="72" t="s">
        <v>196</v>
      </c>
    </row>
    <row r="5" spans="1:39">
      <c r="A5" s="72" t="s">
        <v>196</v>
      </c>
      <c r="B5" s="72" t="s">
        <v>58</v>
      </c>
      <c r="C5" s="72" t="s">
        <v>197</v>
      </c>
      <c r="D5" s="72" t="s">
        <v>59</v>
      </c>
      <c r="E5" s="72" t="s">
        <v>500</v>
      </c>
      <c r="F5" s="72" t="s">
        <v>501</v>
      </c>
      <c r="G5" s="73" t="s">
        <v>198</v>
      </c>
      <c r="H5" s="66">
        <v>20000</v>
      </c>
      <c r="I5" s="66">
        <v>0</v>
      </c>
      <c r="J5" s="66">
        <v>0</v>
      </c>
      <c r="K5" s="66">
        <v>274.39999999999998</v>
      </c>
      <c r="L5" s="66">
        <v>68.599999999999994</v>
      </c>
      <c r="M5" s="66">
        <v>17.149999999999999</v>
      </c>
      <c r="N5" s="66">
        <v>82.5</v>
      </c>
      <c r="O5" s="66">
        <v>0</v>
      </c>
      <c r="P5" s="66">
        <v>0</v>
      </c>
      <c r="Q5" s="66">
        <v>0</v>
      </c>
      <c r="R5" s="66">
        <v>0</v>
      </c>
      <c r="S5" s="66">
        <v>116393.1</v>
      </c>
      <c r="T5" s="66">
        <v>0</v>
      </c>
      <c r="U5" s="66">
        <v>30000</v>
      </c>
      <c r="V5" s="66">
        <v>2573.4</v>
      </c>
      <c r="W5" s="66">
        <v>0</v>
      </c>
      <c r="X5" s="66">
        <v>0</v>
      </c>
      <c r="Y5" s="66">
        <v>0</v>
      </c>
      <c r="Z5" s="66">
        <v>0</v>
      </c>
      <c r="AA5" s="66">
        <v>0</v>
      </c>
      <c r="AB5" s="66">
        <v>0</v>
      </c>
      <c r="AC5" s="66">
        <v>0</v>
      </c>
      <c r="AD5" s="66">
        <v>0</v>
      </c>
      <c r="AE5" s="66">
        <v>83819.7</v>
      </c>
      <c r="AF5" s="74">
        <v>0.1</v>
      </c>
      <c r="AG5" s="66">
        <v>2520</v>
      </c>
      <c r="AH5" s="66">
        <v>5861.97</v>
      </c>
      <c r="AI5" s="66">
        <v>0</v>
      </c>
      <c r="AJ5" s="66">
        <v>5861.97</v>
      </c>
      <c r="AK5" s="66">
        <v>4406.24</v>
      </c>
      <c r="AL5" s="66">
        <v>1455.73</v>
      </c>
      <c r="AM5" s="72" t="s">
        <v>196</v>
      </c>
    </row>
    <row r="6" spans="1:39">
      <c r="A6" s="72" t="s">
        <v>196</v>
      </c>
      <c r="B6" s="72" t="s">
        <v>48</v>
      </c>
      <c r="C6" s="72" t="s">
        <v>197</v>
      </c>
      <c r="D6" s="72" t="s">
        <v>49</v>
      </c>
      <c r="E6" s="72" t="s">
        <v>500</v>
      </c>
      <c r="F6" s="72" t="s">
        <v>501</v>
      </c>
      <c r="G6" s="73" t="s">
        <v>198</v>
      </c>
      <c r="H6" s="66">
        <v>21000</v>
      </c>
      <c r="I6" s="66">
        <v>0</v>
      </c>
      <c r="J6" s="66">
        <v>0</v>
      </c>
      <c r="K6" s="66">
        <v>274.39999999999998</v>
      </c>
      <c r="L6" s="66">
        <v>68.599999999999994</v>
      </c>
      <c r="M6" s="66">
        <v>17.149999999999999</v>
      </c>
      <c r="N6" s="66">
        <v>82.5</v>
      </c>
      <c r="O6" s="66">
        <v>0</v>
      </c>
      <c r="P6" s="66">
        <v>0</v>
      </c>
      <c r="Q6" s="66">
        <v>0</v>
      </c>
      <c r="R6" s="66">
        <v>0</v>
      </c>
      <c r="S6" s="66">
        <v>123358.62</v>
      </c>
      <c r="T6" s="66">
        <v>0</v>
      </c>
      <c r="U6" s="66">
        <v>30000</v>
      </c>
      <c r="V6" s="66">
        <v>2573.4</v>
      </c>
      <c r="W6" s="66">
        <v>0</v>
      </c>
      <c r="X6" s="66">
        <v>0</v>
      </c>
      <c r="Y6" s="66">
        <v>0</v>
      </c>
      <c r="Z6" s="66">
        <v>0</v>
      </c>
      <c r="AA6" s="66">
        <v>0</v>
      </c>
      <c r="AB6" s="66">
        <v>0</v>
      </c>
      <c r="AC6" s="66">
        <v>0</v>
      </c>
      <c r="AD6" s="66">
        <v>0</v>
      </c>
      <c r="AE6" s="66">
        <v>90785.22</v>
      </c>
      <c r="AF6" s="74">
        <v>0.1</v>
      </c>
      <c r="AG6" s="66">
        <v>2520</v>
      </c>
      <c r="AH6" s="66">
        <v>6558.52</v>
      </c>
      <c r="AI6" s="66">
        <v>0</v>
      </c>
      <c r="AJ6" s="66">
        <v>6558.52</v>
      </c>
      <c r="AK6" s="66">
        <v>5002.79</v>
      </c>
      <c r="AL6" s="66">
        <v>1555.73</v>
      </c>
      <c r="AM6" s="72" t="s">
        <v>196</v>
      </c>
    </row>
    <row r="7" spans="1:39">
      <c r="A7" s="72" t="s">
        <v>196</v>
      </c>
      <c r="B7" s="72" t="s">
        <v>364</v>
      </c>
      <c r="C7" s="72" t="s">
        <v>197</v>
      </c>
      <c r="D7" s="72" t="s">
        <v>443</v>
      </c>
      <c r="E7" s="72" t="s">
        <v>500</v>
      </c>
      <c r="F7" s="72" t="s">
        <v>501</v>
      </c>
      <c r="G7" s="73" t="s">
        <v>198</v>
      </c>
      <c r="H7" s="66">
        <v>26114.95</v>
      </c>
      <c r="I7" s="66">
        <v>0</v>
      </c>
      <c r="J7" s="66">
        <v>0</v>
      </c>
      <c r="K7" s="66">
        <v>274.39999999999998</v>
      </c>
      <c r="L7" s="66">
        <v>68.599999999999994</v>
      </c>
      <c r="M7" s="66">
        <v>17.149999999999999</v>
      </c>
      <c r="N7" s="66">
        <v>82.5</v>
      </c>
      <c r="O7" s="66">
        <v>0</v>
      </c>
      <c r="P7" s="66">
        <v>0</v>
      </c>
      <c r="Q7" s="66">
        <v>0</v>
      </c>
      <c r="R7" s="66">
        <v>0</v>
      </c>
      <c r="S7" s="66">
        <v>73892.17</v>
      </c>
      <c r="T7" s="66">
        <v>0</v>
      </c>
      <c r="U7" s="66">
        <v>15000</v>
      </c>
      <c r="V7" s="66">
        <v>1245.45</v>
      </c>
      <c r="W7" s="66">
        <v>0</v>
      </c>
      <c r="X7" s="66">
        <v>0</v>
      </c>
      <c r="Y7" s="66">
        <v>0</v>
      </c>
      <c r="Z7" s="66">
        <v>0</v>
      </c>
      <c r="AA7" s="66">
        <v>0</v>
      </c>
      <c r="AB7" s="66">
        <v>0</v>
      </c>
      <c r="AC7" s="66">
        <v>0</v>
      </c>
      <c r="AD7" s="66">
        <v>0</v>
      </c>
      <c r="AE7" s="66">
        <v>57646.720000000001</v>
      </c>
      <c r="AF7" s="74">
        <v>0.1</v>
      </c>
      <c r="AG7" s="66">
        <v>2520</v>
      </c>
      <c r="AH7" s="66">
        <v>3244.67</v>
      </c>
      <c r="AI7" s="66">
        <v>0</v>
      </c>
      <c r="AJ7" s="66">
        <v>3244.67</v>
      </c>
      <c r="AK7" s="66">
        <v>1177.44</v>
      </c>
      <c r="AL7" s="66">
        <v>2067.23</v>
      </c>
      <c r="AM7" s="72" t="s">
        <v>196</v>
      </c>
    </row>
    <row r="8" spans="1:39">
      <c r="A8" s="72" t="s">
        <v>196</v>
      </c>
      <c r="B8" s="72" t="s">
        <v>370</v>
      </c>
      <c r="C8" s="72" t="s">
        <v>197</v>
      </c>
      <c r="D8" s="72" t="s">
        <v>442</v>
      </c>
      <c r="E8" s="72" t="s">
        <v>500</v>
      </c>
      <c r="F8" s="72" t="s">
        <v>501</v>
      </c>
      <c r="G8" s="73" t="s">
        <v>198</v>
      </c>
      <c r="H8" s="66">
        <v>15500</v>
      </c>
      <c r="I8" s="66">
        <v>0</v>
      </c>
      <c r="J8" s="66">
        <v>0</v>
      </c>
      <c r="K8" s="66">
        <v>428.8</v>
      </c>
      <c r="L8" s="66">
        <v>110.2</v>
      </c>
      <c r="M8" s="66">
        <v>26.8</v>
      </c>
      <c r="N8" s="66">
        <v>480</v>
      </c>
      <c r="O8" s="66">
        <v>0</v>
      </c>
      <c r="P8" s="66">
        <v>0</v>
      </c>
      <c r="Q8" s="66">
        <v>0</v>
      </c>
      <c r="R8" s="66">
        <v>0</v>
      </c>
      <c r="S8" s="66">
        <v>44500</v>
      </c>
      <c r="T8" s="66">
        <v>0</v>
      </c>
      <c r="U8" s="66">
        <v>15000</v>
      </c>
      <c r="V8" s="66">
        <v>2657.4</v>
      </c>
      <c r="W8" s="66">
        <v>0</v>
      </c>
      <c r="X8" s="66">
        <v>0</v>
      </c>
      <c r="Y8" s="66">
        <v>0</v>
      </c>
      <c r="Z8" s="66">
        <v>0</v>
      </c>
      <c r="AA8" s="66">
        <v>0</v>
      </c>
      <c r="AB8" s="66">
        <v>0</v>
      </c>
      <c r="AC8" s="66">
        <v>0</v>
      </c>
      <c r="AD8" s="66">
        <v>0</v>
      </c>
      <c r="AE8" s="66">
        <v>26842.6</v>
      </c>
      <c r="AF8" s="74">
        <v>0.03</v>
      </c>
      <c r="AG8" s="66">
        <v>0</v>
      </c>
      <c r="AH8" s="66">
        <v>805.28</v>
      </c>
      <c r="AI8" s="66">
        <v>0</v>
      </c>
      <c r="AJ8" s="66">
        <v>805.28</v>
      </c>
      <c r="AK8" s="66">
        <v>521.65</v>
      </c>
      <c r="AL8" s="66">
        <v>283.63</v>
      </c>
      <c r="AM8" s="72" t="s">
        <v>196</v>
      </c>
    </row>
    <row r="9" spans="1:39">
      <c r="A9" s="72" t="s">
        <v>196</v>
      </c>
      <c r="B9" s="72" t="s">
        <v>38</v>
      </c>
      <c r="C9" s="72" t="s">
        <v>197</v>
      </c>
      <c r="D9" s="72" t="s">
        <v>39</v>
      </c>
      <c r="E9" s="72" t="s">
        <v>500</v>
      </c>
      <c r="F9" s="72" t="s">
        <v>501</v>
      </c>
      <c r="G9" s="73" t="s">
        <v>198</v>
      </c>
      <c r="H9" s="66">
        <v>11000</v>
      </c>
      <c r="I9" s="66">
        <v>0</v>
      </c>
      <c r="J9" s="66">
        <v>0</v>
      </c>
      <c r="K9" s="66">
        <v>880</v>
      </c>
      <c r="L9" s="66">
        <v>223</v>
      </c>
      <c r="M9" s="66">
        <v>55</v>
      </c>
      <c r="N9" s="66">
        <v>1320</v>
      </c>
      <c r="O9" s="66">
        <v>0</v>
      </c>
      <c r="P9" s="66">
        <v>0</v>
      </c>
      <c r="Q9" s="66">
        <v>0</v>
      </c>
      <c r="R9" s="66">
        <v>0</v>
      </c>
      <c r="S9" s="66">
        <v>61068.97</v>
      </c>
      <c r="T9" s="66">
        <v>0</v>
      </c>
      <c r="U9" s="66">
        <v>30000</v>
      </c>
      <c r="V9" s="66">
        <v>11070</v>
      </c>
      <c r="W9" s="66">
        <v>0</v>
      </c>
      <c r="X9" s="66">
        <v>0</v>
      </c>
      <c r="Y9" s="66">
        <v>0</v>
      </c>
      <c r="Z9" s="66">
        <v>9000</v>
      </c>
      <c r="AA9" s="66">
        <v>0</v>
      </c>
      <c r="AB9" s="66">
        <v>0</v>
      </c>
      <c r="AC9" s="66">
        <v>0</v>
      </c>
      <c r="AD9" s="66">
        <v>0</v>
      </c>
      <c r="AE9" s="66">
        <v>10998.97</v>
      </c>
      <c r="AF9" s="74">
        <v>0.03</v>
      </c>
      <c r="AG9" s="66">
        <v>0</v>
      </c>
      <c r="AH9" s="66">
        <v>329.97</v>
      </c>
      <c r="AI9" s="66">
        <v>0</v>
      </c>
      <c r="AJ9" s="66">
        <v>329.97</v>
      </c>
      <c r="AK9" s="66">
        <v>269.31</v>
      </c>
      <c r="AL9" s="66">
        <v>60.66</v>
      </c>
      <c r="AM9" s="72" t="s">
        <v>196</v>
      </c>
    </row>
    <row r="10" spans="1:39">
      <c r="A10" s="72" t="s">
        <v>196</v>
      </c>
      <c r="B10" s="72" t="s">
        <v>1</v>
      </c>
      <c r="C10" s="72" t="s">
        <v>197</v>
      </c>
      <c r="D10" s="72" t="s">
        <v>4</v>
      </c>
      <c r="E10" s="72" t="s">
        <v>500</v>
      </c>
      <c r="F10" s="72" t="s">
        <v>501</v>
      </c>
      <c r="G10" s="73" t="s">
        <v>198</v>
      </c>
      <c r="H10" s="66">
        <v>8800</v>
      </c>
      <c r="I10" s="66">
        <v>0</v>
      </c>
      <c r="J10" s="66">
        <v>0</v>
      </c>
      <c r="K10" s="66">
        <v>428.8</v>
      </c>
      <c r="L10" s="66">
        <v>110.2</v>
      </c>
      <c r="M10" s="66">
        <v>26.8</v>
      </c>
      <c r="N10" s="66">
        <v>316</v>
      </c>
      <c r="O10" s="66">
        <v>0</v>
      </c>
      <c r="P10" s="66">
        <v>0</v>
      </c>
      <c r="Q10" s="66">
        <v>0</v>
      </c>
      <c r="R10" s="66">
        <v>0</v>
      </c>
      <c r="S10" s="66">
        <v>52800</v>
      </c>
      <c r="T10" s="66">
        <v>0</v>
      </c>
      <c r="U10" s="66">
        <v>30000</v>
      </c>
      <c r="V10" s="66">
        <v>4974.8</v>
      </c>
      <c r="W10" s="66">
        <v>0</v>
      </c>
      <c r="X10" s="66">
        <v>0</v>
      </c>
      <c r="Y10" s="66">
        <v>0</v>
      </c>
      <c r="Z10" s="66">
        <v>9000</v>
      </c>
      <c r="AA10" s="66">
        <v>0</v>
      </c>
      <c r="AB10" s="66">
        <v>0</v>
      </c>
      <c r="AC10" s="66">
        <v>0</v>
      </c>
      <c r="AD10" s="66">
        <v>0</v>
      </c>
      <c r="AE10" s="66">
        <v>8825.2000000000007</v>
      </c>
      <c r="AF10" s="74">
        <v>0.03</v>
      </c>
      <c r="AG10" s="66">
        <v>0</v>
      </c>
      <c r="AH10" s="66">
        <v>264.76</v>
      </c>
      <c r="AI10" s="66">
        <v>0</v>
      </c>
      <c r="AJ10" s="66">
        <v>264.76</v>
      </c>
      <c r="AK10" s="66">
        <v>222.21</v>
      </c>
      <c r="AL10" s="66">
        <v>42.55</v>
      </c>
      <c r="AM10" s="72" t="s">
        <v>196</v>
      </c>
    </row>
    <row r="11" spans="1:39">
      <c r="A11" s="72" t="s">
        <v>196</v>
      </c>
      <c r="B11" s="72" t="s">
        <v>337</v>
      </c>
      <c r="C11" s="72" t="s">
        <v>197</v>
      </c>
      <c r="D11" s="72" t="s">
        <v>353</v>
      </c>
      <c r="E11" s="72" t="s">
        <v>500</v>
      </c>
      <c r="F11" s="72" t="s">
        <v>501</v>
      </c>
      <c r="G11" s="73" t="s">
        <v>198</v>
      </c>
      <c r="H11" s="66">
        <v>13000</v>
      </c>
      <c r="I11" s="66">
        <v>0</v>
      </c>
      <c r="J11" s="66">
        <v>0</v>
      </c>
      <c r="K11" s="66">
        <v>274.39999999999998</v>
      </c>
      <c r="L11" s="66">
        <v>68.599999999999994</v>
      </c>
      <c r="M11" s="66">
        <v>17.149999999999999</v>
      </c>
      <c r="N11" s="66">
        <v>82.5</v>
      </c>
      <c r="O11" s="66">
        <v>0</v>
      </c>
      <c r="P11" s="66">
        <v>0</v>
      </c>
      <c r="Q11" s="66">
        <v>0</v>
      </c>
      <c r="R11" s="66">
        <v>0</v>
      </c>
      <c r="S11" s="66">
        <v>49793.1</v>
      </c>
      <c r="T11" s="66">
        <v>0</v>
      </c>
      <c r="U11" s="66">
        <v>20000</v>
      </c>
      <c r="V11" s="66">
        <v>1688.1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28105</v>
      </c>
      <c r="AF11" s="74">
        <v>0.03</v>
      </c>
      <c r="AG11" s="66">
        <v>0</v>
      </c>
      <c r="AH11" s="66">
        <v>843.15</v>
      </c>
      <c r="AI11" s="66">
        <v>0</v>
      </c>
      <c r="AJ11" s="66">
        <v>843.15</v>
      </c>
      <c r="AK11" s="66">
        <v>616.42999999999995</v>
      </c>
      <c r="AL11" s="66">
        <v>226.72</v>
      </c>
      <c r="AM11" s="72" t="s">
        <v>196</v>
      </c>
    </row>
    <row r="12" spans="1:39">
      <c r="A12" s="72" t="s">
        <v>196</v>
      </c>
      <c r="B12" s="72" t="s">
        <v>367</v>
      </c>
      <c r="C12" s="72" t="s">
        <v>197</v>
      </c>
      <c r="D12" s="72" t="s">
        <v>440</v>
      </c>
      <c r="E12" s="72" t="s">
        <v>500</v>
      </c>
      <c r="F12" s="72" t="s">
        <v>501</v>
      </c>
      <c r="G12" s="73" t="s">
        <v>198</v>
      </c>
      <c r="H12" s="66">
        <v>11919.54</v>
      </c>
      <c r="I12" s="66">
        <v>0</v>
      </c>
      <c r="J12" s="66">
        <v>0</v>
      </c>
      <c r="K12" s="66">
        <v>274.39999999999998</v>
      </c>
      <c r="L12" s="66">
        <v>68.599999999999994</v>
      </c>
      <c r="M12" s="66">
        <v>17.149999999999999</v>
      </c>
      <c r="N12" s="66">
        <v>82.5</v>
      </c>
      <c r="O12" s="66">
        <v>0</v>
      </c>
      <c r="P12" s="66">
        <v>0</v>
      </c>
      <c r="Q12" s="66">
        <v>0</v>
      </c>
      <c r="R12" s="66">
        <v>0</v>
      </c>
      <c r="S12" s="66">
        <v>34708.239999999998</v>
      </c>
      <c r="T12" s="66">
        <v>0</v>
      </c>
      <c r="U12" s="66">
        <v>15000</v>
      </c>
      <c r="V12" s="66">
        <v>1245.45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18462.79</v>
      </c>
      <c r="AF12" s="74">
        <v>0.03</v>
      </c>
      <c r="AG12" s="66">
        <v>0</v>
      </c>
      <c r="AH12" s="66">
        <v>553.88</v>
      </c>
      <c r="AI12" s="66">
        <v>0</v>
      </c>
      <c r="AJ12" s="66">
        <v>553.88</v>
      </c>
      <c r="AK12" s="66">
        <v>359.58</v>
      </c>
      <c r="AL12" s="66">
        <v>194.3</v>
      </c>
      <c r="AM12" s="72" t="s">
        <v>196</v>
      </c>
    </row>
    <row r="13" spans="1:39">
      <c r="A13" s="72" t="s">
        <v>196</v>
      </c>
      <c r="B13" s="72" t="s">
        <v>3</v>
      </c>
      <c r="C13" s="72" t="s">
        <v>197</v>
      </c>
      <c r="D13" s="72" t="s">
        <v>6</v>
      </c>
      <c r="E13" s="72" t="s">
        <v>500</v>
      </c>
      <c r="F13" s="72" t="s">
        <v>501</v>
      </c>
      <c r="G13" s="73" t="s">
        <v>198</v>
      </c>
      <c r="H13" s="66">
        <v>15000</v>
      </c>
      <c r="I13" s="66">
        <v>0</v>
      </c>
      <c r="J13" s="66">
        <v>0</v>
      </c>
      <c r="K13" s="66">
        <v>428.8</v>
      </c>
      <c r="L13" s="66">
        <v>110.2</v>
      </c>
      <c r="M13" s="66">
        <v>26.8</v>
      </c>
      <c r="N13" s="66">
        <v>1080</v>
      </c>
      <c r="O13" s="66">
        <v>0</v>
      </c>
      <c r="P13" s="66">
        <v>0</v>
      </c>
      <c r="Q13" s="66">
        <v>0</v>
      </c>
      <c r="R13" s="66">
        <v>0</v>
      </c>
      <c r="S13" s="66">
        <v>88791</v>
      </c>
      <c r="T13" s="66">
        <v>0</v>
      </c>
      <c r="U13" s="66">
        <v>30000</v>
      </c>
      <c r="V13" s="66">
        <v>8794.7999999999993</v>
      </c>
      <c r="W13" s="66">
        <v>6000</v>
      </c>
      <c r="X13" s="66">
        <v>0</v>
      </c>
      <c r="Y13" s="66">
        <v>6000</v>
      </c>
      <c r="Z13" s="66">
        <v>0</v>
      </c>
      <c r="AA13" s="66">
        <v>6000</v>
      </c>
      <c r="AB13" s="66">
        <v>0</v>
      </c>
      <c r="AC13" s="66">
        <v>0</v>
      </c>
      <c r="AD13" s="66">
        <v>0</v>
      </c>
      <c r="AE13" s="66">
        <v>31996.2</v>
      </c>
      <c r="AF13" s="74">
        <v>0.03</v>
      </c>
      <c r="AG13" s="66">
        <v>0</v>
      </c>
      <c r="AH13" s="66">
        <v>959.89</v>
      </c>
      <c r="AI13" s="66">
        <v>0</v>
      </c>
      <c r="AJ13" s="66">
        <v>959.89</v>
      </c>
      <c r="AK13" s="66">
        <v>799.26</v>
      </c>
      <c r="AL13" s="66">
        <v>160.63</v>
      </c>
      <c r="AM13" s="72" t="s">
        <v>196</v>
      </c>
    </row>
    <row r="14" spans="1:39">
      <c r="A14" s="72" t="s">
        <v>196</v>
      </c>
      <c r="B14" s="72" t="s">
        <v>472</v>
      </c>
      <c r="C14" s="72" t="s">
        <v>197</v>
      </c>
      <c r="D14" s="72" t="s">
        <v>454</v>
      </c>
      <c r="E14" s="72" t="s">
        <v>500</v>
      </c>
      <c r="F14" s="72" t="s">
        <v>501</v>
      </c>
      <c r="G14" s="73" t="s">
        <v>198</v>
      </c>
      <c r="H14" s="66">
        <v>10100</v>
      </c>
      <c r="I14" s="66">
        <v>0</v>
      </c>
      <c r="J14" s="66">
        <v>0</v>
      </c>
      <c r="K14" s="66">
        <v>428.8</v>
      </c>
      <c r="L14" s="66">
        <v>110.2</v>
      </c>
      <c r="M14" s="66">
        <v>26.8</v>
      </c>
      <c r="N14" s="66">
        <v>316</v>
      </c>
      <c r="O14" s="66">
        <v>0</v>
      </c>
      <c r="P14" s="66">
        <v>0</v>
      </c>
      <c r="Q14" s="66">
        <v>0</v>
      </c>
      <c r="R14" s="66">
        <v>0</v>
      </c>
      <c r="S14" s="66">
        <v>20200</v>
      </c>
      <c r="T14" s="66">
        <v>0</v>
      </c>
      <c r="U14" s="66">
        <v>10000</v>
      </c>
      <c r="V14" s="66">
        <v>1447.6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  <c r="AC14" s="66">
        <v>0</v>
      </c>
      <c r="AD14" s="66">
        <v>0</v>
      </c>
      <c r="AE14" s="66">
        <v>8752.4</v>
      </c>
      <c r="AF14" s="74">
        <v>0.03</v>
      </c>
      <c r="AG14" s="66">
        <v>0</v>
      </c>
      <c r="AH14" s="66">
        <v>262.57</v>
      </c>
      <c r="AI14" s="66">
        <v>0</v>
      </c>
      <c r="AJ14" s="66">
        <v>262.57</v>
      </c>
      <c r="AK14" s="66">
        <v>136.03</v>
      </c>
      <c r="AL14" s="66">
        <v>126.54</v>
      </c>
      <c r="AM14" s="72" t="s">
        <v>196</v>
      </c>
    </row>
    <row r="15" spans="1:39">
      <c r="A15" s="72" t="s">
        <v>196</v>
      </c>
      <c r="B15" s="72" t="s">
        <v>54</v>
      </c>
      <c r="C15" s="72" t="s">
        <v>197</v>
      </c>
      <c r="D15" s="72" t="s">
        <v>55</v>
      </c>
      <c r="E15" s="72" t="s">
        <v>500</v>
      </c>
      <c r="F15" s="72" t="s">
        <v>501</v>
      </c>
      <c r="G15" s="73" t="s">
        <v>198</v>
      </c>
      <c r="H15" s="66">
        <v>30586.21</v>
      </c>
      <c r="I15" s="66">
        <v>0</v>
      </c>
      <c r="J15" s="66">
        <v>0</v>
      </c>
      <c r="K15" s="66">
        <v>274.39999999999998</v>
      </c>
      <c r="L15" s="66">
        <v>68.599999999999994</v>
      </c>
      <c r="M15" s="66">
        <v>17.149999999999999</v>
      </c>
      <c r="N15" s="66">
        <v>82.5</v>
      </c>
      <c r="O15" s="66">
        <v>0</v>
      </c>
      <c r="P15" s="66">
        <v>0</v>
      </c>
      <c r="Q15" s="66">
        <v>0</v>
      </c>
      <c r="R15" s="66">
        <v>0</v>
      </c>
      <c r="S15" s="66">
        <v>170910.33</v>
      </c>
      <c r="T15" s="66">
        <v>0</v>
      </c>
      <c r="U15" s="66">
        <v>30000</v>
      </c>
      <c r="V15" s="66">
        <v>2573.4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 s="66">
        <v>0</v>
      </c>
      <c r="AD15" s="66">
        <v>0</v>
      </c>
      <c r="AE15" s="66">
        <v>138336.93</v>
      </c>
      <c r="AF15" s="74">
        <v>0.1</v>
      </c>
      <c r="AG15" s="66">
        <v>2520</v>
      </c>
      <c r="AH15" s="66">
        <v>11313.69</v>
      </c>
      <c r="AI15" s="66">
        <v>0</v>
      </c>
      <c r="AJ15" s="66">
        <v>11313.69</v>
      </c>
      <c r="AK15" s="66">
        <v>8799.34</v>
      </c>
      <c r="AL15" s="66">
        <v>2514.35</v>
      </c>
      <c r="AM15" s="72" t="s">
        <v>196</v>
      </c>
    </row>
    <row r="16" spans="1:39">
      <c r="A16" s="72" t="s">
        <v>196</v>
      </c>
      <c r="B16" s="72" t="s">
        <v>474</v>
      </c>
      <c r="C16" s="72" t="s">
        <v>197</v>
      </c>
      <c r="D16" s="72" t="s">
        <v>456</v>
      </c>
      <c r="E16" s="72" t="s">
        <v>500</v>
      </c>
      <c r="F16" s="72" t="s">
        <v>501</v>
      </c>
      <c r="G16" s="73" t="s">
        <v>198</v>
      </c>
      <c r="H16" s="66">
        <v>9740</v>
      </c>
      <c r="I16" s="66">
        <v>0</v>
      </c>
      <c r="J16" s="66">
        <v>0</v>
      </c>
      <c r="K16" s="66">
        <v>428.8</v>
      </c>
      <c r="L16" s="66">
        <v>110.2</v>
      </c>
      <c r="M16" s="66">
        <v>26.8</v>
      </c>
      <c r="N16" s="66">
        <v>316</v>
      </c>
      <c r="O16" s="66">
        <v>0</v>
      </c>
      <c r="P16" s="66">
        <v>0</v>
      </c>
      <c r="Q16" s="66">
        <v>0</v>
      </c>
      <c r="R16" s="66">
        <v>0</v>
      </c>
      <c r="S16" s="66">
        <v>16740</v>
      </c>
      <c r="T16" s="66">
        <v>0</v>
      </c>
      <c r="U16" s="66">
        <v>10000</v>
      </c>
      <c r="V16" s="66">
        <v>881.8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5858.2</v>
      </c>
      <c r="AF16" s="74">
        <v>0.03</v>
      </c>
      <c r="AG16" s="66">
        <v>0</v>
      </c>
      <c r="AH16" s="66">
        <v>175.75</v>
      </c>
      <c r="AI16" s="66">
        <v>0</v>
      </c>
      <c r="AJ16" s="66">
        <v>175.75</v>
      </c>
      <c r="AK16" s="66">
        <v>60</v>
      </c>
      <c r="AL16" s="66">
        <v>115.75</v>
      </c>
      <c r="AM16" s="72" t="s">
        <v>196</v>
      </c>
    </row>
    <row r="17" spans="1:39">
      <c r="A17" s="72" t="s">
        <v>196</v>
      </c>
      <c r="B17" s="72" t="s">
        <v>50</v>
      </c>
      <c r="C17" s="72" t="s">
        <v>197</v>
      </c>
      <c r="D17" s="72" t="s">
        <v>51</v>
      </c>
      <c r="E17" s="72" t="s">
        <v>500</v>
      </c>
      <c r="F17" s="72" t="s">
        <v>501</v>
      </c>
      <c r="G17" s="73" t="s">
        <v>198</v>
      </c>
      <c r="H17" s="66">
        <v>28298.85</v>
      </c>
      <c r="I17" s="66">
        <v>0</v>
      </c>
      <c r="J17" s="66">
        <v>0</v>
      </c>
      <c r="K17" s="66">
        <v>274.39999999999998</v>
      </c>
      <c r="L17" s="66">
        <v>68.599999999999994</v>
      </c>
      <c r="M17" s="66">
        <v>17.149999999999999</v>
      </c>
      <c r="N17" s="66">
        <v>82.5</v>
      </c>
      <c r="O17" s="66">
        <v>0</v>
      </c>
      <c r="P17" s="66">
        <v>0</v>
      </c>
      <c r="Q17" s="66">
        <v>0</v>
      </c>
      <c r="R17" s="66">
        <v>0</v>
      </c>
      <c r="S17" s="66">
        <v>162921.84</v>
      </c>
      <c r="T17" s="66">
        <v>0</v>
      </c>
      <c r="U17" s="66">
        <v>30000</v>
      </c>
      <c r="V17" s="66">
        <v>2573.4</v>
      </c>
      <c r="W17" s="66">
        <v>0</v>
      </c>
      <c r="X17" s="66">
        <v>3600</v>
      </c>
      <c r="Y17" s="66">
        <v>6000</v>
      </c>
      <c r="Z17" s="66">
        <v>0</v>
      </c>
      <c r="AA17" s="66">
        <v>0</v>
      </c>
      <c r="AB17" s="66">
        <v>6000</v>
      </c>
      <c r="AC17" s="66">
        <v>0</v>
      </c>
      <c r="AD17" s="66">
        <v>0</v>
      </c>
      <c r="AE17" s="66">
        <v>114748.44</v>
      </c>
      <c r="AF17" s="74">
        <v>0.1</v>
      </c>
      <c r="AG17" s="66">
        <v>2520</v>
      </c>
      <c r="AH17" s="66">
        <v>8954.84</v>
      </c>
      <c r="AI17" s="66">
        <v>0</v>
      </c>
      <c r="AJ17" s="66">
        <v>8954.84</v>
      </c>
      <c r="AK17" s="66">
        <v>7229.22</v>
      </c>
      <c r="AL17" s="66">
        <v>1725.62</v>
      </c>
      <c r="AM17" s="72" t="s">
        <v>196</v>
      </c>
    </row>
    <row r="18" spans="1:39">
      <c r="A18" s="72" t="s">
        <v>196</v>
      </c>
      <c r="B18" s="72" t="s">
        <v>40</v>
      </c>
      <c r="C18" s="72" t="s">
        <v>197</v>
      </c>
      <c r="D18" s="72" t="s">
        <v>41</v>
      </c>
      <c r="E18" s="72" t="s">
        <v>500</v>
      </c>
      <c r="F18" s="72" t="s">
        <v>501</v>
      </c>
      <c r="G18" s="73" t="s">
        <v>198</v>
      </c>
      <c r="H18" s="66">
        <v>6000</v>
      </c>
      <c r="I18" s="66">
        <v>0</v>
      </c>
      <c r="J18" s="66">
        <v>0</v>
      </c>
      <c r="K18" s="66">
        <v>166</v>
      </c>
      <c r="L18" s="66">
        <v>73.52</v>
      </c>
      <c r="M18" s="66">
        <v>10.38</v>
      </c>
      <c r="N18" s="66">
        <v>86</v>
      </c>
      <c r="O18" s="66">
        <v>0</v>
      </c>
      <c r="P18" s="66">
        <v>0</v>
      </c>
      <c r="Q18" s="66">
        <v>0</v>
      </c>
      <c r="R18" s="66">
        <v>0</v>
      </c>
      <c r="S18" s="66">
        <v>31500</v>
      </c>
      <c r="T18" s="66">
        <v>0</v>
      </c>
      <c r="U18" s="66">
        <v>30000</v>
      </c>
      <c r="V18" s="66">
        <v>1929.4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74">
        <v>0.03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>
        <v>0</v>
      </c>
      <c r="AM18" s="72" t="s">
        <v>196</v>
      </c>
    </row>
    <row r="19" spans="1:39">
      <c r="A19" s="72" t="s">
        <v>196</v>
      </c>
      <c r="B19" s="72" t="s">
        <v>46</v>
      </c>
      <c r="C19" s="72" t="s">
        <v>197</v>
      </c>
      <c r="D19" s="72" t="s">
        <v>47</v>
      </c>
      <c r="E19" s="72" t="s">
        <v>500</v>
      </c>
      <c r="F19" s="72" t="s">
        <v>501</v>
      </c>
      <c r="G19" s="73" t="s">
        <v>198</v>
      </c>
      <c r="H19" s="66">
        <v>31724.14</v>
      </c>
      <c r="I19" s="66">
        <v>0</v>
      </c>
      <c r="J19" s="66">
        <v>0</v>
      </c>
      <c r="K19" s="66">
        <v>274.39999999999998</v>
      </c>
      <c r="L19" s="66">
        <v>68.599999999999994</v>
      </c>
      <c r="M19" s="66">
        <v>17.149999999999999</v>
      </c>
      <c r="N19" s="66">
        <v>82.5</v>
      </c>
      <c r="O19" s="66">
        <v>0</v>
      </c>
      <c r="P19" s="66">
        <v>0</v>
      </c>
      <c r="Q19" s="66">
        <v>0</v>
      </c>
      <c r="R19" s="66">
        <v>0</v>
      </c>
      <c r="S19" s="66">
        <v>170358.62</v>
      </c>
      <c r="T19" s="66">
        <v>0</v>
      </c>
      <c r="U19" s="66">
        <v>30000</v>
      </c>
      <c r="V19" s="66">
        <v>2573.4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137785.22</v>
      </c>
      <c r="AF19" s="74">
        <v>0.1</v>
      </c>
      <c r="AG19" s="66">
        <v>2520</v>
      </c>
      <c r="AH19" s="66">
        <v>11258.52</v>
      </c>
      <c r="AI19" s="66">
        <v>0</v>
      </c>
      <c r="AJ19" s="66">
        <v>11258.52</v>
      </c>
      <c r="AK19" s="66">
        <v>8630.3700000000008</v>
      </c>
      <c r="AL19" s="66">
        <v>2628.15</v>
      </c>
      <c r="AM19" s="72" t="s">
        <v>196</v>
      </c>
    </row>
    <row r="20" spans="1:39">
      <c r="A20" s="72" t="s">
        <v>196</v>
      </c>
      <c r="B20" s="72" t="s">
        <v>42</v>
      </c>
      <c r="C20" s="72" t="s">
        <v>197</v>
      </c>
      <c r="D20" s="72" t="s">
        <v>43</v>
      </c>
      <c r="E20" s="72" t="s">
        <v>500</v>
      </c>
      <c r="F20" s="72" t="s">
        <v>501</v>
      </c>
      <c r="G20" s="73" t="s">
        <v>198</v>
      </c>
      <c r="H20" s="66">
        <v>20000</v>
      </c>
      <c r="I20" s="66">
        <v>0</v>
      </c>
      <c r="J20" s="66">
        <v>0</v>
      </c>
      <c r="K20" s="66">
        <v>274.39999999999998</v>
      </c>
      <c r="L20" s="66">
        <v>68.599999999999994</v>
      </c>
      <c r="M20" s="66">
        <v>17.149999999999999</v>
      </c>
      <c r="N20" s="66">
        <v>82.5</v>
      </c>
      <c r="O20" s="66">
        <v>0</v>
      </c>
      <c r="P20" s="66">
        <v>0</v>
      </c>
      <c r="Q20" s="66">
        <v>0</v>
      </c>
      <c r="R20" s="66">
        <v>0</v>
      </c>
      <c r="S20" s="66">
        <v>115313.1</v>
      </c>
      <c r="T20" s="66">
        <v>0</v>
      </c>
      <c r="U20" s="66">
        <v>30000</v>
      </c>
      <c r="V20" s="66">
        <v>2573.4</v>
      </c>
      <c r="W20" s="66">
        <v>6000</v>
      </c>
      <c r="X20" s="66">
        <v>0</v>
      </c>
      <c r="Y20" s="66">
        <v>6000</v>
      </c>
      <c r="Z20" s="66">
        <v>0</v>
      </c>
      <c r="AA20" s="66">
        <v>6000</v>
      </c>
      <c r="AB20" s="66">
        <v>0</v>
      </c>
      <c r="AC20" s="66">
        <v>0</v>
      </c>
      <c r="AD20" s="66">
        <v>0</v>
      </c>
      <c r="AE20" s="66">
        <v>64739.7</v>
      </c>
      <c r="AF20" s="74">
        <v>0.1</v>
      </c>
      <c r="AG20" s="66">
        <v>2520</v>
      </c>
      <c r="AH20" s="66">
        <v>3953.97</v>
      </c>
      <c r="AI20" s="66">
        <v>0</v>
      </c>
      <c r="AJ20" s="66">
        <v>3953.97</v>
      </c>
      <c r="AK20" s="66">
        <v>3048.24</v>
      </c>
      <c r="AL20" s="66">
        <v>905.73</v>
      </c>
      <c r="AM20" s="72" t="s">
        <v>196</v>
      </c>
    </row>
    <row r="21" spans="1:39">
      <c r="A21" s="72" t="s">
        <v>196</v>
      </c>
      <c r="B21" s="72" t="s">
        <v>234</v>
      </c>
      <c r="C21" s="72" t="s">
        <v>197</v>
      </c>
      <c r="D21" s="72" t="s">
        <v>304</v>
      </c>
      <c r="E21" s="72" t="s">
        <v>500</v>
      </c>
      <c r="F21" s="72" t="s">
        <v>501</v>
      </c>
      <c r="G21" s="73" t="s">
        <v>198</v>
      </c>
      <c r="H21" s="66">
        <v>13000</v>
      </c>
      <c r="I21" s="66">
        <v>0</v>
      </c>
      <c r="J21" s="66">
        <v>0</v>
      </c>
      <c r="K21" s="66">
        <v>274.39999999999998</v>
      </c>
      <c r="L21" s="66">
        <v>68.599999999999994</v>
      </c>
      <c r="M21" s="66">
        <v>17.149999999999999</v>
      </c>
      <c r="N21" s="66">
        <v>82.5</v>
      </c>
      <c r="O21" s="66">
        <v>0</v>
      </c>
      <c r="P21" s="66">
        <v>0</v>
      </c>
      <c r="Q21" s="66">
        <v>0</v>
      </c>
      <c r="R21" s="66">
        <v>0</v>
      </c>
      <c r="S21" s="66">
        <v>53000</v>
      </c>
      <c r="T21" s="66">
        <v>0</v>
      </c>
      <c r="U21" s="66">
        <v>25000</v>
      </c>
      <c r="V21" s="66">
        <v>2130.75</v>
      </c>
      <c r="W21" s="66">
        <v>5000</v>
      </c>
      <c r="X21" s="66">
        <v>0</v>
      </c>
      <c r="Y21" s="66">
        <v>0</v>
      </c>
      <c r="Z21" s="66">
        <v>7500</v>
      </c>
      <c r="AA21" s="66">
        <v>10000</v>
      </c>
      <c r="AB21" s="66">
        <v>0</v>
      </c>
      <c r="AC21" s="66">
        <v>0</v>
      </c>
      <c r="AD21" s="66">
        <v>0</v>
      </c>
      <c r="AE21" s="66">
        <v>3369.25</v>
      </c>
      <c r="AF21" s="74">
        <v>0.03</v>
      </c>
      <c r="AG21" s="66">
        <v>0</v>
      </c>
      <c r="AH21" s="66">
        <v>101.08</v>
      </c>
      <c r="AI21" s="66">
        <v>0</v>
      </c>
      <c r="AJ21" s="66">
        <v>101.08</v>
      </c>
      <c r="AK21" s="66">
        <v>9.36</v>
      </c>
      <c r="AL21" s="66">
        <v>91.72</v>
      </c>
      <c r="AM21" s="72" t="s">
        <v>196</v>
      </c>
    </row>
    <row r="22" spans="1:39">
      <c r="A22" s="72" t="s">
        <v>196</v>
      </c>
      <c r="B22" s="72" t="s">
        <v>230</v>
      </c>
      <c r="C22" s="72" t="s">
        <v>197</v>
      </c>
      <c r="D22" s="72" t="s">
        <v>231</v>
      </c>
      <c r="E22" s="72" t="s">
        <v>500</v>
      </c>
      <c r="F22" s="72" t="s">
        <v>501</v>
      </c>
      <c r="G22" s="73" t="s">
        <v>198</v>
      </c>
      <c r="H22" s="66">
        <v>11000</v>
      </c>
      <c r="I22" s="66">
        <v>0</v>
      </c>
      <c r="J22" s="66">
        <v>0</v>
      </c>
      <c r="K22" s="66">
        <v>274.39999999999998</v>
      </c>
      <c r="L22" s="66">
        <v>68.599999999999994</v>
      </c>
      <c r="M22" s="66">
        <v>17.149999999999999</v>
      </c>
      <c r="N22" s="66">
        <v>82.5</v>
      </c>
      <c r="O22" s="66">
        <v>0</v>
      </c>
      <c r="P22" s="66">
        <v>0</v>
      </c>
      <c r="Q22" s="66">
        <v>0</v>
      </c>
      <c r="R22" s="66">
        <v>0</v>
      </c>
      <c r="S22" s="66">
        <v>41436.800000000003</v>
      </c>
      <c r="T22" s="66">
        <v>0</v>
      </c>
      <c r="U22" s="66">
        <v>25000</v>
      </c>
      <c r="V22" s="66">
        <v>2130.75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14306.05</v>
      </c>
      <c r="AF22" s="74">
        <v>0.03</v>
      </c>
      <c r="AG22" s="66">
        <v>0</v>
      </c>
      <c r="AH22" s="66">
        <v>429.18</v>
      </c>
      <c r="AI22" s="66">
        <v>0</v>
      </c>
      <c r="AJ22" s="66">
        <v>429.18</v>
      </c>
      <c r="AK22" s="66">
        <v>262.45999999999998</v>
      </c>
      <c r="AL22" s="66">
        <v>166.72</v>
      </c>
      <c r="AM22" s="72" t="s">
        <v>196</v>
      </c>
    </row>
    <row r="23" spans="1:39">
      <c r="A23" s="72" t="s">
        <v>196</v>
      </c>
      <c r="B23" s="72" t="s">
        <v>56</v>
      </c>
      <c r="C23" s="72" t="s">
        <v>197</v>
      </c>
      <c r="D23" s="72" t="s">
        <v>57</v>
      </c>
      <c r="E23" s="72" t="s">
        <v>500</v>
      </c>
      <c r="F23" s="72" t="s">
        <v>501</v>
      </c>
      <c r="G23" s="73" t="s">
        <v>198</v>
      </c>
      <c r="H23" s="66">
        <v>30482.76</v>
      </c>
      <c r="I23" s="66">
        <v>0</v>
      </c>
      <c r="J23" s="66">
        <v>0</v>
      </c>
      <c r="K23" s="66">
        <v>274.39999999999998</v>
      </c>
      <c r="L23" s="66">
        <v>68.599999999999994</v>
      </c>
      <c r="M23" s="66">
        <v>17.149999999999999</v>
      </c>
      <c r="N23" s="66">
        <v>82.5</v>
      </c>
      <c r="O23" s="66">
        <v>0</v>
      </c>
      <c r="P23" s="66">
        <v>0</v>
      </c>
      <c r="Q23" s="66">
        <v>0</v>
      </c>
      <c r="R23" s="66">
        <v>0</v>
      </c>
      <c r="S23" s="66">
        <v>173496.56</v>
      </c>
      <c r="T23" s="66">
        <v>0</v>
      </c>
      <c r="U23" s="66">
        <v>30000</v>
      </c>
      <c r="V23" s="66">
        <v>2573.4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>
        <v>0</v>
      </c>
      <c r="AE23" s="66">
        <v>140923.16</v>
      </c>
      <c r="AF23" s="74">
        <v>0.1</v>
      </c>
      <c r="AG23" s="66">
        <v>2520</v>
      </c>
      <c r="AH23" s="66">
        <v>11572.32</v>
      </c>
      <c r="AI23" s="66">
        <v>0</v>
      </c>
      <c r="AJ23" s="66">
        <v>11572.32</v>
      </c>
      <c r="AK23" s="66">
        <v>9068.31</v>
      </c>
      <c r="AL23" s="66">
        <v>2504.0100000000002</v>
      </c>
      <c r="AM23" s="72" t="s">
        <v>196</v>
      </c>
    </row>
    <row r="24" spans="1:39">
      <c r="A24" s="72" t="s">
        <v>196</v>
      </c>
      <c r="B24" s="72" t="s">
        <v>363</v>
      </c>
      <c r="C24" s="72" t="s">
        <v>197</v>
      </c>
      <c r="D24" s="72" t="s">
        <v>439</v>
      </c>
      <c r="E24" s="72" t="s">
        <v>500</v>
      </c>
      <c r="F24" s="72" t="s">
        <v>501</v>
      </c>
      <c r="G24" s="73" t="s">
        <v>198</v>
      </c>
      <c r="H24" s="66">
        <v>26827.58</v>
      </c>
      <c r="I24" s="66">
        <v>0</v>
      </c>
      <c r="J24" s="66">
        <v>0</v>
      </c>
      <c r="K24" s="66">
        <v>274.39999999999998</v>
      </c>
      <c r="L24" s="66">
        <v>68.599999999999994</v>
      </c>
      <c r="M24" s="66">
        <v>17.149999999999999</v>
      </c>
      <c r="N24" s="66">
        <v>82.5</v>
      </c>
      <c r="O24" s="66">
        <v>0</v>
      </c>
      <c r="P24" s="66">
        <v>0</v>
      </c>
      <c r="Q24" s="66">
        <v>0</v>
      </c>
      <c r="R24" s="66">
        <v>0</v>
      </c>
      <c r="S24" s="66">
        <v>77409.37</v>
      </c>
      <c r="T24" s="66">
        <v>0</v>
      </c>
      <c r="U24" s="66">
        <v>15000</v>
      </c>
      <c r="V24" s="66">
        <v>1245.45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  <c r="AC24" s="66">
        <v>0</v>
      </c>
      <c r="AD24" s="66">
        <v>0</v>
      </c>
      <c r="AE24" s="66">
        <v>61163.92</v>
      </c>
      <c r="AF24" s="74">
        <v>0.1</v>
      </c>
      <c r="AG24" s="66">
        <v>2520</v>
      </c>
      <c r="AH24" s="66">
        <v>3596.39</v>
      </c>
      <c r="AI24" s="66">
        <v>0</v>
      </c>
      <c r="AJ24" s="66">
        <v>3596.39</v>
      </c>
      <c r="AK24" s="66">
        <v>1457.9</v>
      </c>
      <c r="AL24" s="66">
        <v>2138.4899999999998</v>
      </c>
      <c r="AM24" s="72" t="s">
        <v>196</v>
      </c>
    </row>
    <row r="25" spans="1:39">
      <c r="A25" s="72" t="s">
        <v>196</v>
      </c>
      <c r="B25" s="72" t="s">
        <v>2</v>
      </c>
      <c r="C25" s="72" t="s">
        <v>197</v>
      </c>
      <c r="D25" s="72" t="s">
        <v>5</v>
      </c>
      <c r="E25" s="72" t="s">
        <v>500</v>
      </c>
      <c r="F25" s="72" t="s">
        <v>501</v>
      </c>
      <c r="G25" s="73" t="s">
        <v>198</v>
      </c>
      <c r="H25" s="66">
        <v>8900</v>
      </c>
      <c r="I25" s="66">
        <v>0</v>
      </c>
      <c r="J25" s="66">
        <v>0</v>
      </c>
      <c r="K25" s="66">
        <v>428.8</v>
      </c>
      <c r="L25" s="66">
        <v>110.2</v>
      </c>
      <c r="M25" s="66">
        <v>26.8</v>
      </c>
      <c r="N25" s="66">
        <v>316</v>
      </c>
      <c r="O25" s="66">
        <v>0</v>
      </c>
      <c r="P25" s="66">
        <v>0</v>
      </c>
      <c r="Q25" s="66">
        <v>0</v>
      </c>
      <c r="R25" s="66">
        <v>0</v>
      </c>
      <c r="S25" s="66">
        <v>53400</v>
      </c>
      <c r="T25" s="66">
        <v>0</v>
      </c>
      <c r="U25" s="66">
        <v>30000</v>
      </c>
      <c r="V25" s="66">
        <v>4974.8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  <c r="AC25" s="66">
        <v>0</v>
      </c>
      <c r="AD25" s="66">
        <v>0</v>
      </c>
      <c r="AE25" s="66">
        <v>18425.2</v>
      </c>
      <c r="AF25" s="74">
        <v>0.03</v>
      </c>
      <c r="AG25" s="66">
        <v>0</v>
      </c>
      <c r="AH25" s="66">
        <v>552.76</v>
      </c>
      <c r="AI25" s="66">
        <v>0</v>
      </c>
      <c r="AJ25" s="66">
        <v>552.76</v>
      </c>
      <c r="AK25" s="66">
        <v>462.21</v>
      </c>
      <c r="AL25" s="66">
        <v>90.55</v>
      </c>
      <c r="AM25" s="72" t="s">
        <v>196</v>
      </c>
    </row>
    <row r="26" spans="1:39">
      <c r="A26" s="72" t="s">
        <v>196</v>
      </c>
      <c r="B26" s="72" t="s">
        <v>336</v>
      </c>
      <c r="C26" s="72" t="s">
        <v>197</v>
      </c>
      <c r="D26" s="72" t="s">
        <v>352</v>
      </c>
      <c r="E26" s="72" t="s">
        <v>500</v>
      </c>
      <c r="F26" s="72" t="s">
        <v>501</v>
      </c>
      <c r="G26" s="73" t="s">
        <v>198</v>
      </c>
      <c r="H26" s="66">
        <v>14103.45</v>
      </c>
      <c r="I26" s="66">
        <v>0</v>
      </c>
      <c r="J26" s="66">
        <v>0</v>
      </c>
      <c r="K26" s="66">
        <v>274.39999999999998</v>
      </c>
      <c r="L26" s="66">
        <v>68.599999999999994</v>
      </c>
      <c r="M26" s="66">
        <v>17.149999999999999</v>
      </c>
      <c r="N26" s="66">
        <v>82.5</v>
      </c>
      <c r="O26" s="66">
        <v>0</v>
      </c>
      <c r="P26" s="66">
        <v>0</v>
      </c>
      <c r="Q26" s="66">
        <v>0</v>
      </c>
      <c r="R26" s="66">
        <v>0</v>
      </c>
      <c r="S26" s="66">
        <v>50896.55</v>
      </c>
      <c r="T26" s="66">
        <v>0</v>
      </c>
      <c r="U26" s="66">
        <v>20000</v>
      </c>
      <c r="V26" s="66">
        <v>1688.1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  <c r="AC26" s="66">
        <v>0</v>
      </c>
      <c r="AD26" s="66">
        <v>0</v>
      </c>
      <c r="AE26" s="66">
        <v>29208.45</v>
      </c>
      <c r="AF26" s="74">
        <v>0.03</v>
      </c>
      <c r="AG26" s="66">
        <v>0</v>
      </c>
      <c r="AH26" s="66">
        <v>876.25</v>
      </c>
      <c r="AI26" s="66">
        <v>0</v>
      </c>
      <c r="AJ26" s="66">
        <v>876.25</v>
      </c>
      <c r="AK26" s="66">
        <v>616.42999999999995</v>
      </c>
      <c r="AL26" s="66">
        <v>259.82</v>
      </c>
      <c r="AM26" s="72" t="s">
        <v>196</v>
      </c>
    </row>
    <row r="27" spans="1:39">
      <c r="A27" s="72" t="s">
        <v>196</v>
      </c>
      <c r="B27" s="72" t="s">
        <v>35</v>
      </c>
      <c r="C27" s="72" t="s">
        <v>197</v>
      </c>
      <c r="D27" s="72" t="s">
        <v>36</v>
      </c>
      <c r="E27" s="72" t="s">
        <v>500</v>
      </c>
      <c r="F27" s="72" t="s">
        <v>501</v>
      </c>
      <c r="G27" s="73" t="s">
        <v>198</v>
      </c>
      <c r="H27" s="66">
        <v>5945</v>
      </c>
      <c r="I27" s="66">
        <v>0</v>
      </c>
      <c r="J27" s="66">
        <v>0</v>
      </c>
      <c r="K27" s="66">
        <v>428.8</v>
      </c>
      <c r="L27" s="66">
        <v>110.2</v>
      </c>
      <c r="M27" s="66">
        <v>26.8</v>
      </c>
      <c r="N27" s="66">
        <v>456</v>
      </c>
      <c r="O27" s="66">
        <v>0</v>
      </c>
      <c r="P27" s="66">
        <v>0</v>
      </c>
      <c r="Q27" s="66">
        <v>0</v>
      </c>
      <c r="R27" s="66">
        <v>0</v>
      </c>
      <c r="S27" s="66">
        <v>33005</v>
      </c>
      <c r="T27" s="66">
        <v>0</v>
      </c>
      <c r="U27" s="66">
        <v>30000</v>
      </c>
      <c r="V27" s="66">
        <v>4653</v>
      </c>
      <c r="W27" s="66">
        <v>0</v>
      </c>
      <c r="X27" s="66">
        <v>0</v>
      </c>
      <c r="Y27" s="66">
        <v>0</v>
      </c>
      <c r="Z27" s="66">
        <v>0</v>
      </c>
      <c r="AA27" s="66">
        <v>0</v>
      </c>
      <c r="AB27" s="66">
        <v>0</v>
      </c>
      <c r="AC27" s="66">
        <v>0</v>
      </c>
      <c r="AD27" s="66">
        <v>0</v>
      </c>
      <c r="AE27" s="66">
        <v>0</v>
      </c>
      <c r="AF27" s="74">
        <v>0.03</v>
      </c>
      <c r="AG27" s="66">
        <v>0</v>
      </c>
      <c r="AH27" s="66">
        <v>0</v>
      </c>
      <c r="AI27" s="66">
        <v>0</v>
      </c>
      <c r="AJ27" s="66">
        <v>0</v>
      </c>
      <c r="AK27" s="66">
        <v>0</v>
      </c>
      <c r="AL27" s="66">
        <v>0</v>
      </c>
      <c r="AM27" s="72" t="s">
        <v>196</v>
      </c>
    </row>
    <row r="28" spans="1:39">
      <c r="A28" s="72" t="s">
        <v>196</v>
      </c>
      <c r="B28" s="72" t="s">
        <v>473</v>
      </c>
      <c r="C28" s="72" t="s">
        <v>197</v>
      </c>
      <c r="D28" s="72" t="s">
        <v>455</v>
      </c>
      <c r="E28" s="72" t="s">
        <v>500</v>
      </c>
      <c r="F28" s="72" t="s">
        <v>501</v>
      </c>
      <c r="G28" s="73" t="s">
        <v>198</v>
      </c>
      <c r="H28" s="66">
        <v>10600</v>
      </c>
      <c r="I28" s="66">
        <v>0</v>
      </c>
      <c r="J28" s="66">
        <v>0</v>
      </c>
      <c r="K28" s="66">
        <v>428.8</v>
      </c>
      <c r="L28" s="66">
        <v>110.2</v>
      </c>
      <c r="M28" s="66">
        <v>26.8</v>
      </c>
      <c r="N28" s="66">
        <v>316</v>
      </c>
      <c r="O28" s="66">
        <v>0</v>
      </c>
      <c r="P28" s="66">
        <v>0</v>
      </c>
      <c r="Q28" s="66">
        <v>0</v>
      </c>
      <c r="R28" s="66">
        <v>0</v>
      </c>
      <c r="S28" s="66">
        <v>21200</v>
      </c>
      <c r="T28" s="66">
        <v>0</v>
      </c>
      <c r="U28" s="66">
        <v>10000</v>
      </c>
      <c r="V28" s="66">
        <v>1447.6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  <c r="AC28" s="66">
        <v>0</v>
      </c>
      <c r="AD28" s="66">
        <v>0</v>
      </c>
      <c r="AE28" s="66">
        <v>9752.4</v>
      </c>
      <c r="AF28" s="74">
        <v>0.03</v>
      </c>
      <c r="AG28" s="66">
        <v>0</v>
      </c>
      <c r="AH28" s="66">
        <v>292.57</v>
      </c>
      <c r="AI28" s="66">
        <v>0</v>
      </c>
      <c r="AJ28" s="66">
        <v>292.57</v>
      </c>
      <c r="AK28" s="66">
        <v>151.03</v>
      </c>
      <c r="AL28" s="66">
        <v>141.54</v>
      </c>
      <c r="AM28" s="72" t="s">
        <v>196</v>
      </c>
    </row>
    <row r="29" spans="1:39">
      <c r="A29" s="72" t="s">
        <v>196</v>
      </c>
      <c r="B29" s="72" t="s">
        <v>301</v>
      </c>
      <c r="C29" s="72" t="s">
        <v>197</v>
      </c>
      <c r="D29" s="72" t="s">
        <v>306</v>
      </c>
      <c r="E29" s="72" t="s">
        <v>500</v>
      </c>
      <c r="F29" s="72" t="s">
        <v>501</v>
      </c>
      <c r="G29" s="73" t="s">
        <v>198</v>
      </c>
      <c r="H29" s="66">
        <v>20833</v>
      </c>
      <c r="I29" s="66">
        <v>0</v>
      </c>
      <c r="J29" s="66">
        <v>0</v>
      </c>
      <c r="K29" s="66">
        <v>1559.28</v>
      </c>
      <c r="L29" s="66">
        <v>392.82</v>
      </c>
      <c r="M29" s="66">
        <v>97.46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104165</v>
      </c>
      <c r="T29" s="66">
        <v>0</v>
      </c>
      <c r="U29" s="66">
        <v>25000</v>
      </c>
      <c r="V29" s="66">
        <v>19603.8</v>
      </c>
      <c r="W29" s="66">
        <v>10000</v>
      </c>
      <c r="X29" s="66">
        <v>0</v>
      </c>
      <c r="Y29" s="66">
        <v>5000</v>
      </c>
      <c r="Z29" s="66">
        <v>0</v>
      </c>
      <c r="AA29" s="66">
        <v>10000</v>
      </c>
      <c r="AB29" s="66">
        <v>0</v>
      </c>
      <c r="AC29" s="66">
        <v>0</v>
      </c>
      <c r="AD29" s="66">
        <v>0</v>
      </c>
      <c r="AE29" s="66">
        <v>34561.199999999997</v>
      </c>
      <c r="AF29" s="74">
        <v>0.03</v>
      </c>
      <c r="AG29" s="66">
        <v>0</v>
      </c>
      <c r="AH29" s="66">
        <v>1036.8399999999999</v>
      </c>
      <c r="AI29" s="66">
        <v>0</v>
      </c>
      <c r="AJ29" s="66">
        <v>1036.8399999999999</v>
      </c>
      <c r="AK29" s="66">
        <v>773.33</v>
      </c>
      <c r="AL29" s="66">
        <v>263.51</v>
      </c>
      <c r="AM29" s="72" t="s">
        <v>196</v>
      </c>
    </row>
    <row r="30" spans="1:39">
      <c r="A30" s="72" t="s">
        <v>196</v>
      </c>
      <c r="B30" s="72" t="s">
        <v>366</v>
      </c>
      <c r="C30" s="72" t="s">
        <v>197</v>
      </c>
      <c r="D30" s="72" t="s">
        <v>437</v>
      </c>
      <c r="E30" s="72" t="s">
        <v>500</v>
      </c>
      <c r="F30" s="72" t="s">
        <v>501</v>
      </c>
      <c r="G30" s="73" t="s">
        <v>198</v>
      </c>
      <c r="H30" s="66">
        <v>11000</v>
      </c>
      <c r="I30" s="66">
        <v>0</v>
      </c>
      <c r="J30" s="66">
        <v>0</v>
      </c>
      <c r="K30" s="66">
        <v>274.39999999999998</v>
      </c>
      <c r="L30" s="66">
        <v>68.599999999999994</v>
      </c>
      <c r="M30" s="66">
        <v>17.149999999999999</v>
      </c>
      <c r="N30" s="66">
        <v>82.5</v>
      </c>
      <c r="O30" s="66">
        <v>0</v>
      </c>
      <c r="P30" s="66">
        <v>0</v>
      </c>
      <c r="Q30" s="66">
        <v>0</v>
      </c>
      <c r="R30" s="66">
        <v>0</v>
      </c>
      <c r="S30" s="66">
        <v>33788.699999999997</v>
      </c>
      <c r="T30" s="66">
        <v>0</v>
      </c>
      <c r="U30" s="66">
        <v>15000</v>
      </c>
      <c r="V30" s="66">
        <v>1245.45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  <c r="AC30" s="66">
        <v>0</v>
      </c>
      <c r="AD30" s="66">
        <v>0</v>
      </c>
      <c r="AE30" s="66">
        <v>17543.25</v>
      </c>
      <c r="AF30" s="74">
        <v>0.03</v>
      </c>
      <c r="AG30" s="66">
        <v>0</v>
      </c>
      <c r="AH30" s="66">
        <v>526.29999999999995</v>
      </c>
      <c r="AI30" s="66">
        <v>0</v>
      </c>
      <c r="AJ30" s="66">
        <v>526.29999999999995</v>
      </c>
      <c r="AK30" s="66">
        <v>359.58</v>
      </c>
      <c r="AL30" s="66">
        <v>166.72</v>
      </c>
      <c r="AM30" s="72" t="s">
        <v>196</v>
      </c>
    </row>
    <row r="31" spans="1:39">
      <c r="A31" s="72" t="s">
        <v>196</v>
      </c>
      <c r="B31" s="72" t="s">
        <v>368</v>
      </c>
      <c r="C31" s="72" t="s">
        <v>197</v>
      </c>
      <c r="D31" s="72" t="s">
        <v>436</v>
      </c>
      <c r="E31" s="72" t="s">
        <v>500</v>
      </c>
      <c r="F31" s="72" t="s">
        <v>501</v>
      </c>
      <c r="G31" s="73" t="s">
        <v>198</v>
      </c>
      <c r="H31" s="66">
        <v>11919.54</v>
      </c>
      <c r="I31" s="66">
        <v>0</v>
      </c>
      <c r="J31" s="66">
        <v>0</v>
      </c>
      <c r="K31" s="66">
        <v>274.39999999999998</v>
      </c>
      <c r="L31" s="66">
        <v>68.599999999999994</v>
      </c>
      <c r="M31" s="66">
        <v>17.149999999999999</v>
      </c>
      <c r="N31" s="66">
        <v>82.5</v>
      </c>
      <c r="O31" s="66">
        <v>0</v>
      </c>
      <c r="P31" s="66">
        <v>0</v>
      </c>
      <c r="Q31" s="66">
        <v>0</v>
      </c>
      <c r="R31" s="66">
        <v>0</v>
      </c>
      <c r="S31" s="66">
        <v>34708.239999999998</v>
      </c>
      <c r="T31" s="66">
        <v>0</v>
      </c>
      <c r="U31" s="66">
        <v>15000</v>
      </c>
      <c r="V31" s="66">
        <v>1245.45</v>
      </c>
      <c r="W31" s="66">
        <v>0</v>
      </c>
      <c r="X31" s="66">
        <v>0</v>
      </c>
      <c r="Y31" s="66">
        <v>0</v>
      </c>
      <c r="Z31" s="66">
        <v>4500</v>
      </c>
      <c r="AA31" s="66">
        <v>0</v>
      </c>
      <c r="AB31" s="66">
        <v>3000</v>
      </c>
      <c r="AC31" s="66">
        <v>0</v>
      </c>
      <c r="AD31" s="66">
        <v>0</v>
      </c>
      <c r="AE31" s="66">
        <v>10962.79</v>
      </c>
      <c r="AF31" s="74">
        <v>0.03</v>
      </c>
      <c r="AG31" s="66">
        <v>0</v>
      </c>
      <c r="AH31" s="66">
        <v>328.88</v>
      </c>
      <c r="AI31" s="66">
        <v>0</v>
      </c>
      <c r="AJ31" s="66">
        <v>328.88</v>
      </c>
      <c r="AK31" s="66">
        <v>209.58</v>
      </c>
      <c r="AL31" s="66">
        <v>119.3</v>
      </c>
      <c r="AM31" s="72" t="s">
        <v>196</v>
      </c>
    </row>
    <row r="32" spans="1:39">
      <c r="A32" s="72" t="s">
        <v>196</v>
      </c>
      <c r="B32" s="72" t="s">
        <v>365</v>
      </c>
      <c r="C32" s="72" t="s">
        <v>197</v>
      </c>
      <c r="D32" s="72" t="s">
        <v>441</v>
      </c>
      <c r="E32" s="72" t="s">
        <v>500</v>
      </c>
      <c r="F32" s="72" t="s">
        <v>501</v>
      </c>
      <c r="G32" s="73" t="s">
        <v>198</v>
      </c>
      <c r="H32" s="66">
        <v>11000</v>
      </c>
      <c r="I32" s="66">
        <v>0</v>
      </c>
      <c r="J32" s="66">
        <v>0</v>
      </c>
      <c r="K32" s="66">
        <v>274.39999999999998</v>
      </c>
      <c r="L32" s="66">
        <v>68.599999999999994</v>
      </c>
      <c r="M32" s="66">
        <v>17.149999999999999</v>
      </c>
      <c r="N32" s="66">
        <v>82.5</v>
      </c>
      <c r="O32" s="66">
        <v>0</v>
      </c>
      <c r="P32" s="66">
        <v>0</v>
      </c>
      <c r="Q32" s="66">
        <v>0</v>
      </c>
      <c r="R32" s="66">
        <v>0</v>
      </c>
      <c r="S32" s="66">
        <v>34708.239999999998</v>
      </c>
      <c r="T32" s="66">
        <v>0</v>
      </c>
      <c r="U32" s="66">
        <v>15000</v>
      </c>
      <c r="V32" s="66">
        <v>1245.45</v>
      </c>
      <c r="W32" s="66">
        <v>0</v>
      </c>
      <c r="X32" s="66">
        <v>0</v>
      </c>
      <c r="Y32" s="66">
        <v>0</v>
      </c>
      <c r="Z32" s="66">
        <v>4500</v>
      </c>
      <c r="AA32" s="66">
        <v>0</v>
      </c>
      <c r="AB32" s="66">
        <v>0</v>
      </c>
      <c r="AC32" s="66">
        <v>0</v>
      </c>
      <c r="AD32" s="66">
        <v>0</v>
      </c>
      <c r="AE32" s="66">
        <v>13962.79</v>
      </c>
      <c r="AF32" s="74">
        <v>0.03</v>
      </c>
      <c r="AG32" s="66">
        <v>0</v>
      </c>
      <c r="AH32" s="66">
        <v>418.88</v>
      </c>
      <c r="AI32" s="66">
        <v>0</v>
      </c>
      <c r="AJ32" s="66">
        <v>418.88</v>
      </c>
      <c r="AK32" s="66">
        <v>387.16</v>
      </c>
      <c r="AL32" s="66">
        <v>31.72</v>
      </c>
      <c r="AM32" s="72" t="s">
        <v>196</v>
      </c>
    </row>
    <row r="33" spans="1:39">
      <c r="A33" s="72" t="s">
        <v>196</v>
      </c>
      <c r="B33" s="72" t="s">
        <v>52</v>
      </c>
      <c r="C33" s="72" t="s">
        <v>197</v>
      </c>
      <c r="D33" s="72" t="s">
        <v>53</v>
      </c>
      <c r="E33" s="72" t="s">
        <v>500</v>
      </c>
      <c r="F33" s="72" t="s">
        <v>501</v>
      </c>
      <c r="G33" s="73" t="s">
        <v>198</v>
      </c>
      <c r="H33" s="66">
        <v>28310.34</v>
      </c>
      <c r="I33" s="66">
        <v>0</v>
      </c>
      <c r="J33" s="66">
        <v>0</v>
      </c>
      <c r="K33" s="66">
        <v>274.39999999999998</v>
      </c>
      <c r="L33" s="66">
        <v>68.599999999999994</v>
      </c>
      <c r="M33" s="66">
        <v>17.149999999999999</v>
      </c>
      <c r="N33" s="66">
        <v>1320</v>
      </c>
      <c r="O33" s="66">
        <v>0</v>
      </c>
      <c r="P33" s="66">
        <v>0</v>
      </c>
      <c r="Q33" s="66">
        <v>0</v>
      </c>
      <c r="R33" s="66">
        <v>0</v>
      </c>
      <c r="S33" s="66">
        <v>155255.16</v>
      </c>
      <c r="T33" s="66">
        <v>0</v>
      </c>
      <c r="U33" s="66">
        <v>30000</v>
      </c>
      <c r="V33" s="66">
        <v>8760.4</v>
      </c>
      <c r="W33" s="66">
        <v>0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  <c r="AC33" s="66">
        <v>0</v>
      </c>
      <c r="AD33" s="66">
        <v>0</v>
      </c>
      <c r="AE33" s="66">
        <v>116494.76</v>
      </c>
      <c r="AF33" s="74">
        <v>0.1</v>
      </c>
      <c r="AG33" s="66">
        <v>2520</v>
      </c>
      <c r="AH33" s="66">
        <v>9129.48</v>
      </c>
      <c r="AI33" s="66">
        <v>0</v>
      </c>
      <c r="AJ33" s="66">
        <v>9129.48</v>
      </c>
      <c r="AK33" s="66">
        <v>6966.46</v>
      </c>
      <c r="AL33" s="66">
        <v>2163.02</v>
      </c>
      <c r="AM33" s="72" t="s">
        <v>196</v>
      </c>
    </row>
    <row r="34" spans="1:39">
      <c r="A34" s="72" t="s">
        <v>196</v>
      </c>
      <c r="B34" s="72" t="s">
        <v>351</v>
      </c>
      <c r="C34" s="72" t="s">
        <v>197</v>
      </c>
      <c r="D34" s="72" t="s">
        <v>350</v>
      </c>
      <c r="E34" s="72" t="s">
        <v>500</v>
      </c>
      <c r="F34" s="72" t="s">
        <v>501</v>
      </c>
      <c r="G34" s="73" t="s">
        <v>198</v>
      </c>
      <c r="H34" s="66">
        <v>20000</v>
      </c>
      <c r="I34" s="66">
        <v>0</v>
      </c>
      <c r="J34" s="66">
        <v>0</v>
      </c>
      <c r="K34" s="66">
        <v>274.39999999999998</v>
      </c>
      <c r="L34" s="66">
        <v>68.599999999999994</v>
      </c>
      <c r="M34" s="66">
        <v>17.149999999999999</v>
      </c>
      <c r="N34" s="66">
        <v>82.5</v>
      </c>
      <c r="O34" s="66">
        <v>0</v>
      </c>
      <c r="P34" s="66">
        <v>0</v>
      </c>
      <c r="Q34" s="66">
        <v>0</v>
      </c>
      <c r="R34" s="66">
        <v>0</v>
      </c>
      <c r="S34" s="66">
        <v>60000</v>
      </c>
      <c r="T34" s="66">
        <v>0</v>
      </c>
      <c r="U34" s="66">
        <v>20000</v>
      </c>
      <c r="V34" s="66">
        <v>1245.45</v>
      </c>
      <c r="W34" s="66">
        <v>0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  <c r="AC34" s="66">
        <v>0</v>
      </c>
      <c r="AD34" s="66">
        <v>0</v>
      </c>
      <c r="AE34" s="66">
        <v>38754.550000000003</v>
      </c>
      <c r="AF34" s="74">
        <v>0.1</v>
      </c>
      <c r="AG34" s="66">
        <v>2520</v>
      </c>
      <c r="AH34" s="66">
        <v>1355.46</v>
      </c>
      <c r="AI34" s="66">
        <v>0</v>
      </c>
      <c r="AJ34" s="66">
        <v>1355.46</v>
      </c>
      <c r="AK34" s="66">
        <v>725.92</v>
      </c>
      <c r="AL34" s="66">
        <v>629.54</v>
      </c>
      <c r="AM34" s="72" t="s">
        <v>196</v>
      </c>
    </row>
    <row r="35" spans="1:39">
      <c r="A35" s="72" t="s">
        <v>196</v>
      </c>
      <c r="B35" s="72" t="s">
        <v>33</v>
      </c>
      <c r="C35" s="72" t="s">
        <v>197</v>
      </c>
      <c r="D35" s="72" t="s">
        <v>34</v>
      </c>
      <c r="E35" s="72" t="s">
        <v>500</v>
      </c>
      <c r="F35" s="72" t="s">
        <v>501</v>
      </c>
      <c r="G35" s="73" t="s">
        <v>198</v>
      </c>
      <c r="H35" s="66">
        <v>12000</v>
      </c>
      <c r="I35" s="66">
        <v>0</v>
      </c>
      <c r="J35" s="66">
        <v>0</v>
      </c>
      <c r="K35" s="66">
        <v>428.8</v>
      </c>
      <c r="L35" s="66">
        <v>110.2</v>
      </c>
      <c r="M35" s="66">
        <v>26.8</v>
      </c>
      <c r="N35" s="66">
        <v>316</v>
      </c>
      <c r="O35" s="66">
        <v>0</v>
      </c>
      <c r="P35" s="66">
        <v>0</v>
      </c>
      <c r="Q35" s="66">
        <v>0</v>
      </c>
      <c r="R35" s="66">
        <v>0</v>
      </c>
      <c r="S35" s="66">
        <v>69651</v>
      </c>
      <c r="T35" s="66">
        <v>0</v>
      </c>
      <c r="U35" s="66">
        <v>30000</v>
      </c>
      <c r="V35" s="66">
        <v>4974.8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34676.199999999997</v>
      </c>
      <c r="AF35" s="74">
        <v>0.03</v>
      </c>
      <c r="AG35" s="66">
        <v>0</v>
      </c>
      <c r="AH35" s="66">
        <v>1040.29</v>
      </c>
      <c r="AI35" s="66">
        <v>0</v>
      </c>
      <c r="AJ35" s="66">
        <v>1040.29</v>
      </c>
      <c r="AK35" s="66">
        <v>856.74</v>
      </c>
      <c r="AL35" s="66">
        <v>183.55</v>
      </c>
      <c r="AM35" s="72" t="s">
        <v>196</v>
      </c>
    </row>
    <row r="36" spans="1:39">
      <c r="A36" s="72" t="s">
        <v>196</v>
      </c>
      <c r="B36" s="72" t="s">
        <v>199</v>
      </c>
      <c r="C36" s="72" t="s">
        <v>197</v>
      </c>
      <c r="D36" s="72" t="s">
        <v>32</v>
      </c>
      <c r="E36" s="72" t="s">
        <v>500</v>
      </c>
      <c r="F36" s="72" t="s">
        <v>501</v>
      </c>
      <c r="G36" s="73" t="s">
        <v>198</v>
      </c>
      <c r="H36" s="66">
        <v>14000</v>
      </c>
      <c r="I36" s="66">
        <v>0</v>
      </c>
      <c r="J36" s="66">
        <v>0</v>
      </c>
      <c r="K36" s="66">
        <v>428.8</v>
      </c>
      <c r="L36" s="66">
        <v>110.2</v>
      </c>
      <c r="M36" s="66">
        <v>26.8</v>
      </c>
      <c r="N36" s="66">
        <v>316</v>
      </c>
      <c r="O36" s="66">
        <v>0</v>
      </c>
      <c r="P36" s="66">
        <v>0</v>
      </c>
      <c r="Q36" s="66">
        <v>0</v>
      </c>
      <c r="R36" s="66">
        <v>0</v>
      </c>
      <c r="S36" s="66">
        <v>81000</v>
      </c>
      <c r="T36" s="66">
        <v>0</v>
      </c>
      <c r="U36" s="66">
        <v>30000</v>
      </c>
      <c r="V36" s="66">
        <v>4974.8</v>
      </c>
      <c r="W36" s="66">
        <v>0</v>
      </c>
      <c r="X36" s="66">
        <v>0</v>
      </c>
      <c r="Y36" s="66">
        <v>0</v>
      </c>
      <c r="Z36" s="66">
        <v>4500</v>
      </c>
      <c r="AA36" s="66">
        <v>0</v>
      </c>
      <c r="AB36" s="66">
        <v>0</v>
      </c>
      <c r="AC36" s="66">
        <v>0</v>
      </c>
      <c r="AD36" s="66">
        <v>0</v>
      </c>
      <c r="AE36" s="66">
        <v>41525.199999999997</v>
      </c>
      <c r="AF36" s="74">
        <v>0.1</v>
      </c>
      <c r="AG36" s="66">
        <v>2520</v>
      </c>
      <c r="AH36" s="66">
        <v>1632.52</v>
      </c>
      <c r="AI36" s="66">
        <v>0</v>
      </c>
      <c r="AJ36" s="66">
        <v>1632.52</v>
      </c>
      <c r="AK36" s="66">
        <v>1047.21</v>
      </c>
      <c r="AL36" s="66">
        <v>585.30999999999995</v>
      </c>
      <c r="AM36" s="72" t="s">
        <v>196</v>
      </c>
    </row>
    <row r="37" spans="1:39">
      <c r="A37" s="72" t="s">
        <v>196</v>
      </c>
      <c r="B37" s="72" t="s">
        <v>362</v>
      </c>
      <c r="C37" s="72" t="s">
        <v>197</v>
      </c>
      <c r="D37" s="72" t="s">
        <v>438</v>
      </c>
      <c r="E37" s="72" t="s">
        <v>500</v>
      </c>
      <c r="F37" s="72" t="s">
        <v>501</v>
      </c>
      <c r="G37" s="73" t="s">
        <v>198</v>
      </c>
      <c r="H37" s="66">
        <v>19448.28</v>
      </c>
      <c r="I37" s="66">
        <v>0</v>
      </c>
      <c r="J37" s="66">
        <v>0</v>
      </c>
      <c r="K37" s="66">
        <v>274.39999999999998</v>
      </c>
      <c r="L37" s="66">
        <v>68.599999999999994</v>
      </c>
      <c r="M37" s="66">
        <v>17.149999999999999</v>
      </c>
      <c r="N37" s="66">
        <v>82.5</v>
      </c>
      <c r="O37" s="66">
        <v>0</v>
      </c>
      <c r="P37" s="66">
        <v>0</v>
      </c>
      <c r="Q37" s="66">
        <v>0</v>
      </c>
      <c r="R37" s="66">
        <v>0</v>
      </c>
      <c r="S37" s="66">
        <v>58443.89</v>
      </c>
      <c r="T37" s="66">
        <v>0</v>
      </c>
      <c r="U37" s="66">
        <v>15000</v>
      </c>
      <c r="V37" s="66">
        <v>1245.45</v>
      </c>
      <c r="W37" s="66">
        <v>0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  <c r="AC37" s="66">
        <v>0</v>
      </c>
      <c r="AD37" s="66">
        <v>0</v>
      </c>
      <c r="AE37" s="66">
        <v>42198.44</v>
      </c>
      <c r="AF37" s="74">
        <v>0.1</v>
      </c>
      <c r="AG37" s="66">
        <v>2520</v>
      </c>
      <c r="AH37" s="66">
        <v>1699.84</v>
      </c>
      <c r="AI37" s="66">
        <v>0</v>
      </c>
      <c r="AJ37" s="66">
        <v>1699.84</v>
      </c>
      <c r="AK37" s="66">
        <v>845.78</v>
      </c>
      <c r="AL37" s="66">
        <v>854.06</v>
      </c>
      <c r="AM37" s="72" t="s">
        <v>196</v>
      </c>
    </row>
    <row r="38" spans="1:39">
      <c r="A38" s="72" t="s">
        <v>196</v>
      </c>
      <c r="B38" s="72" t="s">
        <v>369</v>
      </c>
      <c r="C38" s="72" t="s">
        <v>197</v>
      </c>
      <c r="D38" s="72" t="s">
        <v>435</v>
      </c>
      <c r="E38" s="72" t="s">
        <v>500</v>
      </c>
      <c r="F38" s="72" t="s">
        <v>501</v>
      </c>
      <c r="G38" s="73" t="s">
        <v>198</v>
      </c>
      <c r="H38" s="66">
        <v>13517.24</v>
      </c>
      <c r="I38" s="66">
        <v>0</v>
      </c>
      <c r="J38" s="66">
        <v>0</v>
      </c>
      <c r="K38" s="66">
        <v>274.39999999999998</v>
      </c>
      <c r="L38" s="66">
        <v>68.599999999999994</v>
      </c>
      <c r="M38" s="66">
        <v>17.149999999999999</v>
      </c>
      <c r="N38" s="66">
        <v>82.5</v>
      </c>
      <c r="O38" s="66">
        <v>0</v>
      </c>
      <c r="P38" s="66">
        <v>0</v>
      </c>
      <c r="Q38" s="66">
        <v>0</v>
      </c>
      <c r="R38" s="66">
        <v>0</v>
      </c>
      <c r="S38" s="66">
        <v>38305.94</v>
      </c>
      <c r="T38" s="66">
        <v>0</v>
      </c>
      <c r="U38" s="66">
        <v>15000</v>
      </c>
      <c r="V38" s="66">
        <v>1245.45</v>
      </c>
      <c r="W38" s="66">
        <v>0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  <c r="AC38" s="66">
        <v>0</v>
      </c>
      <c r="AD38" s="66">
        <v>0</v>
      </c>
      <c r="AE38" s="66">
        <v>22060.49</v>
      </c>
      <c r="AF38" s="74">
        <v>0.03</v>
      </c>
      <c r="AG38" s="66">
        <v>0</v>
      </c>
      <c r="AH38" s="66">
        <v>661.81</v>
      </c>
      <c r="AI38" s="66">
        <v>0</v>
      </c>
      <c r="AJ38" s="66">
        <v>661.81</v>
      </c>
      <c r="AK38" s="66">
        <v>419.58</v>
      </c>
      <c r="AL38" s="66">
        <v>242.23</v>
      </c>
      <c r="AM38" s="72" t="s">
        <v>196</v>
      </c>
    </row>
    <row r="39" spans="1:39">
      <c r="A39" s="72" t="s">
        <v>196</v>
      </c>
      <c r="B39" s="72" t="s">
        <v>371</v>
      </c>
      <c r="C39" s="72" t="s">
        <v>197</v>
      </c>
      <c r="D39" s="72" t="s">
        <v>434</v>
      </c>
      <c r="E39" s="72" t="s">
        <v>500</v>
      </c>
      <c r="F39" s="72" t="s">
        <v>501</v>
      </c>
      <c r="G39" s="73" t="s">
        <v>198</v>
      </c>
      <c r="H39" s="66">
        <v>15500</v>
      </c>
      <c r="I39" s="66">
        <v>0</v>
      </c>
      <c r="J39" s="66">
        <v>0</v>
      </c>
      <c r="K39" s="66">
        <v>428.8</v>
      </c>
      <c r="L39" s="66">
        <v>110.2</v>
      </c>
      <c r="M39" s="66">
        <v>26.8</v>
      </c>
      <c r="N39" s="66">
        <v>600</v>
      </c>
      <c r="O39" s="66">
        <v>0</v>
      </c>
      <c r="P39" s="66">
        <v>0</v>
      </c>
      <c r="Q39" s="66">
        <v>0</v>
      </c>
      <c r="R39" s="66">
        <v>0</v>
      </c>
      <c r="S39" s="66">
        <v>44700</v>
      </c>
      <c r="T39" s="66">
        <v>0</v>
      </c>
      <c r="U39" s="66">
        <v>15000</v>
      </c>
      <c r="V39" s="66">
        <v>2897.4</v>
      </c>
      <c r="W39" s="66">
        <v>0</v>
      </c>
      <c r="X39" s="66">
        <v>0</v>
      </c>
      <c r="Y39" s="66">
        <v>0</v>
      </c>
      <c r="Z39" s="66">
        <v>0</v>
      </c>
      <c r="AA39" s="66">
        <v>0</v>
      </c>
      <c r="AB39" s="66">
        <v>0</v>
      </c>
      <c r="AC39" s="66">
        <v>0</v>
      </c>
      <c r="AD39" s="66">
        <v>0</v>
      </c>
      <c r="AE39" s="66">
        <v>26802.6</v>
      </c>
      <c r="AF39" s="74">
        <v>0.03</v>
      </c>
      <c r="AG39" s="66">
        <v>0</v>
      </c>
      <c r="AH39" s="66">
        <v>804.08</v>
      </c>
      <c r="AI39" s="66">
        <v>0</v>
      </c>
      <c r="AJ39" s="66">
        <v>804.08</v>
      </c>
      <c r="AK39" s="66">
        <v>524.04999999999995</v>
      </c>
      <c r="AL39" s="66">
        <v>280.02999999999997</v>
      </c>
      <c r="AM39" s="72" t="s">
        <v>196</v>
      </c>
    </row>
    <row r="40" spans="1:39">
      <c r="A40" s="72" t="s">
        <v>196</v>
      </c>
      <c r="B40" s="72" t="s">
        <v>200</v>
      </c>
      <c r="C40" s="72" t="s">
        <v>197</v>
      </c>
      <c r="D40" s="72" t="s">
        <v>37</v>
      </c>
      <c r="E40" s="72" t="s">
        <v>500</v>
      </c>
      <c r="F40" s="72" t="s">
        <v>501</v>
      </c>
      <c r="G40" s="73" t="s">
        <v>198</v>
      </c>
      <c r="H40" s="66">
        <v>11000</v>
      </c>
      <c r="I40" s="66">
        <v>0</v>
      </c>
      <c r="J40" s="66">
        <v>0</v>
      </c>
      <c r="K40" s="66">
        <v>428.8</v>
      </c>
      <c r="L40" s="66">
        <v>110.2</v>
      </c>
      <c r="M40" s="66">
        <v>26.8</v>
      </c>
      <c r="N40" s="66">
        <v>643</v>
      </c>
      <c r="O40" s="66">
        <v>0</v>
      </c>
      <c r="P40" s="66">
        <v>0</v>
      </c>
      <c r="Q40" s="66">
        <v>0</v>
      </c>
      <c r="R40" s="66">
        <v>0</v>
      </c>
      <c r="S40" s="66">
        <v>61068.97</v>
      </c>
      <c r="T40" s="66">
        <v>0</v>
      </c>
      <c r="U40" s="66">
        <v>30000</v>
      </c>
      <c r="V40" s="66">
        <v>5401</v>
      </c>
      <c r="W40" s="66">
        <v>0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  <c r="AC40" s="66">
        <v>0</v>
      </c>
      <c r="AD40" s="66">
        <v>0</v>
      </c>
      <c r="AE40" s="66">
        <v>25667.97</v>
      </c>
      <c r="AF40" s="74">
        <v>0.03</v>
      </c>
      <c r="AG40" s="66">
        <v>0</v>
      </c>
      <c r="AH40" s="66">
        <v>770.04</v>
      </c>
      <c r="AI40" s="66">
        <v>0</v>
      </c>
      <c r="AJ40" s="66">
        <v>770.04</v>
      </c>
      <c r="AK40" s="66">
        <v>626.29999999999995</v>
      </c>
      <c r="AL40" s="66">
        <v>143.74</v>
      </c>
      <c r="AM40" s="72" t="s">
        <v>196</v>
      </c>
    </row>
    <row r="41" spans="1:39" ht="13.5" customHeight="1"/>
    <row r="42" spans="1:39" ht="13.5" customHeight="1"/>
    <row r="43" spans="1:39" ht="13.5" customHeight="1"/>
    <row r="44" spans="1:39" ht="13.5" customHeight="1"/>
    <row r="45" spans="1:39" ht="13.5" customHeight="1"/>
    <row r="46" spans="1:39" ht="13.5" customHeight="1"/>
    <row r="47" spans="1:39" ht="13.5" customHeight="1"/>
    <row r="48" spans="1:39" ht="13.5" customHeight="1"/>
    <row r="49" ht="13.5" customHeight="1"/>
    <row r="50" ht="13.5" customHeight="1"/>
    <row r="51" ht="13.5" customHeight="1"/>
    <row r="52" ht="13.5" customHeight="1"/>
  </sheetData>
  <phoneticPr fontId="2" type="noConversion"/>
  <conditionalFormatting sqref="C50:C52">
    <cfRule type="duplicateValues" dxfId="35" priority="10"/>
  </conditionalFormatting>
  <conditionalFormatting sqref="D50:D52">
    <cfRule type="duplicateValues" dxfId="34" priority="9"/>
  </conditionalFormatting>
  <conditionalFormatting sqref="B41">
    <cfRule type="duplicateValues" dxfId="33" priority="8"/>
  </conditionalFormatting>
  <conditionalFormatting sqref="C40:C41">
    <cfRule type="duplicateValues" dxfId="32" priority="6"/>
  </conditionalFormatting>
  <conditionalFormatting sqref="B40:B41">
    <cfRule type="duplicateValues" dxfId="31" priority="7"/>
  </conditionalFormatting>
  <conditionalFormatting sqref="C41">
    <cfRule type="duplicateValues" dxfId="30" priority="4"/>
  </conditionalFormatting>
  <conditionalFormatting sqref="C41">
    <cfRule type="duplicateValues" dxfId="29" priority="5"/>
  </conditionalFormatting>
  <conditionalFormatting sqref="D40:D41">
    <cfRule type="duplicateValues" dxfId="28" priority="3"/>
  </conditionalFormatting>
  <conditionalFormatting sqref="D41">
    <cfRule type="duplicateValues" dxfId="27" priority="1"/>
  </conditionalFormatting>
  <conditionalFormatting sqref="D41">
    <cfRule type="duplicateValues" dxfId="26" priority="2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stopIfTrue="1" operator="notEqual" id="{A4BAE8A9-1FF4-4D23-970A-72F00F4EBA2B}">
            <xm:f>'C:\Users\Administrator\Desktop\[202202_税款计算_工资薪金所得（修改后）(1).xls]Sheet1'!#REF!</xm:f>
            <x14:dxf>
              <font>
                <color rgb="FFFF0000"/>
              </font>
            </x14:dxf>
          </x14:cfRule>
          <xm:sqref>B1:AL39 B42:AL49 E40:AL41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opLeftCell="J1" workbookViewId="0">
      <selection activeCell="W1" sqref="W1:W1048576"/>
    </sheetView>
  </sheetViews>
  <sheetFormatPr defaultColWidth="9" defaultRowHeight="13.5"/>
  <cols>
    <col min="1" max="1" width="9" style="290"/>
    <col min="2" max="2" width="17.875" style="144" customWidth="1"/>
    <col min="3" max="3" width="13.5" style="292" bestFit="1" customWidth="1"/>
    <col min="4" max="4" width="7.375" style="144" customWidth="1"/>
    <col min="5" max="11" width="9" style="144" customWidth="1"/>
    <col min="12" max="12" width="11.125" style="144" customWidth="1"/>
    <col min="13" max="18" width="9" style="144" customWidth="1"/>
    <col min="19" max="19" width="7.5" style="144" customWidth="1"/>
    <col min="20" max="20" width="9" style="144" customWidth="1"/>
    <col min="21" max="21" width="10.375" style="144" customWidth="1"/>
    <col min="22" max="22" width="9" style="144" customWidth="1"/>
    <col min="23" max="23" width="9.375" style="144" customWidth="1"/>
    <col min="24" max="266" width="9" style="144"/>
    <col min="267" max="267" width="9.375" style="144" bestFit="1" customWidth="1"/>
    <col min="268" max="268" width="9" style="144"/>
    <col min="269" max="269" width="9.375" style="144" bestFit="1" customWidth="1"/>
    <col min="270" max="270" width="12.625" style="144" bestFit="1" customWidth="1"/>
    <col min="271" max="271" width="9.375" style="144" bestFit="1" customWidth="1"/>
    <col min="272" max="522" width="9" style="144"/>
    <col min="523" max="523" width="9.375" style="144" bestFit="1" customWidth="1"/>
    <col min="524" max="524" width="9" style="144"/>
    <col min="525" max="525" width="9.375" style="144" bestFit="1" customWidth="1"/>
    <col min="526" max="526" width="12.625" style="144" bestFit="1" customWidth="1"/>
    <col min="527" max="527" width="9.375" style="144" bestFit="1" customWidth="1"/>
    <col min="528" max="778" width="9" style="144"/>
    <col min="779" max="779" width="9.375" style="144" bestFit="1" customWidth="1"/>
    <col min="780" max="780" width="9" style="144"/>
    <col min="781" max="781" width="9.375" style="144" bestFit="1" customWidth="1"/>
    <col min="782" max="782" width="12.625" style="144" bestFit="1" customWidth="1"/>
    <col min="783" max="783" width="9.375" style="144" bestFit="1" customWidth="1"/>
    <col min="784" max="1034" width="9" style="144"/>
    <col min="1035" max="1035" width="9.375" style="144" bestFit="1" customWidth="1"/>
    <col min="1036" max="1036" width="9" style="144"/>
    <col min="1037" max="1037" width="9.375" style="144" bestFit="1" customWidth="1"/>
    <col min="1038" max="1038" width="12.625" style="144" bestFit="1" customWidth="1"/>
    <col min="1039" max="1039" width="9.375" style="144" bestFit="1" customWidth="1"/>
    <col min="1040" max="1290" width="9" style="144"/>
    <col min="1291" max="1291" width="9.375" style="144" bestFit="1" customWidth="1"/>
    <col min="1292" max="1292" width="9" style="144"/>
    <col min="1293" max="1293" width="9.375" style="144" bestFit="1" customWidth="1"/>
    <col min="1294" max="1294" width="12.625" style="144" bestFit="1" customWidth="1"/>
    <col min="1295" max="1295" width="9.375" style="144" bestFit="1" customWidth="1"/>
    <col min="1296" max="1546" width="9" style="144"/>
    <col min="1547" max="1547" width="9.375" style="144" bestFit="1" customWidth="1"/>
    <col min="1548" max="1548" width="9" style="144"/>
    <col min="1549" max="1549" width="9.375" style="144" bestFit="1" customWidth="1"/>
    <col min="1550" max="1550" width="12.625" style="144" bestFit="1" customWidth="1"/>
    <col min="1551" max="1551" width="9.375" style="144" bestFit="1" customWidth="1"/>
    <col min="1552" max="1802" width="9" style="144"/>
    <col min="1803" max="1803" width="9.375" style="144" bestFit="1" customWidth="1"/>
    <col min="1804" max="1804" width="9" style="144"/>
    <col min="1805" max="1805" width="9.375" style="144" bestFit="1" customWidth="1"/>
    <col min="1806" max="1806" width="12.625" style="144" bestFit="1" customWidth="1"/>
    <col min="1807" max="1807" width="9.375" style="144" bestFit="1" customWidth="1"/>
    <col min="1808" max="2058" width="9" style="144"/>
    <col min="2059" max="2059" width="9.375" style="144" bestFit="1" customWidth="1"/>
    <col min="2060" max="2060" width="9" style="144"/>
    <col min="2061" max="2061" width="9.375" style="144" bestFit="1" customWidth="1"/>
    <col min="2062" max="2062" width="12.625" style="144" bestFit="1" customWidth="1"/>
    <col min="2063" max="2063" width="9.375" style="144" bestFit="1" customWidth="1"/>
    <col min="2064" max="2314" width="9" style="144"/>
    <col min="2315" max="2315" width="9.375" style="144" bestFit="1" customWidth="1"/>
    <col min="2316" max="2316" width="9" style="144"/>
    <col min="2317" max="2317" width="9.375" style="144" bestFit="1" customWidth="1"/>
    <col min="2318" max="2318" width="12.625" style="144" bestFit="1" customWidth="1"/>
    <col min="2319" max="2319" width="9.375" style="144" bestFit="1" customWidth="1"/>
    <col min="2320" max="2570" width="9" style="144"/>
    <col min="2571" max="2571" width="9.375" style="144" bestFit="1" customWidth="1"/>
    <col min="2572" max="2572" width="9" style="144"/>
    <col min="2573" max="2573" width="9.375" style="144" bestFit="1" customWidth="1"/>
    <col min="2574" max="2574" width="12.625" style="144" bestFit="1" customWidth="1"/>
    <col min="2575" max="2575" width="9.375" style="144" bestFit="1" customWidth="1"/>
    <col min="2576" max="2826" width="9" style="144"/>
    <col min="2827" max="2827" width="9.375" style="144" bestFit="1" customWidth="1"/>
    <col min="2828" max="2828" width="9" style="144"/>
    <col min="2829" max="2829" width="9.375" style="144" bestFit="1" customWidth="1"/>
    <col min="2830" max="2830" width="12.625" style="144" bestFit="1" customWidth="1"/>
    <col min="2831" max="2831" width="9.375" style="144" bestFit="1" customWidth="1"/>
    <col min="2832" max="3082" width="9" style="144"/>
    <col min="3083" max="3083" width="9.375" style="144" bestFit="1" customWidth="1"/>
    <col min="3084" max="3084" width="9" style="144"/>
    <col min="3085" max="3085" width="9.375" style="144" bestFit="1" customWidth="1"/>
    <col min="3086" max="3086" width="12.625" style="144" bestFit="1" customWidth="1"/>
    <col min="3087" max="3087" width="9.375" style="144" bestFit="1" customWidth="1"/>
    <col min="3088" max="3338" width="9" style="144"/>
    <col min="3339" max="3339" width="9.375" style="144" bestFit="1" customWidth="1"/>
    <col min="3340" max="3340" width="9" style="144"/>
    <col min="3341" max="3341" width="9.375" style="144" bestFit="1" customWidth="1"/>
    <col min="3342" max="3342" width="12.625" style="144" bestFit="1" customWidth="1"/>
    <col min="3343" max="3343" width="9.375" style="144" bestFit="1" customWidth="1"/>
    <col min="3344" max="3594" width="9" style="144"/>
    <col min="3595" max="3595" width="9.375" style="144" bestFit="1" customWidth="1"/>
    <col min="3596" max="3596" width="9" style="144"/>
    <col min="3597" max="3597" width="9.375" style="144" bestFit="1" customWidth="1"/>
    <col min="3598" max="3598" width="12.625" style="144" bestFit="1" customWidth="1"/>
    <col min="3599" max="3599" width="9.375" style="144" bestFit="1" customWidth="1"/>
    <col min="3600" max="3850" width="9" style="144"/>
    <col min="3851" max="3851" width="9.375" style="144" bestFit="1" customWidth="1"/>
    <col min="3852" max="3852" width="9" style="144"/>
    <col min="3853" max="3853" width="9.375" style="144" bestFit="1" customWidth="1"/>
    <col min="3854" max="3854" width="12.625" style="144" bestFit="1" customWidth="1"/>
    <col min="3855" max="3855" width="9.375" style="144" bestFit="1" customWidth="1"/>
    <col min="3856" max="4106" width="9" style="144"/>
    <col min="4107" max="4107" width="9.375" style="144" bestFit="1" customWidth="1"/>
    <col min="4108" max="4108" width="9" style="144"/>
    <col min="4109" max="4109" width="9.375" style="144" bestFit="1" customWidth="1"/>
    <col min="4110" max="4110" width="12.625" style="144" bestFit="1" customWidth="1"/>
    <col min="4111" max="4111" width="9.375" style="144" bestFit="1" customWidth="1"/>
    <col min="4112" max="4362" width="9" style="144"/>
    <col min="4363" max="4363" width="9.375" style="144" bestFit="1" customWidth="1"/>
    <col min="4364" max="4364" width="9" style="144"/>
    <col min="4365" max="4365" width="9.375" style="144" bestFit="1" customWidth="1"/>
    <col min="4366" max="4366" width="12.625" style="144" bestFit="1" customWidth="1"/>
    <col min="4367" max="4367" width="9.375" style="144" bestFit="1" customWidth="1"/>
    <col min="4368" max="4618" width="9" style="144"/>
    <col min="4619" max="4619" width="9.375" style="144" bestFit="1" customWidth="1"/>
    <col min="4620" max="4620" width="9" style="144"/>
    <col min="4621" max="4621" width="9.375" style="144" bestFit="1" customWidth="1"/>
    <col min="4622" max="4622" width="12.625" style="144" bestFit="1" customWidth="1"/>
    <col min="4623" max="4623" width="9.375" style="144" bestFit="1" customWidth="1"/>
    <col min="4624" max="4874" width="9" style="144"/>
    <col min="4875" max="4875" width="9.375" style="144" bestFit="1" customWidth="1"/>
    <col min="4876" max="4876" width="9" style="144"/>
    <col min="4877" max="4877" width="9.375" style="144" bestFit="1" customWidth="1"/>
    <col min="4878" max="4878" width="12.625" style="144" bestFit="1" customWidth="1"/>
    <col min="4879" max="4879" width="9.375" style="144" bestFit="1" customWidth="1"/>
    <col min="4880" max="5130" width="9" style="144"/>
    <col min="5131" max="5131" width="9.375" style="144" bestFit="1" customWidth="1"/>
    <col min="5132" max="5132" width="9" style="144"/>
    <col min="5133" max="5133" width="9.375" style="144" bestFit="1" customWidth="1"/>
    <col min="5134" max="5134" width="12.625" style="144" bestFit="1" customWidth="1"/>
    <col min="5135" max="5135" width="9.375" style="144" bestFit="1" customWidth="1"/>
    <col min="5136" max="5386" width="9" style="144"/>
    <col min="5387" max="5387" width="9.375" style="144" bestFit="1" customWidth="1"/>
    <col min="5388" max="5388" width="9" style="144"/>
    <col min="5389" max="5389" width="9.375" style="144" bestFit="1" customWidth="1"/>
    <col min="5390" max="5390" width="12.625" style="144" bestFit="1" customWidth="1"/>
    <col min="5391" max="5391" width="9.375" style="144" bestFit="1" customWidth="1"/>
    <col min="5392" max="5642" width="9" style="144"/>
    <col min="5643" max="5643" width="9.375" style="144" bestFit="1" customWidth="1"/>
    <col min="5644" max="5644" width="9" style="144"/>
    <col min="5645" max="5645" width="9.375" style="144" bestFit="1" customWidth="1"/>
    <col min="5646" max="5646" width="12.625" style="144" bestFit="1" customWidth="1"/>
    <col min="5647" max="5647" width="9.375" style="144" bestFit="1" customWidth="1"/>
    <col min="5648" max="5898" width="9" style="144"/>
    <col min="5899" max="5899" width="9.375" style="144" bestFit="1" customWidth="1"/>
    <col min="5900" max="5900" width="9" style="144"/>
    <col min="5901" max="5901" width="9.375" style="144" bestFit="1" customWidth="1"/>
    <col min="5902" max="5902" width="12.625" style="144" bestFit="1" customWidth="1"/>
    <col min="5903" max="5903" width="9.375" style="144" bestFit="1" customWidth="1"/>
    <col min="5904" max="6154" width="9" style="144"/>
    <col min="6155" max="6155" width="9.375" style="144" bestFit="1" customWidth="1"/>
    <col min="6156" max="6156" width="9" style="144"/>
    <col min="6157" max="6157" width="9.375" style="144" bestFit="1" customWidth="1"/>
    <col min="6158" max="6158" width="12.625" style="144" bestFit="1" customWidth="1"/>
    <col min="6159" max="6159" width="9.375" style="144" bestFit="1" customWidth="1"/>
    <col min="6160" max="6410" width="9" style="144"/>
    <col min="6411" max="6411" width="9.375" style="144" bestFit="1" customWidth="1"/>
    <col min="6412" max="6412" width="9" style="144"/>
    <col min="6413" max="6413" width="9.375" style="144" bestFit="1" customWidth="1"/>
    <col min="6414" max="6414" width="12.625" style="144" bestFit="1" customWidth="1"/>
    <col min="6415" max="6415" width="9.375" style="144" bestFit="1" customWidth="1"/>
    <col min="6416" max="6666" width="9" style="144"/>
    <col min="6667" max="6667" width="9.375" style="144" bestFit="1" customWidth="1"/>
    <col min="6668" max="6668" width="9" style="144"/>
    <col min="6669" max="6669" width="9.375" style="144" bestFit="1" customWidth="1"/>
    <col min="6670" max="6670" width="12.625" style="144" bestFit="1" customWidth="1"/>
    <col min="6671" max="6671" width="9.375" style="144" bestFit="1" customWidth="1"/>
    <col min="6672" max="6922" width="9" style="144"/>
    <col min="6923" max="6923" width="9.375" style="144" bestFit="1" customWidth="1"/>
    <col min="6924" max="6924" width="9" style="144"/>
    <col min="6925" max="6925" width="9.375" style="144" bestFit="1" customWidth="1"/>
    <col min="6926" max="6926" width="12.625" style="144" bestFit="1" customWidth="1"/>
    <col min="6927" max="6927" width="9.375" style="144" bestFit="1" customWidth="1"/>
    <col min="6928" max="7178" width="9" style="144"/>
    <col min="7179" max="7179" width="9.375" style="144" bestFit="1" customWidth="1"/>
    <col min="7180" max="7180" width="9" style="144"/>
    <col min="7181" max="7181" width="9.375" style="144" bestFit="1" customWidth="1"/>
    <col min="7182" max="7182" width="12.625" style="144" bestFit="1" customWidth="1"/>
    <col min="7183" max="7183" width="9.375" style="144" bestFit="1" customWidth="1"/>
    <col min="7184" max="7434" width="9" style="144"/>
    <col min="7435" max="7435" width="9.375" style="144" bestFit="1" customWidth="1"/>
    <col min="7436" max="7436" width="9" style="144"/>
    <col min="7437" max="7437" width="9.375" style="144" bestFit="1" customWidth="1"/>
    <col min="7438" max="7438" width="12.625" style="144" bestFit="1" customWidth="1"/>
    <col min="7439" max="7439" width="9.375" style="144" bestFit="1" customWidth="1"/>
    <col min="7440" max="7690" width="9" style="144"/>
    <col min="7691" max="7691" width="9.375" style="144" bestFit="1" customWidth="1"/>
    <col min="7692" max="7692" width="9" style="144"/>
    <col min="7693" max="7693" width="9.375" style="144" bestFit="1" customWidth="1"/>
    <col min="7694" max="7694" width="12.625" style="144" bestFit="1" customWidth="1"/>
    <col min="7695" max="7695" width="9.375" style="144" bestFit="1" customWidth="1"/>
    <col min="7696" max="7946" width="9" style="144"/>
    <col min="7947" max="7947" width="9.375" style="144" bestFit="1" customWidth="1"/>
    <col min="7948" max="7948" width="9" style="144"/>
    <col min="7949" max="7949" width="9.375" style="144" bestFit="1" customWidth="1"/>
    <col min="7950" max="7950" width="12.625" style="144" bestFit="1" customWidth="1"/>
    <col min="7951" max="7951" width="9.375" style="144" bestFit="1" customWidth="1"/>
    <col min="7952" max="8202" width="9" style="144"/>
    <col min="8203" max="8203" width="9.375" style="144" bestFit="1" customWidth="1"/>
    <col min="8204" max="8204" width="9" style="144"/>
    <col min="8205" max="8205" width="9.375" style="144" bestFit="1" customWidth="1"/>
    <col min="8206" max="8206" width="12.625" style="144" bestFit="1" customWidth="1"/>
    <col min="8207" max="8207" width="9.375" style="144" bestFit="1" customWidth="1"/>
    <col min="8208" max="8458" width="9" style="144"/>
    <col min="8459" max="8459" width="9.375" style="144" bestFit="1" customWidth="1"/>
    <col min="8460" max="8460" width="9" style="144"/>
    <col min="8461" max="8461" width="9.375" style="144" bestFit="1" customWidth="1"/>
    <col min="8462" max="8462" width="12.625" style="144" bestFit="1" customWidth="1"/>
    <col min="8463" max="8463" width="9.375" style="144" bestFit="1" customWidth="1"/>
    <col min="8464" max="8714" width="9" style="144"/>
    <col min="8715" max="8715" width="9.375" style="144" bestFit="1" customWidth="1"/>
    <col min="8716" max="8716" width="9" style="144"/>
    <col min="8717" max="8717" width="9.375" style="144" bestFit="1" customWidth="1"/>
    <col min="8718" max="8718" width="12.625" style="144" bestFit="1" customWidth="1"/>
    <col min="8719" max="8719" width="9.375" style="144" bestFit="1" customWidth="1"/>
    <col min="8720" max="8970" width="9" style="144"/>
    <col min="8971" max="8971" width="9.375" style="144" bestFit="1" customWidth="1"/>
    <col min="8972" max="8972" width="9" style="144"/>
    <col min="8973" max="8973" width="9.375" style="144" bestFit="1" customWidth="1"/>
    <col min="8974" max="8974" width="12.625" style="144" bestFit="1" customWidth="1"/>
    <col min="8975" max="8975" width="9.375" style="144" bestFit="1" customWidth="1"/>
    <col min="8976" max="9226" width="9" style="144"/>
    <col min="9227" max="9227" width="9.375" style="144" bestFit="1" customWidth="1"/>
    <col min="9228" max="9228" width="9" style="144"/>
    <col min="9229" max="9229" width="9.375" style="144" bestFit="1" customWidth="1"/>
    <col min="9230" max="9230" width="12.625" style="144" bestFit="1" customWidth="1"/>
    <col min="9231" max="9231" width="9.375" style="144" bestFit="1" customWidth="1"/>
    <col min="9232" max="9482" width="9" style="144"/>
    <col min="9483" max="9483" width="9.375" style="144" bestFit="1" customWidth="1"/>
    <col min="9484" max="9484" width="9" style="144"/>
    <col min="9485" max="9485" width="9.375" style="144" bestFit="1" customWidth="1"/>
    <col min="9486" max="9486" width="12.625" style="144" bestFit="1" customWidth="1"/>
    <col min="9487" max="9487" width="9.375" style="144" bestFit="1" customWidth="1"/>
    <col min="9488" max="9738" width="9" style="144"/>
    <col min="9739" max="9739" width="9.375" style="144" bestFit="1" customWidth="1"/>
    <col min="9740" max="9740" width="9" style="144"/>
    <col min="9741" max="9741" width="9.375" style="144" bestFit="1" customWidth="1"/>
    <col min="9742" max="9742" width="12.625" style="144" bestFit="1" customWidth="1"/>
    <col min="9743" max="9743" width="9.375" style="144" bestFit="1" customWidth="1"/>
    <col min="9744" max="9994" width="9" style="144"/>
    <col min="9995" max="9995" width="9.375" style="144" bestFit="1" customWidth="1"/>
    <col min="9996" max="9996" width="9" style="144"/>
    <col min="9997" max="9997" width="9.375" style="144" bestFit="1" customWidth="1"/>
    <col min="9998" max="9998" width="12.625" style="144" bestFit="1" customWidth="1"/>
    <col min="9999" max="9999" width="9.375" style="144" bestFit="1" customWidth="1"/>
    <col min="10000" max="10250" width="9" style="144"/>
    <col min="10251" max="10251" width="9.375" style="144" bestFit="1" customWidth="1"/>
    <col min="10252" max="10252" width="9" style="144"/>
    <col min="10253" max="10253" width="9.375" style="144" bestFit="1" customWidth="1"/>
    <col min="10254" max="10254" width="12.625" style="144" bestFit="1" customWidth="1"/>
    <col min="10255" max="10255" width="9.375" style="144" bestFit="1" customWidth="1"/>
    <col min="10256" max="10506" width="9" style="144"/>
    <col min="10507" max="10507" width="9.375" style="144" bestFit="1" customWidth="1"/>
    <col min="10508" max="10508" width="9" style="144"/>
    <col min="10509" max="10509" width="9.375" style="144" bestFit="1" customWidth="1"/>
    <col min="10510" max="10510" width="12.625" style="144" bestFit="1" customWidth="1"/>
    <col min="10511" max="10511" width="9.375" style="144" bestFit="1" customWidth="1"/>
    <col min="10512" max="10762" width="9" style="144"/>
    <col min="10763" max="10763" width="9.375" style="144" bestFit="1" customWidth="1"/>
    <col min="10764" max="10764" width="9" style="144"/>
    <col min="10765" max="10765" width="9.375" style="144" bestFit="1" customWidth="1"/>
    <col min="10766" max="10766" width="12.625" style="144" bestFit="1" customWidth="1"/>
    <col min="10767" max="10767" width="9.375" style="144" bestFit="1" customWidth="1"/>
    <col min="10768" max="11018" width="9" style="144"/>
    <col min="11019" max="11019" width="9.375" style="144" bestFit="1" customWidth="1"/>
    <col min="11020" max="11020" width="9" style="144"/>
    <col min="11021" max="11021" width="9.375" style="144" bestFit="1" customWidth="1"/>
    <col min="11022" max="11022" width="12.625" style="144" bestFit="1" customWidth="1"/>
    <col min="11023" max="11023" width="9.375" style="144" bestFit="1" customWidth="1"/>
    <col min="11024" max="11274" width="9" style="144"/>
    <col min="11275" max="11275" width="9.375" style="144" bestFit="1" customWidth="1"/>
    <col min="11276" max="11276" width="9" style="144"/>
    <col min="11277" max="11277" width="9.375" style="144" bestFit="1" customWidth="1"/>
    <col min="11278" max="11278" width="12.625" style="144" bestFit="1" customWidth="1"/>
    <col min="11279" max="11279" width="9.375" style="144" bestFit="1" customWidth="1"/>
    <col min="11280" max="11530" width="9" style="144"/>
    <col min="11531" max="11531" width="9.375" style="144" bestFit="1" customWidth="1"/>
    <col min="11532" max="11532" width="9" style="144"/>
    <col min="11533" max="11533" width="9.375" style="144" bestFit="1" customWidth="1"/>
    <col min="11534" max="11534" width="12.625" style="144" bestFit="1" customWidth="1"/>
    <col min="11535" max="11535" width="9.375" style="144" bestFit="1" customWidth="1"/>
    <col min="11536" max="11786" width="9" style="144"/>
    <col min="11787" max="11787" width="9.375" style="144" bestFit="1" customWidth="1"/>
    <col min="11788" max="11788" width="9" style="144"/>
    <col min="11789" max="11789" width="9.375" style="144" bestFit="1" customWidth="1"/>
    <col min="11790" max="11790" width="12.625" style="144" bestFit="1" customWidth="1"/>
    <col min="11791" max="11791" width="9.375" style="144" bestFit="1" customWidth="1"/>
    <col min="11792" max="12042" width="9" style="144"/>
    <col min="12043" max="12043" width="9.375" style="144" bestFit="1" customWidth="1"/>
    <col min="12044" max="12044" width="9" style="144"/>
    <col min="12045" max="12045" width="9.375" style="144" bestFit="1" customWidth="1"/>
    <col min="12046" max="12046" width="12.625" style="144" bestFit="1" customWidth="1"/>
    <col min="12047" max="12047" width="9.375" style="144" bestFit="1" customWidth="1"/>
    <col min="12048" max="12298" width="9" style="144"/>
    <col min="12299" max="12299" width="9.375" style="144" bestFit="1" customWidth="1"/>
    <col min="12300" max="12300" width="9" style="144"/>
    <col min="12301" max="12301" width="9.375" style="144" bestFit="1" customWidth="1"/>
    <col min="12302" max="12302" width="12.625" style="144" bestFit="1" customWidth="1"/>
    <col min="12303" max="12303" width="9.375" style="144" bestFit="1" customWidth="1"/>
    <col min="12304" max="12554" width="9" style="144"/>
    <col min="12555" max="12555" width="9.375" style="144" bestFit="1" customWidth="1"/>
    <col min="12556" max="12556" width="9" style="144"/>
    <col min="12557" max="12557" width="9.375" style="144" bestFit="1" customWidth="1"/>
    <col min="12558" max="12558" width="12.625" style="144" bestFit="1" customWidth="1"/>
    <col min="12559" max="12559" width="9.375" style="144" bestFit="1" customWidth="1"/>
    <col min="12560" max="12810" width="9" style="144"/>
    <col min="12811" max="12811" width="9.375" style="144" bestFit="1" customWidth="1"/>
    <col min="12812" max="12812" width="9" style="144"/>
    <col min="12813" max="12813" width="9.375" style="144" bestFit="1" customWidth="1"/>
    <col min="12814" max="12814" width="12.625" style="144" bestFit="1" customWidth="1"/>
    <col min="12815" max="12815" width="9.375" style="144" bestFit="1" customWidth="1"/>
    <col min="12816" max="13066" width="9" style="144"/>
    <col min="13067" max="13067" width="9.375" style="144" bestFit="1" customWidth="1"/>
    <col min="13068" max="13068" width="9" style="144"/>
    <col min="13069" max="13069" width="9.375" style="144" bestFit="1" customWidth="1"/>
    <col min="13070" max="13070" width="12.625" style="144" bestFit="1" customWidth="1"/>
    <col min="13071" max="13071" width="9.375" style="144" bestFit="1" customWidth="1"/>
    <col min="13072" max="13322" width="9" style="144"/>
    <col min="13323" max="13323" width="9.375" style="144" bestFit="1" customWidth="1"/>
    <col min="13324" max="13324" width="9" style="144"/>
    <col min="13325" max="13325" width="9.375" style="144" bestFit="1" customWidth="1"/>
    <col min="13326" max="13326" width="12.625" style="144" bestFit="1" customWidth="1"/>
    <col min="13327" max="13327" width="9.375" style="144" bestFit="1" customWidth="1"/>
    <col min="13328" max="13578" width="9" style="144"/>
    <col min="13579" max="13579" width="9.375" style="144" bestFit="1" customWidth="1"/>
    <col min="13580" max="13580" width="9" style="144"/>
    <col min="13581" max="13581" width="9.375" style="144" bestFit="1" customWidth="1"/>
    <col min="13582" max="13582" width="12.625" style="144" bestFit="1" customWidth="1"/>
    <col min="13583" max="13583" width="9.375" style="144" bestFit="1" customWidth="1"/>
    <col min="13584" max="13834" width="9" style="144"/>
    <col min="13835" max="13835" width="9.375" style="144" bestFit="1" customWidth="1"/>
    <col min="13836" max="13836" width="9" style="144"/>
    <col min="13837" max="13837" width="9.375" style="144" bestFit="1" customWidth="1"/>
    <col min="13838" max="13838" width="12.625" style="144" bestFit="1" customWidth="1"/>
    <col min="13839" max="13839" width="9.375" style="144" bestFit="1" customWidth="1"/>
    <col min="13840" max="14090" width="9" style="144"/>
    <col min="14091" max="14091" width="9.375" style="144" bestFit="1" customWidth="1"/>
    <col min="14092" max="14092" width="9" style="144"/>
    <col min="14093" max="14093" width="9.375" style="144" bestFit="1" customWidth="1"/>
    <col min="14094" max="14094" width="12.625" style="144" bestFit="1" customWidth="1"/>
    <col min="14095" max="14095" width="9.375" style="144" bestFit="1" customWidth="1"/>
    <col min="14096" max="14346" width="9" style="144"/>
    <col min="14347" max="14347" width="9.375" style="144" bestFit="1" customWidth="1"/>
    <col min="14348" max="14348" width="9" style="144"/>
    <col min="14349" max="14349" width="9.375" style="144" bestFit="1" customWidth="1"/>
    <col min="14350" max="14350" width="12.625" style="144" bestFit="1" customWidth="1"/>
    <col min="14351" max="14351" width="9.375" style="144" bestFit="1" customWidth="1"/>
    <col min="14352" max="14602" width="9" style="144"/>
    <col min="14603" max="14603" width="9.375" style="144" bestFit="1" customWidth="1"/>
    <col min="14604" max="14604" width="9" style="144"/>
    <col min="14605" max="14605" width="9.375" style="144" bestFit="1" customWidth="1"/>
    <col min="14606" max="14606" width="12.625" style="144" bestFit="1" customWidth="1"/>
    <col min="14607" max="14607" width="9.375" style="144" bestFit="1" customWidth="1"/>
    <col min="14608" max="14858" width="9" style="144"/>
    <col min="14859" max="14859" width="9.375" style="144" bestFit="1" customWidth="1"/>
    <col min="14860" max="14860" width="9" style="144"/>
    <col min="14861" max="14861" width="9.375" style="144" bestFit="1" customWidth="1"/>
    <col min="14862" max="14862" width="12.625" style="144" bestFit="1" customWidth="1"/>
    <col min="14863" max="14863" width="9.375" style="144" bestFit="1" customWidth="1"/>
    <col min="14864" max="15114" width="9" style="144"/>
    <col min="15115" max="15115" width="9.375" style="144" bestFit="1" customWidth="1"/>
    <col min="15116" max="15116" width="9" style="144"/>
    <col min="15117" max="15117" width="9.375" style="144" bestFit="1" customWidth="1"/>
    <col min="15118" max="15118" width="12.625" style="144" bestFit="1" customWidth="1"/>
    <col min="15119" max="15119" width="9.375" style="144" bestFit="1" customWidth="1"/>
    <col min="15120" max="15370" width="9" style="144"/>
    <col min="15371" max="15371" width="9.375" style="144" bestFit="1" customWidth="1"/>
    <col min="15372" max="15372" width="9" style="144"/>
    <col min="15373" max="15373" width="9.375" style="144" bestFit="1" customWidth="1"/>
    <col min="15374" max="15374" width="12.625" style="144" bestFit="1" customWidth="1"/>
    <col min="15375" max="15375" width="9.375" style="144" bestFit="1" customWidth="1"/>
    <col min="15376" max="15626" width="9" style="144"/>
    <col min="15627" max="15627" width="9.375" style="144" bestFit="1" customWidth="1"/>
    <col min="15628" max="15628" width="9" style="144"/>
    <col min="15629" max="15629" width="9.375" style="144" bestFit="1" customWidth="1"/>
    <col min="15630" max="15630" width="12.625" style="144" bestFit="1" customWidth="1"/>
    <col min="15631" max="15631" width="9.375" style="144" bestFit="1" customWidth="1"/>
    <col min="15632" max="15882" width="9" style="144"/>
    <col min="15883" max="15883" width="9.375" style="144" bestFit="1" customWidth="1"/>
    <col min="15884" max="15884" width="9" style="144"/>
    <col min="15885" max="15885" width="9.375" style="144" bestFit="1" customWidth="1"/>
    <col min="15886" max="15886" width="12.625" style="144" bestFit="1" customWidth="1"/>
    <col min="15887" max="15887" width="9.375" style="144" bestFit="1" customWidth="1"/>
    <col min="15888" max="16138" width="9" style="144"/>
    <col min="16139" max="16139" width="9.375" style="144" bestFit="1" customWidth="1"/>
    <col min="16140" max="16140" width="9" style="144"/>
    <col min="16141" max="16141" width="9.375" style="144" bestFit="1" customWidth="1"/>
    <col min="16142" max="16142" width="12.625" style="144" bestFit="1" customWidth="1"/>
    <col min="16143" max="16143" width="9.375" style="144" bestFit="1" customWidth="1"/>
    <col min="16144" max="16384" width="9" style="144"/>
  </cols>
  <sheetData>
    <row r="1" spans="1:23">
      <c r="A1" s="377" t="s">
        <v>499</v>
      </c>
      <c r="B1" s="377"/>
      <c r="C1" s="377"/>
    </row>
    <row r="2" spans="1:23" ht="24">
      <c r="A2" s="181" t="s">
        <v>7</v>
      </c>
      <c r="B2" s="212" t="s">
        <v>342</v>
      </c>
      <c r="C2" s="307" t="s">
        <v>343</v>
      </c>
      <c r="D2" s="181" t="s">
        <v>0</v>
      </c>
      <c r="E2" s="182" t="s">
        <v>344</v>
      </c>
      <c r="F2" s="182" t="s">
        <v>345</v>
      </c>
      <c r="G2" s="182" t="s">
        <v>346</v>
      </c>
      <c r="H2" s="182" t="s">
        <v>347</v>
      </c>
      <c r="I2" s="182" t="s">
        <v>348</v>
      </c>
      <c r="J2" s="182" t="s">
        <v>323</v>
      </c>
      <c r="K2" s="182" t="s">
        <v>324</v>
      </c>
      <c r="L2" s="182" t="s">
        <v>325</v>
      </c>
      <c r="M2" s="182" t="s">
        <v>297</v>
      </c>
      <c r="N2" s="182" t="s">
        <v>298</v>
      </c>
      <c r="O2" s="182" t="s">
        <v>349</v>
      </c>
      <c r="P2" s="181" t="s">
        <v>289</v>
      </c>
      <c r="Q2" s="181" t="s">
        <v>290</v>
      </c>
      <c r="R2" s="181" t="s">
        <v>291</v>
      </c>
      <c r="S2" s="181" t="s">
        <v>292</v>
      </c>
      <c r="T2" s="182" t="s">
        <v>294</v>
      </c>
      <c r="U2" s="182" t="s">
        <v>498</v>
      </c>
      <c r="V2" s="182" t="s">
        <v>475</v>
      </c>
      <c r="W2" s="182" t="s">
        <v>299</v>
      </c>
    </row>
    <row r="3" spans="1:23">
      <c r="A3" s="213">
        <v>1</v>
      </c>
      <c r="B3" s="217" t="s">
        <v>6</v>
      </c>
      <c r="C3" s="223">
        <v>44562</v>
      </c>
      <c r="D3" s="110" t="s">
        <v>3</v>
      </c>
      <c r="E3" s="176"/>
      <c r="F3" s="176"/>
      <c r="G3" s="176"/>
      <c r="H3" s="176"/>
      <c r="I3" s="176"/>
      <c r="J3" s="122"/>
      <c r="K3" s="218"/>
      <c r="L3" s="219"/>
      <c r="M3" s="305" t="s">
        <v>300</v>
      </c>
      <c r="N3" s="303">
        <f>VLOOKUP(D3,'[2]2022年6月'!$B$1:$N$65536,4,FALSE)</f>
        <v>180000</v>
      </c>
      <c r="O3" s="303">
        <f>VLOOKUP(D3,'[2]2022年6月'!$B$1:$N$65536,5,FALSE)</f>
        <v>15000</v>
      </c>
      <c r="P3" s="304">
        <f>VLOOKUP(D3,'[2]2022年6月'!$B$1:$N$65536,6,FALSE)</f>
        <v>0.7</v>
      </c>
      <c r="Q3" s="176">
        <f>VLOOKUP(D3,'[2]2022年6月'!$B$1:$N$65536,7,FALSE)</f>
        <v>0.3</v>
      </c>
      <c r="R3" s="176">
        <f>VLOOKUP(D3,'[2]2022年6月'!$B$1:$N$65536,8,FALSE)</f>
        <v>10500</v>
      </c>
      <c r="S3" s="176">
        <f>VLOOKUP(D3,'[2]2022年6月'!$B$1:$N$65536,9,FALSE)</f>
        <v>4500</v>
      </c>
      <c r="T3" s="176">
        <f>VLOOKUP(D3,'[2]2022年6月'!$B$1:$N$65536,10,FALSE)</f>
        <v>0</v>
      </c>
      <c r="U3" s="216">
        <f>VLOOKUP(D3,'[2]2022年6月'!$B$1:$N$65536,11,FALSE)</f>
        <v>0</v>
      </c>
      <c r="V3" s="216">
        <f>VLOOKUP(D3,'[2]2022年6月'!$B$1:$N$65536,12,FALSE)</f>
        <v>0</v>
      </c>
      <c r="W3" s="176">
        <f>VLOOKUP(D3,'[2]2022年6月'!$B$1:$N$65536,13,FALSE)</f>
        <v>15000</v>
      </c>
    </row>
    <row r="4" spans="1:23">
      <c r="A4" s="213">
        <v>2</v>
      </c>
      <c r="B4" s="217" t="s">
        <v>32</v>
      </c>
      <c r="C4" s="223">
        <v>44562</v>
      </c>
      <c r="D4" s="110" t="s">
        <v>199</v>
      </c>
      <c r="E4" s="176"/>
      <c r="F4" s="176"/>
      <c r="G4" s="176"/>
      <c r="H4" s="176"/>
      <c r="I4" s="176"/>
      <c r="J4" s="122"/>
      <c r="K4" s="218"/>
      <c r="L4" s="219"/>
      <c r="M4" s="305" t="s">
        <v>300</v>
      </c>
      <c r="N4" s="303">
        <f>VLOOKUP(D4,'[2]2022年6月'!$B$1:$N$65536,4,FALSE)</f>
        <v>168000</v>
      </c>
      <c r="O4" s="303">
        <f>VLOOKUP(D4,'[2]2022年6月'!$B$1:$N$65536,5,FALSE)</f>
        <v>14000</v>
      </c>
      <c r="P4" s="304">
        <f>VLOOKUP(D4,'[2]2022年6月'!$B$1:$N$65536,6,FALSE)</f>
        <v>0.7</v>
      </c>
      <c r="Q4" s="176">
        <f>VLOOKUP(D4,'[2]2022年6月'!$B$1:$N$65536,7,FALSE)</f>
        <v>0.3</v>
      </c>
      <c r="R4" s="176">
        <f>VLOOKUP(D4,'[2]2022年6月'!$B$1:$N$65536,8,FALSE)</f>
        <v>9800</v>
      </c>
      <c r="S4" s="176">
        <f>VLOOKUP(D4,'[2]2022年6月'!$B$1:$N$65536,9,FALSE)</f>
        <v>4200</v>
      </c>
      <c r="T4" s="176">
        <f>VLOOKUP(D4,'[2]2022年6月'!$B$1:$N$65536,10,FALSE)</f>
        <v>0</v>
      </c>
      <c r="U4" s="216">
        <f>VLOOKUP(D4,'[2]2022年6月'!$B$1:$N$65536,11,FALSE)</f>
        <v>0</v>
      </c>
      <c r="V4" s="216">
        <f>VLOOKUP(D4,'[2]2022年6月'!$B$1:$N$65536,12,FALSE)</f>
        <v>0</v>
      </c>
      <c r="W4" s="176">
        <f>VLOOKUP(D4,'[2]2022年6月'!$B$1:$N$65536,13,FALSE)</f>
        <v>14000</v>
      </c>
    </row>
    <row r="5" spans="1:23">
      <c r="A5" s="213">
        <v>3</v>
      </c>
      <c r="B5" s="217" t="s">
        <v>34</v>
      </c>
      <c r="C5" s="223">
        <v>44562</v>
      </c>
      <c r="D5" s="110" t="s">
        <v>33</v>
      </c>
      <c r="E5" s="176"/>
      <c r="F5" s="176"/>
      <c r="G5" s="176"/>
      <c r="H5" s="176"/>
      <c r="I5" s="176"/>
      <c r="J5" s="122"/>
      <c r="K5" s="218"/>
      <c r="L5" s="219"/>
      <c r="M5" s="305" t="s">
        <v>300</v>
      </c>
      <c r="N5" s="303">
        <f>VLOOKUP(D5,'[2]2022年6月'!$B$1:$N$65536,4,FALSE)</f>
        <v>144000</v>
      </c>
      <c r="O5" s="303">
        <f>VLOOKUP(D5,'[2]2022年6月'!$B$1:$N$65536,5,FALSE)</f>
        <v>12000</v>
      </c>
      <c r="P5" s="304">
        <f>VLOOKUP(D5,'[2]2022年6月'!$B$1:$N$65536,6,FALSE)</f>
        <v>0.7</v>
      </c>
      <c r="Q5" s="176">
        <f>VLOOKUP(D5,'[2]2022年6月'!$B$1:$N$65536,7,FALSE)</f>
        <v>0.3</v>
      </c>
      <c r="R5" s="176">
        <f>VLOOKUP(D5,'[2]2022年6月'!$B$1:$N$65536,8,FALSE)</f>
        <v>8400</v>
      </c>
      <c r="S5" s="176">
        <f>VLOOKUP(D5,'[2]2022年6月'!$B$1:$N$65536,9,FALSE)</f>
        <v>3600</v>
      </c>
      <c r="T5" s="176">
        <f>VLOOKUP(D5,'[2]2022年6月'!$B$1:$N$65536,10,FALSE)</f>
        <v>0</v>
      </c>
      <c r="U5" s="216">
        <f>VLOOKUP(D5,'[2]2022年6月'!$B$1:$N$65536,11,FALSE)</f>
        <v>0</v>
      </c>
      <c r="V5" s="216">
        <f>VLOOKUP(D5,'[2]2022年6月'!$B$1:$N$65536,12,FALSE)</f>
        <v>0</v>
      </c>
      <c r="W5" s="176">
        <f>VLOOKUP(D5,'[2]2022年6月'!$B$1:$N$65536,13,FALSE)</f>
        <v>12000</v>
      </c>
    </row>
    <row r="6" spans="1:23">
      <c r="A6" s="213">
        <v>4</v>
      </c>
      <c r="B6" s="217" t="s">
        <v>5</v>
      </c>
      <c r="C6" s="223">
        <v>44562</v>
      </c>
      <c r="D6" s="110" t="s">
        <v>2</v>
      </c>
      <c r="E6" s="176"/>
      <c r="F6" s="176"/>
      <c r="G6" s="176"/>
      <c r="H6" s="176"/>
      <c r="I6" s="176"/>
      <c r="J6" s="122"/>
      <c r="K6" s="218"/>
      <c r="L6" s="219"/>
      <c r="M6" s="305" t="s">
        <v>300</v>
      </c>
      <c r="N6" s="303">
        <f>VLOOKUP(D6,'[2]2022年6月'!$B$1:$N$65536,4,FALSE)</f>
        <v>99600</v>
      </c>
      <c r="O6" s="303">
        <f>VLOOKUP(D6,'[2]2022年6月'!$B$1:$N$65536,5,FALSE)</f>
        <v>8300</v>
      </c>
      <c r="P6" s="304">
        <f>VLOOKUP(D6,'[2]2022年6月'!$B$1:$N$65536,6,FALSE)</f>
        <v>0.7</v>
      </c>
      <c r="Q6" s="176">
        <f>VLOOKUP(D6,'[2]2022年6月'!$B$1:$N$65536,7,FALSE)</f>
        <v>0.3</v>
      </c>
      <c r="R6" s="176">
        <f>VLOOKUP(D6,'[2]2022年6月'!$B$1:$N$65536,8,FALSE)</f>
        <v>5810</v>
      </c>
      <c r="S6" s="176">
        <f>VLOOKUP(D6,'[2]2022年6月'!$B$1:$N$65536,9,FALSE)</f>
        <v>2490</v>
      </c>
      <c r="T6" s="176">
        <f>VLOOKUP(D6,'[2]2022年6月'!$B$1:$N$65536,10,FALSE)</f>
        <v>600</v>
      </c>
      <c r="U6" s="216">
        <f>VLOOKUP(D6,'[2]2022年6月'!$B$1:$N$65536,11,FALSE)</f>
        <v>0</v>
      </c>
      <c r="V6" s="216">
        <f>VLOOKUP(D6,'[2]2022年6月'!$B$1:$N$65536,12,FALSE)</f>
        <v>0</v>
      </c>
      <c r="W6" s="176">
        <f>VLOOKUP(D6,'[2]2022年6月'!$B$1:$N$65536,13,FALSE)</f>
        <v>8900</v>
      </c>
    </row>
    <row r="7" spans="1:23">
      <c r="A7" s="213">
        <v>5</v>
      </c>
      <c r="B7" s="217" t="s">
        <v>4</v>
      </c>
      <c r="C7" s="223">
        <v>44576</v>
      </c>
      <c r="D7" s="110" t="s">
        <v>1</v>
      </c>
      <c r="E7" s="176"/>
      <c r="F7" s="176"/>
      <c r="G7" s="176"/>
      <c r="H7" s="176"/>
      <c r="I7" s="176"/>
      <c r="J7" s="122"/>
      <c r="K7" s="218"/>
      <c r="L7" s="219"/>
      <c r="M7" s="305" t="s">
        <v>300</v>
      </c>
      <c r="N7" s="303">
        <f>VLOOKUP(D7,'[2]2022年6月'!$B$1:$N$65536,4,FALSE)</f>
        <v>105600</v>
      </c>
      <c r="O7" s="303">
        <f>VLOOKUP(D7,'[2]2022年6月'!$B$1:$N$65536,5,FALSE)</f>
        <v>8800</v>
      </c>
      <c r="P7" s="304">
        <f>VLOOKUP(D7,'[2]2022年6月'!$B$1:$N$65536,6,FALSE)</f>
        <v>0.5</v>
      </c>
      <c r="Q7" s="176">
        <f>VLOOKUP(D7,'[2]2022年6月'!$B$1:$N$65536,7,FALSE)</f>
        <v>0.5</v>
      </c>
      <c r="R7" s="176">
        <f>VLOOKUP(D7,'[2]2022年6月'!$B$1:$N$65536,8,FALSE)</f>
        <v>4400</v>
      </c>
      <c r="S7" s="176">
        <f>VLOOKUP(D7,'[2]2022年6月'!$B$1:$N$65536,9,FALSE)</f>
        <v>4400</v>
      </c>
      <c r="T7" s="176">
        <f>VLOOKUP(D7,'[2]2022年6月'!$B$1:$N$65536,10,FALSE)</f>
        <v>0</v>
      </c>
      <c r="U7" s="216">
        <f>VLOOKUP(D7,'[2]2022年6月'!$B$1:$N$65536,11,FALSE)</f>
        <v>0</v>
      </c>
      <c r="V7" s="216">
        <f>VLOOKUP(D7,'[2]2022年6月'!$B$1:$N$65536,12,FALSE)</f>
        <v>0</v>
      </c>
      <c r="W7" s="176">
        <f>VLOOKUP(D7,'[2]2022年6月'!$B$1:$N$65536,13,FALSE)</f>
        <v>8800</v>
      </c>
    </row>
    <row r="8" spans="1:23">
      <c r="A8" s="213">
        <v>6</v>
      </c>
      <c r="B8" s="217" t="s">
        <v>36</v>
      </c>
      <c r="C8" s="223">
        <v>44576</v>
      </c>
      <c r="D8" s="110" t="s">
        <v>35</v>
      </c>
      <c r="E8" s="183"/>
      <c r="F8" s="183"/>
      <c r="G8" s="183"/>
      <c r="H8" s="183"/>
      <c r="I8" s="183"/>
      <c r="J8" s="122"/>
      <c r="K8" s="218"/>
      <c r="L8" s="219"/>
      <c r="M8" s="305" t="s">
        <v>300</v>
      </c>
      <c r="N8" s="303">
        <f>VLOOKUP(D8,'[2]2022年6月'!$B$1:$N$65536,4,FALSE)</f>
        <v>71340</v>
      </c>
      <c r="O8" s="303">
        <f>VLOOKUP(D8,'[2]2022年6月'!$B$1:$N$65536,5,FALSE)</f>
        <v>5945</v>
      </c>
      <c r="P8" s="304">
        <f>VLOOKUP(D8,'[2]2022年6月'!$B$1:$N$65536,6,FALSE)</f>
        <v>0.5</v>
      </c>
      <c r="Q8" s="176">
        <f>VLOOKUP(D8,'[2]2022年6月'!$B$1:$N$65536,7,FALSE)</f>
        <v>0.5</v>
      </c>
      <c r="R8" s="176">
        <f>VLOOKUP(D8,'[2]2022年6月'!$B$1:$N$65536,8,FALSE)</f>
        <v>2972.5</v>
      </c>
      <c r="S8" s="176">
        <f>VLOOKUP(D8,'[2]2022年6月'!$B$1:$N$65536,9,FALSE)</f>
        <v>2972.5</v>
      </c>
      <c r="T8" s="176">
        <f>VLOOKUP(D8,'[2]2022年6月'!$B$1:$N$65536,10,FALSE)</f>
        <v>0</v>
      </c>
      <c r="U8" s="216">
        <f>VLOOKUP(D8,'[2]2022年6月'!$B$1:$N$65536,11,FALSE)</f>
        <v>0</v>
      </c>
      <c r="V8" s="216">
        <f>VLOOKUP(D8,'[2]2022年6月'!$B$1:$N$65536,12,FALSE)</f>
        <v>0</v>
      </c>
      <c r="W8" s="176">
        <f>VLOOKUP(D8,'[2]2022年6月'!$B$1:$N$65536,13,FALSE)</f>
        <v>5945</v>
      </c>
    </row>
    <row r="9" spans="1:23">
      <c r="A9" s="213">
        <v>7</v>
      </c>
      <c r="B9" s="217" t="s">
        <v>37</v>
      </c>
      <c r="C9" s="223">
        <v>44576</v>
      </c>
      <c r="D9" s="110" t="s">
        <v>200</v>
      </c>
      <c r="E9" s="183"/>
      <c r="F9" s="183"/>
      <c r="G9" s="183"/>
      <c r="H9" s="183"/>
      <c r="I9" s="183"/>
      <c r="J9" s="122"/>
      <c r="K9" s="218"/>
      <c r="L9" s="219"/>
      <c r="M9" s="305" t="s">
        <v>300</v>
      </c>
      <c r="N9" s="303">
        <f>VLOOKUP(D9,'[2]2022年6月'!$B$1:$N$65536,4,FALSE)</f>
        <v>132000</v>
      </c>
      <c r="O9" s="303">
        <f>VLOOKUP(D9,'[2]2022年6月'!$B$1:$N$65536,5,FALSE)</f>
        <v>11000</v>
      </c>
      <c r="P9" s="304">
        <f>VLOOKUP(D9,'[2]2022年6月'!$B$1:$N$65536,6,FALSE)</f>
        <v>0.5</v>
      </c>
      <c r="Q9" s="176">
        <f>VLOOKUP(D9,'[2]2022年6月'!$B$1:$N$65536,7,FALSE)</f>
        <v>0.5</v>
      </c>
      <c r="R9" s="176">
        <f>VLOOKUP(D9,'[2]2022年6月'!$B$1:$N$65536,8,FALSE)</f>
        <v>5500</v>
      </c>
      <c r="S9" s="176">
        <f>VLOOKUP(D9,'[2]2022年6月'!$B$1:$N$65536,9,FALSE)</f>
        <v>5500</v>
      </c>
      <c r="T9" s="176">
        <f>VLOOKUP(D9,'[2]2022年6月'!$B$1:$N$65536,10,FALSE)</f>
        <v>0</v>
      </c>
      <c r="U9" s="216">
        <f>VLOOKUP(D9,'[2]2022年6月'!$B$1:$N$65536,11,FALSE)</f>
        <v>0</v>
      </c>
      <c r="V9" s="216">
        <f>VLOOKUP(D9,'[2]2022年6月'!$B$1:$N$65536,12,FALSE)</f>
        <v>0</v>
      </c>
      <c r="W9" s="176">
        <f>VLOOKUP(D9,'[2]2022年6月'!$B$1:$N$65536,13,FALSE)</f>
        <v>11000</v>
      </c>
    </row>
    <row r="10" spans="1:23">
      <c r="A10" s="213">
        <v>8</v>
      </c>
      <c r="B10" s="217" t="s">
        <v>39</v>
      </c>
      <c r="C10" s="223">
        <v>44562</v>
      </c>
      <c r="D10" s="110" t="s">
        <v>38</v>
      </c>
      <c r="E10" s="183"/>
      <c r="F10" s="183"/>
      <c r="G10" s="183"/>
      <c r="H10" s="183"/>
      <c r="I10" s="183"/>
      <c r="J10" s="122"/>
      <c r="K10" s="218"/>
      <c r="L10" s="219"/>
      <c r="M10" s="305" t="s">
        <v>300</v>
      </c>
      <c r="N10" s="303">
        <f>VLOOKUP(D10,'[2]2022年6月'!$B$1:$N$65536,4,FALSE)</f>
        <v>132000</v>
      </c>
      <c r="O10" s="303">
        <f>VLOOKUP(D10,'[2]2022年6月'!$B$1:$N$65536,5,FALSE)</f>
        <v>11000</v>
      </c>
      <c r="P10" s="304">
        <f>VLOOKUP(D10,'[2]2022年6月'!$B$1:$N$65536,6,FALSE)</f>
        <v>0.5</v>
      </c>
      <c r="Q10" s="176">
        <f>VLOOKUP(D10,'[2]2022年6月'!$B$1:$N$65536,7,FALSE)</f>
        <v>0.5</v>
      </c>
      <c r="R10" s="176">
        <f>VLOOKUP(D10,'[2]2022年6月'!$B$1:$N$65536,8,FALSE)</f>
        <v>5500</v>
      </c>
      <c r="S10" s="176">
        <f>VLOOKUP(D10,'[2]2022年6月'!$B$1:$N$65536,9,FALSE)</f>
        <v>5500</v>
      </c>
      <c r="T10" s="176">
        <f>VLOOKUP(D10,'[2]2022年6月'!$B$1:$N$65536,10,FALSE)</f>
        <v>0</v>
      </c>
      <c r="U10" s="216">
        <f>VLOOKUP(D10,'[2]2022年6月'!$B$1:$N$65536,11,FALSE)</f>
        <v>0</v>
      </c>
      <c r="V10" s="216">
        <f>VLOOKUP(D10,'[2]2022年6月'!$B$1:$N$65536,12,FALSE)</f>
        <v>0</v>
      </c>
      <c r="W10" s="176">
        <f>VLOOKUP(D10,'[2]2022年6月'!$B$1:$N$65536,13,FALSE)</f>
        <v>11000</v>
      </c>
    </row>
    <row r="11" spans="1:23">
      <c r="A11" s="213">
        <v>9</v>
      </c>
      <c r="B11" s="217" t="s">
        <v>41</v>
      </c>
      <c r="C11" s="223">
        <v>44562</v>
      </c>
      <c r="D11" s="110" t="s">
        <v>40</v>
      </c>
      <c r="E11" s="176"/>
      <c r="F11" s="176"/>
      <c r="G11" s="176"/>
      <c r="H11" s="176"/>
      <c r="I11" s="176"/>
      <c r="J11" s="122"/>
      <c r="K11" s="218"/>
      <c r="L11" s="122"/>
      <c r="M11" s="306" t="s">
        <v>65</v>
      </c>
      <c r="N11" s="303">
        <f>VLOOKUP(D11,'[2]2022年6月'!$B$1:$N$65536,4,FALSE)</f>
        <v>72000</v>
      </c>
      <c r="O11" s="303">
        <f>VLOOKUP(D11,'[2]2022年6月'!$B$1:$N$65536,5,FALSE)</f>
        <v>6000</v>
      </c>
      <c r="P11" s="304">
        <f>VLOOKUP(D11,'[2]2022年6月'!$B$1:$N$65536,6,FALSE)</f>
        <v>0.7</v>
      </c>
      <c r="Q11" s="176">
        <f>VLOOKUP(D11,'[2]2022年6月'!$B$1:$N$65536,7,FALSE)</f>
        <v>0.3</v>
      </c>
      <c r="R11" s="176">
        <f>VLOOKUP(D11,'[2]2022年6月'!$B$1:$N$65536,8,FALSE)</f>
        <v>4200</v>
      </c>
      <c r="S11" s="176">
        <f>VLOOKUP(D11,'[2]2022年6月'!$B$1:$N$65536,9,FALSE)</f>
        <v>1800</v>
      </c>
      <c r="T11" s="176">
        <f>VLOOKUP(D11,'[2]2022年6月'!$B$1:$N$65536,10,FALSE)</f>
        <v>0</v>
      </c>
      <c r="U11" s="216">
        <f>VLOOKUP(D11,'[2]2022年6月'!$B$1:$N$65536,11,FALSE)</f>
        <v>0</v>
      </c>
      <c r="V11" s="216">
        <f>VLOOKUP(D11,'[2]2022年6月'!$B$1:$N$65536,12,FALSE)</f>
        <v>0</v>
      </c>
      <c r="W11" s="176">
        <f>VLOOKUP(D11,'[2]2022年6月'!$B$1:$N$65536,13,FALSE)</f>
        <v>6000</v>
      </c>
    </row>
    <row r="12" spans="1:23">
      <c r="A12" s="213">
        <v>10</v>
      </c>
      <c r="B12" s="217" t="s">
        <v>43</v>
      </c>
      <c r="C12" s="223">
        <v>44562</v>
      </c>
      <c r="D12" s="110" t="s">
        <v>42</v>
      </c>
      <c r="E12" s="176"/>
      <c r="F12" s="176"/>
      <c r="G12" s="176"/>
      <c r="H12" s="176"/>
      <c r="I12" s="176"/>
      <c r="J12" s="122"/>
      <c r="K12" s="218"/>
      <c r="L12" s="214"/>
      <c r="M12" s="142" t="s">
        <v>63</v>
      </c>
      <c r="N12" s="303">
        <f>VLOOKUP(D12,'[2]2022年6月'!$B$1:$N$65536,4,FALSE)</f>
        <v>228000</v>
      </c>
      <c r="O12" s="303">
        <f>VLOOKUP(D12,'[2]2022年6月'!$B$1:$N$65536,5,FALSE)</f>
        <v>19000</v>
      </c>
      <c r="P12" s="304">
        <f>VLOOKUP(D12,'[2]2022年6月'!$B$1:$N$65536,6,FALSE)</f>
        <v>0.7</v>
      </c>
      <c r="Q12" s="176">
        <f>VLOOKUP(D12,'[2]2022年6月'!$B$1:$N$65536,7,FALSE)</f>
        <v>0.3</v>
      </c>
      <c r="R12" s="176">
        <f>VLOOKUP(D12,'[2]2022年6月'!$B$1:$N$65536,8,FALSE)</f>
        <v>13300</v>
      </c>
      <c r="S12" s="176">
        <f>VLOOKUP(D12,'[2]2022年6月'!$B$1:$N$65536,9,FALSE)</f>
        <v>5700</v>
      </c>
      <c r="T12" s="176">
        <f>VLOOKUP(D12,'[2]2022年6月'!$B$1:$N$65536,10,FALSE)</f>
        <v>1000</v>
      </c>
      <c r="U12" s="216">
        <f>VLOOKUP(D12,'[2]2022年6月'!$B$1:$N$65536,11,FALSE)</f>
        <v>0</v>
      </c>
      <c r="V12" s="216">
        <f>VLOOKUP(D12,'[2]2022年6月'!$B$1:$N$65536,12,FALSE)</f>
        <v>0</v>
      </c>
      <c r="W12" s="176">
        <f>VLOOKUP(D12,'[2]2022年6月'!$B$1:$N$65536,13,FALSE)</f>
        <v>20000</v>
      </c>
    </row>
    <row r="13" spans="1:23">
      <c r="A13" s="213">
        <v>11</v>
      </c>
      <c r="B13" s="217" t="s">
        <v>45</v>
      </c>
      <c r="C13" s="223">
        <v>44562</v>
      </c>
      <c r="D13" s="110" t="s">
        <v>44</v>
      </c>
      <c r="E13" s="176"/>
      <c r="F13" s="176"/>
      <c r="G13" s="176"/>
      <c r="H13" s="176"/>
      <c r="I13" s="176"/>
      <c r="J13" s="122"/>
      <c r="K13" s="218"/>
      <c r="L13" s="214"/>
      <c r="M13" s="142" t="s">
        <v>63</v>
      </c>
      <c r="N13" s="303">
        <f>VLOOKUP(D13,'[2]2022年6月'!$B$1:$N$65536,4,FALSE)</f>
        <v>228000</v>
      </c>
      <c r="O13" s="303">
        <f>VLOOKUP(D13,'[2]2022年6月'!$B$1:$N$65536,5,FALSE)</f>
        <v>19000</v>
      </c>
      <c r="P13" s="304">
        <f>VLOOKUP(D13,'[2]2022年6月'!$B$1:$N$65536,6,FALSE)</f>
        <v>0.7</v>
      </c>
      <c r="Q13" s="176">
        <f>VLOOKUP(D13,'[2]2022年6月'!$B$1:$N$65536,7,FALSE)</f>
        <v>0.3</v>
      </c>
      <c r="R13" s="176">
        <f>VLOOKUP(D13,'[2]2022年6月'!$B$1:$N$65536,8,FALSE)</f>
        <v>13300</v>
      </c>
      <c r="S13" s="176">
        <f>VLOOKUP(D13,'[2]2022年6月'!$B$1:$N$65536,9,FALSE)</f>
        <v>5700</v>
      </c>
      <c r="T13" s="176">
        <f>VLOOKUP(D13,'[2]2022年6月'!$B$1:$N$65536,10,FALSE)</f>
        <v>1000</v>
      </c>
      <c r="U13" s="216">
        <f>VLOOKUP(D13,'[2]2022年6月'!$B$1:$N$65536,11,FALSE)</f>
        <v>0</v>
      </c>
      <c r="V13" s="216">
        <f>VLOOKUP(D13,'[2]2022年6月'!$B$1:$N$65536,12,FALSE)</f>
        <v>0</v>
      </c>
      <c r="W13" s="176">
        <f>VLOOKUP(D13,'[2]2022年6月'!$B$1:$N$65536,13,FALSE)</f>
        <v>20000</v>
      </c>
    </row>
    <row r="14" spans="1:23">
      <c r="A14" s="213">
        <v>12</v>
      </c>
      <c r="B14" s="217" t="s">
        <v>47</v>
      </c>
      <c r="C14" s="223">
        <v>44562</v>
      </c>
      <c r="D14" s="110" t="s">
        <v>46</v>
      </c>
      <c r="E14" s="176"/>
      <c r="F14" s="176"/>
      <c r="G14" s="176"/>
      <c r="H14" s="176"/>
      <c r="I14" s="176"/>
      <c r="J14" s="122"/>
      <c r="K14" s="218"/>
      <c r="L14" s="214"/>
      <c r="M14" s="142" t="s">
        <v>63</v>
      </c>
      <c r="N14" s="303">
        <f>VLOOKUP(D14,'[2]2022年6月'!$B$1:$N$65536,4,FALSE)</f>
        <v>324000</v>
      </c>
      <c r="O14" s="303">
        <f>VLOOKUP(D14,'[2]2022年6月'!$B$1:$N$65536,5,FALSE)</f>
        <v>27000</v>
      </c>
      <c r="P14" s="304">
        <f>VLOOKUP(D14,'[2]2022年6月'!$B$1:$N$65536,6,FALSE)</f>
        <v>0.7</v>
      </c>
      <c r="Q14" s="176">
        <f>VLOOKUP(D14,'[2]2022年6月'!$B$1:$N$65536,7,FALSE)</f>
        <v>0.3</v>
      </c>
      <c r="R14" s="176">
        <f>VLOOKUP(D14,'[2]2022年6月'!$B$1:$N$65536,8,FALSE)</f>
        <v>18900</v>
      </c>
      <c r="S14" s="176">
        <f>VLOOKUP(D14,'[2]2022年6月'!$B$1:$N$65536,9,FALSE)</f>
        <v>8100</v>
      </c>
      <c r="T14" s="176">
        <f>VLOOKUP(D14,'[2]2022年6月'!$B$1:$N$65536,10,FALSE)</f>
        <v>1000</v>
      </c>
      <c r="U14" s="216">
        <f>VLOOKUP(D14,'[2]2022年6月'!$B$1:$N$65536,11,FALSE)</f>
        <v>3724.14</v>
      </c>
      <c r="V14" s="216">
        <f>VLOOKUP(D14,'[2]2022年6月'!$B$1:$N$65536,12,FALSE)</f>
        <v>0</v>
      </c>
      <c r="W14" s="176">
        <f>VLOOKUP(D14,'[2]2022年6月'!$B$1:$N$65536,13,FALSE)</f>
        <v>31724.14</v>
      </c>
    </row>
    <row r="15" spans="1:23">
      <c r="A15" s="213">
        <v>13</v>
      </c>
      <c r="B15" s="217" t="s">
        <v>49</v>
      </c>
      <c r="C15" s="223">
        <v>44562</v>
      </c>
      <c r="D15" s="110" t="s">
        <v>48</v>
      </c>
      <c r="E15" s="176"/>
      <c r="F15" s="176"/>
      <c r="G15" s="176"/>
      <c r="H15" s="176"/>
      <c r="I15" s="176"/>
      <c r="J15" s="122"/>
      <c r="K15" s="218"/>
      <c r="L15" s="214"/>
      <c r="M15" s="142" t="s">
        <v>63</v>
      </c>
      <c r="N15" s="303">
        <f>VLOOKUP(D15,'[2]2022年6月'!$B$1:$N$65536,4,FALSE)</f>
        <v>240000</v>
      </c>
      <c r="O15" s="303">
        <f>VLOOKUP(D15,'[2]2022年6月'!$B$1:$N$65536,5,FALSE)</f>
        <v>20000</v>
      </c>
      <c r="P15" s="304">
        <f>VLOOKUP(D15,'[2]2022年6月'!$B$1:$N$65536,6,FALSE)</f>
        <v>0.7</v>
      </c>
      <c r="Q15" s="176">
        <f>VLOOKUP(D15,'[2]2022年6月'!$B$1:$N$65536,7,FALSE)</f>
        <v>0.3</v>
      </c>
      <c r="R15" s="176">
        <f>VLOOKUP(D15,'[2]2022年6月'!$B$1:$N$65536,8,FALSE)</f>
        <v>14000</v>
      </c>
      <c r="S15" s="176">
        <f>VLOOKUP(D15,'[2]2022年6月'!$B$1:$N$65536,9,FALSE)</f>
        <v>6000</v>
      </c>
      <c r="T15" s="176">
        <f>VLOOKUP(D15,'[2]2022年6月'!$B$1:$N$65536,10,FALSE)</f>
        <v>1000</v>
      </c>
      <c r="U15" s="216">
        <f>VLOOKUP(D15,'[2]2022年6月'!$B$1:$N$65536,11,FALSE)</f>
        <v>0</v>
      </c>
      <c r="V15" s="216">
        <f>VLOOKUP(D15,'[2]2022年6月'!$B$1:$N$65536,12,FALSE)</f>
        <v>0</v>
      </c>
      <c r="W15" s="176">
        <f>VLOOKUP(D15,'[2]2022年6月'!$B$1:$N$65536,13,FALSE)</f>
        <v>21000</v>
      </c>
    </row>
    <row r="16" spans="1:23">
      <c r="A16" s="213">
        <v>14</v>
      </c>
      <c r="B16" s="217" t="s">
        <v>51</v>
      </c>
      <c r="C16" s="223">
        <v>44562</v>
      </c>
      <c r="D16" s="110" t="s">
        <v>50</v>
      </c>
      <c r="E16" s="176"/>
      <c r="F16" s="176"/>
      <c r="G16" s="176"/>
      <c r="H16" s="176"/>
      <c r="I16" s="176"/>
      <c r="J16" s="122"/>
      <c r="K16" s="218"/>
      <c r="L16" s="215"/>
      <c r="M16" s="142" t="s">
        <v>63</v>
      </c>
      <c r="N16" s="303">
        <f>VLOOKUP(D16,'[2]2022年6月'!$B$1:$N$65536,4,FALSE)</f>
        <v>300000</v>
      </c>
      <c r="O16" s="303">
        <f>VLOOKUP(D16,'[2]2022年6月'!$B$1:$N$65536,5,FALSE)</f>
        <v>25000</v>
      </c>
      <c r="P16" s="304">
        <f>VLOOKUP(D16,'[2]2022年6月'!$B$1:$N$65536,6,FALSE)</f>
        <v>0.7</v>
      </c>
      <c r="Q16" s="176">
        <f>VLOOKUP(D16,'[2]2022年6月'!$B$1:$N$65536,7,FALSE)</f>
        <v>0.3</v>
      </c>
      <c r="R16" s="176">
        <f>VLOOKUP(D16,'[2]2022年6月'!$B$1:$N$65536,8,FALSE)</f>
        <v>17500</v>
      </c>
      <c r="S16" s="176">
        <f>VLOOKUP(D16,'[2]2022年6月'!$B$1:$N$65536,9,FALSE)</f>
        <v>7500</v>
      </c>
      <c r="T16" s="176">
        <f>VLOOKUP(D16,'[2]2022年6月'!$B$1:$N$65536,10,FALSE)</f>
        <v>1000</v>
      </c>
      <c r="U16" s="216">
        <f>VLOOKUP(D16,'[2]2022年6月'!$B$1:$N$65536,11,FALSE)</f>
        <v>2298.85</v>
      </c>
      <c r="V16" s="216">
        <f>VLOOKUP(D16,'[2]2022年6月'!$B$1:$N$65536,12,FALSE)</f>
        <v>0</v>
      </c>
      <c r="W16" s="176">
        <f>VLOOKUP(D16,'[2]2022年6月'!$B$1:$N$65536,13,FALSE)</f>
        <v>28298.85</v>
      </c>
    </row>
    <row r="17" spans="1:23">
      <c r="A17" s="213">
        <v>15</v>
      </c>
      <c r="B17" s="217" t="s">
        <v>53</v>
      </c>
      <c r="C17" s="223">
        <v>44562</v>
      </c>
      <c r="D17" s="110" t="s">
        <v>52</v>
      </c>
      <c r="E17" s="176"/>
      <c r="F17" s="176"/>
      <c r="G17" s="176"/>
      <c r="H17" s="176"/>
      <c r="I17" s="176"/>
      <c r="J17" s="122"/>
      <c r="K17" s="218"/>
      <c r="L17" s="215"/>
      <c r="M17" s="142" t="s">
        <v>63</v>
      </c>
      <c r="N17" s="303">
        <f>VLOOKUP(D17,'[2]2022年6月'!$B$1:$N$65536,4,FALSE)</f>
        <v>288000</v>
      </c>
      <c r="O17" s="303">
        <f>VLOOKUP(D17,'[2]2022年6月'!$B$1:$N$65536,5,FALSE)</f>
        <v>24000</v>
      </c>
      <c r="P17" s="304">
        <f>VLOOKUP(D17,'[2]2022年6月'!$B$1:$N$65536,6,FALSE)</f>
        <v>0.7</v>
      </c>
      <c r="Q17" s="176">
        <f>VLOOKUP(D17,'[2]2022年6月'!$B$1:$N$65536,7,FALSE)</f>
        <v>0.3</v>
      </c>
      <c r="R17" s="176">
        <f>VLOOKUP(D17,'[2]2022年6月'!$B$1:$N$65536,8,FALSE)</f>
        <v>16800</v>
      </c>
      <c r="S17" s="176">
        <f>VLOOKUP(D17,'[2]2022年6月'!$B$1:$N$65536,9,FALSE)</f>
        <v>7200</v>
      </c>
      <c r="T17" s="176">
        <f>VLOOKUP(D17,'[2]2022年6月'!$B$1:$N$65536,10,FALSE)</f>
        <v>1000</v>
      </c>
      <c r="U17" s="216">
        <f>VLOOKUP(D17,'[2]2022年6月'!$B$1:$N$65536,11,FALSE)</f>
        <v>3310.34</v>
      </c>
      <c r="V17" s="216">
        <f>VLOOKUP(D17,'[2]2022年6月'!$B$1:$N$65536,12,FALSE)</f>
        <v>0</v>
      </c>
      <c r="W17" s="176">
        <f>VLOOKUP(D17,'[2]2022年6月'!$B$1:$N$65536,13,FALSE)</f>
        <v>28310.34</v>
      </c>
    </row>
    <row r="18" spans="1:23">
      <c r="A18" s="213">
        <v>16</v>
      </c>
      <c r="B18" s="217" t="s">
        <v>55</v>
      </c>
      <c r="C18" s="223">
        <v>44562</v>
      </c>
      <c r="D18" s="110" t="s">
        <v>54</v>
      </c>
      <c r="E18" s="176"/>
      <c r="F18" s="176"/>
      <c r="G18" s="176"/>
      <c r="H18" s="176"/>
      <c r="I18" s="176"/>
      <c r="J18" s="122"/>
      <c r="K18" s="218"/>
      <c r="L18" s="215"/>
      <c r="M18" s="142" t="s">
        <v>63</v>
      </c>
      <c r="N18" s="303">
        <f>VLOOKUP(D18,'[2]2022年6月'!$B$1:$N$65536,4,FALSE)</f>
        <v>312000</v>
      </c>
      <c r="O18" s="303">
        <f>VLOOKUP(D18,'[2]2022年6月'!$B$1:$N$65536,5,FALSE)</f>
        <v>26000</v>
      </c>
      <c r="P18" s="304">
        <f>VLOOKUP(D18,'[2]2022年6月'!$B$1:$N$65536,6,FALSE)</f>
        <v>0.7</v>
      </c>
      <c r="Q18" s="176">
        <f>VLOOKUP(D18,'[2]2022年6月'!$B$1:$N$65536,7,FALSE)</f>
        <v>0.3</v>
      </c>
      <c r="R18" s="176">
        <f>VLOOKUP(D18,'[2]2022年6月'!$B$1:$N$65536,8,FALSE)</f>
        <v>18200</v>
      </c>
      <c r="S18" s="176">
        <f>VLOOKUP(D18,'[2]2022年6月'!$B$1:$N$65536,9,FALSE)</f>
        <v>7800</v>
      </c>
      <c r="T18" s="176">
        <f>VLOOKUP(D18,'[2]2022年6月'!$B$1:$N$65536,10,FALSE)</f>
        <v>1000</v>
      </c>
      <c r="U18" s="216">
        <f>VLOOKUP(D18,'[2]2022年6月'!$B$1:$N$65536,11,FALSE)</f>
        <v>3586.21</v>
      </c>
      <c r="V18" s="216">
        <f>VLOOKUP(D18,'[2]2022年6月'!$B$1:$N$65536,12,FALSE)</f>
        <v>0</v>
      </c>
      <c r="W18" s="176">
        <f>VLOOKUP(D18,'[2]2022年6月'!$B$1:$N$65536,13,FALSE)</f>
        <v>30586.21</v>
      </c>
    </row>
    <row r="19" spans="1:23">
      <c r="A19" s="213">
        <v>17</v>
      </c>
      <c r="B19" s="217" t="s">
        <v>57</v>
      </c>
      <c r="C19" s="223">
        <v>44562</v>
      </c>
      <c r="D19" s="110" t="s">
        <v>56</v>
      </c>
      <c r="E19" s="176"/>
      <c r="F19" s="176"/>
      <c r="G19" s="176"/>
      <c r="H19" s="176"/>
      <c r="I19" s="176"/>
      <c r="J19" s="122"/>
      <c r="K19" s="218"/>
      <c r="L19" s="214"/>
      <c r="M19" s="142" t="s">
        <v>63</v>
      </c>
      <c r="N19" s="303">
        <f>VLOOKUP(D19,'[2]2022年6月'!$B$1:$N$65536,4,FALSE)</f>
        <v>324000</v>
      </c>
      <c r="O19" s="303">
        <f>VLOOKUP(D19,'[2]2022年6月'!$B$1:$N$65536,5,FALSE)</f>
        <v>27000</v>
      </c>
      <c r="P19" s="304">
        <f>VLOOKUP(D19,'[2]2022年6月'!$B$1:$N$65536,6,FALSE)</f>
        <v>0.7</v>
      </c>
      <c r="Q19" s="176">
        <f>VLOOKUP(D19,'[2]2022年6月'!$B$1:$N$65536,7,FALSE)</f>
        <v>0.3</v>
      </c>
      <c r="R19" s="176">
        <f>VLOOKUP(D19,'[2]2022年6月'!$B$1:$N$65536,8,FALSE)</f>
        <v>18900</v>
      </c>
      <c r="S19" s="176">
        <f>VLOOKUP(D19,'[2]2022年6月'!$B$1:$N$65536,9,FALSE)</f>
        <v>8100</v>
      </c>
      <c r="T19" s="176">
        <f>VLOOKUP(D19,'[2]2022年6月'!$B$1:$N$65536,10,FALSE)</f>
        <v>1000</v>
      </c>
      <c r="U19" s="216">
        <f>VLOOKUP(D19,'[2]2022年6月'!$B$1:$N$65536,11,FALSE)</f>
        <v>2482.7600000000002</v>
      </c>
      <c r="V19" s="216">
        <f>VLOOKUP(D19,'[2]2022年6月'!$B$1:$N$65536,12,FALSE)</f>
        <v>0</v>
      </c>
      <c r="W19" s="176">
        <f>VLOOKUP(D19,'[2]2022年6月'!$B$1:$N$65536,13,FALSE)</f>
        <v>30482.760000000002</v>
      </c>
    </row>
    <row r="20" spans="1:23">
      <c r="A20" s="213">
        <v>18</v>
      </c>
      <c r="B20" s="217" t="s">
        <v>59</v>
      </c>
      <c r="C20" s="223">
        <v>44562</v>
      </c>
      <c r="D20" s="110" t="s">
        <v>58</v>
      </c>
      <c r="E20" s="176"/>
      <c r="F20" s="176"/>
      <c r="G20" s="176"/>
      <c r="H20" s="176"/>
      <c r="I20" s="176"/>
      <c r="J20" s="122"/>
      <c r="K20" s="218"/>
      <c r="L20" s="214"/>
      <c r="M20" s="142" t="s">
        <v>63</v>
      </c>
      <c r="N20" s="303">
        <f>VLOOKUP(D20,'[2]2022年6月'!$B$1:$N$65536,4,FALSE)</f>
        <v>228000</v>
      </c>
      <c r="O20" s="303">
        <f>VLOOKUP(D20,'[2]2022年6月'!$B$1:$N$65536,5,FALSE)</f>
        <v>19000</v>
      </c>
      <c r="P20" s="304">
        <f>VLOOKUP(D20,'[2]2022年6月'!$B$1:$N$65536,6,FALSE)</f>
        <v>0.7</v>
      </c>
      <c r="Q20" s="176">
        <f>VLOOKUP(D20,'[2]2022年6月'!$B$1:$N$65536,7,FALSE)</f>
        <v>0.3</v>
      </c>
      <c r="R20" s="176">
        <f>VLOOKUP(D20,'[2]2022年6月'!$B$1:$N$65536,8,FALSE)</f>
        <v>13300</v>
      </c>
      <c r="S20" s="176">
        <f>VLOOKUP(D20,'[2]2022年6月'!$B$1:$N$65536,9,FALSE)</f>
        <v>5700</v>
      </c>
      <c r="T20" s="176">
        <f>VLOOKUP(D20,'[2]2022年6月'!$B$1:$N$65536,10,FALSE)</f>
        <v>1000</v>
      </c>
      <c r="U20" s="216">
        <f>VLOOKUP(D20,'[2]2022年6月'!$B$1:$N$65536,11,FALSE)</f>
        <v>0</v>
      </c>
      <c r="V20" s="216">
        <f>VLOOKUP(D20,'[2]2022年6月'!$B$1:$N$65536,12,FALSE)</f>
        <v>0</v>
      </c>
      <c r="W20" s="176">
        <f>VLOOKUP(D20,'[2]2022年6月'!$B$1:$N$65536,13,FALSE)</f>
        <v>20000</v>
      </c>
    </row>
    <row r="21" spans="1:23">
      <c r="A21" s="213">
        <v>19</v>
      </c>
      <c r="B21" s="217" t="s">
        <v>231</v>
      </c>
      <c r="C21" s="222">
        <v>44606</v>
      </c>
      <c r="D21" s="111" t="s">
        <v>230</v>
      </c>
      <c r="E21" s="220"/>
      <c r="F21" s="176"/>
      <c r="G21" s="176"/>
      <c r="H21" s="176"/>
      <c r="I21" s="176"/>
      <c r="J21" s="122"/>
      <c r="K21" s="218"/>
      <c r="L21" s="214"/>
      <c r="M21" s="142" t="s">
        <v>63</v>
      </c>
      <c r="N21" s="303">
        <f>VLOOKUP(D21,'[2]2022年6月'!$B$1:$N$65536,4,FALSE)</f>
        <v>120000</v>
      </c>
      <c r="O21" s="303">
        <f>VLOOKUP(D21,'[2]2022年6月'!$B$1:$N$65536,5,FALSE)</f>
        <v>10000</v>
      </c>
      <c r="P21" s="304">
        <f>VLOOKUP(D21,'[2]2022年6月'!$B$1:$N$65536,6,FALSE)</f>
        <v>0.7</v>
      </c>
      <c r="Q21" s="176">
        <f>VLOOKUP(D21,'[2]2022年6月'!$B$1:$N$65536,7,FALSE)</f>
        <v>0.3</v>
      </c>
      <c r="R21" s="176">
        <f>VLOOKUP(D21,'[2]2022年6月'!$B$1:$N$65536,8,FALSE)</f>
        <v>7000</v>
      </c>
      <c r="S21" s="176">
        <f>VLOOKUP(D21,'[2]2022年6月'!$B$1:$N$65536,9,FALSE)</f>
        <v>3000</v>
      </c>
      <c r="T21" s="176">
        <f>VLOOKUP(D21,'[2]2022年6月'!$B$1:$N$65536,10,FALSE)</f>
        <v>1000</v>
      </c>
      <c r="U21" s="216">
        <f>VLOOKUP(D21,'[2]2022年6月'!$B$1:$N$65536,11,FALSE)</f>
        <v>0</v>
      </c>
      <c r="V21" s="216">
        <f>VLOOKUP(D21,'[2]2022年6月'!$B$1:$N$65536,12,FALSE)</f>
        <v>0</v>
      </c>
      <c r="W21" s="176">
        <f>VLOOKUP(D21,'[2]2022年6月'!$B$1:$N$65536,13,FALSE)</f>
        <v>11000</v>
      </c>
    </row>
    <row r="22" spans="1:23">
      <c r="A22" s="213">
        <v>20</v>
      </c>
      <c r="B22" s="217" t="s">
        <v>233</v>
      </c>
      <c r="C22" s="222">
        <v>44614</v>
      </c>
      <c r="D22" s="111" t="s">
        <v>232</v>
      </c>
      <c r="E22" s="220"/>
      <c r="F22" s="176"/>
      <c r="G22" s="176"/>
      <c r="H22" s="176"/>
      <c r="I22" s="176"/>
      <c r="J22" s="122"/>
      <c r="K22" s="218"/>
      <c r="L22" s="214"/>
      <c r="M22" s="142" t="s">
        <v>63</v>
      </c>
      <c r="N22" s="303">
        <f>VLOOKUP(D22,'[2]2022年6月'!$B$1:$N$65536,4,FALSE)</f>
        <v>168000</v>
      </c>
      <c r="O22" s="303">
        <f>VLOOKUP(D22,'[2]2022年6月'!$B$1:$N$65536,5,FALSE)</f>
        <v>14000</v>
      </c>
      <c r="P22" s="304">
        <f>VLOOKUP(D22,'[2]2022年6月'!$B$1:$N$65536,6,FALSE)</f>
        <v>0.7</v>
      </c>
      <c r="Q22" s="176">
        <f>VLOOKUP(D22,'[2]2022年6月'!$B$1:$N$65536,7,FALSE)</f>
        <v>0.3</v>
      </c>
      <c r="R22" s="176">
        <f>VLOOKUP(D22,'[2]2022年6月'!$B$1:$N$65536,8,FALSE)</f>
        <v>9800</v>
      </c>
      <c r="S22" s="176">
        <f>VLOOKUP(D22,'[2]2022年6月'!$B$1:$N$65536,9,FALSE)</f>
        <v>4200</v>
      </c>
      <c r="T22" s="176">
        <f>VLOOKUP(D22,'[2]2022年6月'!$B$1:$N$65536,10,FALSE)</f>
        <v>1000</v>
      </c>
      <c r="U22" s="216">
        <f>VLOOKUP(D22,'[2]2022年6月'!$B$1:$N$65536,11,FALSE)</f>
        <v>1287.3599999999999</v>
      </c>
      <c r="V22" s="216">
        <f>VLOOKUP(D22,'[2]2022年6月'!$B$1:$N$65536,12,FALSE)</f>
        <v>0</v>
      </c>
      <c r="W22" s="176">
        <f>VLOOKUP(D22,'[2]2022年6月'!$B$1:$N$65536,13,FALSE)</f>
        <v>16287.36</v>
      </c>
    </row>
    <row r="23" spans="1:23">
      <c r="A23" s="213">
        <v>21</v>
      </c>
      <c r="B23" s="217" t="s">
        <v>304</v>
      </c>
      <c r="C23" s="222">
        <v>44606</v>
      </c>
      <c r="D23" s="111" t="s">
        <v>234</v>
      </c>
      <c r="E23" s="220"/>
      <c r="F23" s="176"/>
      <c r="G23" s="176"/>
      <c r="H23" s="176"/>
      <c r="I23" s="176"/>
      <c r="J23" s="122"/>
      <c r="K23" s="218"/>
      <c r="L23" s="214"/>
      <c r="M23" s="142" t="s">
        <v>63</v>
      </c>
      <c r="N23" s="303">
        <f>VLOOKUP(D23,'[2]2022年6月'!$B$1:$N$65536,4,FALSE)</f>
        <v>144000</v>
      </c>
      <c r="O23" s="303">
        <f>VLOOKUP(D23,'[2]2022年6月'!$B$1:$N$65536,5,FALSE)</f>
        <v>12000</v>
      </c>
      <c r="P23" s="304">
        <f>VLOOKUP(D23,'[2]2022年6月'!$B$1:$N$65536,6,FALSE)</f>
        <v>0.7</v>
      </c>
      <c r="Q23" s="176">
        <f>VLOOKUP(D23,'[2]2022年6月'!$B$1:$N$65536,7,FALSE)</f>
        <v>0.3</v>
      </c>
      <c r="R23" s="176">
        <f>VLOOKUP(D23,'[2]2022年6月'!$B$1:$N$65536,8,FALSE)</f>
        <v>8400</v>
      </c>
      <c r="S23" s="176">
        <f>VLOOKUP(D23,'[2]2022年6月'!$B$1:$N$65536,9,FALSE)</f>
        <v>3600</v>
      </c>
      <c r="T23" s="176">
        <f>VLOOKUP(D23,'[2]2022年6月'!$B$1:$N$65536,10,FALSE)</f>
        <v>1000</v>
      </c>
      <c r="U23" s="216">
        <f>VLOOKUP(D23,'[2]2022年6月'!$B$1:$N$65536,11,FALSE)</f>
        <v>0</v>
      </c>
      <c r="V23" s="216">
        <f>VLOOKUP(D23,'[2]2022年6月'!$B$1:$N$65536,12,FALSE)</f>
        <v>0</v>
      </c>
      <c r="W23" s="176">
        <f>VLOOKUP(D23,'[2]2022年6月'!$B$1:$N$65536,13,FALSE)</f>
        <v>13000</v>
      </c>
    </row>
    <row r="24" spans="1:23">
      <c r="A24" s="213">
        <v>22</v>
      </c>
      <c r="B24" s="217" t="s">
        <v>350</v>
      </c>
      <c r="C24" s="222">
        <v>44627</v>
      </c>
      <c r="D24" s="111" t="s">
        <v>351</v>
      </c>
      <c r="E24" s="220"/>
      <c r="F24" s="176"/>
      <c r="G24" s="176"/>
      <c r="H24" s="176"/>
      <c r="I24" s="176"/>
      <c r="J24" s="122"/>
      <c r="K24" s="218"/>
      <c r="L24" s="214"/>
      <c r="M24" s="142" t="s">
        <v>63</v>
      </c>
      <c r="N24" s="303">
        <f>VLOOKUP(D24,'[2]2022年6月'!$B$1:$N$65536,4,FALSE)</f>
        <v>228000</v>
      </c>
      <c r="O24" s="303">
        <f>VLOOKUP(D24,'[2]2022年6月'!$B$1:$N$65536,5,FALSE)</f>
        <v>19000</v>
      </c>
      <c r="P24" s="304">
        <f>VLOOKUP(D24,'[2]2022年6月'!$B$1:$N$65536,6,FALSE)</f>
        <v>0.7</v>
      </c>
      <c r="Q24" s="176">
        <f>VLOOKUP(D24,'[2]2022年6月'!$B$1:$N$65536,7,FALSE)</f>
        <v>0.3</v>
      </c>
      <c r="R24" s="176">
        <f>VLOOKUP(D24,'[2]2022年6月'!$B$1:$N$65536,8,FALSE)</f>
        <v>13300</v>
      </c>
      <c r="S24" s="176">
        <f>VLOOKUP(D24,'[2]2022年6月'!$B$1:$N$65536,9,FALSE)</f>
        <v>5700</v>
      </c>
      <c r="T24" s="176">
        <f>VLOOKUP(D24,'[2]2022年6月'!$B$1:$N$65536,10,FALSE)</f>
        <v>1000</v>
      </c>
      <c r="U24" s="216">
        <f>VLOOKUP(D24,'[2]2022年6月'!$B$1:$N$65536,11,FALSE)</f>
        <v>0</v>
      </c>
      <c r="V24" s="216">
        <f>VLOOKUP(D24,'[2]2022年6月'!$B$1:$N$65536,12,FALSE)</f>
        <v>0</v>
      </c>
      <c r="W24" s="176">
        <f>VLOOKUP(D24,'[2]2022年6月'!$B$1:$N$65536,13,FALSE)</f>
        <v>20000</v>
      </c>
    </row>
    <row r="25" spans="1:23">
      <c r="A25" s="213">
        <v>23</v>
      </c>
      <c r="B25" s="217" t="s">
        <v>352</v>
      </c>
      <c r="C25" s="222">
        <v>44627</v>
      </c>
      <c r="D25" s="111" t="s">
        <v>336</v>
      </c>
      <c r="E25" s="176"/>
      <c r="F25" s="176"/>
      <c r="G25" s="176"/>
      <c r="H25" s="176"/>
      <c r="I25" s="176"/>
      <c r="J25" s="122"/>
      <c r="K25" s="176"/>
      <c r="L25" s="176"/>
      <c r="M25" s="142" t="s">
        <v>63</v>
      </c>
      <c r="N25" s="303">
        <f>VLOOKUP(D25,'[2]2022年6月'!$B$1:$N$65536,4,FALSE)</f>
        <v>144000</v>
      </c>
      <c r="O25" s="303">
        <f>VLOOKUP(D25,'[2]2022年6月'!$B$1:$N$65536,5,FALSE)</f>
        <v>12000</v>
      </c>
      <c r="P25" s="304">
        <f>VLOOKUP(D25,'[2]2022年6月'!$B$1:$N$65536,6,FALSE)</f>
        <v>0.7</v>
      </c>
      <c r="Q25" s="176">
        <f>VLOOKUP(D25,'[2]2022年6月'!$B$1:$N$65536,7,FALSE)</f>
        <v>0.3</v>
      </c>
      <c r="R25" s="176">
        <f>VLOOKUP(D25,'[2]2022年6月'!$B$1:$N$65536,8,FALSE)</f>
        <v>8400</v>
      </c>
      <c r="S25" s="176">
        <f>VLOOKUP(D25,'[2]2022年6月'!$B$1:$N$65536,9,FALSE)</f>
        <v>3600</v>
      </c>
      <c r="T25" s="176">
        <f>VLOOKUP(D25,'[2]2022年6月'!$B$1:$N$65536,10,FALSE)</f>
        <v>1000</v>
      </c>
      <c r="U25" s="216">
        <f>VLOOKUP(D25,'[2]2022年6月'!$B$1:$N$65536,11,FALSE)</f>
        <v>1103.45</v>
      </c>
      <c r="V25" s="216">
        <f>VLOOKUP(D25,'[2]2022年6月'!$B$1:$N$65536,12,FALSE)</f>
        <v>0</v>
      </c>
      <c r="W25" s="176">
        <f>VLOOKUP(D25,'[2]2022年6月'!$B$1:$N$65536,13,FALSE)</f>
        <v>14103.45</v>
      </c>
    </row>
    <row r="26" spans="1:23">
      <c r="A26" s="213">
        <v>24</v>
      </c>
      <c r="B26" s="217" t="s">
        <v>353</v>
      </c>
      <c r="C26" s="222">
        <v>44627</v>
      </c>
      <c r="D26" s="111" t="s">
        <v>337</v>
      </c>
      <c r="E26" s="176"/>
      <c r="F26" s="176"/>
      <c r="G26" s="176"/>
      <c r="H26" s="176"/>
      <c r="I26" s="176"/>
      <c r="J26" s="122"/>
      <c r="K26" s="176"/>
      <c r="L26" s="176"/>
      <c r="M26" s="142" t="s">
        <v>63</v>
      </c>
      <c r="N26" s="303">
        <f>VLOOKUP(D26,'[2]2022年6月'!$B$1:$N$65536,4,FALSE)</f>
        <v>144000</v>
      </c>
      <c r="O26" s="303">
        <f>VLOOKUP(D26,'[2]2022年6月'!$B$1:$N$65536,5,FALSE)</f>
        <v>12000</v>
      </c>
      <c r="P26" s="304">
        <f>VLOOKUP(D26,'[2]2022年6月'!$B$1:$N$65536,6,FALSE)</f>
        <v>0.7</v>
      </c>
      <c r="Q26" s="176">
        <f>VLOOKUP(D26,'[2]2022年6月'!$B$1:$N$65536,7,FALSE)</f>
        <v>0.3</v>
      </c>
      <c r="R26" s="176">
        <f>VLOOKUP(D26,'[2]2022年6月'!$B$1:$N$65536,8,FALSE)</f>
        <v>8400</v>
      </c>
      <c r="S26" s="176">
        <f>VLOOKUP(D26,'[2]2022年6月'!$B$1:$N$65536,9,FALSE)</f>
        <v>3600</v>
      </c>
      <c r="T26" s="176">
        <f>VLOOKUP(D26,'[2]2022年6月'!$B$1:$N$65536,10,FALSE)</f>
        <v>1000</v>
      </c>
      <c r="U26" s="216">
        <f>VLOOKUP(D26,'[2]2022年6月'!$B$1:$N$65536,11,FALSE)</f>
        <v>0</v>
      </c>
      <c r="V26" s="216">
        <f>VLOOKUP(D26,'[2]2022年6月'!$B$1:$N$65536,12,FALSE)</f>
        <v>0</v>
      </c>
      <c r="W26" s="176">
        <f>VLOOKUP(D26,'[2]2022年6月'!$B$1:$N$65536,13,FALSE)</f>
        <v>13000</v>
      </c>
    </row>
    <row r="27" spans="1:23">
      <c r="A27" s="213">
        <v>25</v>
      </c>
      <c r="B27" s="217" t="s">
        <v>438</v>
      </c>
      <c r="C27" s="222">
        <v>44652</v>
      </c>
      <c r="D27" s="111" t="s">
        <v>362</v>
      </c>
      <c r="E27" s="103"/>
      <c r="M27" s="142" t="s">
        <v>63</v>
      </c>
      <c r="N27" s="303">
        <f>VLOOKUP(D27,'[2]2022年6月'!$B$1:$N$65536,4,FALSE)</f>
        <v>180000</v>
      </c>
      <c r="O27" s="303">
        <f>VLOOKUP(D27,'[2]2022年6月'!$B$1:$N$65536,5,FALSE)</f>
        <v>15000</v>
      </c>
      <c r="P27" s="304">
        <f>VLOOKUP(D27,'[2]2022年6月'!$B$1:$N$65536,6,FALSE)</f>
        <v>0.7</v>
      </c>
      <c r="Q27" s="176">
        <f>VLOOKUP(D27,'[2]2022年6月'!$B$1:$N$65536,7,FALSE)</f>
        <v>0.3</v>
      </c>
      <c r="R27" s="176">
        <f>VLOOKUP(D27,'[2]2022年6月'!$B$1:$N$65536,8,FALSE)</f>
        <v>10500</v>
      </c>
      <c r="S27" s="176">
        <f>VLOOKUP(D27,'[2]2022年6月'!$B$1:$N$65536,9,FALSE)</f>
        <v>4500</v>
      </c>
      <c r="T27" s="176">
        <f>VLOOKUP(D27,'[2]2022年6月'!$B$1:$N$65536,10,FALSE)</f>
        <v>1000</v>
      </c>
      <c r="U27" s="216">
        <f>VLOOKUP(D27,'[2]2022年6月'!$B$1:$N$65536,11,FALSE)</f>
        <v>3448.28</v>
      </c>
      <c r="V27" s="216">
        <f>VLOOKUP(D27,'[2]2022年6月'!$B$1:$N$65536,12,FALSE)</f>
        <v>0</v>
      </c>
      <c r="W27" s="176">
        <f>VLOOKUP(D27,'[2]2022年6月'!$B$1:$N$65536,13,FALSE)</f>
        <v>19448.28</v>
      </c>
    </row>
    <row r="28" spans="1:23">
      <c r="A28" s="213">
        <v>26</v>
      </c>
      <c r="B28" s="217" t="s">
        <v>439</v>
      </c>
      <c r="C28" s="222">
        <v>44652</v>
      </c>
      <c r="D28" s="111" t="s">
        <v>363</v>
      </c>
      <c r="E28" s="103"/>
      <c r="M28" s="142" t="s">
        <v>63</v>
      </c>
      <c r="N28" s="303">
        <f>VLOOKUP(D28,'[2]2022年6月'!$B$1:$N$65536,4,FALSE)</f>
        <v>252000</v>
      </c>
      <c r="O28" s="303">
        <f>VLOOKUP(D28,'[2]2022年6月'!$B$1:$N$65536,5,FALSE)</f>
        <v>21000</v>
      </c>
      <c r="P28" s="304">
        <f>VLOOKUP(D28,'[2]2022年6月'!$B$1:$N$65536,6,FALSE)</f>
        <v>0.7</v>
      </c>
      <c r="Q28" s="176">
        <f>VLOOKUP(D28,'[2]2022年6月'!$B$1:$N$65536,7,FALSE)</f>
        <v>0.3</v>
      </c>
      <c r="R28" s="176">
        <f>VLOOKUP(D28,'[2]2022年6月'!$B$1:$N$65536,8,FALSE)</f>
        <v>14699.999999999998</v>
      </c>
      <c r="S28" s="176">
        <f>VLOOKUP(D28,'[2]2022年6月'!$B$1:$N$65536,9,FALSE)</f>
        <v>6300</v>
      </c>
      <c r="T28" s="176">
        <f>VLOOKUP(D28,'[2]2022年6月'!$B$1:$N$65536,10,FALSE)</f>
        <v>1000</v>
      </c>
      <c r="U28" s="216">
        <f>VLOOKUP(D28,'[2]2022年6月'!$B$1:$N$65536,11,FALSE)</f>
        <v>4827.58</v>
      </c>
      <c r="V28" s="216">
        <f>VLOOKUP(D28,'[2]2022年6月'!$B$1:$N$65536,12,FALSE)</f>
        <v>0</v>
      </c>
      <c r="W28" s="176">
        <f>VLOOKUP(D28,'[2]2022年6月'!$B$1:$N$65536,13,FALSE)</f>
        <v>26827.58</v>
      </c>
    </row>
    <row r="29" spans="1:23">
      <c r="A29" s="213">
        <v>27</v>
      </c>
      <c r="B29" s="217" t="s">
        <v>443</v>
      </c>
      <c r="C29" s="222">
        <v>44652</v>
      </c>
      <c r="D29" s="111" t="s">
        <v>364</v>
      </c>
      <c r="E29" s="103"/>
      <c r="M29" s="142" t="s">
        <v>63</v>
      </c>
      <c r="N29" s="303">
        <f>VLOOKUP(D29,'[2]2022年6月'!$B$1:$N$65536,4,FALSE)</f>
        <v>228000</v>
      </c>
      <c r="O29" s="303">
        <f>VLOOKUP(D29,'[2]2022年6月'!$B$1:$N$65536,5,FALSE)</f>
        <v>19000</v>
      </c>
      <c r="P29" s="304">
        <f>VLOOKUP(D29,'[2]2022年6月'!$B$1:$N$65536,6,FALSE)</f>
        <v>0.7</v>
      </c>
      <c r="Q29" s="176">
        <f>VLOOKUP(D29,'[2]2022年6月'!$B$1:$N$65536,7,FALSE)</f>
        <v>0.3</v>
      </c>
      <c r="R29" s="176">
        <f>VLOOKUP(D29,'[2]2022年6月'!$B$1:$N$65536,8,FALSE)</f>
        <v>13300</v>
      </c>
      <c r="S29" s="176">
        <f>VLOOKUP(D29,'[2]2022年6月'!$B$1:$N$65536,9,FALSE)</f>
        <v>5700</v>
      </c>
      <c r="T29" s="176">
        <f>VLOOKUP(D29,'[2]2022年6月'!$B$1:$N$65536,10,FALSE)</f>
        <v>1000</v>
      </c>
      <c r="U29" s="216">
        <f>VLOOKUP(D29,'[2]2022年6月'!$B$1:$N$65536,11,FALSE)</f>
        <v>6114.95</v>
      </c>
      <c r="V29" s="216">
        <f>VLOOKUP(D29,'[2]2022年6月'!$B$1:$N$65536,12,FALSE)</f>
        <v>0</v>
      </c>
      <c r="W29" s="176">
        <f>VLOOKUP(D29,'[2]2022年6月'!$B$1:$N$65536,13,FALSE)</f>
        <v>26114.95</v>
      </c>
    </row>
    <row r="30" spans="1:23">
      <c r="A30" s="213">
        <v>28</v>
      </c>
      <c r="B30" s="217" t="s">
        <v>441</v>
      </c>
      <c r="C30" s="222">
        <v>44652</v>
      </c>
      <c r="D30" s="111" t="s">
        <v>365</v>
      </c>
      <c r="E30" s="103"/>
      <c r="M30" s="142" t="s">
        <v>63</v>
      </c>
      <c r="N30" s="303">
        <f>VLOOKUP(D30,'[2]2022年6月'!$B$1:$N$65536,4,FALSE)</f>
        <v>120000</v>
      </c>
      <c r="O30" s="303">
        <f>VLOOKUP(D30,'[2]2022年6月'!$B$1:$N$65536,5,FALSE)</f>
        <v>10000</v>
      </c>
      <c r="P30" s="304">
        <f>VLOOKUP(D30,'[2]2022年6月'!$B$1:$N$65536,6,FALSE)</f>
        <v>0.7</v>
      </c>
      <c r="Q30" s="176">
        <f>VLOOKUP(D30,'[2]2022年6月'!$B$1:$N$65536,7,FALSE)</f>
        <v>0.3</v>
      </c>
      <c r="R30" s="176">
        <f>VLOOKUP(D30,'[2]2022年6月'!$B$1:$N$65536,8,FALSE)</f>
        <v>7000</v>
      </c>
      <c r="S30" s="176">
        <f>VLOOKUP(D30,'[2]2022年6月'!$B$1:$N$65536,9,FALSE)</f>
        <v>3000</v>
      </c>
      <c r="T30" s="176">
        <f>VLOOKUP(D30,'[2]2022年6月'!$B$1:$N$65536,10,FALSE)</f>
        <v>1000</v>
      </c>
      <c r="U30" s="216">
        <f>VLOOKUP(D30,'[2]2022年6月'!$B$1:$N$65536,11,FALSE)</f>
        <v>0</v>
      </c>
      <c r="V30" s="216">
        <f>VLOOKUP(D30,'[2]2022年6月'!$B$1:$N$65536,12,FALSE)</f>
        <v>0</v>
      </c>
      <c r="W30" s="176">
        <f>VLOOKUP(D30,'[2]2022年6月'!$B$1:$N$65536,13,FALSE)</f>
        <v>11000</v>
      </c>
    </row>
    <row r="31" spans="1:23">
      <c r="A31" s="213">
        <v>29</v>
      </c>
      <c r="B31" s="217" t="s">
        <v>437</v>
      </c>
      <c r="C31" s="222">
        <v>44652</v>
      </c>
      <c r="D31" s="111" t="s">
        <v>366</v>
      </c>
      <c r="E31" s="103"/>
      <c r="M31" s="142" t="s">
        <v>63</v>
      </c>
      <c r="N31" s="303">
        <f>VLOOKUP(D31,'[2]2022年6月'!$B$1:$N$65536,4,FALSE)</f>
        <v>120000</v>
      </c>
      <c r="O31" s="303">
        <f>VLOOKUP(D31,'[2]2022年6月'!$B$1:$N$65536,5,FALSE)</f>
        <v>10000</v>
      </c>
      <c r="P31" s="304">
        <f>VLOOKUP(D31,'[2]2022年6月'!$B$1:$N$65536,6,FALSE)</f>
        <v>0.7</v>
      </c>
      <c r="Q31" s="176">
        <f>VLOOKUP(D31,'[2]2022年6月'!$B$1:$N$65536,7,FALSE)</f>
        <v>0.3</v>
      </c>
      <c r="R31" s="176">
        <f>VLOOKUP(D31,'[2]2022年6月'!$B$1:$N$65536,8,FALSE)</f>
        <v>7000</v>
      </c>
      <c r="S31" s="176">
        <f>VLOOKUP(D31,'[2]2022年6月'!$B$1:$N$65536,9,FALSE)</f>
        <v>3000</v>
      </c>
      <c r="T31" s="176">
        <f>VLOOKUP(D31,'[2]2022年6月'!$B$1:$N$65536,10,FALSE)</f>
        <v>1000</v>
      </c>
      <c r="U31" s="216">
        <f>VLOOKUP(D31,'[2]2022年6月'!$B$1:$N$65536,11,FALSE)</f>
        <v>0</v>
      </c>
      <c r="V31" s="216">
        <f>VLOOKUP(D31,'[2]2022年6月'!$B$1:$N$65536,12,FALSE)</f>
        <v>0</v>
      </c>
      <c r="W31" s="176">
        <f>VLOOKUP(D31,'[2]2022年6月'!$B$1:$N$65536,13,FALSE)</f>
        <v>11000</v>
      </c>
    </row>
    <row r="32" spans="1:23">
      <c r="A32" s="213">
        <v>30</v>
      </c>
      <c r="B32" s="217" t="s">
        <v>440</v>
      </c>
      <c r="C32" s="222">
        <v>44652</v>
      </c>
      <c r="D32" s="111" t="s">
        <v>367</v>
      </c>
      <c r="E32" s="103"/>
      <c r="M32" s="142" t="s">
        <v>63</v>
      </c>
      <c r="N32" s="303">
        <f>VLOOKUP(D32,'[2]2022年6月'!$B$1:$N$65536,4,FALSE)</f>
        <v>120000</v>
      </c>
      <c r="O32" s="303">
        <f>VLOOKUP(D32,'[2]2022年6月'!$B$1:$N$65536,5,FALSE)</f>
        <v>10000</v>
      </c>
      <c r="P32" s="304">
        <f>VLOOKUP(D32,'[2]2022年6月'!$B$1:$N$65536,6,FALSE)</f>
        <v>0.7</v>
      </c>
      <c r="Q32" s="176">
        <f>VLOOKUP(D32,'[2]2022年6月'!$B$1:$N$65536,7,FALSE)</f>
        <v>0.3</v>
      </c>
      <c r="R32" s="176">
        <f>VLOOKUP(D32,'[2]2022年6月'!$B$1:$N$65536,8,FALSE)</f>
        <v>7000</v>
      </c>
      <c r="S32" s="176">
        <f>VLOOKUP(D32,'[2]2022年6月'!$B$1:$N$65536,9,FALSE)</f>
        <v>3000</v>
      </c>
      <c r="T32" s="176">
        <f>VLOOKUP(D32,'[2]2022年6月'!$B$1:$N$65536,10,FALSE)</f>
        <v>1000</v>
      </c>
      <c r="U32" s="216">
        <f>VLOOKUP(D32,'[2]2022年6月'!$B$1:$N$65536,11,FALSE)</f>
        <v>919.54</v>
      </c>
      <c r="V32" s="216">
        <f>VLOOKUP(D32,'[2]2022年6月'!$B$1:$N$65536,12,FALSE)</f>
        <v>0</v>
      </c>
      <c r="W32" s="176">
        <f>VLOOKUP(D32,'[2]2022年6月'!$B$1:$N$65536,13,FALSE)</f>
        <v>11919.54</v>
      </c>
    </row>
    <row r="33" spans="1:23">
      <c r="A33" s="213">
        <v>31</v>
      </c>
      <c r="B33" s="217" t="s">
        <v>436</v>
      </c>
      <c r="C33" s="222">
        <v>44652</v>
      </c>
      <c r="D33" s="111" t="s">
        <v>368</v>
      </c>
      <c r="E33" s="103"/>
      <c r="M33" s="142" t="s">
        <v>63</v>
      </c>
      <c r="N33" s="303">
        <f>VLOOKUP(D33,'[2]2022年6月'!$B$1:$N$65536,4,FALSE)</f>
        <v>120000</v>
      </c>
      <c r="O33" s="303">
        <f>VLOOKUP(D33,'[2]2022年6月'!$B$1:$N$65536,5,FALSE)</f>
        <v>10000</v>
      </c>
      <c r="P33" s="304">
        <f>VLOOKUP(D33,'[2]2022年6月'!$B$1:$N$65536,6,FALSE)</f>
        <v>0.7</v>
      </c>
      <c r="Q33" s="176">
        <f>VLOOKUP(D33,'[2]2022年6月'!$B$1:$N$65536,7,FALSE)</f>
        <v>0.3</v>
      </c>
      <c r="R33" s="176">
        <f>VLOOKUP(D33,'[2]2022年6月'!$B$1:$N$65536,8,FALSE)</f>
        <v>7000</v>
      </c>
      <c r="S33" s="176">
        <f>VLOOKUP(D33,'[2]2022年6月'!$B$1:$N$65536,9,FALSE)</f>
        <v>3000</v>
      </c>
      <c r="T33" s="176">
        <f>VLOOKUP(D33,'[2]2022年6月'!$B$1:$N$65536,10,FALSE)</f>
        <v>1000</v>
      </c>
      <c r="U33" s="216">
        <f>VLOOKUP(D33,'[2]2022年6月'!$B$1:$N$65536,11,FALSE)</f>
        <v>919.54</v>
      </c>
      <c r="V33" s="216">
        <f>VLOOKUP(D33,'[2]2022年6月'!$B$1:$N$65536,12,FALSE)</f>
        <v>0</v>
      </c>
      <c r="W33" s="176">
        <f>VLOOKUP(D33,'[2]2022年6月'!$B$1:$N$65536,13,FALSE)</f>
        <v>11919.54</v>
      </c>
    </row>
    <row r="34" spans="1:23">
      <c r="A34" s="213">
        <v>32</v>
      </c>
      <c r="B34" s="217" t="s">
        <v>435</v>
      </c>
      <c r="C34" s="222">
        <v>44652</v>
      </c>
      <c r="D34" s="111" t="s">
        <v>369</v>
      </c>
      <c r="E34" s="103"/>
      <c r="M34" s="142" t="s">
        <v>63</v>
      </c>
      <c r="N34" s="303">
        <f>VLOOKUP(D34,'[2]2022年6月'!$B$1:$N$65536,4,FALSE)</f>
        <v>132000</v>
      </c>
      <c r="O34" s="303">
        <f>VLOOKUP(D34,'[2]2022年6月'!$B$1:$N$65536,5,FALSE)</f>
        <v>11000</v>
      </c>
      <c r="P34" s="304">
        <f>VLOOKUP(D34,'[2]2022年6月'!$B$1:$N$65536,6,FALSE)</f>
        <v>0.7</v>
      </c>
      <c r="Q34" s="176">
        <f>VLOOKUP(D34,'[2]2022年6月'!$B$1:$N$65536,7,FALSE)</f>
        <v>0.3</v>
      </c>
      <c r="R34" s="176">
        <f>VLOOKUP(D34,'[2]2022年6月'!$B$1:$N$65536,8,FALSE)</f>
        <v>7699.9999999999991</v>
      </c>
      <c r="S34" s="176">
        <f>VLOOKUP(D34,'[2]2022年6月'!$B$1:$N$65536,9,FALSE)</f>
        <v>3300</v>
      </c>
      <c r="T34" s="176">
        <f>VLOOKUP(D34,'[2]2022年6月'!$B$1:$N$65536,10,FALSE)</f>
        <v>1000</v>
      </c>
      <c r="U34" s="216">
        <f>VLOOKUP(D34,'[2]2022年6月'!$B$1:$N$65536,11,FALSE)</f>
        <v>1517.24</v>
      </c>
      <c r="V34" s="216">
        <f>VLOOKUP(D34,'[2]2022年6月'!$B$1:$N$65536,12,FALSE)</f>
        <v>0</v>
      </c>
      <c r="W34" s="176">
        <f>VLOOKUP(D34,'[2]2022年6月'!$B$1:$N$65536,13,FALSE)</f>
        <v>13517.24</v>
      </c>
    </row>
    <row r="35" spans="1:23">
      <c r="A35" s="213">
        <v>33</v>
      </c>
      <c r="B35" s="217" t="s">
        <v>442</v>
      </c>
      <c r="C35" s="222">
        <v>44652</v>
      </c>
      <c r="D35" s="168" t="s">
        <v>370</v>
      </c>
      <c r="E35" s="103"/>
      <c r="M35" s="142" t="s">
        <v>300</v>
      </c>
      <c r="N35" s="303">
        <f>VLOOKUP(D35,'[2]2022年6月'!$B$1:$N$65536,4,FALSE)</f>
        <v>180000</v>
      </c>
      <c r="O35" s="303">
        <f>VLOOKUP(D35,'[2]2022年6月'!$B$1:$N$65536,5,FALSE)</f>
        <v>15000</v>
      </c>
      <c r="P35" s="304">
        <f>VLOOKUP(D35,'[2]2022年6月'!$B$1:$N$65536,6,FALSE)</f>
        <v>0.7</v>
      </c>
      <c r="Q35" s="176">
        <f>VLOOKUP(D35,'[2]2022年6月'!$B$1:$N$65536,7,FALSE)</f>
        <v>0.3</v>
      </c>
      <c r="R35" s="176">
        <f>VLOOKUP(D35,'[2]2022年6月'!$B$1:$N$65536,8,FALSE)</f>
        <v>10500</v>
      </c>
      <c r="S35" s="176">
        <f>VLOOKUP(D35,'[2]2022年6月'!$B$1:$N$65536,9,FALSE)</f>
        <v>4500</v>
      </c>
      <c r="T35" s="176">
        <f>VLOOKUP(D35,'[2]2022年6月'!$B$1:$N$65536,10,FALSE)</f>
        <v>0</v>
      </c>
      <c r="U35" s="216">
        <f>VLOOKUP(D35,'[2]2022年6月'!$B$1:$N$65536,11,FALSE)</f>
        <v>0</v>
      </c>
      <c r="V35" s="216">
        <f>VLOOKUP(D35,'[2]2022年6月'!$B$1:$N$65536,12,FALSE)</f>
        <v>500</v>
      </c>
      <c r="W35" s="176">
        <f>VLOOKUP(D35,'[2]2022年6月'!$B$1:$N$65536,13,FALSE)</f>
        <v>15500</v>
      </c>
    </row>
    <row r="36" spans="1:23">
      <c r="A36" s="213">
        <v>34</v>
      </c>
      <c r="B36" s="217" t="s">
        <v>434</v>
      </c>
      <c r="C36" s="222">
        <v>44652</v>
      </c>
      <c r="D36" s="291" t="s">
        <v>371</v>
      </c>
      <c r="E36" s="103"/>
      <c r="M36" s="142" t="s">
        <v>300</v>
      </c>
      <c r="N36" s="303">
        <f>VLOOKUP(D36,'[2]2022年6月'!$B$1:$N$65536,4,FALSE)</f>
        <v>180000</v>
      </c>
      <c r="O36" s="303">
        <f>VLOOKUP(D36,'[2]2022年6月'!$B$1:$N$65536,5,FALSE)</f>
        <v>15000</v>
      </c>
      <c r="P36" s="304">
        <f>VLOOKUP(D36,'[2]2022年6月'!$B$1:$N$65536,6,FALSE)</f>
        <v>0.7</v>
      </c>
      <c r="Q36" s="176">
        <f>VLOOKUP(D36,'[2]2022年6月'!$B$1:$N$65536,7,FALSE)</f>
        <v>0.3</v>
      </c>
      <c r="R36" s="176">
        <f>VLOOKUP(D36,'[2]2022年6月'!$B$1:$N$65536,8,FALSE)</f>
        <v>10500</v>
      </c>
      <c r="S36" s="176">
        <f>VLOOKUP(D36,'[2]2022年6月'!$B$1:$N$65536,9,FALSE)</f>
        <v>4500</v>
      </c>
      <c r="T36" s="176">
        <f>VLOOKUP(D36,'[2]2022年6月'!$B$1:$N$65536,10,FALSE)</f>
        <v>0</v>
      </c>
      <c r="U36" s="216">
        <f>VLOOKUP(D36,'[2]2022年6月'!$B$1:$N$65536,11,FALSE)</f>
        <v>0</v>
      </c>
      <c r="V36" s="216">
        <f>VLOOKUP(D36,'[2]2022年6月'!$B$1:$N$65536,12,FALSE)</f>
        <v>500</v>
      </c>
      <c r="W36" s="176">
        <f>VLOOKUP(D36,'[2]2022年6月'!$B$1:$N$65536,13,FALSE)</f>
        <v>15500</v>
      </c>
    </row>
    <row r="37" spans="1:23">
      <c r="A37" s="213">
        <v>35</v>
      </c>
      <c r="B37" s="217" t="s">
        <v>453</v>
      </c>
      <c r="C37" s="222">
        <v>44682</v>
      </c>
      <c r="D37" s="168" t="s">
        <v>471</v>
      </c>
      <c r="M37" s="142" t="s">
        <v>65</v>
      </c>
      <c r="N37" s="303">
        <f>VLOOKUP(D37,'[2]2022年6月'!$B$1:$N$65536,4,FALSE)</f>
        <v>208800</v>
      </c>
      <c r="O37" s="303">
        <f>VLOOKUP(D37,'[2]2022年6月'!$B$1:$N$65536,5,FALSE)</f>
        <v>17400</v>
      </c>
      <c r="P37" s="304">
        <f>VLOOKUP(D37,'[2]2022年6月'!$B$1:$N$65536,6,FALSE)</f>
        <v>0.7</v>
      </c>
      <c r="Q37" s="176">
        <f>VLOOKUP(D37,'[2]2022年6月'!$B$1:$N$65536,7,FALSE)</f>
        <v>0.3</v>
      </c>
      <c r="R37" s="176">
        <f>VLOOKUP(D37,'[2]2022年6月'!$B$1:$N$65536,8,FALSE)</f>
        <v>12180</v>
      </c>
      <c r="S37" s="176">
        <f>VLOOKUP(D37,'[2]2022年6月'!$B$1:$N$65536,9,FALSE)</f>
        <v>5220</v>
      </c>
      <c r="T37" s="176">
        <f>VLOOKUP(D37,'[2]2022年6月'!$B$1:$N$65536,10,FALSE)</f>
        <v>0</v>
      </c>
      <c r="U37" s="216">
        <f>VLOOKUP(D37,'[2]2022年6月'!$B$1:$N$65536,11,FALSE)</f>
        <v>0</v>
      </c>
      <c r="V37" s="216">
        <f>VLOOKUP(D37,'[2]2022年6月'!$B$1:$N$65536,12,FALSE)</f>
        <v>0</v>
      </c>
      <c r="W37" s="176">
        <f>VLOOKUP(D37,'[2]2022年6月'!$B$1:$N$65536,13,FALSE)</f>
        <v>17400</v>
      </c>
    </row>
    <row r="38" spans="1:23">
      <c r="A38" s="213">
        <v>36</v>
      </c>
      <c r="B38" s="217" t="s">
        <v>454</v>
      </c>
      <c r="C38" s="222">
        <v>44682</v>
      </c>
      <c r="D38" s="168" t="s">
        <v>472</v>
      </c>
      <c r="M38" s="142" t="s">
        <v>300</v>
      </c>
      <c r="N38" s="303">
        <f>VLOOKUP(D38,'[2]2022年6月'!$B$1:$N$65536,4,FALSE)</f>
        <v>121200</v>
      </c>
      <c r="O38" s="303">
        <f>VLOOKUP(D38,'[2]2022年6月'!$B$1:$N$65536,5,FALSE)</f>
        <v>10100</v>
      </c>
      <c r="P38" s="304">
        <f>VLOOKUP(D38,'[2]2022年6月'!$B$1:$N$65536,6,FALSE)</f>
        <v>0.7</v>
      </c>
      <c r="Q38" s="176">
        <f>VLOOKUP(D38,'[2]2022年6月'!$B$1:$N$65536,7,FALSE)</f>
        <v>0.3</v>
      </c>
      <c r="R38" s="176">
        <f>VLOOKUP(D38,'[2]2022年6月'!$B$1:$N$65536,8,FALSE)</f>
        <v>7070</v>
      </c>
      <c r="S38" s="176">
        <f>VLOOKUP(D38,'[2]2022年6月'!$B$1:$N$65536,9,FALSE)</f>
        <v>3030</v>
      </c>
      <c r="T38" s="176">
        <f>VLOOKUP(D38,'[2]2022年6月'!$B$1:$N$65536,10,FALSE)</f>
        <v>0</v>
      </c>
      <c r="U38" s="216">
        <f>VLOOKUP(D38,'[2]2022年6月'!$B$1:$N$65536,11,FALSE)</f>
        <v>0</v>
      </c>
      <c r="V38" s="216">
        <f>VLOOKUP(D38,'[2]2022年6月'!$B$1:$N$65536,12,FALSE)</f>
        <v>0</v>
      </c>
      <c r="W38" s="176">
        <f>VLOOKUP(D38,'[2]2022年6月'!$B$1:$N$65536,13,FALSE)</f>
        <v>10100</v>
      </c>
    </row>
    <row r="39" spans="1:23">
      <c r="A39" s="213">
        <v>37</v>
      </c>
      <c r="B39" s="217" t="s">
        <v>455</v>
      </c>
      <c r="C39" s="222">
        <v>44682</v>
      </c>
      <c r="D39" s="168" t="s">
        <v>473</v>
      </c>
      <c r="M39" s="142" t="s">
        <v>300</v>
      </c>
      <c r="N39" s="303">
        <f>VLOOKUP(D39,'[2]2022年6月'!$B$1:$N$65536,4,FALSE)</f>
        <v>127200</v>
      </c>
      <c r="O39" s="303">
        <f>VLOOKUP(D39,'[2]2022年6月'!$B$1:$N$65536,5,FALSE)</f>
        <v>10600</v>
      </c>
      <c r="P39" s="304">
        <f>VLOOKUP(D39,'[2]2022年6月'!$B$1:$N$65536,6,FALSE)</f>
        <v>0.7</v>
      </c>
      <c r="Q39" s="176">
        <f>VLOOKUP(D39,'[2]2022年6月'!$B$1:$N$65536,7,FALSE)</f>
        <v>0.3</v>
      </c>
      <c r="R39" s="176">
        <f>VLOOKUP(D39,'[2]2022年6月'!$B$1:$N$65536,8,FALSE)</f>
        <v>7419.9999999999991</v>
      </c>
      <c r="S39" s="176">
        <f>VLOOKUP(D39,'[2]2022年6月'!$B$1:$N$65536,9,FALSE)</f>
        <v>3180</v>
      </c>
      <c r="T39" s="176">
        <f>VLOOKUP(D39,'[2]2022年6月'!$B$1:$N$65536,10,FALSE)</f>
        <v>0</v>
      </c>
      <c r="U39" s="216">
        <f>VLOOKUP(D39,'[2]2022年6月'!$B$1:$N$65536,11,FALSE)</f>
        <v>0</v>
      </c>
      <c r="V39" s="216">
        <f>VLOOKUP(D39,'[2]2022年6月'!$B$1:$N$65536,12,FALSE)</f>
        <v>0</v>
      </c>
      <c r="W39" s="176">
        <f>VLOOKUP(D39,'[2]2022年6月'!$B$1:$N$65536,13,FALSE)</f>
        <v>10600</v>
      </c>
    </row>
    <row r="40" spans="1:23">
      <c r="A40" s="213">
        <v>38</v>
      </c>
      <c r="B40" s="217" t="s">
        <v>456</v>
      </c>
      <c r="C40" s="222">
        <v>44682</v>
      </c>
      <c r="D40" s="168" t="s">
        <v>474</v>
      </c>
      <c r="M40" s="142" t="s">
        <v>300</v>
      </c>
      <c r="N40" s="303">
        <f>VLOOKUP(D40,'[2]2022年6月'!$B$1:$N$65536,4,FALSE)</f>
        <v>84000</v>
      </c>
      <c r="O40" s="303">
        <f>VLOOKUP(D40,'[2]2022年6月'!$B$1:$N$65536,5,FALSE)</f>
        <v>7000</v>
      </c>
      <c r="P40" s="304">
        <f>VLOOKUP(D40,'[2]2022年6月'!$B$1:$N$65536,6,FALSE)</f>
        <v>0.7</v>
      </c>
      <c r="Q40" s="176">
        <f>VLOOKUP(D40,'[2]2022年6月'!$B$1:$N$65536,7,FALSE)</f>
        <v>0.3</v>
      </c>
      <c r="R40" s="176">
        <f>VLOOKUP(D40,'[2]2022年6月'!$B$1:$N$65536,8,FALSE)</f>
        <v>4900</v>
      </c>
      <c r="S40" s="176">
        <f>VLOOKUP(D40,'[2]2022年6月'!$B$1:$N$65536,9,FALSE)</f>
        <v>2100</v>
      </c>
      <c r="T40" s="176">
        <f>VLOOKUP(D40,'[2]2022年6月'!$B$1:$N$65536,10,FALSE)</f>
        <v>0</v>
      </c>
      <c r="U40" s="216">
        <f>VLOOKUP(D40,'[2]2022年6月'!$B$1:$N$65536,11,FALSE)</f>
        <v>0</v>
      </c>
      <c r="V40" s="216">
        <f>VLOOKUP(D40,'[2]2022年6月'!$B$1:$N$65536,12,FALSE)</f>
        <v>2740</v>
      </c>
      <c r="W40" s="176">
        <f>VLOOKUP(D40,'[2]2022年6月'!$B$1:$N$65536,13,FALSE)</f>
        <v>9740</v>
      </c>
    </row>
  </sheetData>
  <mergeCells count="1">
    <mergeCell ref="A1:C1"/>
  </mergeCells>
  <phoneticPr fontId="2" type="noConversion"/>
  <conditionalFormatting sqref="D18">
    <cfRule type="duplicateValues" dxfId="24" priority="7"/>
  </conditionalFormatting>
  <conditionalFormatting sqref="D27:D34">
    <cfRule type="duplicateValues" dxfId="23" priority="5"/>
  </conditionalFormatting>
  <conditionalFormatting sqref="D12:D15 D19:D23 D17">
    <cfRule type="duplicateValues" dxfId="22" priority="8"/>
  </conditionalFormatting>
  <conditionalFormatting sqref="D24:D26">
    <cfRule type="duplicateValues" dxfId="21" priority="6"/>
  </conditionalFormatting>
  <conditionalFormatting sqref="C21:C23">
    <cfRule type="duplicateValues" dxfId="20" priority="4"/>
  </conditionalFormatting>
  <conditionalFormatting sqref="C24:C26">
    <cfRule type="duplicateValues" dxfId="19" priority="2"/>
  </conditionalFormatting>
  <conditionalFormatting sqref="W2">
    <cfRule type="cellIs" dxfId="18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"/>
  <sheetViews>
    <sheetView workbookViewId="0">
      <selection activeCell="I3" sqref="I3"/>
    </sheetView>
  </sheetViews>
  <sheetFormatPr defaultColWidth="9" defaultRowHeight="13.5"/>
  <cols>
    <col min="1" max="1" width="9" style="144"/>
    <col min="4" max="4" width="23.75" customWidth="1"/>
    <col min="7" max="7" width="18.375" style="144" customWidth="1"/>
    <col min="8" max="8" width="9" style="144"/>
    <col min="9" max="9" width="13.625" style="178" customWidth="1"/>
    <col min="10" max="10" width="10.25" style="178" bestFit="1" customWidth="1"/>
    <col min="11" max="11" width="9" style="144" customWidth="1"/>
    <col min="12" max="17" width="9" customWidth="1"/>
    <col min="18" max="18" width="9" style="144" customWidth="1"/>
    <col min="19" max="39" width="9" customWidth="1"/>
    <col min="40" max="40" width="25.375" customWidth="1"/>
    <col min="41" max="41" width="17" customWidth="1"/>
    <col min="42" max="42" width="22.875" customWidth="1"/>
  </cols>
  <sheetData>
    <row r="1" spans="1:43" s="174" customFormat="1" ht="12">
      <c r="A1" s="380" t="s">
        <v>7</v>
      </c>
      <c r="B1" s="382" t="s">
        <v>8</v>
      </c>
      <c r="C1" s="384" t="s">
        <v>0</v>
      </c>
      <c r="D1" s="386" t="s">
        <v>262</v>
      </c>
      <c r="E1" s="378" t="s">
        <v>323</v>
      </c>
      <c r="F1" s="378" t="s">
        <v>324</v>
      </c>
      <c r="G1" s="390" t="s">
        <v>325</v>
      </c>
      <c r="H1" s="390" t="s">
        <v>297</v>
      </c>
      <c r="I1" s="386" t="s">
        <v>13</v>
      </c>
      <c r="J1" s="392" t="s">
        <v>14</v>
      </c>
      <c r="K1" s="393" t="s">
        <v>326</v>
      </c>
      <c r="L1" s="394" t="s">
        <v>27</v>
      </c>
      <c r="M1" s="394" t="s">
        <v>28</v>
      </c>
      <c r="N1" s="394" t="s">
        <v>29</v>
      </c>
      <c r="O1" s="394" t="s">
        <v>327</v>
      </c>
      <c r="P1" s="396" t="s">
        <v>30</v>
      </c>
      <c r="Q1" s="378" t="s">
        <v>328</v>
      </c>
      <c r="R1" s="388" t="s">
        <v>15</v>
      </c>
      <c r="S1" s="378" t="s">
        <v>16</v>
      </c>
      <c r="T1" s="400" t="s">
        <v>17</v>
      </c>
      <c r="U1" s="378" t="s">
        <v>18</v>
      </c>
      <c r="V1" s="402" t="s">
        <v>19</v>
      </c>
      <c r="W1" s="403"/>
      <c r="X1" s="403"/>
      <c r="Y1" s="403"/>
      <c r="Z1" s="403"/>
      <c r="AA1" s="404"/>
      <c r="AB1" s="378" t="s">
        <v>20</v>
      </c>
      <c r="AC1" s="378" t="s">
        <v>21</v>
      </c>
      <c r="AD1" s="400" t="s">
        <v>187</v>
      </c>
      <c r="AE1" s="400" t="s">
        <v>190</v>
      </c>
      <c r="AF1" s="400" t="s">
        <v>193</v>
      </c>
      <c r="AG1" s="400" t="s">
        <v>194</v>
      </c>
      <c r="AH1" s="398" t="s">
        <v>22</v>
      </c>
      <c r="AI1" s="398" t="s">
        <v>23</v>
      </c>
      <c r="AJ1" s="407" t="s">
        <v>329</v>
      </c>
      <c r="AK1" s="407" t="s">
        <v>25</v>
      </c>
      <c r="AL1" s="409" t="s">
        <v>330</v>
      </c>
      <c r="AM1" s="409" t="s">
        <v>331</v>
      </c>
      <c r="AN1" s="411" t="s">
        <v>332</v>
      </c>
      <c r="AO1" s="405" t="s">
        <v>333</v>
      </c>
      <c r="AP1" s="405" t="s">
        <v>334</v>
      </c>
      <c r="AQ1" s="386" t="s">
        <v>195</v>
      </c>
    </row>
    <row r="2" spans="1:43" s="174" customFormat="1" ht="36">
      <c r="A2" s="381"/>
      <c r="B2" s="383"/>
      <c r="C2" s="385"/>
      <c r="D2" s="387"/>
      <c r="E2" s="379"/>
      <c r="F2" s="379"/>
      <c r="G2" s="391"/>
      <c r="H2" s="391"/>
      <c r="I2" s="387"/>
      <c r="J2" s="392"/>
      <c r="K2" s="393"/>
      <c r="L2" s="395"/>
      <c r="M2" s="395"/>
      <c r="N2" s="395"/>
      <c r="O2" s="395"/>
      <c r="P2" s="397"/>
      <c r="Q2" s="379"/>
      <c r="R2" s="389"/>
      <c r="S2" s="379"/>
      <c r="T2" s="401"/>
      <c r="U2" s="379"/>
      <c r="V2" s="175" t="s">
        <v>163</v>
      </c>
      <c r="W2" s="175" t="s">
        <v>164</v>
      </c>
      <c r="X2" s="175" t="s">
        <v>165</v>
      </c>
      <c r="Y2" s="175" t="s">
        <v>166</v>
      </c>
      <c r="Z2" s="175" t="s">
        <v>167</v>
      </c>
      <c r="AA2" s="175" t="s">
        <v>31</v>
      </c>
      <c r="AB2" s="379"/>
      <c r="AC2" s="379"/>
      <c r="AD2" s="401"/>
      <c r="AE2" s="401"/>
      <c r="AF2" s="401"/>
      <c r="AG2" s="401"/>
      <c r="AH2" s="399"/>
      <c r="AI2" s="399"/>
      <c r="AJ2" s="408"/>
      <c r="AK2" s="408"/>
      <c r="AL2" s="410"/>
      <c r="AM2" s="410"/>
      <c r="AN2" s="412"/>
      <c r="AO2" s="406"/>
      <c r="AP2" s="406"/>
      <c r="AQ2" s="387"/>
    </row>
    <row r="3" spans="1:43">
      <c r="A3" s="176">
        <v>10</v>
      </c>
      <c r="B3" s="103"/>
      <c r="C3" s="168" t="s">
        <v>301</v>
      </c>
      <c r="D3" s="169" t="s">
        <v>306</v>
      </c>
      <c r="E3" s="113"/>
      <c r="F3" s="113"/>
      <c r="G3" s="163">
        <v>13311097286</v>
      </c>
      <c r="H3" s="136" t="s">
        <v>300</v>
      </c>
      <c r="I3" s="164">
        <v>44593</v>
      </c>
      <c r="J3" s="177">
        <v>45337</v>
      </c>
      <c r="K3" s="170">
        <v>20833</v>
      </c>
      <c r="L3" s="113"/>
      <c r="M3" s="113"/>
      <c r="N3" s="113"/>
      <c r="O3" s="113"/>
      <c r="P3" s="113"/>
      <c r="Q3" s="113"/>
      <c r="R3" s="165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66">
        <v>6214920203081710</v>
      </c>
      <c r="AO3" s="166" t="s">
        <v>318</v>
      </c>
      <c r="AP3" s="166" t="s">
        <v>319</v>
      </c>
      <c r="AQ3" s="113"/>
    </row>
  </sheetData>
  <mergeCells count="38">
    <mergeCell ref="AP1:AP2"/>
    <mergeCell ref="AQ1:AQ2"/>
    <mergeCell ref="AJ1:AJ2"/>
    <mergeCell ref="AK1:AK2"/>
    <mergeCell ref="AL1:AL2"/>
    <mergeCell ref="AM1:AM2"/>
    <mergeCell ref="AN1:AN2"/>
    <mergeCell ref="AO1:AO2"/>
    <mergeCell ref="AI1:AI2"/>
    <mergeCell ref="S1:S2"/>
    <mergeCell ref="T1:T2"/>
    <mergeCell ref="U1:U2"/>
    <mergeCell ref="V1:AA1"/>
    <mergeCell ref="AB1:AB2"/>
    <mergeCell ref="AC1:AC2"/>
    <mergeCell ref="AD1:AD2"/>
    <mergeCell ref="AE1:AE2"/>
    <mergeCell ref="AF1:AF2"/>
    <mergeCell ref="AG1:AG2"/>
    <mergeCell ref="AH1:AH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账单</vt:lpstr>
      <vt:lpstr>海淀分公司工资表</vt:lpstr>
      <vt:lpstr>社保</vt:lpstr>
      <vt:lpstr>缴费比例</vt:lpstr>
      <vt:lpstr>福州</vt:lpstr>
      <vt:lpstr>合肥</vt:lpstr>
      <vt:lpstr>个税系统表</vt:lpstr>
      <vt:lpstr>融科</vt:lpstr>
      <vt:lpstr>翼水</vt:lpstr>
      <vt:lpstr>Sheet1</vt:lpstr>
      <vt:lpstr>易才2</vt:lpstr>
      <vt:lpstr>易才3</vt:lpstr>
      <vt:lpstr>易才4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2022-01-18T05:24:50Z</dcterms:created>
  <dcterms:modified xsi:type="dcterms:W3CDTF">2022-07-05T01:51:16Z</dcterms:modified>
</cp:coreProperties>
</file>