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385" windowHeight="8370" tabRatio="609" activeTab="2"/>
  </bookViews>
  <sheets>
    <sheet name="付款通知" sheetId="26" r:id="rId1"/>
    <sheet name="社保" sheetId="27" state="hidden" r:id="rId2"/>
    <sheet name="社保1" sheetId="28" r:id="rId3"/>
    <sheet name="（居民）工资表-6月" sheetId="19" state="hidden" r:id="rId4"/>
    <sheet name="（居民）工资表-7月" sheetId="20" state="hidden" r:id="rId5"/>
    <sheet name="（居民）工资表-8月" sheetId="21" state="hidden" r:id="rId6"/>
    <sheet name="（居民）工资表-9月" sheetId="22" state="hidden" r:id="rId7"/>
    <sheet name="（居民）工资表-10月" sheetId="23" state="hidden" r:id="rId8"/>
    <sheet name="（居民）工资表-11月" sheetId="24" state="hidden" r:id="rId9"/>
    <sheet name="（居民）工资表-1月" sheetId="1" state="hidden" r:id="rId10"/>
    <sheet name="（居民）工资表-12月" sheetId="25" state="hidden" r:id="rId11"/>
    <sheet name="（居民）工资表-2月" sheetId="15" state="hidden" r:id="rId12"/>
    <sheet name="（居民）工资表-3月" sheetId="16" state="hidden" r:id="rId13"/>
    <sheet name="（居民）工资表-4月" sheetId="17" state="hidden" r:id="rId14"/>
    <sheet name="（居民）工资表-5月" sheetId="18" r:id="rId15"/>
    <sheet name="增减1" sheetId="30" state="hidden" r:id="rId16"/>
    <sheet name="Sheet1" sheetId="14" state="hidden" r:id="rId17"/>
  </sheets>
  <definedNames>
    <definedName name="_xlnm._FilterDatabase" localSheetId="7" hidden="1">'（居民）工资表-10月'!$A$3:$AT$8</definedName>
    <definedName name="_xlnm._FilterDatabase" localSheetId="8" hidden="1">'（居民）工资表-11月'!$A$3:$AT$9</definedName>
    <definedName name="_xlnm._FilterDatabase" localSheetId="10" hidden="1">'（居民）工资表-12月'!$A$3:$AT$9</definedName>
    <definedName name="_xlnm._FilterDatabase" localSheetId="9" hidden="1">'（居民）工资表-1月'!$A$3:$AT$9</definedName>
    <definedName name="_xlnm._FilterDatabase" localSheetId="11" hidden="1">'（居民）工资表-2月'!$A$3:$AT$13</definedName>
    <definedName name="_xlnm._FilterDatabase" localSheetId="12" hidden="1">'（居民）工资表-3月'!$A$3:$AT$14</definedName>
    <definedName name="_xlnm._FilterDatabase" localSheetId="13" hidden="1">'（居民）工资表-4月'!$A$3:$AT$18</definedName>
    <definedName name="_xlnm._FilterDatabase" localSheetId="14" hidden="1">'（居民）工资表-5月'!$A$3:$AT$10</definedName>
    <definedName name="_xlnm._FilterDatabase" localSheetId="3" hidden="1">'（居民）工资表-6月'!$A$3:$AT$8</definedName>
    <definedName name="_xlnm._FilterDatabase" localSheetId="4" hidden="1">'（居民）工资表-7月'!$A$3:$AT$9</definedName>
    <definedName name="_xlnm._FilterDatabase" localSheetId="5" hidden="1">'（居民）工资表-8月'!$A$3:$AT$8</definedName>
    <definedName name="_xlnm._FilterDatabase" localSheetId="6" hidden="1">'（居民）工资表-9月'!$A$3:$AT$8</definedName>
    <definedName name="_xlnm._FilterDatabase" localSheetId="2" hidden="1">社保1!$A$2:$BH$7</definedName>
    <definedName name="_xlnm.Print_Area" localSheetId="7">'（居民）工资表-10月'!$A$1:$AT$14</definedName>
    <definedName name="_xlnm.Print_Area" localSheetId="8">'（居民）工资表-11月'!$A$1:$AT$15</definedName>
    <definedName name="_xlnm.Print_Area" localSheetId="10">'（居民）工资表-12月'!$A$1:$AT$15</definedName>
    <definedName name="_xlnm.Print_Area" localSheetId="9">'（居民）工资表-1月'!$A$1:$AT$15</definedName>
    <definedName name="_xlnm.Print_Area" localSheetId="11">'（居民）工资表-2月'!$A$1:$AT$19</definedName>
    <definedName name="_xlnm.Print_Area" localSheetId="12">'（居民）工资表-3月'!$A$1:$AT$20</definedName>
    <definedName name="_xlnm.Print_Area" localSheetId="13">'（居民）工资表-4月'!$A$1:$AT$24</definedName>
    <definedName name="_xlnm.Print_Area" localSheetId="14">'（居民）工资表-5月'!$A$1:$AT$16</definedName>
    <definedName name="_xlnm.Print_Area" localSheetId="3">'（居民）工资表-6月'!$A$1:$AT$14</definedName>
    <definedName name="_xlnm.Print_Area" localSheetId="4">'（居民）工资表-7月'!$A$1:$AT$15</definedName>
    <definedName name="_xlnm.Print_Area" localSheetId="5">'（居民）工资表-8月'!$A$1:$AT$14</definedName>
    <definedName name="_xlnm.Print_Area" localSheetId="6">'（居民）工资表-9月'!$A$1:$AT$14</definedName>
  </definedNames>
  <calcPr calcId="144525"/>
</workbook>
</file>

<file path=xl/calcChain.xml><?xml version="1.0" encoding="utf-8"?>
<calcChain xmlns="http://schemas.openxmlformats.org/spreadsheetml/2006/main">
  <c r="D15" i="18" l="1"/>
  <c r="AK10" i="18"/>
  <c r="AI10" i="18"/>
  <c r="AA10" i="18"/>
  <c r="Z10" i="18"/>
  <c r="Y10" i="18"/>
  <c r="X10" i="18"/>
  <c r="W10" i="18"/>
  <c r="V10" i="18"/>
  <c r="R10" i="18"/>
  <c r="P10" i="18"/>
  <c r="O10" i="18"/>
  <c r="N10" i="18"/>
  <c r="M10" i="18"/>
  <c r="L10" i="18"/>
  <c r="AT8" i="18"/>
  <c r="AS8" i="18"/>
  <c r="AR8" i="18"/>
  <c r="AB8" i="18"/>
  <c r="Q8" i="18"/>
  <c r="AT7" i="18"/>
  <c r="AS7" i="18"/>
  <c r="AR7" i="18"/>
  <c r="AB7" i="18"/>
  <c r="Q7" i="18"/>
  <c r="AT6" i="18"/>
  <c r="AS6" i="18"/>
  <c r="AR6" i="18"/>
  <c r="AB6" i="18"/>
  <c r="Q6" i="18"/>
  <c r="Q10" i="18" s="1"/>
  <c r="F6" i="18"/>
  <c r="AT5" i="18"/>
  <c r="AS5" i="18"/>
  <c r="AR5" i="18"/>
  <c r="AB5" i="18"/>
  <c r="AB10" i="18" s="1"/>
  <c r="Q5" i="18"/>
  <c r="AT4" i="18"/>
  <c r="AS4" i="18"/>
  <c r="AR4" i="18"/>
  <c r="AB4" i="18"/>
  <c r="Q4" i="18"/>
  <c r="D23" i="17"/>
  <c r="AK18" i="17"/>
  <c r="AI18" i="17"/>
  <c r="AB18" i="17"/>
  <c r="AA18" i="17"/>
  <c r="Z18" i="17"/>
  <c r="Y18" i="17"/>
  <c r="X18" i="17"/>
  <c r="W18" i="17"/>
  <c r="V18" i="17"/>
  <c r="R18" i="17"/>
  <c r="Q18" i="17"/>
  <c r="P18" i="17"/>
  <c r="O18" i="17"/>
  <c r="N18" i="17"/>
  <c r="M18" i="17"/>
  <c r="L18" i="17"/>
  <c r="AB16" i="17"/>
  <c r="Q16" i="17"/>
  <c r="AF15" i="17"/>
  <c r="AC15" i="17"/>
  <c r="AB15" i="17"/>
  <c r="U15" i="17"/>
  <c r="T15" i="17"/>
  <c r="S15" i="17"/>
  <c r="Q15" i="17"/>
  <c r="AB14" i="17"/>
  <c r="Q14" i="17"/>
  <c r="AB13" i="17"/>
  <c r="Q13" i="17"/>
  <c r="AT12" i="17"/>
  <c r="AS12" i="17"/>
  <c r="AR12" i="17"/>
  <c r="AB12" i="17"/>
  <c r="Q12" i="17"/>
  <c r="AT11" i="17"/>
  <c r="AS11" i="17"/>
  <c r="AR11" i="17"/>
  <c r="AF11" i="17"/>
  <c r="AC11" i="17"/>
  <c r="AB11" i="17"/>
  <c r="U11" i="17"/>
  <c r="T11" i="17"/>
  <c r="S11" i="17"/>
  <c r="Q11" i="17"/>
  <c r="AT10" i="17"/>
  <c r="AS10" i="17"/>
  <c r="AR10" i="17"/>
  <c r="AF10" i="17"/>
  <c r="AC10" i="17"/>
  <c r="AB10" i="17"/>
  <c r="U10" i="17"/>
  <c r="T10" i="17"/>
  <c r="S10" i="17"/>
  <c r="Q10" i="17"/>
  <c r="AT9" i="17"/>
  <c r="AS9" i="17"/>
  <c r="AR9" i="17"/>
  <c r="AF9" i="17"/>
  <c r="AC9" i="17"/>
  <c r="AB9" i="17"/>
  <c r="U9" i="17"/>
  <c r="T9" i="17"/>
  <c r="S9" i="17"/>
  <c r="Q9" i="17"/>
  <c r="AT8" i="17"/>
  <c r="AS8" i="17"/>
  <c r="AR8" i="17"/>
  <c r="AF8" i="17"/>
  <c r="AC8" i="17"/>
  <c r="AC8" i="18" s="1"/>
  <c r="AB8" i="17"/>
  <c r="U8" i="17"/>
  <c r="U8" i="18" s="1"/>
  <c r="T8" i="17"/>
  <c r="T8" i="18" s="1"/>
  <c r="S8" i="17"/>
  <c r="S8" i="18" s="1"/>
  <c r="Q8" i="17"/>
  <c r="AT7" i="17"/>
  <c r="AS7" i="17"/>
  <c r="AR7" i="17"/>
  <c r="AF7" i="17"/>
  <c r="AC7" i="17"/>
  <c r="AC7" i="18" s="1"/>
  <c r="AB7" i="17"/>
  <c r="U7" i="17"/>
  <c r="U7" i="18" s="1"/>
  <c r="U7" i="19" s="1"/>
  <c r="U7" i="20" s="1"/>
  <c r="U6" i="21" s="1"/>
  <c r="U6" i="22" s="1"/>
  <c r="U6" i="23" s="1"/>
  <c r="U7" i="24" s="1"/>
  <c r="U7" i="25" s="1"/>
  <c r="T7" i="17"/>
  <c r="T7" i="18" s="1"/>
  <c r="S7" i="17"/>
  <c r="S7" i="18" s="1"/>
  <c r="Q7" i="17"/>
  <c r="AT6" i="17"/>
  <c r="AS6" i="17"/>
  <c r="AR6" i="17"/>
  <c r="AF6" i="17"/>
  <c r="AC6" i="17"/>
  <c r="AC6" i="18" s="1"/>
  <c r="AB6" i="17"/>
  <c r="U6" i="17"/>
  <c r="T6" i="17"/>
  <c r="T6" i="18" s="1"/>
  <c r="S6" i="17"/>
  <c r="S6" i="18" s="1"/>
  <c r="Q6" i="17"/>
  <c r="F6" i="17"/>
  <c r="AT5" i="17"/>
  <c r="AS5" i="17"/>
  <c r="AR5" i="17"/>
  <c r="AF5" i="17"/>
  <c r="AC5" i="17"/>
  <c r="AC5" i="18" s="1"/>
  <c r="AC6" i="19" s="1"/>
  <c r="AC6" i="20" s="1"/>
  <c r="AC5" i="21" s="1"/>
  <c r="AC5" i="22" s="1"/>
  <c r="AC5" i="23" s="1"/>
  <c r="AC5" i="24" s="1"/>
  <c r="AC5" i="25" s="1"/>
  <c r="AB5" i="17"/>
  <c r="U5" i="17"/>
  <c r="U5" i="18" s="1"/>
  <c r="U6" i="19" s="1"/>
  <c r="T5" i="17"/>
  <c r="T5" i="18" s="1"/>
  <c r="T6" i="19" s="1"/>
  <c r="T6" i="20" s="1"/>
  <c r="T5" i="21" s="1"/>
  <c r="T5" i="22" s="1"/>
  <c r="T5" i="23" s="1"/>
  <c r="T5" i="24" s="1"/>
  <c r="T5" i="25" s="1"/>
  <c r="S5" i="17"/>
  <c r="Q5" i="17"/>
  <c r="AT4" i="17"/>
  <c r="AS4" i="17"/>
  <c r="AR4" i="17"/>
  <c r="AF4" i="17"/>
  <c r="AC4" i="17"/>
  <c r="AB4" i="17"/>
  <c r="U4" i="17"/>
  <c r="U4" i="18" s="1"/>
  <c r="T4" i="17"/>
  <c r="S4" i="17"/>
  <c r="Q4" i="17"/>
  <c r="E19" i="16"/>
  <c r="D19" i="16"/>
  <c r="C19" i="16"/>
  <c r="B19" i="16"/>
  <c r="AL14" i="16"/>
  <c r="AK14" i="16"/>
  <c r="AJ14" i="16"/>
  <c r="AI14" i="16"/>
  <c r="AH14" i="16"/>
  <c r="AG14" i="16"/>
  <c r="AF14" i="16"/>
  <c r="AE14" i="16"/>
  <c r="AD14" i="16"/>
  <c r="AC14" i="16"/>
  <c r="AB14" i="16"/>
  <c r="AA14" i="16"/>
  <c r="Z14" i="16"/>
  <c r="Y14" i="16"/>
  <c r="X14" i="16"/>
  <c r="W14" i="16"/>
  <c r="V14" i="16"/>
  <c r="U14" i="16"/>
  <c r="T14" i="16"/>
  <c r="S14" i="16"/>
  <c r="R14" i="16"/>
  <c r="Q14" i="16"/>
  <c r="P14" i="16"/>
  <c r="O14" i="16"/>
  <c r="N14" i="16"/>
  <c r="M14" i="16"/>
  <c r="L14" i="16"/>
  <c r="AT12" i="16"/>
  <c r="AS12" i="16"/>
  <c r="AR12" i="16"/>
  <c r="AL12" i="16"/>
  <c r="AJ12" i="16"/>
  <c r="AH12" i="16"/>
  <c r="AG12" i="16"/>
  <c r="AF12" i="16"/>
  <c r="AE12" i="16"/>
  <c r="AD12" i="16"/>
  <c r="AC12" i="16"/>
  <c r="AB12" i="16"/>
  <c r="U12" i="16"/>
  <c r="T12" i="16"/>
  <c r="S12" i="16"/>
  <c r="Q12" i="16"/>
  <c r="AT11" i="16"/>
  <c r="AS11" i="16"/>
  <c r="AR11" i="16"/>
  <c r="AL11" i="16"/>
  <c r="AJ11" i="16"/>
  <c r="AH11" i="16"/>
  <c r="AG11" i="16"/>
  <c r="AF11" i="16"/>
  <c r="AE11" i="16"/>
  <c r="AD11" i="16"/>
  <c r="AC11" i="16"/>
  <c r="AB11" i="16"/>
  <c r="U11" i="16"/>
  <c r="T11" i="16"/>
  <c r="S11" i="16"/>
  <c r="Q11" i="16"/>
  <c r="AT10" i="16"/>
  <c r="AS10" i="16"/>
  <c r="AR10" i="16"/>
  <c r="AL10" i="16"/>
  <c r="AJ10" i="16"/>
  <c r="AH10" i="16"/>
  <c r="AG10" i="16"/>
  <c r="AF10" i="16"/>
  <c r="AE10" i="16"/>
  <c r="AD10" i="16"/>
  <c r="AC10" i="16"/>
  <c r="AB10" i="16"/>
  <c r="U10" i="16"/>
  <c r="T10" i="16"/>
  <c r="S10" i="16"/>
  <c r="Q10" i="16"/>
  <c r="AT9" i="16"/>
  <c r="AS9" i="16"/>
  <c r="AR9" i="16"/>
  <c r="AL9" i="16"/>
  <c r="AJ9" i="16"/>
  <c r="AH9" i="16"/>
  <c r="AG9" i="16"/>
  <c r="AF9" i="16"/>
  <c r="AE9" i="16"/>
  <c r="AD9" i="16"/>
  <c r="AC9" i="16"/>
  <c r="AB9" i="16"/>
  <c r="U9" i="16"/>
  <c r="T9" i="16"/>
  <c r="S9" i="16"/>
  <c r="Q9" i="16"/>
  <c r="AT8" i="16"/>
  <c r="AS8" i="16"/>
  <c r="AR8" i="16"/>
  <c r="AL8" i="16"/>
  <c r="AJ8" i="16"/>
  <c r="AH8" i="16"/>
  <c r="AG8" i="16"/>
  <c r="AF8" i="16"/>
  <c r="AE8" i="16"/>
  <c r="AD8" i="16"/>
  <c r="AC8" i="16"/>
  <c r="AB8" i="16"/>
  <c r="U8" i="16"/>
  <c r="T8" i="16"/>
  <c r="S8" i="16"/>
  <c r="Q8" i="16"/>
  <c r="L8" i="16"/>
  <c r="AT7" i="16"/>
  <c r="AS7" i="16"/>
  <c r="AR7" i="16"/>
  <c r="AL7" i="16"/>
  <c r="AJ7" i="16"/>
  <c r="AH7" i="16"/>
  <c r="AG7" i="16"/>
  <c r="AF7" i="16"/>
  <c r="AE7" i="16"/>
  <c r="AD7" i="16"/>
  <c r="AC7" i="16"/>
  <c r="AB7" i="16"/>
  <c r="U7" i="16"/>
  <c r="T7" i="16"/>
  <c r="S7" i="16"/>
  <c r="Q7" i="16"/>
  <c r="AT6" i="16"/>
  <c r="AS6" i="16"/>
  <c r="AR6" i="16"/>
  <c r="AL6" i="16"/>
  <c r="AJ6" i="16"/>
  <c r="AH6" i="16"/>
  <c r="AG6" i="16"/>
  <c r="AF6" i="16"/>
  <c r="AE6" i="16"/>
  <c r="AD6" i="16"/>
  <c r="AC6" i="16"/>
  <c r="AB6" i="16"/>
  <c r="U6" i="16"/>
  <c r="T6" i="16"/>
  <c r="S6" i="16"/>
  <c r="Q6" i="16"/>
  <c r="F6" i="16"/>
  <c r="AT5" i="16"/>
  <c r="AS5" i="16"/>
  <c r="AR5" i="16"/>
  <c r="AL5" i="16"/>
  <c r="AJ5" i="16"/>
  <c r="AH5" i="16"/>
  <c r="AG5" i="16"/>
  <c r="AF5" i="16"/>
  <c r="AE5" i="16"/>
  <c r="AD5" i="16"/>
  <c r="AC5" i="16"/>
  <c r="AB5" i="16"/>
  <c r="U5" i="16"/>
  <c r="T5" i="16"/>
  <c r="S5" i="16"/>
  <c r="Q5" i="16"/>
  <c r="AT4" i="16"/>
  <c r="AS4" i="16"/>
  <c r="AR4" i="16"/>
  <c r="AL4" i="16"/>
  <c r="AJ4" i="16"/>
  <c r="AH4" i="16"/>
  <c r="AG4" i="16"/>
  <c r="AF4" i="16"/>
  <c r="AE4" i="16"/>
  <c r="AD4" i="16"/>
  <c r="AC4" i="16"/>
  <c r="AB4" i="16"/>
  <c r="U4" i="16"/>
  <c r="T4" i="16"/>
  <c r="S4" i="16"/>
  <c r="Q4" i="16"/>
  <c r="E18" i="15"/>
  <c r="D18" i="15"/>
  <c r="C18" i="15"/>
  <c r="B18"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AT12" i="15"/>
  <c r="AS12" i="15"/>
  <c r="AR12" i="15"/>
  <c r="AL12" i="15"/>
  <c r="AJ12" i="15"/>
  <c r="AH12" i="15"/>
  <c r="AG12" i="15"/>
  <c r="AF12" i="15"/>
  <c r="AE12" i="15"/>
  <c r="AD12" i="15"/>
  <c r="AC12" i="15"/>
  <c r="AB12" i="15"/>
  <c r="U12" i="15"/>
  <c r="T12" i="15"/>
  <c r="S12" i="15"/>
  <c r="Q12" i="15"/>
  <c r="AT11" i="15"/>
  <c r="AS11" i="15"/>
  <c r="AR11" i="15"/>
  <c r="AL11" i="15"/>
  <c r="AJ11" i="15"/>
  <c r="AH11" i="15"/>
  <c r="AG11" i="15"/>
  <c r="AF11" i="15"/>
  <c r="AE11" i="15"/>
  <c r="AD11" i="15"/>
  <c r="AC11" i="15"/>
  <c r="AB11" i="15"/>
  <c r="U11" i="15"/>
  <c r="T11" i="15"/>
  <c r="S11" i="15"/>
  <c r="Q11" i="15"/>
  <c r="AT10" i="15"/>
  <c r="AS10" i="15"/>
  <c r="AR10" i="15"/>
  <c r="AL10" i="15"/>
  <c r="AJ10" i="15"/>
  <c r="AH10" i="15"/>
  <c r="AG10" i="15"/>
  <c r="AF10" i="15"/>
  <c r="AE10" i="15"/>
  <c r="AD10" i="15"/>
  <c r="AC10" i="15"/>
  <c r="AB10" i="15"/>
  <c r="U10" i="15"/>
  <c r="T10" i="15"/>
  <c r="S10" i="15"/>
  <c r="Q10" i="15"/>
  <c r="AT9" i="15"/>
  <c r="AS9" i="15"/>
  <c r="AR9" i="15"/>
  <c r="AL9" i="15"/>
  <c r="AJ9" i="15"/>
  <c r="AH9" i="15"/>
  <c r="AG9" i="15"/>
  <c r="AF9" i="15"/>
  <c r="AE9" i="15"/>
  <c r="AD9" i="15"/>
  <c r="AC9" i="15"/>
  <c r="AB9" i="15"/>
  <c r="U9" i="15"/>
  <c r="T9" i="15"/>
  <c r="S9" i="15"/>
  <c r="Q9" i="15"/>
  <c r="AT8" i="15"/>
  <c r="AS8" i="15"/>
  <c r="AR8" i="15"/>
  <c r="AL8" i="15"/>
  <c r="AJ8" i="15"/>
  <c r="AH8" i="15"/>
  <c r="AG8" i="15"/>
  <c r="AF8" i="15"/>
  <c r="AE8" i="15"/>
  <c r="AD8" i="15"/>
  <c r="AC8" i="15"/>
  <c r="AB8" i="15"/>
  <c r="U8" i="15"/>
  <c r="T8" i="15"/>
  <c r="S8" i="15"/>
  <c r="Q8" i="15"/>
  <c r="AT7" i="15"/>
  <c r="AS7" i="15"/>
  <c r="AR7" i="15"/>
  <c r="AL7" i="15"/>
  <c r="AJ7" i="15"/>
  <c r="AH7" i="15"/>
  <c r="AG7" i="15"/>
  <c r="AF7" i="15"/>
  <c r="AE7" i="15"/>
  <c r="AD7" i="15"/>
  <c r="AC7" i="15"/>
  <c r="AB7" i="15"/>
  <c r="U7" i="15"/>
  <c r="T7" i="15"/>
  <c r="S7" i="15"/>
  <c r="Q7" i="15"/>
  <c r="AT6" i="15"/>
  <c r="AS6" i="15"/>
  <c r="AR6" i="15"/>
  <c r="AL6" i="15"/>
  <c r="AJ6" i="15"/>
  <c r="AH6" i="15"/>
  <c r="AG6" i="15"/>
  <c r="AF6" i="15"/>
  <c r="AE6" i="15"/>
  <c r="AD6" i="15"/>
  <c r="AC6" i="15"/>
  <c r="AB6" i="15"/>
  <c r="U6" i="15"/>
  <c r="T6" i="15"/>
  <c r="S6" i="15"/>
  <c r="Q6" i="15"/>
  <c r="F6" i="15"/>
  <c r="AT5" i="15"/>
  <c r="AS5" i="15"/>
  <c r="AR5" i="15"/>
  <c r="AL5" i="15"/>
  <c r="AJ5" i="15"/>
  <c r="AH5" i="15"/>
  <c r="AG5" i="15"/>
  <c r="AF5" i="15"/>
  <c r="AE5" i="15"/>
  <c r="AD5" i="15"/>
  <c r="AC5" i="15"/>
  <c r="AB5" i="15"/>
  <c r="U5" i="15"/>
  <c r="T5" i="15"/>
  <c r="S5" i="15"/>
  <c r="Q5" i="15"/>
  <c r="AT4" i="15"/>
  <c r="AS4" i="15"/>
  <c r="AR4" i="15"/>
  <c r="AL4" i="15"/>
  <c r="AJ4" i="15"/>
  <c r="AH4" i="15"/>
  <c r="AG4" i="15"/>
  <c r="AF4" i="15"/>
  <c r="AE4" i="15"/>
  <c r="AD4" i="15"/>
  <c r="AC4" i="15"/>
  <c r="AB4" i="15"/>
  <c r="U4" i="15"/>
  <c r="T4" i="15"/>
  <c r="S4" i="15"/>
  <c r="Q4" i="15"/>
  <c r="U1" i="15"/>
  <c r="D14" i="25"/>
  <c r="AK9" i="25"/>
  <c r="AI9" i="25"/>
  <c r="AB9" i="25"/>
  <c r="AA9" i="25"/>
  <c r="Z9" i="25"/>
  <c r="Y9" i="25"/>
  <c r="X9" i="25"/>
  <c r="W9" i="25"/>
  <c r="V9" i="25"/>
  <c r="R9" i="25"/>
  <c r="Q9" i="25"/>
  <c r="P9" i="25"/>
  <c r="O9" i="25"/>
  <c r="N9" i="25"/>
  <c r="M9" i="25"/>
  <c r="L9" i="25"/>
  <c r="AT8" i="25"/>
  <c r="AS8" i="25"/>
  <c r="AR8" i="25"/>
  <c r="AB8" i="25"/>
  <c r="Q8" i="25"/>
  <c r="AT7" i="25"/>
  <c r="AS7" i="25"/>
  <c r="AR7" i="25"/>
  <c r="AB7" i="25"/>
  <c r="Q7" i="25"/>
  <c r="O7" i="25"/>
  <c r="N7" i="25"/>
  <c r="M7" i="25"/>
  <c r="AT6" i="25"/>
  <c r="AS6" i="25"/>
  <c r="AR6" i="25"/>
  <c r="AB6" i="25"/>
  <c r="Q6" i="25"/>
  <c r="F6" i="25"/>
  <c r="AT5" i="25"/>
  <c r="AS5" i="25"/>
  <c r="AR5" i="25"/>
  <c r="AB5" i="25"/>
  <c r="Q5" i="25"/>
  <c r="AT4" i="25"/>
  <c r="AS4" i="25"/>
  <c r="AR4" i="25"/>
  <c r="AB4" i="25"/>
  <c r="Q4" i="25"/>
  <c r="E14" i="1"/>
  <c r="D14" i="1"/>
  <c r="C14" i="1"/>
  <c r="B14" i="1"/>
  <c r="AL9" i="1"/>
  <c r="AK9" i="1"/>
  <c r="AJ9" i="1"/>
  <c r="AI9" i="1"/>
  <c r="AH9" i="1"/>
  <c r="AG9" i="1"/>
  <c r="AF9" i="1"/>
  <c r="AE9" i="1"/>
  <c r="AD9" i="1"/>
  <c r="AC9" i="1"/>
  <c r="AB9" i="1"/>
  <c r="AA9" i="1"/>
  <c r="Z9" i="1"/>
  <c r="Y9" i="1"/>
  <c r="X9" i="1"/>
  <c r="W9" i="1"/>
  <c r="V9" i="1"/>
  <c r="U9" i="1"/>
  <c r="T9" i="1"/>
  <c r="S9" i="1"/>
  <c r="R9" i="1"/>
  <c r="Q9" i="1"/>
  <c r="P9" i="1"/>
  <c r="O9" i="1"/>
  <c r="N9" i="1"/>
  <c r="M9" i="1"/>
  <c r="L9" i="1"/>
  <c r="AT8" i="1"/>
  <c r="AS8" i="1"/>
  <c r="AR8" i="1"/>
  <c r="AL8" i="1"/>
  <c r="AJ8" i="1"/>
  <c r="AH8" i="1"/>
  <c r="AG8" i="1"/>
  <c r="AE8" i="1"/>
  <c r="AD8" i="1"/>
  <c r="AC8" i="1"/>
  <c r="AB8" i="1"/>
  <c r="U8" i="1"/>
  <c r="S8" i="1"/>
  <c r="Q8" i="1"/>
  <c r="AT7" i="1"/>
  <c r="AS7" i="1"/>
  <c r="AR7" i="1"/>
  <c r="AL7" i="1"/>
  <c r="AJ7" i="1"/>
  <c r="AH7" i="1"/>
  <c r="AG7" i="1"/>
  <c r="AE7" i="1"/>
  <c r="AD7" i="1"/>
  <c r="AC7" i="1"/>
  <c r="AB7" i="1"/>
  <c r="U7" i="1"/>
  <c r="S7" i="1"/>
  <c r="Q7" i="1"/>
  <c r="O7" i="1"/>
  <c r="N7" i="1"/>
  <c r="M7" i="1"/>
  <c r="AT6" i="1"/>
  <c r="AS6" i="1"/>
  <c r="AR6" i="1"/>
  <c r="AL6" i="1"/>
  <c r="AJ6" i="1"/>
  <c r="AH6" i="1"/>
  <c r="AG6" i="1"/>
  <c r="AE6" i="1"/>
  <c r="AD6" i="1"/>
  <c r="AC6" i="1"/>
  <c r="AB6" i="1"/>
  <c r="U6" i="1"/>
  <c r="S6" i="1"/>
  <c r="Q6" i="1"/>
  <c r="F6" i="1"/>
  <c r="AT5" i="1"/>
  <c r="AS5" i="1"/>
  <c r="AR5" i="1"/>
  <c r="AL5" i="1"/>
  <c r="AJ5" i="1"/>
  <c r="AH5" i="1"/>
  <c r="AG5" i="1"/>
  <c r="AE5" i="1"/>
  <c r="AD5" i="1"/>
  <c r="AC5" i="1"/>
  <c r="AB5" i="1"/>
  <c r="U5" i="1"/>
  <c r="S5" i="1"/>
  <c r="Q5" i="1"/>
  <c r="AT4" i="1"/>
  <c r="AS4" i="1"/>
  <c r="AR4" i="1"/>
  <c r="AL4" i="1"/>
  <c r="AJ4" i="1"/>
  <c r="AH4" i="1"/>
  <c r="AG4" i="1"/>
  <c r="AE4" i="1"/>
  <c r="AD4" i="1"/>
  <c r="AC4" i="1"/>
  <c r="AB4" i="1"/>
  <c r="U4" i="1"/>
  <c r="S4" i="1"/>
  <c r="Q4" i="1"/>
  <c r="D14" i="24"/>
  <c r="AK9" i="24"/>
  <c r="AI9" i="24"/>
  <c r="AB9" i="24"/>
  <c r="AA9" i="24"/>
  <c r="Z9" i="24"/>
  <c r="Y9" i="24"/>
  <c r="X9" i="24"/>
  <c r="W9" i="24"/>
  <c r="V9" i="24"/>
  <c r="R9" i="24"/>
  <c r="Q9" i="24"/>
  <c r="P9" i="24"/>
  <c r="O9" i="24"/>
  <c r="N9" i="24"/>
  <c r="M9" i="24"/>
  <c r="L9" i="24"/>
  <c r="AT8" i="24"/>
  <c r="AS8" i="24"/>
  <c r="AR8" i="24"/>
  <c r="AB8" i="24"/>
  <c r="Q8" i="24"/>
  <c r="P8" i="24"/>
  <c r="O8" i="24"/>
  <c r="N8" i="24"/>
  <c r="M8" i="24"/>
  <c r="AT7" i="24"/>
  <c r="AS7" i="24"/>
  <c r="AR7" i="24"/>
  <c r="AB7" i="24"/>
  <c r="Q7" i="24"/>
  <c r="O7" i="24"/>
  <c r="N7" i="24"/>
  <c r="M7" i="24"/>
  <c r="AT6" i="24"/>
  <c r="AS6" i="24"/>
  <c r="AR6" i="24"/>
  <c r="AB6" i="24"/>
  <c r="Q6" i="24"/>
  <c r="F6" i="24"/>
  <c r="AT5" i="24"/>
  <c r="AS5" i="24"/>
  <c r="AR5" i="24"/>
  <c r="AB5" i="24"/>
  <c r="Q5" i="24"/>
  <c r="O5" i="24"/>
  <c r="M5" i="24"/>
  <c r="AT4" i="24"/>
  <c r="AS4" i="24"/>
  <c r="AR4" i="24"/>
  <c r="AB4" i="24"/>
  <c r="Q4" i="24"/>
  <c r="D13" i="23"/>
  <c r="AK8" i="23"/>
  <c r="AI8" i="23"/>
  <c r="AB8" i="23"/>
  <c r="AA8" i="23"/>
  <c r="Z8" i="23"/>
  <c r="Y8" i="23"/>
  <c r="X8" i="23"/>
  <c r="W8" i="23"/>
  <c r="V8" i="23"/>
  <c r="R8" i="23"/>
  <c r="Q8" i="23"/>
  <c r="P8" i="23"/>
  <c r="O8" i="23"/>
  <c r="N8" i="23"/>
  <c r="M8" i="23"/>
  <c r="L8" i="23"/>
  <c r="AT7" i="23"/>
  <c r="AS7" i="23"/>
  <c r="AR7" i="23"/>
  <c r="AB7" i="23"/>
  <c r="Q7" i="23"/>
  <c r="F7" i="23"/>
  <c r="AT6" i="23"/>
  <c r="AS6" i="23"/>
  <c r="AR6" i="23"/>
  <c r="AB6" i="23"/>
  <c r="Q6" i="23"/>
  <c r="O6" i="23"/>
  <c r="N6" i="23"/>
  <c r="M6" i="23"/>
  <c r="AT5" i="23"/>
  <c r="AS5" i="23"/>
  <c r="AR5" i="23"/>
  <c r="AB5" i="23"/>
  <c r="Q5" i="23"/>
  <c r="AT4" i="23"/>
  <c r="AS4" i="23"/>
  <c r="AR4" i="23"/>
  <c r="AB4" i="23"/>
  <c r="Q4" i="23"/>
  <c r="D13" i="22"/>
  <c r="AK8" i="22"/>
  <c r="AI8" i="22"/>
  <c r="AB8" i="22"/>
  <c r="AA8" i="22"/>
  <c r="Z8" i="22"/>
  <c r="Y8" i="22"/>
  <c r="X8" i="22"/>
  <c r="W8" i="22"/>
  <c r="V8" i="22"/>
  <c r="R8" i="22"/>
  <c r="Q8" i="22"/>
  <c r="P8" i="22"/>
  <c r="O8" i="22"/>
  <c r="N8" i="22"/>
  <c r="M8" i="22"/>
  <c r="L8" i="22"/>
  <c r="AT7" i="22"/>
  <c r="AS7" i="22"/>
  <c r="AR7" i="22"/>
  <c r="AB7" i="22"/>
  <c r="Q7" i="22"/>
  <c r="F7" i="22"/>
  <c r="AT6" i="22"/>
  <c r="AS6" i="22"/>
  <c r="AR6" i="22"/>
  <c r="AB6" i="22"/>
  <c r="Q6" i="22"/>
  <c r="O6" i="22"/>
  <c r="N6" i="22"/>
  <c r="M6" i="22"/>
  <c r="AT5" i="22"/>
  <c r="AS5" i="22"/>
  <c r="AR5" i="22"/>
  <c r="AB5" i="22"/>
  <c r="Q5" i="22"/>
  <c r="AT4" i="22"/>
  <c r="AS4" i="22"/>
  <c r="AR4" i="22"/>
  <c r="AB4" i="22"/>
  <c r="Q4" i="22"/>
  <c r="D13" i="21"/>
  <c r="AK8" i="21"/>
  <c r="AI8" i="21"/>
  <c r="AB8" i="21"/>
  <c r="AA8" i="21"/>
  <c r="Z8" i="21"/>
  <c r="Y8" i="21"/>
  <c r="X8" i="21"/>
  <c r="W8" i="21"/>
  <c r="V8" i="21"/>
  <c r="R8" i="21"/>
  <c r="Q8" i="21"/>
  <c r="P8" i="21"/>
  <c r="O8" i="21"/>
  <c r="N8" i="21"/>
  <c r="M8" i="21"/>
  <c r="L8" i="21"/>
  <c r="AT7" i="21"/>
  <c r="AS7" i="21"/>
  <c r="AR7" i="21"/>
  <c r="AB7" i="21"/>
  <c r="Q7" i="21"/>
  <c r="F7" i="21"/>
  <c r="AT6" i="21"/>
  <c r="AS6" i="21"/>
  <c r="AR6" i="21"/>
  <c r="AB6" i="21"/>
  <c r="Q6" i="21"/>
  <c r="O6" i="21"/>
  <c r="N6" i="21"/>
  <c r="M6" i="21"/>
  <c r="AT5" i="21"/>
  <c r="AS5" i="21"/>
  <c r="AR5" i="21"/>
  <c r="AB5" i="21"/>
  <c r="Q5" i="21"/>
  <c r="AT4" i="21"/>
  <c r="AS4" i="21"/>
  <c r="AR4" i="21"/>
  <c r="AB4" i="21"/>
  <c r="Q4" i="21"/>
  <c r="D14" i="20"/>
  <c r="AK9" i="20"/>
  <c r="AI9" i="20"/>
  <c r="AB9" i="20"/>
  <c r="AA9" i="20"/>
  <c r="Z9" i="20"/>
  <c r="Y9" i="20"/>
  <c r="X9" i="20"/>
  <c r="W9" i="20"/>
  <c r="V9" i="20"/>
  <c r="R9" i="20"/>
  <c r="Q9" i="20"/>
  <c r="P9" i="20"/>
  <c r="O9" i="20"/>
  <c r="N9" i="20"/>
  <c r="M9" i="20"/>
  <c r="L9" i="20"/>
  <c r="AT8" i="20"/>
  <c r="AS8" i="20"/>
  <c r="AR8" i="20"/>
  <c r="AB8" i="20"/>
  <c r="Q8" i="20"/>
  <c r="F8" i="20"/>
  <c r="AT7" i="20"/>
  <c r="AS7" i="20"/>
  <c r="AR7" i="20"/>
  <c r="AB7" i="20"/>
  <c r="Q7" i="20"/>
  <c r="O7" i="20"/>
  <c r="N7" i="20"/>
  <c r="M7" i="20"/>
  <c r="AT6" i="20"/>
  <c r="AS6" i="20"/>
  <c r="AR6" i="20"/>
  <c r="AB6" i="20"/>
  <c r="U6" i="20"/>
  <c r="U5" i="21" s="1"/>
  <c r="U5" i="22" s="1"/>
  <c r="U5" i="23" s="1"/>
  <c r="U5" i="24" s="1"/>
  <c r="U5" i="25" s="1"/>
  <c r="Q6" i="20"/>
  <c r="AT5" i="20"/>
  <c r="AS5" i="20"/>
  <c r="AR5" i="20"/>
  <c r="AB5" i="20"/>
  <c r="Q5" i="20"/>
  <c r="AT4" i="20"/>
  <c r="AS4" i="20"/>
  <c r="AR4" i="20"/>
  <c r="AB4" i="20"/>
  <c r="Q4" i="20"/>
  <c r="D13" i="19"/>
  <c r="AK8" i="19"/>
  <c r="AI8" i="19"/>
  <c r="AB8" i="19"/>
  <c r="AA8" i="19"/>
  <c r="Z8" i="19"/>
  <c r="Y8" i="19"/>
  <c r="X8" i="19"/>
  <c r="W8" i="19"/>
  <c r="V8" i="19"/>
  <c r="R8" i="19"/>
  <c r="Q8" i="19"/>
  <c r="P8" i="19"/>
  <c r="O8" i="19"/>
  <c r="N8" i="19"/>
  <c r="M8" i="19"/>
  <c r="L8" i="19"/>
  <c r="AT7" i="19"/>
  <c r="AS7" i="19"/>
  <c r="AR7" i="19"/>
  <c r="AC7" i="19"/>
  <c r="AC7" i="20" s="1"/>
  <c r="AC6" i="21" s="1"/>
  <c r="AC6" i="22" s="1"/>
  <c r="AC6" i="23" s="1"/>
  <c r="AC7" i="24" s="1"/>
  <c r="AC7" i="25" s="1"/>
  <c r="AB7" i="19"/>
  <c r="T7" i="19"/>
  <c r="T7" i="20" s="1"/>
  <c r="T6" i="21" s="1"/>
  <c r="T6" i="22" s="1"/>
  <c r="T6" i="23" s="1"/>
  <c r="T7" i="24" s="1"/>
  <c r="T7" i="25" s="1"/>
  <c r="S7" i="19"/>
  <c r="S7" i="20" s="1"/>
  <c r="Q7" i="19"/>
  <c r="O7" i="19"/>
  <c r="N7" i="19"/>
  <c r="M7" i="19"/>
  <c r="AT6" i="19"/>
  <c r="AS6" i="19"/>
  <c r="AR6" i="19"/>
  <c r="AB6" i="19"/>
  <c r="Q6" i="19"/>
  <c r="AT5" i="19"/>
  <c r="AS5" i="19"/>
  <c r="AR5" i="19"/>
  <c r="AB5" i="19"/>
  <c r="Q5" i="19"/>
  <c r="AT4" i="19"/>
  <c r="AS4" i="19"/>
  <c r="AR4" i="19"/>
  <c r="AB4" i="19"/>
  <c r="U4" i="19"/>
  <c r="U4" i="20" s="1"/>
  <c r="Q4" i="19"/>
  <c r="BC11" i="28"/>
  <c r="AM10" i="28"/>
  <c r="BB9" i="28"/>
  <c r="BB10" i="28" s="1"/>
  <c r="G22" i="26" s="1"/>
  <c r="BA9" i="28"/>
  <c r="AY9" i="28"/>
  <c r="AR9" i="28"/>
  <c r="AR10" i="28" s="1"/>
  <c r="AQ9" i="28"/>
  <c r="AQ10" i="28" s="1"/>
  <c r="AP9" i="28"/>
  <c r="AP10" i="28" s="1"/>
  <c r="AO9" i="28"/>
  <c r="AO10" i="28" s="1"/>
  <c r="AN9" i="28"/>
  <c r="AN10" i="28" s="1"/>
  <c r="AM9" i="28"/>
  <c r="AL9" i="28"/>
  <c r="AL10" i="28" s="1"/>
  <c r="AJ9" i="28"/>
  <c r="AJ10" i="28" s="1"/>
  <c r="AH9" i="28"/>
  <c r="AH10" i="28" s="1"/>
  <c r="AG9" i="28"/>
  <c r="AG10" i="28" s="1"/>
  <c r="AE9" i="28"/>
  <c r="AE10" i="28" s="1"/>
  <c r="AD9" i="28"/>
  <c r="AD10" i="28" s="1"/>
  <c r="AB9" i="28"/>
  <c r="AB10" i="28" s="1"/>
  <c r="AA9" i="28"/>
  <c r="AA10" i="28" s="1"/>
  <c r="Y9" i="28"/>
  <c r="Y10" i="28" s="1"/>
  <c r="W9" i="28"/>
  <c r="W10" i="28" s="1"/>
  <c r="V9" i="28"/>
  <c r="V10" i="28" s="1"/>
  <c r="T9" i="28"/>
  <c r="T10" i="28" s="1"/>
  <c r="R9" i="28"/>
  <c r="R10" i="28" s="1"/>
  <c r="Q9" i="28"/>
  <c r="Q10" i="28" s="1"/>
  <c r="O9" i="28"/>
  <c r="O10" i="28" s="1"/>
  <c r="M9" i="28"/>
  <c r="M10" i="28" s="1"/>
  <c r="L9" i="28"/>
  <c r="L10" i="28" s="1"/>
  <c r="AK7" i="28"/>
  <c r="AV7" i="28" s="1"/>
  <c r="AI7" i="28"/>
  <c r="AU7" i="28" s="1"/>
  <c r="AZ7" i="28" s="1"/>
  <c r="AF7" i="28"/>
  <c r="Z7" i="28"/>
  <c r="X7" i="28"/>
  <c r="U7" i="28"/>
  <c r="S7" i="28"/>
  <c r="P7" i="28"/>
  <c r="AT7" i="28" s="1"/>
  <c r="N7" i="28"/>
  <c r="AK6" i="28"/>
  <c r="AV6" i="28" s="1"/>
  <c r="AI6" i="28"/>
  <c r="AU6" i="28" s="1"/>
  <c r="AZ6" i="28" s="1"/>
  <c r="AF6" i="28"/>
  <c r="Z6" i="28"/>
  <c r="X6" i="28"/>
  <c r="U6" i="28"/>
  <c r="S6" i="28"/>
  <c r="P6" i="28"/>
  <c r="N6" i="28"/>
  <c r="AK5" i="28"/>
  <c r="AI5" i="28"/>
  <c r="AU5" i="28" s="1"/>
  <c r="AF5" i="28"/>
  <c r="Z5" i="28"/>
  <c r="X5" i="28"/>
  <c r="U5" i="28"/>
  <c r="S5" i="28"/>
  <c r="P5" i="28"/>
  <c r="N5" i="28"/>
  <c r="AS5" i="28" s="1"/>
  <c r="AK4" i="28"/>
  <c r="AV4" i="28" s="1"/>
  <c r="AI4" i="28"/>
  <c r="AU4" i="28" s="1"/>
  <c r="AF4" i="28"/>
  <c r="AC4" i="28"/>
  <c r="AC9" i="28" s="1"/>
  <c r="AC10" i="28" s="1"/>
  <c r="Z4" i="28"/>
  <c r="X4" i="28"/>
  <c r="U4" i="28"/>
  <c r="S4" i="28"/>
  <c r="P4" i="28"/>
  <c r="N4" i="28"/>
  <c r="AK3" i="28"/>
  <c r="AV3" i="28" s="1"/>
  <c r="AI3" i="28"/>
  <c r="AF3" i="28"/>
  <c r="Z3" i="28"/>
  <c r="X3" i="28"/>
  <c r="U3" i="28"/>
  <c r="S3" i="28"/>
  <c r="P3" i="28"/>
  <c r="N3" i="28"/>
  <c r="BC18" i="27"/>
  <c r="BB18" i="27"/>
  <c r="AZ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BC17" i="27"/>
  <c r="BB17" i="27"/>
  <c r="BA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BC15" i="27"/>
  <c r="AZ15" i="27"/>
  <c r="AX15" i="27"/>
  <c r="AW15" i="27"/>
  <c r="AV15" i="27"/>
  <c r="AU15" i="27"/>
  <c r="AT15" i="27"/>
  <c r="AS15" i="27"/>
  <c r="AK15" i="27"/>
  <c r="AI15" i="27"/>
  <c r="AF15" i="27"/>
  <c r="AC15" i="27"/>
  <c r="Z15" i="27"/>
  <c r="X15" i="27"/>
  <c r="U15" i="27"/>
  <c r="S15" i="27"/>
  <c r="P15" i="27"/>
  <c r="N15" i="27"/>
  <c r="BC14" i="27"/>
  <c r="AZ14" i="27"/>
  <c r="AX14" i="27"/>
  <c r="AW14" i="27"/>
  <c r="AV14" i="27"/>
  <c r="AU14" i="27"/>
  <c r="AT14" i="27"/>
  <c r="AS14" i="27"/>
  <c r="AK14" i="27"/>
  <c r="AI14" i="27"/>
  <c r="AF14" i="27"/>
  <c r="AC14" i="27"/>
  <c r="Z14" i="27"/>
  <c r="X14" i="27"/>
  <c r="U14" i="27"/>
  <c r="S14" i="27"/>
  <c r="P14" i="27"/>
  <c r="N14" i="27"/>
  <c r="BC13" i="27"/>
  <c r="AZ13" i="27"/>
  <c r="AX13" i="27"/>
  <c r="AW13" i="27"/>
  <c r="AV13" i="27"/>
  <c r="AU13" i="27"/>
  <c r="AT13" i="27"/>
  <c r="AS13" i="27"/>
  <c r="AK13" i="27"/>
  <c r="AI13" i="27"/>
  <c r="AF13" i="27"/>
  <c r="AC13" i="27"/>
  <c r="Z13" i="27"/>
  <c r="X13" i="27"/>
  <c r="U13" i="27"/>
  <c r="S13" i="27"/>
  <c r="P13" i="27"/>
  <c r="N13" i="27"/>
  <c r="BC12" i="27"/>
  <c r="AZ12" i="27"/>
  <c r="AX12" i="27"/>
  <c r="AW12" i="27"/>
  <c r="AV12" i="27"/>
  <c r="AU12" i="27"/>
  <c r="AT12" i="27"/>
  <c r="AS12" i="27"/>
  <c r="AK12" i="27"/>
  <c r="AI12" i="27"/>
  <c r="AF12" i="27"/>
  <c r="AC12" i="27"/>
  <c r="Z12" i="27"/>
  <c r="X12" i="27"/>
  <c r="U12" i="27"/>
  <c r="S12" i="27"/>
  <c r="P12" i="27"/>
  <c r="N12" i="27"/>
  <c r="BC11" i="27"/>
  <c r="AX11" i="27"/>
  <c r="AW11" i="27"/>
  <c r="AV11" i="27"/>
  <c r="AU11" i="27"/>
  <c r="AT11" i="27"/>
  <c r="AS11" i="27"/>
  <c r="AF11" i="27"/>
  <c r="AD11" i="27"/>
  <c r="BC10" i="27"/>
  <c r="AX10" i="27"/>
  <c r="AW10" i="27"/>
  <c r="AV10" i="27"/>
  <c r="AU10" i="27"/>
  <c r="AT10" i="27"/>
  <c r="AS10" i="27"/>
  <c r="AF10" i="27"/>
  <c r="AD10" i="27"/>
  <c r="BC9" i="27"/>
  <c r="AX9" i="27"/>
  <c r="AW9" i="27"/>
  <c r="AV9" i="27"/>
  <c r="AU9" i="27"/>
  <c r="AT9" i="27"/>
  <c r="AS9" i="27"/>
  <c r="AF9" i="27"/>
  <c r="AD9" i="27"/>
  <c r="BC8" i="27"/>
  <c r="AZ8" i="27"/>
  <c r="AX8" i="27"/>
  <c r="AW8" i="27"/>
  <c r="AV8" i="27"/>
  <c r="AU8" i="27"/>
  <c r="AT8" i="27"/>
  <c r="AS8" i="27"/>
  <c r="AF8" i="27"/>
  <c r="AC8" i="27"/>
  <c r="Z8" i="27"/>
  <c r="X8" i="27"/>
  <c r="U8" i="27"/>
  <c r="S8" i="27"/>
  <c r="P8" i="27"/>
  <c r="N8" i="27"/>
  <c r="BC7" i="27"/>
  <c r="AZ7" i="27"/>
  <c r="AX7" i="27"/>
  <c r="AW7" i="27"/>
  <c r="AV7" i="27"/>
  <c r="AU7" i="27"/>
  <c r="AT7" i="27"/>
  <c r="AS7" i="27"/>
  <c r="AF7" i="27"/>
  <c r="AC7" i="27"/>
  <c r="Z7" i="27"/>
  <c r="X7" i="27"/>
  <c r="U7" i="27"/>
  <c r="S7" i="27"/>
  <c r="P7" i="27"/>
  <c r="N7" i="27"/>
  <c r="BC6" i="27"/>
  <c r="AZ6" i="27"/>
  <c r="AX6" i="27"/>
  <c r="AW6" i="27"/>
  <c r="AV6" i="27"/>
  <c r="AU6" i="27"/>
  <c r="AT6" i="27"/>
  <c r="AS6" i="27"/>
  <c r="AF6" i="27"/>
  <c r="AC6" i="27"/>
  <c r="Z6" i="27"/>
  <c r="X6" i="27"/>
  <c r="U6" i="27"/>
  <c r="S6" i="27"/>
  <c r="P6" i="27"/>
  <c r="N6" i="27"/>
  <c r="BC5" i="27"/>
  <c r="AZ5" i="27"/>
  <c r="AX5" i="27"/>
  <c r="AW5" i="27"/>
  <c r="AV5" i="27"/>
  <c r="AU5" i="27"/>
  <c r="AT5" i="27"/>
  <c r="AS5" i="27"/>
  <c r="AK5" i="27"/>
  <c r="AI5" i="27"/>
  <c r="AF5" i="27"/>
  <c r="Z5" i="27"/>
  <c r="X5" i="27"/>
  <c r="U5" i="27"/>
  <c r="S5" i="27"/>
  <c r="P5" i="27"/>
  <c r="N5" i="27"/>
  <c r="BC4" i="27"/>
  <c r="AZ4" i="27"/>
  <c r="AX4" i="27"/>
  <c r="AW4" i="27"/>
  <c r="AV4" i="27"/>
  <c r="AU4" i="27"/>
  <c r="AT4" i="27"/>
  <c r="AS4" i="27"/>
  <c r="AK4" i="27"/>
  <c r="AI4" i="27"/>
  <c r="AF4" i="27"/>
  <c r="Z4" i="27"/>
  <c r="X4" i="27"/>
  <c r="U4" i="27"/>
  <c r="S4" i="27"/>
  <c r="P4" i="27"/>
  <c r="N4" i="27"/>
  <c r="BC3" i="27"/>
  <c r="AZ3" i="27"/>
  <c r="AX3" i="27"/>
  <c r="AW3" i="27"/>
  <c r="AV3" i="27"/>
  <c r="AU3" i="27"/>
  <c r="AT3" i="27"/>
  <c r="AS3" i="27"/>
  <c r="AK3" i="27"/>
  <c r="AI3" i="27"/>
  <c r="AF3" i="27"/>
  <c r="Z3" i="27"/>
  <c r="X3" i="27"/>
  <c r="U3" i="27"/>
  <c r="S3" i="27"/>
  <c r="P3" i="27"/>
  <c r="N3" i="27"/>
  <c r="U9" i="28" l="1"/>
  <c r="U10" i="28" s="1"/>
  <c r="AI9" i="28"/>
  <c r="AI10" i="28" s="1"/>
  <c r="AK9" i="28"/>
  <c r="AK10" i="28" s="1"/>
  <c r="AS3" i="28"/>
  <c r="AT4" i="28"/>
  <c r="AT5" i="28"/>
  <c r="AX5" i="28" s="1"/>
  <c r="AZ4" i="28"/>
  <c r="AS6" i="28"/>
  <c r="AW6" i="28" s="1"/>
  <c r="U6" i="18"/>
  <c r="AD6" i="18" s="1"/>
  <c r="AE6" i="18" s="1"/>
  <c r="Z9" i="28"/>
  <c r="Z10" i="28" s="1"/>
  <c r="AD7" i="18"/>
  <c r="AE7" i="18" s="1"/>
  <c r="P9" i="28"/>
  <c r="P10" i="28" s="1"/>
  <c r="AT6" i="28"/>
  <c r="AX6" i="28" s="1"/>
  <c r="BC6" i="28" s="1"/>
  <c r="AU3" i="28"/>
  <c r="X9" i="28"/>
  <c r="X10" i="28" s="1"/>
  <c r="AV5" i="28"/>
  <c r="AW5" i="28" s="1"/>
  <c r="S9" i="28"/>
  <c r="S10" i="28" s="1"/>
  <c r="AS4" i="28"/>
  <c r="AS7" i="28"/>
  <c r="AX7" i="28" s="1"/>
  <c r="BC7" i="28" s="1"/>
  <c r="AF9" i="28"/>
  <c r="AF10" i="28" s="1"/>
  <c r="AD7" i="19"/>
  <c r="AE7" i="19" s="1"/>
  <c r="U4" i="21"/>
  <c r="S4" i="18"/>
  <c r="AD6" i="17"/>
  <c r="AE6" i="17" s="1"/>
  <c r="AG6" i="17" s="1"/>
  <c r="AC4" i="18"/>
  <c r="S5" i="18"/>
  <c r="AD5" i="17"/>
  <c r="AE5" i="17" s="1"/>
  <c r="AG5" i="17" s="1"/>
  <c r="AD10" i="17"/>
  <c r="AE10" i="17" s="1"/>
  <c r="AG10" i="17" s="1"/>
  <c r="N9" i="28"/>
  <c r="N10" i="28" s="1"/>
  <c r="AD7" i="20"/>
  <c r="AE7" i="20" s="1"/>
  <c r="T4" i="18"/>
  <c r="AD4" i="17"/>
  <c r="AT3" i="28"/>
  <c r="AW3" i="28" s="1"/>
  <c r="S6" i="21"/>
  <c r="AD8" i="17"/>
  <c r="AE8" i="17" s="1"/>
  <c r="AG8" i="17" s="1"/>
  <c r="AD8" i="18"/>
  <c r="AE8" i="18" s="1"/>
  <c r="AD15" i="17"/>
  <c r="AE15" i="17" s="1"/>
  <c r="AG15" i="17" s="1"/>
  <c r="AD7" i="17"/>
  <c r="AE7" i="17" s="1"/>
  <c r="AG7" i="17" s="1"/>
  <c r="AH7" i="17" s="1"/>
  <c r="AJ7" i="17" s="1"/>
  <c r="AL7" i="17" s="1"/>
  <c r="AD9" i="17"/>
  <c r="AE9" i="17" s="1"/>
  <c r="AG9" i="17" s="1"/>
  <c r="AH9" i="17" s="1"/>
  <c r="AJ9" i="17" s="1"/>
  <c r="AL9" i="17" s="1"/>
  <c r="AD11" i="17"/>
  <c r="AE11" i="17" s="1"/>
  <c r="AG11" i="17" s="1"/>
  <c r="AH11" i="17" s="1"/>
  <c r="AJ11" i="17" s="1"/>
  <c r="AL11" i="17" s="1"/>
  <c r="AF7" i="18" l="1"/>
  <c r="AX4" i="28"/>
  <c r="BC4" i="28" s="1"/>
  <c r="AV9" i="28"/>
  <c r="AV10" i="28" s="1"/>
  <c r="AT9" i="28"/>
  <c r="AT10" i="28" s="1"/>
  <c r="AZ5" i="28"/>
  <c r="BC5" i="28" s="1"/>
  <c r="AD6" i="21"/>
  <c r="AE6" i="21" s="1"/>
  <c r="S6" i="22"/>
  <c r="T4" i="19"/>
  <c r="AF5" i="18"/>
  <c r="AH5" i="17"/>
  <c r="AJ5" i="17" s="1"/>
  <c r="AL5" i="17" s="1"/>
  <c r="U4" i="22"/>
  <c r="AW7" i="28"/>
  <c r="AH15" i="17"/>
  <c r="AJ15" i="17" s="1"/>
  <c r="AL15" i="17" s="1"/>
  <c r="AD5" i="18"/>
  <c r="AE5" i="18" s="1"/>
  <c r="S6" i="19"/>
  <c r="AG7" i="18"/>
  <c r="AH7" i="18" s="1"/>
  <c r="AJ7" i="18" s="1"/>
  <c r="AL7" i="18" s="1"/>
  <c r="AU9" i="28"/>
  <c r="AU10" i="28" s="1"/>
  <c r="AZ3" i="28"/>
  <c r="AZ9" i="28" s="1"/>
  <c r="AZ10" i="28" s="1"/>
  <c r="G20" i="26" s="1"/>
  <c r="AE4" i="17"/>
  <c r="AC4" i="19"/>
  <c r="AD4" i="18"/>
  <c r="S4" i="19"/>
  <c r="AW4" i="28"/>
  <c r="AW9" i="28" s="1"/>
  <c r="AW10" i="28" s="1"/>
  <c r="AH8" i="17"/>
  <c r="AJ8" i="17" s="1"/>
  <c r="AL8" i="17" s="1"/>
  <c r="AF8" i="18"/>
  <c r="AG8" i="18" s="1"/>
  <c r="AH8" i="18" s="1"/>
  <c r="AJ8" i="18" s="1"/>
  <c r="AL8" i="18" s="1"/>
  <c r="AH10" i="17"/>
  <c r="AJ10" i="17" s="1"/>
  <c r="AL10" i="17" s="1"/>
  <c r="AH6" i="17"/>
  <c r="AJ6" i="17" s="1"/>
  <c r="AL6" i="17" s="1"/>
  <c r="AF6" i="18"/>
  <c r="AG6" i="18" s="1"/>
  <c r="AH6" i="18" s="1"/>
  <c r="AJ6" i="18" s="1"/>
  <c r="AL6" i="18" s="1"/>
  <c r="AS9" i="28"/>
  <c r="AS10" i="28" s="1"/>
  <c r="AX3" i="28"/>
  <c r="S6" i="23" l="1"/>
  <c r="AD6" i="22"/>
  <c r="AE6" i="22" s="1"/>
  <c r="S4" i="20"/>
  <c r="AD4" i="19"/>
  <c r="AC4" i="20"/>
  <c r="U4" i="23"/>
  <c r="AX9" i="28"/>
  <c r="AX10" i="28" s="1"/>
  <c r="G19" i="26" s="1"/>
  <c r="BC3" i="28"/>
  <c r="BC9" i="28" s="1"/>
  <c r="BC10" i="28" s="1"/>
  <c r="S6" i="20"/>
  <c r="AD6" i="19"/>
  <c r="AE6" i="19" s="1"/>
  <c r="AE4" i="18"/>
  <c r="AG4" i="17"/>
  <c r="AG5" i="18"/>
  <c r="AH5" i="18" s="1"/>
  <c r="AJ5" i="18" s="1"/>
  <c r="AL5" i="18" s="1"/>
  <c r="AF7" i="19"/>
  <c r="T4" i="20"/>
  <c r="T4" i="21" l="1"/>
  <c r="E24" i="17"/>
  <c r="E20" i="16"/>
  <c r="E15" i="20"/>
  <c r="AC4" i="21"/>
  <c r="AF4" i="18"/>
  <c r="AH4" i="17"/>
  <c r="AF6" i="19"/>
  <c r="AG6" i="19" s="1"/>
  <c r="AH6" i="19" s="1"/>
  <c r="AJ6" i="19" s="1"/>
  <c r="AL6" i="19" s="1"/>
  <c r="S5" i="21"/>
  <c r="AD6" i="20"/>
  <c r="AE6" i="20" s="1"/>
  <c r="U4" i="24"/>
  <c r="AG7" i="19"/>
  <c r="AH7" i="19" s="1"/>
  <c r="AJ7" i="19" s="1"/>
  <c r="AL7" i="19" s="1"/>
  <c r="S4" i="21"/>
  <c r="AD4" i="20"/>
  <c r="AE4" i="19"/>
  <c r="S7" i="24"/>
  <c r="AD6" i="23"/>
  <c r="AE6" i="23" s="1"/>
  <c r="AF7" i="20" l="1"/>
  <c r="AD7" i="24"/>
  <c r="AE7" i="24" s="1"/>
  <c r="S7" i="25"/>
  <c r="AD7" i="25" s="1"/>
  <c r="AE7" i="25" s="1"/>
  <c r="AG7" i="20"/>
  <c r="AH7" i="20" s="1"/>
  <c r="AJ7" i="20" s="1"/>
  <c r="AL7" i="20" s="1"/>
  <c r="AD5" i="21"/>
  <c r="AE5" i="21" s="1"/>
  <c r="S5" i="22"/>
  <c r="U4" i="25"/>
  <c r="AF16" i="17"/>
  <c r="T14" i="17"/>
  <c r="U13" i="17"/>
  <c r="U12" i="17"/>
  <c r="U16" i="17"/>
  <c r="AC16" i="17"/>
  <c r="S14" i="17"/>
  <c r="AC12" i="17"/>
  <c r="AC14" i="17"/>
  <c r="AF13" i="17"/>
  <c r="T13" i="17"/>
  <c r="T16" i="17"/>
  <c r="AF14" i="17"/>
  <c r="AC13" i="17"/>
  <c r="AF12" i="17"/>
  <c r="S12" i="17"/>
  <c r="S13" i="17"/>
  <c r="U14" i="17"/>
  <c r="S16" i="17"/>
  <c r="T12" i="17"/>
  <c r="AJ4" i="17"/>
  <c r="AC4" i="22"/>
  <c r="AG4" i="18"/>
  <c r="AE4" i="20"/>
  <c r="AF6" i="20"/>
  <c r="AD4" i="21"/>
  <c r="S4" i="22"/>
  <c r="T4" i="22"/>
  <c r="AF6" i="21" l="1"/>
  <c r="AG6" i="21" s="1"/>
  <c r="AH6" i="21" s="1"/>
  <c r="AJ6" i="21" s="1"/>
  <c r="AL6" i="21" s="1"/>
  <c r="AE4" i="21"/>
  <c r="AD13" i="17"/>
  <c r="AE13" i="17" s="1"/>
  <c r="AG13" i="17" s="1"/>
  <c r="AH13" i="17" s="1"/>
  <c r="AJ13" i="17" s="1"/>
  <c r="AL13" i="17" s="1"/>
  <c r="AL4" i="17"/>
  <c r="T18" i="17"/>
  <c r="AC18" i="17"/>
  <c r="AH4" i="18"/>
  <c r="AD4" i="22"/>
  <c r="S4" i="23"/>
  <c r="AC4" i="23"/>
  <c r="AG6" i="20"/>
  <c r="AH6" i="20" s="1"/>
  <c r="AJ6" i="20" s="1"/>
  <c r="AL6" i="20" s="1"/>
  <c r="AF4" i="19"/>
  <c r="T4" i="23"/>
  <c r="AD12" i="17"/>
  <c r="S18" i="17"/>
  <c r="U18" i="17"/>
  <c r="AD5" i="22"/>
  <c r="AE5" i="22" s="1"/>
  <c r="S5" i="23"/>
  <c r="AD16" i="17"/>
  <c r="AE16" i="17" s="1"/>
  <c r="AG16" i="17" s="1"/>
  <c r="AH16" i="17" s="1"/>
  <c r="AJ16" i="17" s="1"/>
  <c r="AL16" i="17" s="1"/>
  <c r="AF18" i="17"/>
  <c r="AD14" i="17"/>
  <c r="AE14" i="17" s="1"/>
  <c r="AG14" i="17" s="1"/>
  <c r="AH14" i="17" s="1"/>
  <c r="AJ14" i="17" s="1"/>
  <c r="AL14" i="17" s="1"/>
  <c r="AF6" i="22" l="1"/>
  <c r="AD4" i="23"/>
  <c r="S4" i="24"/>
  <c r="T10" i="18"/>
  <c r="S10" i="18"/>
  <c r="AG4" i="19"/>
  <c r="AF4" i="20" s="1"/>
  <c r="AE4" i="22"/>
  <c r="AE12" i="17"/>
  <c r="AD18" i="17"/>
  <c r="AC4" i="24"/>
  <c r="S5" i="24"/>
  <c r="AD5" i="23"/>
  <c r="AE5" i="23" s="1"/>
  <c r="U10" i="18"/>
  <c r="T4" i="24"/>
  <c r="AF5" i="21"/>
  <c r="AJ4" i="18"/>
  <c r="AC10" i="18"/>
  <c r="AG6" i="22"/>
  <c r="AH6" i="22" s="1"/>
  <c r="AJ6" i="22" s="1"/>
  <c r="AL6" i="22" s="1"/>
  <c r="AC4" i="25" l="1"/>
  <c r="S4" i="25"/>
  <c r="AD4" i="24"/>
  <c r="AL4" i="18"/>
  <c r="AE4" i="23"/>
  <c r="AF6" i="23"/>
  <c r="AD5" i="24"/>
  <c r="AE5" i="24" s="1"/>
  <c r="S5" i="25"/>
  <c r="AD5" i="25" s="1"/>
  <c r="AE5" i="25" s="1"/>
  <c r="AH4" i="19"/>
  <c r="AG5" i="21"/>
  <c r="AH5" i="21" s="1"/>
  <c r="AJ5" i="21" s="1"/>
  <c r="AL5" i="21" s="1"/>
  <c r="T4" i="25"/>
  <c r="AG12" i="17"/>
  <c r="AE18" i="17"/>
  <c r="AG4" i="20"/>
  <c r="AF4" i="21" s="1"/>
  <c r="AD10" i="18"/>
  <c r="AJ4" i="19" l="1"/>
  <c r="AH4" i="20"/>
  <c r="AH12" i="17"/>
  <c r="AG18" i="17"/>
  <c r="C23" i="17" s="1"/>
  <c r="AF10" i="18"/>
  <c r="AF5" i="22"/>
  <c r="AE10" i="18"/>
  <c r="AE4" i="24"/>
  <c r="AG4" i="21"/>
  <c r="AF4" i="22" s="1"/>
  <c r="AG6" i="23"/>
  <c r="AH6" i="23" s="1"/>
  <c r="AJ6" i="23" s="1"/>
  <c r="AL6" i="23" s="1"/>
  <c r="AD4" i="25"/>
  <c r="AF7" i="24" l="1"/>
  <c r="AG7" i="24" s="1"/>
  <c r="AH7" i="24" s="1"/>
  <c r="AJ7" i="24" s="1"/>
  <c r="AL7" i="24" s="1"/>
  <c r="AG4" i="22"/>
  <c r="AG5" i="22"/>
  <c r="AH5" i="22" s="1"/>
  <c r="AJ5" i="22" s="1"/>
  <c r="AL5" i="22" s="1"/>
  <c r="AJ4" i="20"/>
  <c r="AL4" i="19"/>
  <c r="AE4" i="25"/>
  <c r="AH4" i="21"/>
  <c r="AJ12" i="17"/>
  <c r="AH18" i="17"/>
  <c r="AF5" i="23" l="1"/>
  <c r="AG5" i="23" s="1"/>
  <c r="AH5" i="23" s="1"/>
  <c r="AJ5" i="23" s="1"/>
  <c r="AL5" i="23" s="1"/>
  <c r="AF7" i="25"/>
  <c r="AG7" i="25" s="1"/>
  <c r="AH7" i="25" s="1"/>
  <c r="AJ7" i="25" s="1"/>
  <c r="AL7" i="25" s="1"/>
  <c r="AH4" i="22"/>
  <c r="AJ4" i="21"/>
  <c r="AG10" i="18"/>
  <c r="C15" i="18" s="1"/>
  <c r="AL4" i="20"/>
  <c r="AL12" i="17"/>
  <c r="AL18" i="17" s="1"/>
  <c r="AJ18" i="17"/>
  <c r="B23" i="17" s="1"/>
  <c r="E23" i="17" s="1"/>
  <c r="AF4" i="23"/>
  <c r="AF4" i="24" l="1"/>
  <c r="AG4" i="23"/>
  <c r="AF5" i="24"/>
  <c r="AL4" i="21"/>
  <c r="AH10" i="18"/>
  <c r="AJ4" i="22"/>
  <c r="AG5" i="24" l="1"/>
  <c r="AH5" i="24" s="1"/>
  <c r="AJ5" i="24" s="1"/>
  <c r="AL5" i="24" s="1"/>
  <c r="AL10" i="18"/>
  <c r="AJ10" i="18"/>
  <c r="B15" i="18" s="1"/>
  <c r="E15" i="18" s="1"/>
  <c r="AL4" i="22"/>
  <c r="AH4" i="23"/>
  <c r="AG4" i="24"/>
  <c r="AF4" i="25" s="1"/>
  <c r="AF5" i="25" l="1"/>
  <c r="AG5" i="25" s="1"/>
  <c r="AH5" i="25" s="1"/>
  <c r="AJ5" i="25" s="1"/>
  <c r="AL5" i="25" s="1"/>
  <c r="AH4" i="24"/>
  <c r="AJ4" i="23"/>
  <c r="U5" i="19"/>
  <c r="AF5" i="19"/>
  <c r="T5" i="19"/>
  <c r="G18" i="26"/>
  <c r="G21" i="26" s="1"/>
  <c r="G24" i="26" s="1"/>
  <c r="S5" i="19"/>
  <c r="AC5" i="19"/>
  <c r="AG4" i="25"/>
  <c r="AF8" i="19" l="1"/>
  <c r="AJ4" i="24"/>
  <c r="U8" i="19"/>
  <c r="U5" i="20"/>
  <c r="T5" i="20"/>
  <c r="T8" i="19"/>
  <c r="AL4" i="23"/>
  <c r="AC5" i="20"/>
  <c r="AC8" i="19"/>
  <c r="S5" i="20"/>
  <c r="AD5" i="19"/>
  <c r="S8" i="19"/>
  <c r="AH4" i="25"/>
  <c r="D10" i="26"/>
  <c r="E8" i="26" s="1"/>
  <c r="G25" i="26"/>
  <c r="E9" i="26"/>
  <c r="AD5" i="20" l="1"/>
  <c r="AJ4" i="25"/>
  <c r="AL4" i="24"/>
  <c r="AE5" i="19"/>
  <c r="AD8" i="19"/>
  <c r="AG5" i="19" l="1"/>
  <c r="AE8" i="19"/>
  <c r="AL4" i="25"/>
  <c r="AE5" i="20"/>
  <c r="AH5" i="19" l="1"/>
  <c r="AG8" i="19"/>
  <c r="C13" i="19" s="1"/>
  <c r="AF5" i="20"/>
  <c r="AG5" i="20" l="1"/>
  <c r="AJ5" i="19"/>
  <c r="AH8" i="19"/>
  <c r="AL5" i="19" l="1"/>
  <c r="AL8" i="19" s="1"/>
  <c r="AJ8" i="19"/>
  <c r="B13" i="19" s="1"/>
  <c r="E13" i="19" s="1"/>
  <c r="AH5" i="20"/>
  <c r="AC8" i="20" l="1"/>
  <c r="S8" i="20"/>
  <c r="AF8" i="20"/>
  <c r="U8" i="20"/>
  <c r="T8" i="20"/>
  <c r="AJ5" i="20"/>
  <c r="AF9" i="20" l="1"/>
  <c r="AL5" i="20"/>
  <c r="S7" i="21"/>
  <c r="AD8" i="20"/>
  <c r="S9" i="20"/>
  <c r="U7" i="21"/>
  <c r="U9" i="20"/>
  <c r="T7" i="21"/>
  <c r="T9" i="20"/>
  <c r="AC7" i="21"/>
  <c r="AC9" i="20"/>
  <c r="AC7" i="22" l="1"/>
  <c r="AC8" i="21"/>
  <c r="T7" i="22"/>
  <c r="T8" i="21"/>
  <c r="AE8" i="20"/>
  <c r="AD9" i="20"/>
  <c r="U7" i="22"/>
  <c r="U8" i="21"/>
  <c r="S7" i="22"/>
  <c r="AD7" i="21"/>
  <c r="S8" i="21"/>
  <c r="AE7" i="21" l="1"/>
  <c r="AD8" i="21"/>
  <c r="AD7" i="22"/>
  <c r="S7" i="23"/>
  <c r="S8" i="22"/>
  <c r="AG8" i="20"/>
  <c r="AE9" i="20"/>
  <c r="U7" i="23"/>
  <c r="U8" i="22"/>
  <c r="T7" i="23"/>
  <c r="T8" i="22"/>
  <c r="AC7" i="23"/>
  <c r="AC8" i="22"/>
  <c r="AE7" i="22" l="1"/>
  <c r="AD8" i="22"/>
  <c r="T6" i="24"/>
  <c r="T8" i="23"/>
  <c r="AC6" i="24"/>
  <c r="AC8" i="23"/>
  <c r="U6" i="24"/>
  <c r="U8" i="23"/>
  <c r="S6" i="24"/>
  <c r="AD7" i="23"/>
  <c r="S8" i="23"/>
  <c r="AH8" i="20"/>
  <c r="AG9" i="20"/>
  <c r="C14" i="20" s="1"/>
  <c r="AF7" i="21"/>
  <c r="AG7" i="21"/>
  <c r="AE8" i="21"/>
  <c r="AH7" i="21" l="1"/>
  <c r="AG8" i="21"/>
  <c r="C13" i="21" s="1"/>
  <c r="T6" i="25"/>
  <c r="AF7" i="22"/>
  <c r="AG7" i="22" s="1"/>
  <c r="AF8" i="21"/>
  <c r="AE7" i="23"/>
  <c r="AD8" i="23"/>
  <c r="AJ8" i="20"/>
  <c r="AH9" i="20"/>
  <c r="U6" i="25"/>
  <c r="S6" i="25"/>
  <c r="AD6" i="24"/>
  <c r="AC6" i="25"/>
  <c r="AE8" i="22"/>
  <c r="AH7" i="22" l="1"/>
  <c r="AG8" i="22"/>
  <c r="C13" i="22" s="1"/>
  <c r="AE6" i="24"/>
  <c r="AE8" i="23"/>
  <c r="AD6" i="25"/>
  <c r="AL8" i="20"/>
  <c r="AL9" i="20" s="1"/>
  <c r="AJ9" i="20"/>
  <c r="B14" i="20" s="1"/>
  <c r="E14" i="20" s="1"/>
  <c r="AF7" i="23"/>
  <c r="AG7" i="23" s="1"/>
  <c r="AF8" i="22"/>
  <c r="AJ7" i="21"/>
  <c r="AH8" i="21"/>
  <c r="AH7" i="23" l="1"/>
  <c r="AG8" i="23"/>
  <c r="C13" i="23" s="1"/>
  <c r="AL7" i="21"/>
  <c r="AL8" i="21" s="1"/>
  <c r="AJ8" i="21"/>
  <c r="B13" i="21" s="1"/>
  <c r="E13" i="21" s="1"/>
  <c r="AF6" i="24"/>
  <c r="AF8" i="23"/>
  <c r="AE6" i="25"/>
  <c r="AG6" i="24"/>
  <c r="AJ7" i="22"/>
  <c r="AH8" i="22"/>
  <c r="AL7" i="22" l="1"/>
  <c r="AL8" i="22" s="1"/>
  <c r="AJ8" i="22"/>
  <c r="B13" i="22" s="1"/>
  <c r="E13" i="22" s="1"/>
  <c r="AH6" i="24"/>
  <c r="AF6" i="25"/>
  <c r="AG6" i="25" s="1"/>
  <c r="AJ7" i="23"/>
  <c r="AH8" i="23"/>
  <c r="AH6" i="25" l="1"/>
  <c r="AL7" i="23"/>
  <c r="AL8" i="23" s="1"/>
  <c r="AJ8" i="23"/>
  <c r="B13" i="23" s="1"/>
  <c r="E13" i="23" s="1"/>
  <c r="AJ6" i="24"/>
  <c r="AL6" i="24" l="1"/>
  <c r="T8" i="24"/>
  <c r="S8" i="24"/>
  <c r="AF8" i="24"/>
  <c r="U8" i="24"/>
  <c r="AC8" i="24"/>
  <c r="AJ6" i="25"/>
  <c r="AL6" i="25" l="1"/>
  <c r="T8" i="25"/>
  <c r="T9" i="25" s="1"/>
  <c r="T9" i="24"/>
  <c r="U8" i="25"/>
  <c r="U9" i="25" s="1"/>
  <c r="U9" i="24"/>
  <c r="AD8" i="24"/>
  <c r="S8" i="25"/>
  <c r="S9" i="24"/>
  <c r="AC8" i="25"/>
  <c r="AC9" i="25" s="1"/>
  <c r="AC9" i="24"/>
  <c r="AF9" i="24"/>
  <c r="AE8" i="24" l="1"/>
  <c r="AD9" i="24"/>
  <c r="AD8" i="25"/>
  <c r="S9" i="25"/>
  <c r="AE8" i="25" l="1"/>
  <c r="AD9" i="25"/>
  <c r="AG8" i="24"/>
  <c r="AE9" i="24"/>
  <c r="AH8" i="24" l="1"/>
  <c r="AG9" i="24"/>
  <c r="C14" i="24" s="1"/>
  <c r="AF8" i="25"/>
  <c r="AF9" i="25" s="1"/>
  <c r="AE9" i="25"/>
  <c r="AG8" i="25" l="1"/>
  <c r="AJ8" i="24"/>
  <c r="AH9" i="24"/>
  <c r="AL8" i="24" l="1"/>
  <c r="AL9" i="24" s="1"/>
  <c r="AJ9" i="24"/>
  <c r="B14" i="24" s="1"/>
  <c r="E14" i="24" s="1"/>
  <c r="AH8" i="25"/>
  <c r="AG9" i="25"/>
  <c r="C14" i="25" s="1"/>
  <c r="AJ8" i="25" l="1"/>
  <c r="AH9" i="25"/>
  <c r="AL8" i="25" l="1"/>
  <c r="AL9" i="25" s="1"/>
  <c r="AJ9" i="25"/>
  <c r="B14" i="25" s="1"/>
  <c r="E14" i="25" s="1"/>
</calcChain>
</file>

<file path=xl/comments1.xml><?xml version="1.0" encoding="utf-8"?>
<comments xmlns="http://schemas.openxmlformats.org/spreadsheetml/2006/main">
  <authors>
    <author>作者</author>
  </authors>
  <commentList>
    <comment ref="F17" authorId="0">
      <text>
        <r>
          <rPr>
            <sz val="9"/>
            <rFont val="宋体"/>
            <family val="3"/>
            <charset val="134"/>
          </rPr>
          <t>作者:
含补缴人数</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kk</author>
    <author>Administrator</author>
    <author>SDWM</author>
  </authors>
  <commentList>
    <comment ref="E1" authorId="0">
      <text>
        <r>
          <rPr>
            <sz val="9"/>
            <rFont val="宋体"/>
            <family val="3"/>
            <charset val="134"/>
          </rPr>
          <t>客户无需填写，报送填写供应商全称。</t>
        </r>
      </text>
    </comment>
    <comment ref="F1" authorId="0">
      <text>
        <r>
          <rPr>
            <sz val="9"/>
            <rFont val="宋体"/>
            <family val="3"/>
            <charset val="134"/>
          </rPr>
          <t>请填写客户全称</t>
        </r>
      </text>
    </comment>
    <comment ref="G1" authorId="1">
      <text>
        <r>
          <rPr>
            <b/>
            <sz val="9"/>
            <rFont val="宋体"/>
            <family val="3"/>
            <charset val="134"/>
          </rPr>
          <t>以系统项目编号为准</t>
        </r>
      </text>
    </comment>
    <comment ref="H1" authorId="0">
      <text>
        <r>
          <rPr>
            <sz val="9"/>
            <rFont val="宋体"/>
            <family val="3"/>
            <charset val="134"/>
          </rPr>
          <t>按公司标准产品填写，以签署的合同为准</t>
        </r>
      </text>
    </comment>
    <comment ref="O1" authorId="0">
      <text>
        <r>
          <rPr>
            <sz val="9"/>
            <rFont val="宋体"/>
            <family val="3"/>
            <charset val="134"/>
          </rPr>
          <t>员工社保、住房的缴纳城市</t>
        </r>
      </text>
    </comment>
    <comment ref="P1" authorId="0">
      <text>
        <r>
          <rPr>
            <sz val="9"/>
            <rFont val="宋体"/>
            <family val="3"/>
            <charset val="134"/>
          </rPr>
          <t>“本地”以社保缴纳地为准，本地城镇、本地农村、外地城镇、外地农村，请选择即可</t>
        </r>
      </text>
    </comment>
    <comment ref="S1" authorId="0">
      <text>
        <r>
          <rPr>
            <sz val="9"/>
            <rFont val="宋体"/>
            <family val="3"/>
            <charset val="134"/>
          </rPr>
          <t>填写“新参保”或“调入”，新参保是指从未在当地缴纳过保险的情况；调入是指在当地有过参保记录的情况，请选择即可；</t>
        </r>
      </text>
    </comment>
    <comment ref="Z1" authorId="0">
      <text>
        <r>
          <rPr>
            <sz val="9"/>
            <rFont val="宋体"/>
            <family val="3"/>
            <charset val="134"/>
          </rPr>
          <t>填写“新参”或“调入”，新参是指从未在当地缴纳过公积金的情况；调入是指在当地有缴纳公积金记录的情况，请选择即可；</t>
        </r>
      </text>
    </comment>
    <comment ref="AL1" authorId="2">
      <text>
        <r>
          <rPr>
            <b/>
            <sz val="11"/>
            <rFont val="宋体"/>
            <family val="3"/>
            <charset val="134"/>
          </rPr>
          <t>只大连地区填写：大连户口详细到区，异地户口详细到市</t>
        </r>
      </text>
    </comment>
    <comment ref="AM1" authorId="2">
      <text>
        <r>
          <rPr>
            <b/>
            <sz val="11"/>
            <rFont val="宋体"/>
            <family val="3"/>
            <charset val="134"/>
          </rPr>
          <t>只大连地区填写：首次参加工作时间(精确到月)</t>
        </r>
      </text>
    </comment>
    <comment ref="AN1" authorId="2">
      <text>
        <r>
          <rPr>
            <b/>
            <sz val="11"/>
            <rFont val="宋体"/>
            <family val="3"/>
            <charset val="134"/>
          </rPr>
          <t>只大连地区填写：填是/否。填写注意：大连中山、西岗、沙河口、甘井子、高新、金州、旅顺的非农户市需要交纳采暖统筹的</t>
        </r>
      </text>
    </comment>
    <comment ref="AO1" authorId="1">
      <text>
        <r>
          <rPr>
            <b/>
            <sz val="9"/>
            <rFont val="宋体"/>
            <family val="3"/>
            <charset val="134"/>
          </rPr>
          <t>只大连地区填写</t>
        </r>
      </text>
    </comment>
    <comment ref="T2" authorId="0">
      <text>
        <r>
          <rPr>
            <sz val="9"/>
            <rFont val="宋体"/>
            <family val="3"/>
            <charset val="134"/>
          </rPr>
          <t>填写格式：201405【YYYYMM】，该月份产生费用；</t>
        </r>
      </text>
    </comment>
    <comment ref="AA2" authorId="0">
      <text>
        <r>
          <rPr>
            <sz val="9"/>
            <rFont val="宋体"/>
            <family val="3"/>
            <charset val="134"/>
          </rPr>
          <t>填写格式：201405【YYYYMM】，该月份产生费用；</t>
        </r>
      </text>
    </comment>
    <comment ref="O11" authorId="0">
      <text>
        <r>
          <rPr>
            <sz val="9"/>
            <rFont val="宋体"/>
            <family val="3"/>
            <charset val="134"/>
          </rPr>
          <t>员工社保、住房的缴纳城市</t>
        </r>
      </text>
    </comment>
    <comment ref="P11" authorId="0">
      <text>
        <r>
          <rPr>
            <sz val="9"/>
            <rFont val="Tahoma"/>
            <family val="2"/>
          </rPr>
          <t>“</t>
        </r>
        <r>
          <rPr>
            <sz val="9"/>
            <rFont val="宋体"/>
            <family val="3"/>
            <charset val="134"/>
          </rPr>
          <t>本地</t>
        </r>
        <r>
          <rPr>
            <sz val="9"/>
            <rFont val="Tahoma"/>
            <family val="2"/>
          </rPr>
          <t>”</t>
        </r>
        <r>
          <rPr>
            <sz val="9"/>
            <rFont val="宋体"/>
            <family val="3"/>
            <charset val="134"/>
          </rPr>
          <t>以社保缴纳地为准，本地城镇、本地农村、外地城镇、外地农村，请选择即可</t>
        </r>
      </text>
    </comment>
    <comment ref="Q11" authorId="0">
      <text>
        <r>
          <rPr>
            <sz val="9"/>
            <rFont val="宋体"/>
            <family val="3"/>
            <charset val="134"/>
          </rPr>
          <t>离职日期为员工实际离职日期，填写格式：</t>
        </r>
        <r>
          <rPr>
            <sz val="9"/>
            <rFont val="Tahoma"/>
            <family val="2"/>
          </rPr>
          <t>20140416</t>
        </r>
        <r>
          <rPr>
            <sz val="9"/>
            <rFont val="宋体"/>
            <family val="3"/>
            <charset val="134"/>
          </rPr>
          <t>【</t>
        </r>
        <r>
          <rPr>
            <sz val="9"/>
            <rFont val="Tahoma"/>
            <family val="2"/>
          </rPr>
          <t>YYYYMMDD</t>
        </r>
        <r>
          <rPr>
            <sz val="9"/>
            <rFont val="宋体"/>
            <family val="3"/>
            <charset val="134"/>
          </rPr>
          <t>】；</t>
        </r>
      </text>
    </comment>
    <comment ref="T11" authorId="0">
      <text>
        <r>
          <rPr>
            <sz val="9"/>
            <rFont val="宋体"/>
            <family val="3"/>
            <charset val="134"/>
          </rPr>
          <t>员工离职原因：辞职、合同主动解除、合同被动解除、合同到期终止、试用期解除、死亡、其他（必填），请选择即可；</t>
        </r>
      </text>
    </comment>
  </commentList>
</comments>
</file>

<file path=xl/comments2.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3.xml><?xml version="1.0" encoding="utf-8"?>
<comments xmlns="http://schemas.openxmlformats.org/spreadsheetml/2006/main">
  <authors>
    <author>kk</author>
  </authors>
  <commentList>
    <comment ref="B1" authorId="0">
      <text>
        <r>
          <rPr>
            <sz val="9"/>
            <rFont val="宋体"/>
            <family val="3"/>
            <charset val="134"/>
          </rPr>
          <t>kk:
请填写客户全称</t>
        </r>
      </text>
    </comment>
    <comment ref="D1" authorId="0">
      <text>
        <r>
          <rPr>
            <sz val="9"/>
            <rFont val="宋体"/>
            <family val="3"/>
            <charset val="134"/>
          </rPr>
          <t>kk:
参照系统分类，以签署合同为准</t>
        </r>
      </text>
    </comment>
    <comment ref="F1" authorId="0">
      <text>
        <r>
          <rPr>
            <sz val="9"/>
            <rFont val="宋体"/>
            <family val="3"/>
            <charset val="134"/>
          </rPr>
          <t>kk:
以身份证为准，不要空格</t>
        </r>
      </text>
    </comment>
    <comment ref="G1" authorId="0">
      <text>
        <r>
          <rPr>
            <sz val="9"/>
            <rFont val="宋体"/>
            <family val="3"/>
            <charset val="134"/>
          </rPr>
          <t>kk:
18位身份证号码，不要空格</t>
        </r>
      </text>
    </comment>
    <comment ref="AS2" authorId="0">
      <text>
        <r>
          <rPr>
            <sz val="9"/>
            <rFont val="宋体"/>
            <family val="3"/>
            <charset val="134"/>
          </rPr>
          <t>kk:
养老保险公司汇缴+医疗保险公司汇缴+失业保险公司汇缴+生育保险公司汇缴+工伤保险公司汇缴+补充养老公司汇缴</t>
        </r>
      </text>
    </comment>
    <comment ref="AT2" authorId="0">
      <text>
        <r>
          <rPr>
            <sz val="9"/>
            <rFont val="宋体"/>
            <family val="3"/>
            <charset val="134"/>
          </rPr>
          <t xml:space="preserve">kk:
养老保险个人汇缴+医疗保险个人汇缴+失业保险个人汇缴+补充养老个人汇缴
</t>
        </r>
      </text>
    </comment>
    <comment ref="AW2" authorId="0">
      <text>
        <r>
          <rPr>
            <sz val="9"/>
            <rFont val="宋体"/>
            <family val="3"/>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family val="3"/>
            <charset val="134"/>
          </rPr>
          <t xml:space="preserve">
其他扣除限以下内容：</t>
        </r>
        <r>
          <rPr>
            <sz val="9"/>
            <rFont val="Tahoma"/>
            <family val="2"/>
          </rPr>
          <t xml:space="preserve">
</t>
        </r>
        <r>
          <rPr>
            <sz val="9"/>
            <rFont val="宋体"/>
            <family val="3"/>
            <charset val="134"/>
          </rPr>
          <t>年金、商业健康保险、税延养老保险、财产原值、允许扣除的税费、其他国家规定扣除</t>
        </r>
      </text>
    </comment>
    <comment ref="S2" authorId="1">
      <text>
        <r>
          <rPr>
            <sz val="9"/>
            <rFont val="宋体"/>
            <family val="3"/>
            <charset val="134"/>
          </rPr>
          <t xml:space="preserve">
填写本年度截止当前月份的工资、薪金所得累计金额</t>
        </r>
      </text>
    </comment>
    <comment ref="T2" authorId="1">
      <text>
        <r>
          <rPr>
            <sz val="9"/>
            <rFont val="宋体"/>
            <family val="3"/>
            <charset val="134"/>
          </rPr>
          <t xml:space="preserve">
5000元/月乘以纳税人当年在本单位任职受雇月份</t>
        </r>
      </text>
    </comment>
    <comment ref="U2" authorId="1">
      <text>
        <r>
          <rPr>
            <sz val="9"/>
            <rFont val="宋体"/>
            <family val="3"/>
            <charset val="134"/>
          </rPr>
          <t xml:space="preserve">
本年度截止当前月份的个人社保累计金额</t>
        </r>
      </text>
    </comment>
    <comment ref="V2" authorId="1">
      <text>
        <r>
          <rPr>
            <b/>
            <sz val="9"/>
            <rFont val="宋体"/>
            <family val="3"/>
            <charset val="134"/>
          </rPr>
          <t>AutoBVT:</t>
        </r>
        <r>
          <rPr>
            <sz val="9"/>
            <rFont val="宋体"/>
            <family val="3"/>
            <charset val="134"/>
          </rPr>
          <t xml:space="preserve">
分别填写截止当前月份的专项附加扣除累计金额</t>
        </r>
      </text>
    </comment>
    <comment ref="AB2" authorId="1">
      <text>
        <r>
          <rPr>
            <sz val="9"/>
            <rFont val="宋体"/>
            <family val="3"/>
            <charset val="134"/>
          </rPr>
          <t xml:space="preserve">
本年度截止当前月份的专项附加扣除累计金额</t>
        </r>
      </text>
    </comment>
    <comment ref="AC2" authorId="1">
      <text>
        <r>
          <rPr>
            <sz val="9"/>
            <rFont val="宋体"/>
            <family val="3"/>
            <charset val="134"/>
          </rPr>
          <t xml:space="preserve">
本年度截止当前月份的国家允许的其他扣除累计金额</t>
        </r>
      </text>
    </comment>
    <comment ref="AD2" authorId="1">
      <text>
        <r>
          <rPr>
            <sz val="9"/>
            <rFont val="宋体"/>
            <family val="3"/>
            <charset val="134"/>
          </rPr>
          <t xml:space="preserve">
本年度截止当前月份的累计应纳税所得额</t>
        </r>
      </text>
    </comment>
    <comment ref="AF2" authorId="1">
      <text>
        <r>
          <rPr>
            <sz val="9"/>
            <rFont val="宋体"/>
            <family val="3"/>
            <charset val="134"/>
          </rPr>
          <t xml:space="preserve">
填写本年度截止当前月份已累计扣缴总税额</t>
        </r>
      </text>
    </comment>
    <comment ref="AG2" authorId="1">
      <text>
        <r>
          <rPr>
            <b/>
            <sz val="9"/>
            <rFont val="宋体"/>
            <family val="3"/>
            <charset val="134"/>
          </rPr>
          <t>AutoBVT:</t>
        </r>
        <r>
          <rPr>
            <sz val="9"/>
            <rFont val="宋体"/>
            <family val="3"/>
            <charset val="134"/>
          </rPr>
          <t xml:space="preserve">
累计预扣预缴税额-已预扣预缴税额=本月应补（退）税额</t>
        </r>
      </text>
    </comment>
    <comment ref="AH2" authorId="1">
      <text>
        <r>
          <rPr>
            <sz val="9"/>
            <rFont val="宋体"/>
            <family val="3"/>
            <charset val="134"/>
          </rPr>
          <t xml:space="preserve">
本月应发工资-本月个人应扣金额-本月应扣个税=净工资</t>
        </r>
      </text>
    </comment>
    <comment ref="AI2" authorId="2">
      <text>
        <r>
          <rPr>
            <sz val="9"/>
            <rFont val="Tahoma"/>
            <family val="2"/>
          </rPr>
          <t xml:space="preserve">
*</t>
        </r>
        <r>
          <rPr>
            <sz val="9"/>
            <rFont val="宋体"/>
            <family val="3"/>
            <charset val="134"/>
          </rPr>
          <t xml:space="preserve">补低差、罚款，取暖费、独生子女费、生育津贴、等等国家允许的不扣税项目
</t>
        </r>
        <r>
          <rPr>
            <sz val="9"/>
            <rFont val="Tahoma"/>
            <family val="2"/>
          </rPr>
          <t>*</t>
        </r>
        <r>
          <rPr>
            <sz val="9"/>
            <rFont val="宋体"/>
            <family val="3"/>
            <charset val="134"/>
          </rPr>
          <t>补偿金或赔偿金不超过当地年平均工资</t>
        </r>
        <r>
          <rPr>
            <sz val="9"/>
            <rFont val="Tahoma"/>
            <family val="2"/>
          </rPr>
          <t>3</t>
        </r>
        <r>
          <rPr>
            <sz val="9"/>
            <rFont val="宋体"/>
            <family val="3"/>
            <charset val="134"/>
          </rPr>
          <t xml:space="preserve">倍
</t>
        </r>
      </text>
    </comment>
    <comment ref="V3" authorId="0">
      <text>
        <r>
          <rPr>
            <sz val="9"/>
            <rFont val="Tahoma"/>
            <family val="2"/>
          </rPr>
          <t xml:space="preserve">
*1000</t>
        </r>
        <r>
          <rPr>
            <sz val="9"/>
            <rFont val="宋体"/>
            <family val="3"/>
            <charset val="134"/>
          </rPr>
          <t>元</t>
        </r>
        <r>
          <rPr>
            <sz val="9"/>
            <rFont val="Tahoma"/>
            <family val="2"/>
          </rPr>
          <t>/</t>
        </r>
        <r>
          <rPr>
            <sz val="9"/>
            <rFont val="宋体"/>
            <family val="3"/>
            <charset val="134"/>
          </rPr>
          <t>子女</t>
        </r>
        <r>
          <rPr>
            <sz val="9"/>
            <rFont val="Tahoma"/>
            <family val="2"/>
          </rPr>
          <t>/</t>
        </r>
        <r>
          <rPr>
            <sz val="9"/>
            <rFont val="宋体"/>
            <family val="3"/>
            <charset val="134"/>
          </rPr>
          <t>月</t>
        </r>
      </text>
    </comment>
    <comment ref="W3" authorId="1">
      <text>
        <r>
          <rPr>
            <sz val="9"/>
            <rFont val="宋体"/>
            <family val="3"/>
            <charset val="134"/>
          </rPr>
          <t xml:space="preserve">
*独生子女 2000元/月
*非独生子女均摊，最高不能超过1000元/月</t>
        </r>
      </text>
    </comment>
    <comment ref="X3" authorId="0">
      <text>
        <r>
          <rPr>
            <sz val="9"/>
            <rFont val="Tahoma"/>
            <family val="2"/>
          </rPr>
          <t xml:space="preserve">
*1000</t>
        </r>
        <r>
          <rPr>
            <sz val="9"/>
            <rFont val="宋体"/>
            <family val="3"/>
            <charset val="134"/>
          </rPr>
          <t>元</t>
        </r>
        <r>
          <rPr>
            <sz val="9"/>
            <rFont val="Tahoma"/>
            <family val="2"/>
          </rPr>
          <t>/</t>
        </r>
        <r>
          <rPr>
            <sz val="9"/>
            <rFont val="宋体"/>
            <family val="3"/>
            <charset val="134"/>
          </rPr>
          <t>月，</t>
        </r>
        <r>
          <rPr>
            <sz val="9"/>
            <rFont val="Tahoma"/>
            <family val="2"/>
          </rPr>
          <t>240</t>
        </r>
        <r>
          <rPr>
            <sz val="9"/>
            <rFont val="宋体"/>
            <family val="3"/>
            <charset val="134"/>
          </rPr>
          <t>月为限，限首套</t>
        </r>
      </text>
    </comment>
    <comment ref="Y3" authorId="1">
      <text>
        <r>
          <rPr>
            <sz val="9"/>
            <rFont val="宋体"/>
            <family val="3"/>
            <charset val="134"/>
          </rPr>
          <t xml:space="preserve">
*1500元/月，直辖市、省会、计划单列城市
*1100元/月，市人口 &gt;100万
*800元/月，市人口 &lt;100万</t>
        </r>
      </text>
    </comment>
    <comment ref="Z3" authorId="0">
      <text>
        <r>
          <rPr>
            <sz val="9"/>
            <rFont val="Tahoma"/>
            <family val="2"/>
          </rPr>
          <t xml:space="preserve">
*</t>
        </r>
        <r>
          <rPr>
            <sz val="9"/>
            <rFont val="宋体"/>
            <family val="3"/>
            <charset val="134"/>
          </rPr>
          <t>学历继续教育</t>
        </r>
        <r>
          <rPr>
            <sz val="9"/>
            <rFont val="Tahoma"/>
            <family val="2"/>
          </rPr>
          <t xml:space="preserve"> 400</t>
        </r>
        <r>
          <rPr>
            <sz val="9"/>
            <rFont val="宋体"/>
            <family val="3"/>
            <charset val="134"/>
          </rPr>
          <t>元</t>
        </r>
        <r>
          <rPr>
            <sz val="9"/>
            <rFont val="Tahoma"/>
            <family val="2"/>
          </rPr>
          <t>/</t>
        </r>
        <r>
          <rPr>
            <sz val="9"/>
            <rFont val="宋体"/>
            <family val="3"/>
            <charset val="134"/>
          </rPr>
          <t>月，</t>
        </r>
        <r>
          <rPr>
            <sz val="9"/>
            <rFont val="Tahoma"/>
            <family val="2"/>
          </rPr>
          <t>48</t>
        </r>
        <r>
          <rPr>
            <sz val="9"/>
            <rFont val="宋体"/>
            <family val="3"/>
            <charset val="134"/>
          </rPr>
          <t xml:space="preserve">个月
</t>
        </r>
        <r>
          <rPr>
            <sz val="9"/>
            <rFont val="Tahoma"/>
            <family val="2"/>
          </rPr>
          <t>*</t>
        </r>
        <r>
          <rPr>
            <sz val="9"/>
            <rFont val="宋体"/>
            <family val="3"/>
            <charset val="134"/>
          </rPr>
          <t>职业资格继续教育</t>
        </r>
        <r>
          <rPr>
            <sz val="9"/>
            <rFont val="Tahoma"/>
            <family val="2"/>
          </rPr>
          <t xml:space="preserve"> 3600</t>
        </r>
        <r>
          <rPr>
            <sz val="9"/>
            <rFont val="宋体"/>
            <family val="3"/>
            <charset val="134"/>
          </rPr>
          <t>元</t>
        </r>
        <r>
          <rPr>
            <sz val="9"/>
            <rFont val="Tahoma"/>
            <family val="2"/>
          </rPr>
          <t>/</t>
        </r>
        <r>
          <rPr>
            <sz val="9"/>
            <rFont val="宋体"/>
            <family val="3"/>
            <charset val="134"/>
          </rPr>
          <t>年，取得证书年度</t>
        </r>
      </text>
    </comment>
    <comment ref="AA3" authorId="1">
      <text>
        <r>
          <rPr>
            <sz val="9"/>
            <rFont val="宋体"/>
            <family val="3"/>
            <charset val="134"/>
          </rPr>
          <t xml:space="preserve">
*自费超过1.5万，8万/年
*由纳税人在年度汇算清缴时办理，无需填写</t>
        </r>
      </text>
    </comment>
    <comment ref="M5" authorId="3">
      <text>
        <r>
          <rPr>
            <b/>
            <sz val="9"/>
            <rFont val="宋体"/>
            <family val="3"/>
            <charset val="134"/>
          </rPr>
          <t>Administrator:</t>
        </r>
        <r>
          <rPr>
            <sz val="9"/>
            <rFont val="宋体"/>
            <family val="3"/>
            <charset val="134"/>
          </rPr>
          <t xml:space="preserve">
个人费用调整，且补扣个人费用</t>
        </r>
      </text>
    </comment>
    <comment ref="O5" authorId="3">
      <text>
        <r>
          <rPr>
            <b/>
            <sz val="9"/>
            <rFont val="宋体"/>
            <family val="3"/>
            <charset val="134"/>
          </rPr>
          <t>Administrator:</t>
        </r>
        <r>
          <rPr>
            <sz val="9"/>
            <rFont val="宋体"/>
            <family val="3"/>
            <charset val="134"/>
          </rPr>
          <t xml:space="preserve">
个人费用调整，且补扣个人费用
</t>
        </r>
      </text>
    </comment>
  </commentList>
</comments>
</file>

<file path=xl/sharedStrings.xml><?xml version="1.0" encoding="utf-8"?>
<sst xmlns="http://schemas.openxmlformats.org/spreadsheetml/2006/main" count="1658" uniqueCount="283">
  <si>
    <t>付款通知书</t>
  </si>
  <si>
    <t>尊敬的客户：北京创联致信科技有限公司</t>
  </si>
  <si>
    <t>根据贵公司与我公司所签订的服务协议，请贵公司在2022年5月9日之前按照下列表格内容支付相关款项.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</si>
  <si>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</si>
  <si>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</si>
  <si>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</si>
  <si>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</si>
  <si>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</si>
  <si>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</si>
  <si>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</si>
  <si>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</si>
  <si>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</si>
  <si>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</si>
  <si>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family val="3"/>
        <charset val="134"/>
      </rPr>
      <t>工资保证金</t>
    </r>
    <r>
      <rPr>
        <sz val="10"/>
        <color indexed="8"/>
        <rFont val="宋体"/>
        <family val="3"/>
        <charset val="134"/>
      </rPr>
      <t>(+)</t>
    </r>
    <r>
      <rPr>
        <sz val="10"/>
        <color indexed="8"/>
        <rFont val="宋体"/>
        <family val="3"/>
        <charset val="134"/>
      </rPr>
      <t>：</t>
    </r>
  </si>
  <si>
    <t>本期减免服务费(+)：</t>
  </si>
  <si>
    <r>
      <rPr>
        <sz val="10"/>
        <color indexed="8"/>
        <rFont val="宋体"/>
        <family val="3"/>
        <charset val="134"/>
      </rPr>
      <t>上期预收款</t>
    </r>
    <r>
      <rPr>
        <sz val="10"/>
        <color indexed="8"/>
        <rFont val="宋体"/>
        <family val="3"/>
        <charset val="134"/>
      </rPr>
      <t>(-)</t>
    </r>
    <r>
      <rPr>
        <sz val="10"/>
        <color indexed="8"/>
        <rFont val="宋体"/>
        <family val="3"/>
        <charset val="134"/>
      </rPr>
      <t>：</t>
    </r>
  </si>
  <si>
    <r>
      <rPr>
        <sz val="10"/>
        <color indexed="8"/>
        <rFont val="宋体"/>
        <family val="3"/>
        <charset val="134"/>
      </rPr>
      <t>自划金额</t>
    </r>
    <r>
      <rPr>
        <sz val="10"/>
        <color indexed="8"/>
        <rFont val="宋体"/>
        <family val="3"/>
        <charset val="134"/>
      </rPr>
      <t>(-)</t>
    </r>
    <r>
      <rPr>
        <sz val="10"/>
        <color indexed="8"/>
        <rFont val="宋体"/>
        <family val="3"/>
        <charset val="134"/>
      </rPr>
      <t>：</t>
    </r>
  </si>
  <si>
    <t>gggggggggggggggggggggggggggggghhhhhhhhhhhhhhhhhhhhhhhhhhhhhhhhhhhhhhhhhhhhhhhhhhhhhh</t>
  </si>
  <si>
    <t>序号</t>
  </si>
  <si>
    <t>费用列项</t>
  </si>
  <si>
    <t>费用明细</t>
  </si>
  <si>
    <t>人次</t>
  </si>
  <si>
    <t>金额</t>
  </si>
  <si>
    <t>备注</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</si>
  <si>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</si>
  <si>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</si>
  <si>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</si>
  <si>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</si>
  <si>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</si>
  <si>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</si>
  <si>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小计</t>
  </si>
  <si>
    <t>人事管理费用</t>
  </si>
  <si>
    <t>服务费（含税）</t>
  </si>
  <si>
    <t>税金</t>
  </si>
  <si>
    <t>合计:</t>
  </si>
  <si>
    <t>开票金额:</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</si>
  <si>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</si>
  <si>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</si>
  <si>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</si>
  <si>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</si>
  <si>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</si>
  <si>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</si>
  <si>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</si>
  <si>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</si>
  <si>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</si>
  <si>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</si>
  <si>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</si>
  <si>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</si>
  <si>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</si>
  <si>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</si>
  <si>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</si>
  <si>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</si>
  <si>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</si>
  <si>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</si>
  <si>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</si>
  <si>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</si>
  <si>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</si>
  <si>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</si>
  <si>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</si>
  <si>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缴纳基数</t>
  </si>
  <si>
    <t>公司比例</t>
  </si>
  <si>
    <t>公司金额</t>
  </si>
  <si>
    <t>个人比例</t>
  </si>
  <si>
    <t>个人金额</t>
  </si>
  <si>
    <t>比例</t>
  </si>
  <si>
    <t>公司</t>
  </si>
  <si>
    <t>个人</t>
  </si>
  <si>
    <t>社保公司</t>
  </si>
  <si>
    <t>社保个人</t>
  </si>
  <si>
    <t>公积金公司</t>
  </si>
  <si>
    <t>公积金个人</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</si>
  <si>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</si>
  <si>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</si>
  <si>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</si>
  <si>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</si>
  <si>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</si>
  <si>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</si>
  <si>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</si>
  <si>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</si>
  <si>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</si>
  <si>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</si>
  <si>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</si>
  <si>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</si>
  <si>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</si>
  <si>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</si>
  <si>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</si>
  <si>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</si>
  <si>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</si>
  <si>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</si>
  <si>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</si>
  <si>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</si>
  <si>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</si>
  <si>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</si>
  <si>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</si>
  <si>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</si>
  <si>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</si>
  <si>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</si>
  <si>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</si>
  <si>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</si>
  <si>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202205</t>
  </si>
  <si>
    <t>据《吉林省人民政府关于发布全省最低工资标准的通知》（吉政函【2021】69号），现将我市2022年度住房公积金缴存基数上下限调整如下：
       四平市区住房公积金缴存基数下限调整至1640元，上限调整至16251元。
       本通知自2022年1月1日起执行至下一个调整日。</t>
  </si>
  <si>
    <t>根据省人力资源社会保障厅、省医疗保障局、省财政厅、省税务局 «关于公布２０２０年全省全口径城镇单位就业人员平均工资等有关问题的通知»，现将我省2022年度医保（基本医疗、生育）缴存基数上下限调整如下：
       四平：3602.85-18014.25，执行时间：2022年2月（2022年1月因基数上下限变更产生的基数差额医保局暂未确定于几月进行补收，待收到确定消息后第一时间告知并进行补收）</t>
  </si>
  <si>
    <t>长沙</t>
  </si>
  <si>
    <t>莫文太</t>
  </si>
  <si>
    <t>430822198211098211</t>
  </si>
  <si>
    <t>202105</t>
  </si>
  <si>
    <t>减员至5月底，收取5月费用</t>
  </si>
  <si>
    <t>谢锋明</t>
  </si>
  <si>
    <t>43022319780815051X</t>
  </si>
  <si>
    <t>202110</t>
  </si>
  <si>
    <t>梁敏霞</t>
  </si>
  <si>
    <t>440883199611084547</t>
  </si>
  <si>
    <t xml:space="preserve">关于调整2022年广州市养老比例及恢复医疗基数下限的通知
         主要内容：
         一、接广州市税务局通知，自2022年1月1日起，广州市养老比例及恢复医疗基数下限通知如下：
  1、医疗保险下限调整为6757元，上限保持不变；
  2、养老保险单位比例调整为15%，个人比例不变；
附：附上单位核定信息（养老比例）。
        医保局链接：http://guangdong.chinatax.gov.cn/gdsw/gzsw_tggg/2021-08/26/content_9a9d228e00cf4213974f57f00ab5c7ee.shtml
</t>
  </si>
  <si>
    <t>郑州</t>
  </si>
  <si>
    <t>楚华锋</t>
  </si>
  <si>
    <t>410183199311189538</t>
  </si>
  <si>
    <t>张铭</t>
  </si>
  <si>
    <t>411402199905127632</t>
  </si>
  <si>
    <t>王明贤</t>
  </si>
  <si>
    <t>411322199302132416</t>
  </si>
  <si>
    <t>何仪华</t>
  </si>
  <si>
    <t>412726198606097916</t>
  </si>
  <si>
    <t>芮瑞</t>
  </si>
  <si>
    <t>411221198610113536</t>
  </si>
  <si>
    <t>姚远</t>
  </si>
  <si>
    <t>410102198812110135</t>
  </si>
  <si>
    <t>桑柳成</t>
  </si>
  <si>
    <t>410521199111257519</t>
  </si>
  <si>
    <t>张明亮</t>
  </si>
  <si>
    <t>41042219910810183X</t>
  </si>
  <si>
    <t>银川</t>
  </si>
  <si>
    <t>马欢</t>
  </si>
  <si>
    <t>640321199312071114</t>
  </si>
  <si>
    <t>卢平</t>
  </si>
  <si>
    <t>640223199201051513</t>
  </si>
  <si>
    <t>周砺兴</t>
  </si>
  <si>
    <t>642222198309050097</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</si>
  <si>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</si>
  <si>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</si>
  <si>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</si>
  <si>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</si>
  <si>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</si>
  <si>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</si>
  <si>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</si>
  <si>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</si>
  <si>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</si>
  <si>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</si>
  <si>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</si>
  <si>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</si>
  <si>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</si>
  <si>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</si>
  <si>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</si>
  <si>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</si>
  <si>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</si>
  <si>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</si>
  <si>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</si>
  <si>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</si>
  <si>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</si>
  <si>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</si>
  <si>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</si>
  <si>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</si>
  <si>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</si>
  <si>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</si>
  <si>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</si>
  <si>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</si>
  <si>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</si>
  <si>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</si>
  <si>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</si>
  <si>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</si>
  <si>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</si>
  <si>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</si>
  <si>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</si>
  <si>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</si>
  <si>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</si>
  <si>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</si>
  <si>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</si>
  <si>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</si>
  <si>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</si>
  <si>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</si>
  <si>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</si>
  <si>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</si>
  <si>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</si>
  <si>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</si>
  <si>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</si>
  <si>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t>
  </si>
  <si>
    <t>身份证</t>
  </si>
  <si>
    <t>男</t>
  </si>
  <si>
    <t>女</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</si>
  <si>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</si>
  <si>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</si>
  <si>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</si>
  <si>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</si>
  <si>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</si>
  <si>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</si>
  <si>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</si>
  <si>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</si>
  <si>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</si>
  <si>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</si>
  <si>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</si>
  <si>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</si>
  <si>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创联致信（上月工资上月社保账单费用）</t>
  </si>
  <si>
    <t>622848 0018992539579</t>
  </si>
  <si>
    <t>中国农业银行北京永丰路支行</t>
  </si>
  <si>
    <t>农行</t>
  </si>
  <si>
    <t>15537954009</t>
  </si>
  <si>
    <t>15713680881</t>
  </si>
  <si>
    <t>15938792012</t>
  </si>
  <si>
    <t>报送时间</t>
  </si>
  <si>
    <t>所属公司</t>
  </si>
  <si>
    <t>使用供应商</t>
  </si>
  <si>
    <t>项目编号</t>
  </si>
  <si>
    <t>员工工号</t>
  </si>
  <si>
    <t>身份证号</t>
  </si>
  <si>
    <t>手机号码</t>
  </si>
  <si>
    <t>是否需要外呼</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</si>
  <si>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</si>
  <si>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</si>
  <si>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</si>
  <si>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</si>
  <si>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</si>
  <si>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</si>
  <si>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</si>
  <si>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</si>
  <si>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</si>
  <si>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</si>
  <si>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</si>
  <si>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</si>
  <si>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t>首次参加工作时间（仅大连地区填写）</t>
  </si>
  <si>
    <t>采暖统筹
是否缴纳（仅大连地区填写）</t>
  </si>
  <si>
    <t>福利开始时间
（与起缴月一致）（仅大连地区填写）</t>
  </si>
  <si>
    <t>社保起缴年月</t>
  </si>
  <si>
    <t>养老基数</t>
  </si>
  <si>
    <t>医疗基数</t>
  </si>
  <si>
    <t>失业基数</t>
  </si>
  <si>
    <t>工伤基数</t>
  </si>
  <si>
    <t>生育基数</t>
  </si>
  <si>
    <t>公积金起缴年月</t>
  </si>
  <si>
    <t>公积金缴纳比例（单位+个人）</t>
  </si>
  <si>
    <t>公积金基数</t>
  </si>
  <si>
    <t>福建</t>
  </si>
  <si>
    <t>农村</t>
  </si>
  <si>
    <t>调入</t>
  </si>
  <si>
    <t>城镇</t>
  </si>
  <si>
    <t>农业</t>
  </si>
  <si>
    <t>工作地点</t>
  </si>
  <si>
    <t>社保缴纳地</t>
  </si>
  <si>
    <t>户籍性质</t>
  </si>
  <si>
    <t>社保最后缴费月</t>
  </si>
  <si>
    <t>公积金最后缴费月</t>
  </si>
  <si>
    <t>减员原因</t>
  </si>
  <si>
    <t>15581210921</t>
  </si>
  <si>
    <t>本地农村</t>
  </si>
  <si>
    <t>合同主动解除</t>
  </si>
  <si>
    <t>13373825180</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</si>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</sst>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76" formatCode="0_);\(0\)"/>
    <numFmt numFmtId="178" formatCode="0.00_);[Red]\(0.00\)"/>
    <numFmt numFmtId="179" formatCode="0.00_ "/>
    <numFmt numFmtId="180" formatCode="[DBNum2][$-804]General"/>
    <numFmt numFmtId="182" formatCode="[$-10432]yyyy/mm/dd;@"/>
    <numFmt numFmtId="183" formatCode="0_);[Red]\(0\)"/>
    <numFmt numFmtId="184" formatCode="#,##0_);[Red]\(#,##0\)"/>
    <numFmt numFmtId="185" formatCode="#,##0.00_);[Red]\(#,##0.00\)"/>
    <numFmt numFmtId="186" formatCode="0.00;[Red]0.00"/>
    <numFmt numFmtId="187" formatCode="&quot;$&quot;0_ "/>
    <numFmt numFmtId="188" formatCode="&quot;$&quot;#,##0_ ;[Red]\-&quot;$&quot;#,##0_ "/>
    <numFmt numFmtId="189" formatCode="General\ &quot;年&quot;"/>
    <numFmt numFmtId="190" formatCode="0.00_);\(0.00\)"/>
  </numFmts>
  <fonts count="108">
    <font>
      <sz val="11"/>
      <color theme="1"/>
      <name val="宋体"/>
      <charset val="134"/>
      <scheme val="minor"/>
    </font>
    <font>
      <sz val="18"/>
      <color theme="1"/>
      <name val="黑体"/>
      <family val="3"/>
      <charset val="134"/>
    </font>
    <font>
      <sz val="16"/>
      <color theme="1"/>
      <name val="仿宋_GB2312"/>
      <charset val="134"/>
    </font>
    <font>
      <b/>
      <sz val="12"/>
      <color theme="1"/>
      <name val="宋体"/>
      <family val="3"/>
      <charset val="134"/>
      <scheme val="major"/>
    </font>
    <font>
      <sz val="11"/>
      <color theme="1"/>
      <name val="宋体"/>
      <family val="3"/>
      <charset val="134"/>
      <scheme val="major"/>
    </font>
    <font>
      <b/>
      <sz val="12"/>
      <color rgb="FF2C2C2C"/>
      <name val="宋体"/>
      <family val="3"/>
      <charset val="134"/>
      <scheme val="minor"/>
    </font>
    <font>
      <sz val="10"/>
      <color theme="1"/>
      <name val="微软雅黑"/>
      <family val="2"/>
      <charset val="134"/>
    </font>
    <font>
      <sz val="10"/>
      <color indexed="8"/>
      <name val="宋体"/>
      <family val="3"/>
      <charset val="134"/>
    </font>
    <font>
      <b/>
      <sz val="10"/>
      <color theme="1"/>
      <name val="微软雅黑"/>
      <family val="2"/>
      <charset val="134"/>
    </font>
    <font>
      <sz val="11"/>
      <color indexed="8"/>
      <name val="宋体"/>
      <family val="3"/>
      <charset val="134"/>
    </font>
    <font>
      <sz val="9"/>
      <color indexed="8"/>
      <name val="宋体"/>
      <family val="3"/>
      <charset val="134"/>
      <scheme val="minor"/>
    </font>
    <font>
      <b/>
      <sz val="10"/>
      <name val="微软雅黑"/>
      <family val="2"/>
      <charset val="134"/>
    </font>
    <font>
      <sz val="9"/>
      <name val="宋体"/>
      <family val="3"/>
      <charset val="134"/>
    </font>
    <font>
      <sz val="9"/>
      <name val="宋体"/>
      <family val="3"/>
      <charset val="134"/>
      <scheme val="minor"/>
    </font>
    <font>
      <sz val="9"/>
      <color rgb="FFFF0000"/>
      <name val="宋体"/>
      <family val="3"/>
      <charset val="134"/>
      <scheme val="minor"/>
    </font>
    <font>
      <b/>
      <sz val="9"/>
      <color rgb="FFFF0000"/>
      <name val="宋体"/>
      <family val="3"/>
      <charset val="134"/>
      <scheme val="minor"/>
    </font>
    <font>
      <b/>
      <sz val="10"/>
      <color rgb="FFFF0000"/>
      <name val="宋体"/>
      <family val="3"/>
      <charset val="134"/>
    </font>
    <font>
      <sz val="9"/>
      <color rgb="FFFF0000"/>
      <name val="宋体"/>
      <family val="3"/>
      <charset val="134"/>
    </font>
    <font>
      <b/>
      <sz val="10"/>
      <color indexed="8"/>
      <name val="宋体"/>
      <family val="3"/>
      <charset val="134"/>
    </font>
    <font>
      <b/>
      <sz val="10"/>
      <color rgb="FFFF0000"/>
      <name val="Arial Unicode MS"/>
      <family val="2"/>
      <charset val="134"/>
    </font>
    <font>
      <b/>
      <sz val="12"/>
      <color rgb="FFFF0000"/>
      <name val="Arial Unicode MS"/>
      <family val="2"/>
      <charset val="134"/>
    </font>
    <font>
      <sz val="12"/>
      <name val="Arial Unicode MS"/>
      <family val="2"/>
      <charset val="134"/>
    </font>
    <font>
      <b/>
      <sz val="10"/>
      <name val="Arial Unicode MS"/>
      <family val="2"/>
      <charset val="134"/>
    </font>
    <font>
      <b/>
      <sz val="10"/>
      <name val="宋体"/>
      <family val="3"/>
      <charset val="134"/>
    </font>
    <font>
      <sz val="10"/>
      <color theme="1"/>
      <name val="宋体"/>
      <family val="3"/>
      <charset val="134"/>
    </font>
    <font>
      <sz val="10"/>
      <name val="宋体"/>
      <family val="3"/>
      <charset val="134"/>
      <scheme val="minor"/>
    </font>
    <font>
      <b/>
      <sz val="10"/>
      <color indexed="8"/>
      <name val="Arial Unicode MS"/>
      <family val="2"/>
      <charset val="134"/>
    </font>
    <font>
      <b/>
      <sz val="9"/>
      <color rgb="FFFF0000"/>
      <name val="宋体"/>
      <family val="3"/>
      <charset val="134"/>
    </font>
    <font>
      <b/>
      <sz val="9"/>
      <color indexed="8"/>
      <name val="宋体"/>
      <family val="3"/>
      <charset val="134"/>
    </font>
    <font>
      <sz val="9"/>
      <color indexed="8"/>
      <name val="宋体"/>
      <family val="3"/>
      <charset val="134"/>
    </font>
    <font>
      <sz val="9"/>
      <color indexed="10"/>
      <name val="宋体"/>
      <family val="3"/>
      <charset val="134"/>
    </font>
    <font>
      <b/>
      <sz val="9"/>
      <name val="宋体"/>
      <family val="3"/>
      <charset val="134"/>
    </font>
    <font>
      <b/>
      <sz val="9"/>
      <color indexed="10"/>
      <name val="宋体"/>
      <family val="3"/>
      <charset val="134"/>
    </font>
    <font>
      <b/>
      <sz val="10"/>
      <color rgb="FFFF0000"/>
      <name val="宋体"/>
      <family val="3"/>
      <charset val="134"/>
      <scheme val="minor"/>
    </font>
    <font>
      <sz val="10"/>
      <name val="宋体"/>
      <family val="3"/>
      <charset val="134"/>
    </font>
    <font>
      <sz val="6"/>
      <name val="Arial"/>
      <family val="2"/>
    </font>
    <font>
      <sz val="6"/>
      <color indexed="8"/>
      <name val="Arial"/>
      <family val="2"/>
    </font>
    <font>
      <b/>
      <sz val="11"/>
      <color indexed="10"/>
      <name val="宋体"/>
      <family val="3"/>
      <charset val="134"/>
    </font>
    <font>
      <sz val="11"/>
      <color indexed="10"/>
      <name val="宋体"/>
      <family val="3"/>
      <charset val="134"/>
    </font>
    <font>
      <sz val="11"/>
      <color indexed="8"/>
      <name val="微软雅黑"/>
      <family val="2"/>
      <charset val="134"/>
    </font>
    <font>
      <sz val="10"/>
      <name val="SimSun"/>
      <charset val="134"/>
    </font>
    <font>
      <sz val="10.5"/>
      <name val="宋体"/>
      <family val="3"/>
      <charset val="134"/>
    </font>
    <font>
      <sz val="9"/>
      <name val="Segoe UI"/>
      <family val="2"/>
    </font>
    <font>
      <sz val="10"/>
      <color indexed="8"/>
      <name val="SimSun"/>
      <charset val="134"/>
    </font>
    <font>
      <sz val="10"/>
      <color theme="1"/>
      <name val="SimSun"/>
      <charset val="134"/>
    </font>
    <font>
      <sz val="10.5"/>
      <color rgb="FF191F25"/>
      <name val="Segoe UI"/>
      <family val="2"/>
    </font>
    <font>
      <sz val="9"/>
      <color rgb="FF191F25"/>
      <name val="Segoe UI"/>
      <family val="2"/>
    </font>
    <font>
      <sz val="10"/>
      <name val="宋体"/>
      <family val="3"/>
      <charset val="134"/>
      <scheme val="major"/>
    </font>
    <font>
      <sz val="10"/>
      <color theme="1"/>
      <name val="宋体"/>
      <family val="3"/>
      <charset val="134"/>
      <scheme val="major"/>
    </font>
    <font>
      <b/>
      <sz val="9"/>
      <color indexed="8"/>
      <name val="微软雅黑"/>
      <family val="2"/>
      <charset val="134"/>
    </font>
    <font>
      <sz val="10"/>
      <name val="微软雅黑"/>
      <family val="2"/>
      <charset val="134"/>
    </font>
    <font>
      <sz val="11"/>
      <name val="宋体"/>
      <family val="3"/>
      <charset val="134"/>
    </font>
    <font>
      <sz val="6"/>
      <color rgb="FFFF0000"/>
      <name val="Arial"/>
      <family val="2"/>
    </font>
    <font>
      <sz val="10"/>
      <color rgb="FFFF0000"/>
      <name val="SimSun"/>
      <charset val="134"/>
    </font>
    <font>
      <sz val="10"/>
      <color rgb="FFFF0000"/>
      <name val="宋体"/>
      <family val="3"/>
      <charset val="134"/>
      <scheme val="minor"/>
    </font>
    <font>
      <sz val="10.5"/>
      <color rgb="FFFF0000"/>
      <name val="宋体"/>
      <family val="3"/>
      <charset val="134"/>
    </font>
    <font>
      <sz val="9"/>
      <color rgb="FFFF0000"/>
      <name val="Segoe UI"/>
      <family val="2"/>
    </font>
    <font>
      <sz val="10"/>
      <color rgb="FFFF0000"/>
      <name val="宋体"/>
      <family val="3"/>
      <charset val="134"/>
      <scheme val="major"/>
    </font>
    <font>
      <sz val="10"/>
      <color rgb="FFFF0000"/>
      <name val="微软雅黑"/>
      <family val="2"/>
      <charset val="134"/>
    </font>
    <font>
      <sz val="11"/>
      <color rgb="FFFF0000"/>
      <name val="宋体"/>
      <family val="3"/>
      <charset val="134"/>
    </font>
    <font>
      <b/>
      <sz val="20"/>
      <name val="黑体"/>
      <family val="3"/>
      <charset val="134"/>
    </font>
    <font>
      <b/>
      <sz val="12"/>
      <color indexed="8"/>
      <name val="宋体"/>
      <family val="3"/>
      <charset val="134"/>
    </font>
    <font>
      <sz val="10"/>
      <color indexed="8"/>
      <name val="Wingdings 2"/>
      <family val="1"/>
      <charset val="2"/>
    </font>
    <font>
      <sz val="11"/>
      <color indexed="0"/>
      <name val="宋体-PUA"/>
      <charset val="134"/>
    </font>
    <font>
      <sz val="9"/>
      <name val="Arial"/>
      <family val="2"/>
    </font>
    <font>
      <sz val="9"/>
      <color indexed="8"/>
      <name val="宋体-PUA"/>
      <charset val="134"/>
    </font>
    <font>
      <sz val="9"/>
      <name val="宋体-PUA"/>
      <charset val="134"/>
    </font>
    <font>
      <b/>
      <sz val="11"/>
      <name val="宋体"/>
      <family val="3"/>
      <charset val="134"/>
    </font>
    <font>
      <sz val="9"/>
      <color indexed="0"/>
      <name val="宋体-PUA"/>
      <charset val="134"/>
    </font>
    <font>
      <b/>
      <sz val="12"/>
      <name val="宋体"/>
      <family val="3"/>
      <charset val="134"/>
    </font>
    <font>
      <b/>
      <sz val="10"/>
      <name val="Arial"/>
      <family val="2"/>
    </font>
    <font>
      <sz val="10"/>
      <name val="Arial"/>
      <family val="2"/>
    </font>
    <font>
      <sz val="10"/>
      <name val="宋体-PUA"/>
      <charset val="134"/>
    </font>
    <font>
      <b/>
      <sz val="12"/>
      <name val="微软雅黑"/>
      <family val="2"/>
      <charset val="134"/>
    </font>
    <font>
      <b/>
      <sz val="10"/>
      <color indexed="8"/>
      <name val="微软雅黑"/>
      <family val="2"/>
      <charset val="134"/>
    </font>
    <font>
      <i/>
      <sz val="11"/>
      <color indexed="0"/>
      <name val="宋体-PUA"/>
      <charset val="134"/>
    </font>
    <font>
      <b/>
      <sz val="12"/>
      <color indexed="0"/>
      <name val="宋体-PUA"/>
      <charset val="134"/>
    </font>
    <font>
      <b/>
      <i/>
      <sz val="11"/>
      <name val="宋体"/>
      <family val="3"/>
      <charset val="134"/>
    </font>
    <font>
      <i/>
      <sz val="11"/>
      <color indexed="0"/>
      <name val="宋体"/>
      <family val="3"/>
      <charset val="134"/>
    </font>
    <font>
      <b/>
      <sz val="12"/>
      <color indexed="0"/>
      <name val="宋体"/>
      <family val="3"/>
      <charset val="134"/>
    </font>
    <font>
      <sz val="12"/>
      <color indexed="0"/>
      <name val="宋体"/>
      <family val="3"/>
      <charset val="134"/>
    </font>
    <font>
      <b/>
      <sz val="11"/>
      <color indexed="8"/>
      <name val="宋体"/>
      <family val="3"/>
      <charset val="134"/>
    </font>
    <font>
      <sz val="10"/>
      <color indexed="8"/>
      <name val="宋体-PUA"/>
      <charset val="134"/>
    </font>
    <font>
      <b/>
      <sz val="11"/>
      <name val="宋体-PUA"/>
      <charset val="134"/>
    </font>
    <font>
      <sz val="12"/>
      <name val="宋体-PUA"/>
      <charset val="134"/>
    </font>
    <font>
      <sz val="12"/>
      <name val="宋体"/>
      <family val="3"/>
      <charset val="134"/>
    </font>
    <font>
      <sz val="11"/>
      <color indexed="52"/>
      <name val="宋体"/>
      <family val="3"/>
      <charset val="134"/>
    </font>
    <font>
      <sz val="11"/>
      <color indexed="62"/>
      <name val="宋体"/>
      <family val="3"/>
      <charset val="134"/>
    </font>
    <font>
      <b/>
      <sz val="11"/>
      <color indexed="63"/>
      <name val="宋体"/>
      <family val="3"/>
      <charset val="134"/>
    </font>
    <font>
      <sz val="10"/>
      <name val="Helv"/>
      <family val="2"/>
    </font>
    <font>
      <sz val="11"/>
      <color indexed="9"/>
      <name val="宋体"/>
      <family val="3"/>
      <charset val="134"/>
    </font>
    <font>
      <i/>
      <sz val="11"/>
      <color indexed="23"/>
      <name val="宋体"/>
      <family val="3"/>
      <charset val="134"/>
    </font>
    <font>
      <b/>
      <sz val="11"/>
      <color indexed="52"/>
      <name val="宋体"/>
      <family val="3"/>
      <charset val="134"/>
    </font>
    <font>
      <sz val="10"/>
      <name val="Geneva"/>
      <family val="1"/>
    </font>
    <font>
      <b/>
      <sz val="11"/>
      <color indexed="9"/>
      <name val="宋体"/>
      <family val="3"/>
      <charset val="134"/>
    </font>
    <font>
      <sz val="11"/>
      <color indexed="60"/>
      <name val="宋体"/>
      <family val="3"/>
      <charset val="134"/>
    </font>
    <font>
      <sz val="12"/>
      <color indexed="8"/>
      <name val="Verdana"/>
      <family val="2"/>
    </font>
    <font>
      <b/>
      <sz val="11"/>
      <color indexed="56"/>
      <name val="宋体"/>
      <family val="3"/>
      <charset val="134"/>
    </font>
    <font>
      <sz val="11"/>
      <color indexed="17"/>
      <name val="宋体"/>
      <family val="3"/>
      <charset val="134"/>
    </font>
    <font>
      <sz val="11"/>
      <color indexed="20"/>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sz val="10"/>
      <color indexed="8"/>
      <name val="Arial"/>
      <family val="2"/>
    </font>
    <font>
      <sz val="12"/>
      <name val="Times New Roman"/>
      <family val="1"/>
    </font>
    <font>
      <u/>
      <sz val="10"/>
      <color indexed="12"/>
      <name val="新細明體"/>
      <charset val="134"/>
    </font>
    <font>
      <sz val="11"/>
      <color theme="1"/>
      <name val="宋体"/>
      <family val="3"/>
      <charset val="134"/>
      <scheme val="minor"/>
    </font>
    <font>
      <sz val="9"/>
      <name val="Tahoma"/>
      <family val="2"/>
    </font>
  </fonts>
  <fills count="34">
    <fill>
      <patternFill patternType="none"/>
    </fill>
    <fill>
      <patternFill patternType="gray125"/>
    </fill>
    <fill>
      <patternFill patternType="solid">
        <fgColor theme="0" tint="-0.34998626667073579"/>
        <bgColor indexed="64"/>
      </patternFill>
    </fill>
    <fill>
      <patternFill patternType="solid">
        <fgColor indexed="55"/>
        <bgColor indexed="64"/>
      </patternFill>
    </fill>
    <fill>
      <patternFill patternType="solid">
        <fgColor theme="5" tint="0.39994506668294322"/>
        <bgColor indexed="64"/>
      </patternFill>
    </fill>
    <fill>
      <patternFill patternType="solid">
        <fgColor theme="0" tint="-0.249977111117893"/>
        <bgColor indexed="64"/>
      </patternFill>
    </fill>
    <fill>
      <patternFill patternType="solid">
        <fgColor theme="6" tint="0.3999450666829432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indexed="31"/>
        <bgColor indexed="64"/>
      </patternFill>
    </fill>
    <fill>
      <patternFill patternType="solid">
        <fgColor indexed="26"/>
        <bgColor indexed="64"/>
      </patternFill>
    </fill>
    <fill>
      <patternFill patternType="solid">
        <fgColor indexed="52"/>
        <bgColor indexed="64"/>
      </patternFill>
    </fill>
    <fill>
      <patternFill patternType="solid">
        <fgColor indexed="62"/>
        <bgColor indexed="64"/>
      </patternFill>
    </fill>
    <fill>
      <patternFill patternType="solid">
        <fgColor indexed="36"/>
        <bgColor indexed="64"/>
      </patternFill>
    </fill>
    <fill>
      <patternFill patternType="solid">
        <fgColor indexed="42"/>
        <bgColor indexed="64"/>
      </patternFill>
    </fill>
    <fill>
      <patternFill patternType="solid">
        <fgColor indexed="51"/>
        <bgColor indexed="64"/>
      </patternFill>
    </fill>
    <fill>
      <patternFill patternType="solid">
        <fgColor indexed="30"/>
        <bgColor indexed="64"/>
      </patternFill>
    </fill>
    <fill>
      <patternFill patternType="solid">
        <fgColor indexed="43"/>
        <bgColor indexed="64"/>
      </patternFill>
    </fill>
    <fill>
      <patternFill patternType="solid">
        <fgColor indexed="45"/>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11"/>
        <bgColor indexed="64"/>
      </patternFill>
    </fill>
    <fill>
      <patternFill patternType="solid">
        <fgColor indexed="53"/>
        <bgColor indexed="64"/>
      </patternFill>
    </fill>
  </fills>
  <borders count="5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8"/>
      </bottom>
      <diagonal/>
    </border>
    <border>
      <left/>
      <right style="thin">
        <color auto="1"/>
      </right>
      <top style="thin">
        <color auto="1"/>
      </top>
      <bottom/>
      <diagonal/>
    </border>
    <border>
      <left/>
      <right style="thin">
        <color auto="1"/>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43">
    <xf numFmtId="0" fontId="0" fillId="0" borderId="0">
      <alignment vertical="center"/>
    </xf>
    <xf numFmtId="0" fontId="86" fillId="0" borderId="48" applyNumberFormat="0" applyFill="0" applyAlignment="0" applyProtection="0">
      <alignment vertical="center"/>
    </xf>
    <xf numFmtId="0" fontId="9" fillId="19" borderId="0" applyNumberFormat="0" applyBorder="0" applyAlignment="0" applyProtection="0">
      <alignment vertical="center"/>
    </xf>
    <xf numFmtId="0" fontId="90" fillId="17" borderId="0" applyNumberFormat="0" applyBorder="0" applyAlignment="0" applyProtection="0">
      <alignment vertical="center"/>
    </xf>
    <xf numFmtId="0" fontId="81" fillId="0" borderId="49" applyNumberFormat="0" applyFill="0" applyAlignment="0" applyProtection="0">
      <alignment vertical="center"/>
    </xf>
    <xf numFmtId="0" fontId="71" fillId="0" borderId="0">
      <alignment vertical="center"/>
    </xf>
    <xf numFmtId="0" fontId="88" fillId="16" borderId="51" applyNumberFormat="0" applyAlignment="0" applyProtection="0">
      <alignment vertical="center"/>
    </xf>
    <xf numFmtId="0" fontId="86" fillId="0" borderId="48" applyNumberFormat="0" applyFill="0" applyAlignment="0" applyProtection="0">
      <alignment vertical="center"/>
    </xf>
    <xf numFmtId="0" fontId="90" fillId="17" borderId="0" applyNumberFormat="0" applyBorder="0" applyAlignment="0" applyProtection="0">
      <alignment vertical="center"/>
    </xf>
    <xf numFmtId="0" fontId="9" fillId="0" borderId="0">
      <alignment vertical="center"/>
    </xf>
    <xf numFmtId="0" fontId="92" fillId="16" borderId="50" applyNumberFormat="0" applyAlignment="0" applyProtection="0">
      <alignment vertical="center"/>
    </xf>
    <xf numFmtId="0" fontId="85" fillId="0" borderId="0"/>
    <xf numFmtId="0" fontId="90" fillId="21" borderId="0" applyNumberFormat="0" applyBorder="0" applyAlignment="0" applyProtection="0">
      <alignment vertical="center"/>
    </xf>
    <xf numFmtId="0" fontId="9" fillId="0" borderId="0">
      <alignment vertical="center"/>
    </xf>
    <xf numFmtId="0" fontId="90" fillId="18" borderId="0" applyNumberFormat="0" applyBorder="0" applyAlignment="0" applyProtection="0">
      <alignment vertical="center"/>
    </xf>
    <xf numFmtId="0" fontId="9" fillId="14" borderId="0" applyNumberFormat="0" applyBorder="0" applyAlignment="0" applyProtection="0">
      <alignment vertical="center"/>
    </xf>
    <xf numFmtId="0" fontId="91" fillId="0" borderId="0" applyNumberFormat="0" applyFill="0" applyBorder="0" applyAlignment="0" applyProtection="0">
      <alignment vertical="center"/>
    </xf>
    <xf numFmtId="0" fontId="9" fillId="20" borderId="52" applyNumberFormat="0" applyFont="0" applyAlignment="0" applyProtection="0">
      <alignment vertical="center"/>
    </xf>
    <xf numFmtId="0" fontId="90" fillId="22" borderId="0" applyNumberFormat="0" applyBorder="0" applyAlignment="0" applyProtection="0">
      <alignment vertical="center"/>
    </xf>
    <xf numFmtId="0" fontId="106" fillId="0" borderId="0">
      <alignment vertical="center"/>
    </xf>
    <xf numFmtId="0" fontId="90" fillId="18" borderId="0" applyNumberFormat="0" applyBorder="0" applyAlignment="0" applyProtection="0">
      <alignment vertical="center"/>
    </xf>
    <xf numFmtId="9" fontId="9" fillId="0" borderId="0" applyFont="0" applyFill="0" applyBorder="0" applyAlignment="0" applyProtection="0">
      <alignment vertical="center"/>
    </xf>
    <xf numFmtId="0" fontId="93" fillId="0" borderId="0"/>
    <xf numFmtId="0" fontId="9" fillId="20" borderId="52" applyNumberFormat="0" applyFont="0" applyAlignment="0" applyProtection="0">
      <alignment vertical="center"/>
    </xf>
    <xf numFmtId="0" fontId="88" fillId="16" borderId="51" applyNumberFormat="0" applyAlignment="0" applyProtection="0">
      <alignment vertical="center"/>
    </xf>
    <xf numFmtId="0" fontId="92" fillId="16" borderId="50" applyNumberFormat="0" applyAlignment="0" applyProtection="0">
      <alignment vertical="center"/>
    </xf>
    <xf numFmtId="0" fontId="9" fillId="14" borderId="0" applyNumberFormat="0" applyBorder="0" applyAlignment="0" applyProtection="0">
      <alignment vertical="center"/>
    </xf>
    <xf numFmtId="0" fontId="85" fillId="0" borderId="0">
      <alignment vertical="center"/>
    </xf>
    <xf numFmtId="0" fontId="9" fillId="20" borderId="52" applyNumberFormat="0" applyFont="0" applyAlignment="0" applyProtection="0">
      <alignment vertical="center"/>
    </xf>
    <xf numFmtId="0" fontId="90" fillId="23" borderId="0" applyNumberFormat="0" applyBorder="0" applyAlignment="0" applyProtection="0">
      <alignment vertical="center"/>
    </xf>
    <xf numFmtId="0" fontId="9" fillId="25" borderId="0" applyNumberFormat="0" applyBorder="0" applyAlignment="0" applyProtection="0">
      <alignment vertical="center"/>
    </xf>
    <xf numFmtId="0" fontId="88" fillId="16" borderId="51" applyNumberFormat="0" applyAlignment="0" applyProtection="0">
      <alignment vertical="center"/>
    </xf>
    <xf numFmtId="0" fontId="9" fillId="24" borderId="0" applyNumberFormat="0" applyBorder="0" applyAlignment="0" applyProtection="0">
      <alignment vertical="center"/>
    </xf>
    <xf numFmtId="0" fontId="88" fillId="16" borderId="51" applyNumberFormat="0" applyAlignment="0" applyProtection="0">
      <alignment vertical="center"/>
    </xf>
    <xf numFmtId="0" fontId="85" fillId="0" borderId="0">
      <alignment vertical="center"/>
    </xf>
    <xf numFmtId="0" fontId="94" fillId="3" borderId="53" applyNumberFormat="0" applyAlignment="0" applyProtection="0">
      <alignment vertical="center"/>
    </xf>
    <xf numFmtId="0" fontId="85" fillId="0" borderId="0"/>
    <xf numFmtId="0" fontId="9" fillId="20" borderId="52" applyNumberFormat="0" applyFont="0" applyAlignment="0" applyProtection="0">
      <alignment vertical="center"/>
    </xf>
    <xf numFmtId="0" fontId="86" fillId="0" borderId="48" applyNumberFormat="0" applyFill="0" applyAlignment="0" applyProtection="0">
      <alignment vertical="center"/>
    </xf>
    <xf numFmtId="0" fontId="81" fillId="0" borderId="49" applyNumberFormat="0" applyFill="0" applyAlignment="0" applyProtection="0">
      <alignment vertical="center"/>
    </xf>
    <xf numFmtId="0" fontId="9" fillId="14" borderId="0" applyNumberFormat="0" applyBorder="0" applyAlignment="0" applyProtection="0">
      <alignment vertical="center"/>
    </xf>
    <xf numFmtId="0" fontId="71" fillId="0" borderId="0"/>
    <xf numFmtId="0" fontId="88" fillId="16" borderId="51" applyNumberFormat="0" applyAlignment="0" applyProtection="0">
      <alignment vertical="center"/>
    </xf>
    <xf numFmtId="0" fontId="86" fillId="0" borderId="48" applyNumberFormat="0" applyFill="0" applyAlignment="0" applyProtection="0">
      <alignment vertical="center"/>
    </xf>
    <xf numFmtId="0" fontId="88" fillId="16" borderId="51" applyNumberFormat="0" applyAlignment="0" applyProtection="0">
      <alignment vertical="center"/>
    </xf>
    <xf numFmtId="0" fontId="81" fillId="0" borderId="49" applyNumberFormat="0" applyFill="0" applyAlignment="0" applyProtection="0">
      <alignment vertical="center"/>
    </xf>
    <xf numFmtId="0" fontId="92" fillId="16" borderId="50" applyNumberFormat="0" applyAlignment="0" applyProtection="0">
      <alignment vertical="center"/>
    </xf>
    <xf numFmtId="0" fontId="92" fillId="16" borderId="50" applyNumberFormat="0" applyAlignment="0" applyProtection="0">
      <alignment vertical="center"/>
    </xf>
    <xf numFmtId="0" fontId="9" fillId="20" borderId="52" applyNumberFormat="0" applyFont="0" applyAlignment="0" applyProtection="0">
      <alignment vertical="center"/>
    </xf>
    <xf numFmtId="0" fontId="88" fillId="16" borderId="51" applyNumberFormat="0" applyAlignment="0" applyProtection="0">
      <alignment vertical="center"/>
    </xf>
    <xf numFmtId="0" fontId="95" fillId="27" borderId="0" applyNumberFormat="0" applyBorder="0" applyAlignment="0" applyProtection="0">
      <alignment vertical="center"/>
    </xf>
    <xf numFmtId="0" fontId="92" fillId="16" borderId="50" applyNumberFormat="0" applyAlignment="0" applyProtection="0">
      <alignment vertical="center"/>
    </xf>
    <xf numFmtId="0" fontId="9" fillId="24" borderId="0" applyNumberFormat="0" applyBorder="0" applyAlignment="0" applyProtection="0">
      <alignment vertical="center"/>
    </xf>
    <xf numFmtId="0" fontId="97" fillId="0" borderId="0" applyNumberFormat="0" applyFill="0" applyBorder="0" applyAlignment="0" applyProtection="0">
      <alignment vertical="center"/>
    </xf>
    <xf numFmtId="0" fontId="71" fillId="0" borderId="0"/>
    <xf numFmtId="0" fontId="98" fillId="24"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71" fillId="0" borderId="0"/>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9" fillId="28" borderId="0" applyNumberFormat="0" applyBorder="0" applyAlignment="0" applyProtection="0">
      <alignment vertical="center"/>
    </xf>
    <xf numFmtId="0" fontId="85" fillId="0" borderId="0">
      <alignment vertical="center"/>
    </xf>
    <xf numFmtId="0" fontId="71" fillId="0" borderId="0"/>
    <xf numFmtId="0" fontId="9" fillId="19" borderId="0" applyNumberFormat="0" applyBorder="0" applyAlignment="0" applyProtection="0">
      <alignment vertical="center"/>
    </xf>
    <xf numFmtId="0" fontId="90" fillId="29" borderId="0" applyNumberFormat="0" applyBorder="0" applyAlignment="0" applyProtection="0">
      <alignment vertical="center"/>
    </xf>
    <xf numFmtId="0" fontId="85" fillId="0" borderId="0"/>
    <xf numFmtId="0" fontId="9" fillId="0" borderId="0"/>
    <xf numFmtId="0" fontId="9" fillId="19"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8" borderId="0" applyNumberFormat="0" applyBorder="0" applyAlignment="0" applyProtection="0">
      <alignment vertical="center"/>
    </xf>
    <xf numFmtId="0" fontId="88" fillId="16" borderId="51" applyNumberFormat="0" applyAlignment="0" applyProtection="0">
      <alignment vertical="center"/>
    </xf>
    <xf numFmtId="0" fontId="9" fillId="24" borderId="0" applyNumberFormat="0" applyBorder="0" applyAlignment="0" applyProtection="0">
      <alignment vertical="center"/>
    </xf>
    <xf numFmtId="0" fontId="88" fillId="16" borderId="51" applyNumberFormat="0" applyAlignment="0" applyProtection="0">
      <alignment vertical="center"/>
    </xf>
    <xf numFmtId="0" fontId="9" fillId="24" borderId="0" applyNumberFormat="0" applyBorder="0" applyAlignment="0" applyProtection="0">
      <alignment vertical="center"/>
    </xf>
    <xf numFmtId="0" fontId="88" fillId="16" borderId="51" applyNumberFormat="0" applyAlignment="0" applyProtection="0">
      <alignment vertical="center"/>
    </xf>
    <xf numFmtId="0" fontId="9" fillId="24" borderId="0" applyNumberFormat="0" applyBorder="0" applyAlignment="0" applyProtection="0">
      <alignment vertical="center"/>
    </xf>
    <xf numFmtId="0" fontId="88" fillId="16" borderId="51" applyNumberFormat="0" applyAlignment="0" applyProtection="0">
      <alignment vertical="center"/>
    </xf>
    <xf numFmtId="0" fontId="90" fillId="26" borderId="0" applyNumberFormat="0" applyBorder="0" applyAlignment="0" applyProtection="0">
      <alignment vertical="center"/>
    </xf>
    <xf numFmtId="0" fontId="9" fillId="24" borderId="0" applyNumberFormat="0" applyBorder="0" applyAlignment="0" applyProtection="0">
      <alignment vertical="center"/>
    </xf>
    <xf numFmtId="0" fontId="90" fillId="26" borderId="0" applyNumberFormat="0" applyBorder="0" applyAlignment="0" applyProtection="0">
      <alignment vertical="center"/>
    </xf>
    <xf numFmtId="0" fontId="9" fillId="24" borderId="0" applyNumberFormat="0" applyBorder="0" applyAlignment="0" applyProtection="0">
      <alignment vertical="center"/>
    </xf>
    <xf numFmtId="0" fontId="88" fillId="16" borderId="51" applyNumberFormat="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88" fillId="16" borderId="51" applyNumberFormat="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87" fillId="15" borderId="50" applyNumberFormat="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88" fillId="16" borderId="51" applyNumberFormat="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106" fillId="0" borderId="0"/>
    <xf numFmtId="0" fontId="90" fillId="18" borderId="0" applyNumberFormat="0" applyBorder="0" applyAlignment="0" applyProtection="0">
      <alignment vertical="center"/>
    </xf>
    <xf numFmtId="0" fontId="9" fillId="14" borderId="0" applyNumberFormat="0" applyBorder="0" applyAlignment="0" applyProtection="0">
      <alignment vertical="center"/>
    </xf>
    <xf numFmtId="0" fontId="88" fillId="16" borderId="51" applyNumberFormat="0" applyAlignment="0" applyProtection="0">
      <alignment vertical="center"/>
    </xf>
    <xf numFmtId="0" fontId="9" fillId="13" borderId="0" applyNumberFormat="0" applyBorder="0" applyAlignment="0" applyProtection="0">
      <alignment vertical="center"/>
    </xf>
    <xf numFmtId="0" fontId="88" fillId="16" borderId="51" applyNumberFormat="0" applyAlignment="0" applyProtection="0">
      <alignment vertical="center"/>
    </xf>
    <xf numFmtId="0" fontId="85"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88" fillId="16" borderId="51" applyNumberFormat="0" applyAlignment="0" applyProtection="0">
      <alignment vertical="center"/>
    </xf>
    <xf numFmtId="0" fontId="9" fillId="13" borderId="0" applyNumberFormat="0" applyBorder="0" applyAlignment="0" applyProtection="0">
      <alignment vertical="center"/>
    </xf>
    <xf numFmtId="0" fontId="99" fillId="28" borderId="0" applyNumberFormat="0" applyBorder="0" applyAlignment="0" applyProtection="0">
      <alignment vertical="center"/>
    </xf>
    <xf numFmtId="9" fontId="85" fillId="0" borderId="0" applyFont="0" applyFill="0" applyBorder="0" applyAlignment="0" applyProtection="0">
      <alignment vertical="center"/>
    </xf>
    <xf numFmtId="0" fontId="9" fillId="13" borderId="0" applyNumberFormat="0" applyBorder="0" applyAlignment="0" applyProtection="0">
      <alignment vertical="center"/>
    </xf>
    <xf numFmtId="0" fontId="90" fillId="32" borderId="0" applyNumberFormat="0" applyBorder="0" applyAlignment="0" applyProtection="0">
      <alignment vertical="center"/>
    </xf>
    <xf numFmtId="0" fontId="9" fillId="13" borderId="0" applyNumberFormat="0" applyBorder="0" applyAlignment="0" applyProtection="0">
      <alignment vertical="center"/>
    </xf>
    <xf numFmtId="0" fontId="90" fillId="32"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0" borderId="0" applyNumberFormat="0" applyBorder="0" applyAlignment="0" applyProtection="0">
      <alignment vertical="center"/>
    </xf>
    <xf numFmtId="0" fontId="9" fillId="15" borderId="0" applyNumberFormat="0" applyBorder="0" applyAlignment="0" applyProtection="0">
      <alignment vertical="center"/>
    </xf>
    <xf numFmtId="0" fontId="9" fillId="20" borderId="52" applyNumberFormat="0" applyFont="0" applyAlignment="0" applyProtection="0">
      <alignment vertical="center"/>
    </xf>
    <xf numFmtId="0" fontId="90" fillId="23" borderId="0" applyNumberFormat="0" applyBorder="0" applyAlignment="0" applyProtection="0">
      <alignment vertical="center"/>
    </xf>
    <xf numFmtId="0" fontId="9" fillId="15" borderId="0" applyNumberFormat="0" applyBorder="0" applyAlignment="0" applyProtection="0">
      <alignment vertical="center"/>
    </xf>
    <xf numFmtId="0" fontId="90" fillId="23" borderId="0" applyNumberFormat="0" applyBorder="0" applyAlignment="0" applyProtection="0">
      <alignment vertical="center"/>
    </xf>
    <xf numFmtId="0" fontId="9" fillId="30" borderId="0" applyNumberFormat="0" applyBorder="0" applyAlignment="0" applyProtection="0">
      <alignment vertical="center"/>
    </xf>
    <xf numFmtId="0" fontId="9" fillId="15"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2" fillId="16" borderId="50" applyNumberFormat="0" applyAlignment="0" applyProtection="0">
      <alignment vertical="center"/>
    </xf>
    <xf numFmtId="0" fontId="9" fillId="32" borderId="0" applyNumberFormat="0" applyBorder="0" applyAlignment="0" applyProtection="0">
      <alignment vertical="center"/>
    </xf>
    <xf numFmtId="0" fontId="92" fillId="16" borderId="50" applyNumberFormat="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92" fillId="16" borderId="50" applyNumberFormat="0" applyAlignment="0" applyProtection="0">
      <alignment vertical="center"/>
    </xf>
    <xf numFmtId="0" fontId="9" fillId="32" borderId="0" applyNumberFormat="0" applyBorder="0" applyAlignment="0" applyProtection="0">
      <alignment vertical="center"/>
    </xf>
    <xf numFmtId="0" fontId="92" fillId="16" borderId="50" applyNumberFormat="0" applyAlignment="0" applyProtection="0">
      <alignment vertical="center"/>
    </xf>
    <xf numFmtId="0" fontId="9" fillId="32" borderId="0" applyNumberFormat="0" applyBorder="0" applyAlignment="0" applyProtection="0">
      <alignment vertical="center"/>
    </xf>
    <xf numFmtId="180" fontId="85" fillId="0" borderId="0"/>
    <xf numFmtId="0" fontId="92" fillId="16" borderId="50" applyNumberFormat="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94" fillId="3" borderId="53" applyNumberFormat="0" applyAlignment="0" applyProtection="0">
      <alignment vertical="center"/>
    </xf>
    <xf numFmtId="0" fontId="92" fillId="16" borderId="50" applyNumberFormat="0" applyAlignment="0" applyProtection="0">
      <alignment vertical="center"/>
    </xf>
    <xf numFmtId="0" fontId="81" fillId="0" borderId="49" applyNumberFormat="0" applyFill="0" applyAlignment="0" applyProtection="0">
      <alignment vertical="center"/>
    </xf>
    <xf numFmtId="0" fontId="97" fillId="0" borderId="0" applyNumberFormat="0" applyFill="0" applyBorder="0" applyAlignment="0" applyProtection="0">
      <alignment vertical="center"/>
    </xf>
    <xf numFmtId="0" fontId="9" fillId="14" borderId="0" applyNumberFormat="0" applyBorder="0" applyAlignment="0" applyProtection="0">
      <alignment vertical="center"/>
    </xf>
    <xf numFmtId="0" fontId="94" fillId="3" borderId="53" applyNumberFormat="0" applyAlignment="0" applyProtection="0">
      <alignment vertical="center"/>
    </xf>
    <xf numFmtId="0" fontId="81" fillId="0" borderId="49" applyNumberFormat="0" applyFill="0" applyAlignment="0" applyProtection="0">
      <alignment vertical="center"/>
    </xf>
    <xf numFmtId="0" fontId="97" fillId="0" borderId="0" applyNumberFormat="0" applyFill="0" applyBorder="0" applyAlignment="0" applyProtection="0">
      <alignment vertical="center"/>
    </xf>
    <xf numFmtId="0" fontId="9" fillId="14" borderId="0" applyNumberFormat="0" applyBorder="0" applyAlignment="0" applyProtection="0">
      <alignment vertical="center"/>
    </xf>
    <xf numFmtId="0" fontId="87" fillId="15" borderId="50" applyNumberFormat="0" applyAlignment="0" applyProtection="0">
      <alignment vertical="center"/>
    </xf>
    <xf numFmtId="0" fontId="92" fillId="16" borderId="50" applyNumberFormat="0" applyAlignment="0" applyProtection="0">
      <alignment vertical="center"/>
    </xf>
    <xf numFmtId="0" fontId="9" fillId="14" borderId="0" applyNumberFormat="0" applyBorder="0" applyAlignment="0" applyProtection="0">
      <alignment vertical="center"/>
    </xf>
    <xf numFmtId="0" fontId="92" fillId="16" borderId="50" applyNumberFormat="0" applyAlignment="0" applyProtection="0">
      <alignment vertical="center"/>
    </xf>
    <xf numFmtId="0" fontId="98" fillId="24" borderId="0" applyNumberFormat="0" applyBorder="0" applyAlignment="0" applyProtection="0">
      <alignment vertical="center"/>
    </xf>
    <xf numFmtId="0" fontId="9" fillId="30" borderId="0" applyNumberFormat="0" applyBorder="0" applyAlignment="0" applyProtection="0">
      <alignment vertical="center"/>
    </xf>
    <xf numFmtId="0" fontId="90" fillId="23" borderId="0" applyNumberFormat="0" applyBorder="0" applyAlignment="0" applyProtection="0">
      <alignment vertical="center"/>
    </xf>
    <xf numFmtId="0" fontId="9" fillId="30" borderId="0" applyNumberFormat="0" applyBorder="0" applyAlignment="0" applyProtection="0">
      <alignment vertical="center"/>
    </xf>
    <xf numFmtId="0" fontId="87" fillId="15" borderId="50" applyNumberFormat="0" applyAlignment="0" applyProtection="0">
      <alignment vertical="center"/>
    </xf>
    <xf numFmtId="0" fontId="9" fillId="30" borderId="0" applyNumberFormat="0" applyBorder="0" applyAlignment="0" applyProtection="0">
      <alignment vertical="center"/>
    </xf>
    <xf numFmtId="0" fontId="90" fillId="29" borderId="0" applyNumberFormat="0" applyBorder="0" applyAlignment="0" applyProtection="0">
      <alignment vertical="center"/>
    </xf>
    <xf numFmtId="0" fontId="9" fillId="30" borderId="0" applyNumberFormat="0" applyBorder="0" applyAlignment="0" applyProtection="0">
      <alignment vertical="center"/>
    </xf>
    <xf numFmtId="0" fontId="9" fillId="30" borderId="0" applyNumberFormat="0" applyBorder="0" applyAlignment="0" applyProtection="0">
      <alignment vertical="center"/>
    </xf>
    <xf numFmtId="0" fontId="95" fillId="27" borderId="0" applyNumberFormat="0" applyBorder="0" applyAlignment="0" applyProtection="0">
      <alignment vertical="center"/>
    </xf>
    <xf numFmtId="0" fontId="92" fillId="16" borderId="50" applyNumberFormat="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5" fillId="27" borderId="0" applyNumberFormat="0" applyBorder="0" applyAlignment="0" applyProtection="0">
      <alignment vertical="center"/>
    </xf>
    <xf numFmtId="0" fontId="90" fillId="31" borderId="0" applyNumberFormat="0" applyBorder="0" applyAlignment="0" applyProtection="0">
      <alignment vertical="center"/>
    </xf>
    <xf numFmtId="0" fontId="9" fillId="25" borderId="0" applyNumberFormat="0" applyBorder="0" applyAlignment="0" applyProtection="0">
      <alignment vertical="center"/>
    </xf>
    <xf numFmtId="0" fontId="91" fillId="0" borderId="0" applyNumberFormat="0" applyFill="0" applyBorder="0" applyAlignment="0" applyProtection="0">
      <alignment vertical="center"/>
    </xf>
    <xf numFmtId="0" fontId="9" fillId="25" borderId="0" applyNumberFormat="0" applyBorder="0" applyAlignment="0" applyProtection="0">
      <alignment vertical="center"/>
    </xf>
    <xf numFmtId="0" fontId="90" fillId="31" borderId="0" applyNumberFormat="0" applyBorder="0" applyAlignment="0" applyProtection="0">
      <alignment vertical="center"/>
    </xf>
    <xf numFmtId="0" fontId="90" fillId="23" borderId="0" applyNumberFormat="0" applyBorder="0" applyAlignment="0" applyProtection="0">
      <alignment vertical="center"/>
    </xf>
    <xf numFmtId="0" fontId="9" fillId="25" borderId="0" applyNumberFormat="0" applyBorder="0" applyAlignment="0" applyProtection="0">
      <alignment vertical="center"/>
    </xf>
    <xf numFmtId="0" fontId="90" fillId="26" borderId="0" applyNumberFormat="0" applyBorder="0" applyAlignment="0" applyProtection="0">
      <alignment vertical="center"/>
    </xf>
    <xf numFmtId="0" fontId="90" fillId="26" borderId="0" applyNumberFormat="0" applyBorder="0" applyAlignment="0" applyProtection="0">
      <alignment vertical="center"/>
    </xf>
    <xf numFmtId="0" fontId="90" fillId="26" borderId="0" applyNumberFormat="0" applyBorder="0" applyAlignment="0" applyProtection="0">
      <alignment vertical="center"/>
    </xf>
    <xf numFmtId="0" fontId="90" fillId="26" borderId="0" applyNumberFormat="0" applyBorder="0" applyAlignment="0" applyProtection="0">
      <alignment vertical="center"/>
    </xf>
    <xf numFmtId="0" fontId="9" fillId="20" borderId="52" applyNumberFormat="0" applyFont="0" applyAlignment="0" applyProtection="0">
      <alignment vertical="center"/>
    </xf>
    <xf numFmtId="0" fontId="38" fillId="0" borderId="0" applyNumberFormat="0" applyFill="0" applyBorder="0" applyAlignment="0" applyProtection="0">
      <alignment vertical="center"/>
    </xf>
    <xf numFmtId="0" fontId="90" fillId="26" borderId="0" applyNumberFormat="0" applyBorder="0" applyAlignment="0" applyProtection="0">
      <alignment vertical="center"/>
    </xf>
    <xf numFmtId="0" fontId="90" fillId="18" borderId="0" applyNumberFormat="0" applyBorder="0" applyAlignment="0" applyProtection="0">
      <alignment vertical="center"/>
    </xf>
    <xf numFmtId="0" fontId="9" fillId="20" borderId="52" applyNumberFormat="0" applyFont="0" applyAlignment="0" applyProtection="0">
      <alignment vertical="center"/>
    </xf>
    <xf numFmtId="0" fontId="9" fillId="0" borderId="0">
      <alignment vertical="center"/>
    </xf>
    <xf numFmtId="0" fontId="90" fillId="18" borderId="0" applyNumberFormat="0" applyBorder="0" applyAlignment="0" applyProtection="0">
      <alignment vertical="center"/>
    </xf>
    <xf numFmtId="0" fontId="106" fillId="0" borderId="0">
      <alignment vertical="center"/>
    </xf>
    <xf numFmtId="0" fontId="90" fillId="18" borderId="0" applyNumberFormat="0" applyBorder="0" applyAlignment="0" applyProtection="0">
      <alignment vertical="center"/>
    </xf>
    <xf numFmtId="0" fontId="38" fillId="0" borderId="0" applyNumberFormat="0" applyFill="0" applyBorder="0" applyAlignment="0" applyProtection="0">
      <alignment vertical="center"/>
    </xf>
    <xf numFmtId="0" fontId="85" fillId="0" borderId="0">
      <alignment vertical="center"/>
    </xf>
    <xf numFmtId="0" fontId="90" fillId="18" borderId="0" applyNumberFormat="0" applyBorder="0" applyAlignment="0" applyProtection="0">
      <alignment vertical="center"/>
    </xf>
    <xf numFmtId="0" fontId="90" fillId="17" borderId="0" applyNumberFormat="0" applyBorder="0" applyAlignment="0" applyProtection="0">
      <alignment vertical="center"/>
    </xf>
    <xf numFmtId="0" fontId="90" fillId="32" borderId="0" applyNumberFormat="0" applyBorder="0" applyAlignment="0" applyProtection="0">
      <alignment vertical="center"/>
    </xf>
    <xf numFmtId="0" fontId="90" fillId="32" borderId="0" applyNumberFormat="0" applyBorder="0" applyAlignment="0" applyProtection="0">
      <alignment vertical="center"/>
    </xf>
    <xf numFmtId="0" fontId="90" fillId="32" borderId="0" applyNumberFormat="0" applyBorder="0" applyAlignment="0" applyProtection="0">
      <alignment vertical="center"/>
    </xf>
    <xf numFmtId="0" fontId="90" fillId="32" borderId="0" applyNumberFormat="0" applyBorder="0" applyAlignment="0" applyProtection="0">
      <alignment vertical="center"/>
    </xf>
    <xf numFmtId="0" fontId="90" fillId="32" borderId="0" applyNumberFormat="0" applyBorder="0" applyAlignment="0" applyProtection="0">
      <alignment vertical="center"/>
    </xf>
    <xf numFmtId="0" fontId="90" fillId="23" borderId="0" applyNumberFormat="0" applyBorder="0" applyAlignment="0" applyProtection="0">
      <alignment vertical="center"/>
    </xf>
    <xf numFmtId="0" fontId="85" fillId="0" borderId="0">
      <alignment vertical="center"/>
    </xf>
    <xf numFmtId="0" fontId="90" fillId="23" borderId="0" applyNumberFormat="0" applyBorder="0" applyAlignment="0" applyProtection="0">
      <alignment vertical="center"/>
    </xf>
    <xf numFmtId="0" fontId="90" fillId="29" borderId="0" applyNumberFormat="0" applyBorder="0" applyAlignment="0" applyProtection="0">
      <alignment vertical="center"/>
    </xf>
    <xf numFmtId="0" fontId="90" fillId="23"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21" borderId="0" applyNumberFormat="0" applyBorder="0" applyAlignment="0" applyProtection="0">
      <alignment vertical="center"/>
    </xf>
    <xf numFmtId="0" fontId="90" fillId="29" borderId="0" applyNumberFormat="0" applyBorder="0" applyAlignment="0" applyProtection="0">
      <alignment vertical="center"/>
    </xf>
    <xf numFmtId="0" fontId="9" fillId="0" borderId="0">
      <alignment vertical="center"/>
    </xf>
    <xf numFmtId="0" fontId="90" fillId="21" borderId="0" applyNumberFormat="0" applyBorder="0" applyAlignment="0" applyProtection="0">
      <alignment vertical="center"/>
    </xf>
    <xf numFmtId="0" fontId="103" fillId="0" borderId="0" applyNumberFormat="0" applyFill="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38" fillId="0" borderId="0" applyNumberFormat="0" applyFill="0" applyBorder="0" applyAlignment="0" applyProtection="0">
      <alignment vertical="center"/>
    </xf>
    <xf numFmtId="179" fontId="9" fillId="0" borderId="0">
      <alignment vertical="center"/>
    </xf>
    <xf numFmtId="0" fontId="99" fillId="28" borderId="0" applyNumberFormat="0" applyBorder="0" applyAlignment="0" applyProtection="0">
      <alignment vertical="center"/>
    </xf>
    <xf numFmtId="9" fontId="9" fillId="0" borderId="0">
      <alignment vertical="center"/>
    </xf>
    <xf numFmtId="9" fontId="85" fillId="0" borderId="0" applyFont="0" applyFill="0" applyBorder="0" applyAlignment="0" applyProtection="0">
      <alignment vertical="center"/>
    </xf>
    <xf numFmtId="0" fontId="100" fillId="0" borderId="54" applyNumberFormat="0" applyFill="0" applyAlignment="0" applyProtection="0">
      <alignment vertical="center"/>
    </xf>
    <xf numFmtId="0" fontId="100" fillId="0" borderId="54" applyNumberFormat="0" applyFill="0" applyAlignment="0" applyProtection="0">
      <alignment vertical="center"/>
    </xf>
    <xf numFmtId="0" fontId="100" fillId="0" borderId="54" applyNumberFormat="0" applyFill="0" applyAlignment="0" applyProtection="0">
      <alignment vertical="center"/>
    </xf>
    <xf numFmtId="0" fontId="100" fillId="0" borderId="54" applyNumberFormat="0" applyFill="0" applyAlignment="0" applyProtection="0">
      <alignment vertical="center"/>
    </xf>
    <xf numFmtId="0" fontId="81" fillId="0" borderId="49" applyNumberFormat="0" applyFill="0" applyAlignment="0" applyProtection="0">
      <alignment vertical="center"/>
    </xf>
    <xf numFmtId="0" fontId="100" fillId="0" borderId="54" applyNumberFormat="0" applyFill="0" applyAlignment="0" applyProtection="0">
      <alignment vertical="center"/>
    </xf>
    <xf numFmtId="0" fontId="100" fillId="0" borderId="54" applyNumberFormat="0" applyFill="0" applyAlignment="0" applyProtection="0">
      <alignment vertical="center"/>
    </xf>
    <xf numFmtId="0" fontId="100" fillId="0" borderId="54" applyNumberFormat="0" applyFill="0" applyAlignment="0" applyProtection="0">
      <alignment vertical="center"/>
    </xf>
    <xf numFmtId="0" fontId="101" fillId="0" borderId="55" applyNumberFormat="0" applyFill="0" applyAlignment="0" applyProtection="0">
      <alignment vertical="center"/>
    </xf>
    <xf numFmtId="0" fontId="101" fillId="0" borderId="55" applyNumberFormat="0" applyFill="0" applyAlignment="0" applyProtection="0">
      <alignment vertical="center"/>
    </xf>
    <xf numFmtId="0" fontId="98" fillId="24" borderId="0" applyNumberFormat="0" applyBorder="0" applyAlignment="0" applyProtection="0">
      <alignment vertical="center"/>
    </xf>
    <xf numFmtId="0" fontId="101" fillId="0" borderId="55" applyNumberFormat="0" applyFill="0" applyAlignment="0" applyProtection="0">
      <alignment vertical="center"/>
    </xf>
    <xf numFmtId="0" fontId="101" fillId="0" borderId="55" applyNumberFormat="0" applyFill="0" applyAlignment="0" applyProtection="0">
      <alignment vertical="center"/>
    </xf>
    <xf numFmtId="0" fontId="9" fillId="0" borderId="0">
      <alignment vertical="center"/>
    </xf>
    <xf numFmtId="0" fontId="101" fillId="0" borderId="55" applyNumberFormat="0" applyFill="0" applyAlignment="0" applyProtection="0">
      <alignment vertical="center"/>
    </xf>
    <xf numFmtId="0" fontId="101" fillId="0" borderId="55" applyNumberFormat="0" applyFill="0" applyAlignment="0" applyProtection="0">
      <alignment vertical="center"/>
    </xf>
    <xf numFmtId="0" fontId="101" fillId="0" borderId="55" applyNumberFormat="0" applyFill="0" applyAlignment="0" applyProtection="0">
      <alignment vertical="center"/>
    </xf>
    <xf numFmtId="0" fontId="97" fillId="0" borderId="56" applyNumberFormat="0" applyFill="0" applyAlignment="0" applyProtection="0">
      <alignment vertical="center"/>
    </xf>
    <xf numFmtId="0" fontId="98" fillId="24" borderId="0" applyNumberFormat="0" applyBorder="0" applyAlignment="0" applyProtection="0">
      <alignment vertical="center"/>
    </xf>
    <xf numFmtId="0" fontId="97" fillId="0" borderId="56" applyNumberFormat="0" applyFill="0" applyAlignment="0" applyProtection="0">
      <alignment vertical="center"/>
    </xf>
    <xf numFmtId="0" fontId="97" fillId="0" borderId="56" applyNumberFormat="0" applyFill="0" applyAlignment="0" applyProtection="0">
      <alignment vertical="center"/>
    </xf>
    <xf numFmtId="0" fontId="97" fillId="0" borderId="56" applyNumberFormat="0" applyFill="0" applyAlignment="0" applyProtection="0">
      <alignment vertical="center"/>
    </xf>
    <xf numFmtId="0" fontId="89" fillId="0" borderId="0"/>
    <xf numFmtId="0" fontId="97" fillId="0" borderId="56" applyNumberFormat="0" applyFill="0" applyAlignment="0" applyProtection="0">
      <alignment vertical="center"/>
    </xf>
    <xf numFmtId="0" fontId="97" fillId="0" borderId="56" applyNumberFormat="0" applyFill="0" applyAlignment="0" applyProtection="0">
      <alignment vertical="center"/>
    </xf>
    <xf numFmtId="0" fontId="97" fillId="0" borderId="56" applyNumberFormat="0" applyFill="0" applyAlignment="0" applyProtection="0">
      <alignment vertical="center"/>
    </xf>
    <xf numFmtId="43" fontId="85" fillId="0" borderId="0" applyFon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81" fillId="0" borderId="49" applyNumberFormat="0" applyFill="0" applyAlignment="0" applyProtection="0">
      <alignment vertical="center"/>
    </xf>
    <xf numFmtId="0" fontId="97" fillId="0" borderId="0" applyNumberFormat="0" applyFill="0" applyBorder="0" applyAlignment="0" applyProtection="0">
      <alignment vertical="center"/>
    </xf>
    <xf numFmtId="0" fontId="81" fillId="0" borderId="49" applyNumberFormat="0" applyFill="0" applyAlignment="0" applyProtection="0">
      <alignment vertical="center"/>
    </xf>
    <xf numFmtId="0" fontId="97"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90" fillId="22" borderId="0" applyNumberFormat="0" applyBorder="0" applyAlignment="0" applyProtection="0">
      <alignment vertical="center"/>
    </xf>
    <xf numFmtId="0" fontId="102" fillId="0" borderId="0" applyNumberFormat="0" applyFill="0" applyBorder="0" applyAlignment="0" applyProtection="0">
      <alignment vertical="center"/>
    </xf>
    <xf numFmtId="0" fontId="90" fillId="22" borderId="0" applyNumberFormat="0" applyBorder="0" applyAlignment="0" applyProtection="0">
      <alignment vertical="center"/>
    </xf>
    <xf numFmtId="0" fontId="81" fillId="0" borderId="49" applyNumberFormat="0" applyFill="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90" fillId="17" borderId="0" applyNumberFormat="0" applyBorder="0" applyAlignment="0" applyProtection="0">
      <alignment vertical="center"/>
    </xf>
    <xf numFmtId="0" fontId="102" fillId="0" borderId="0" applyNumberFormat="0" applyFill="0" applyBorder="0" applyAlignment="0" applyProtection="0">
      <alignment vertical="center"/>
    </xf>
    <xf numFmtId="0" fontId="9" fillId="20" borderId="52" applyNumberFormat="0" applyFon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9" fillId="28" borderId="0" applyNumberFormat="0" applyBorder="0" applyAlignment="0" applyProtection="0">
      <alignment vertical="center"/>
    </xf>
    <xf numFmtId="0" fontId="99" fillId="28" borderId="0" applyNumberFormat="0" applyBorder="0" applyAlignment="0" applyProtection="0">
      <alignment vertical="center"/>
    </xf>
    <xf numFmtId="0" fontId="99" fillId="28" borderId="0" applyNumberFormat="0" applyBorder="0" applyAlignment="0" applyProtection="0">
      <alignment vertical="center"/>
    </xf>
    <xf numFmtId="0" fontId="99" fillId="28" borderId="0" applyNumberFormat="0" applyBorder="0" applyAlignment="0" applyProtection="0">
      <alignment vertical="center"/>
    </xf>
    <xf numFmtId="0" fontId="9" fillId="0" borderId="0">
      <alignment vertical="center"/>
    </xf>
    <xf numFmtId="0" fontId="85" fillId="0" borderId="0">
      <alignment vertical="center"/>
    </xf>
    <xf numFmtId="0" fontId="9" fillId="0" borderId="0">
      <alignment vertical="center"/>
    </xf>
    <xf numFmtId="0" fontId="85" fillId="0" borderId="0"/>
    <xf numFmtId="0" fontId="85" fillId="0" borderId="0">
      <alignment vertical="center"/>
    </xf>
    <xf numFmtId="0" fontId="85" fillId="0" borderId="0">
      <alignment vertical="center"/>
    </xf>
    <xf numFmtId="0" fontId="90" fillId="31"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96" fillId="0" borderId="0" applyNumberFormat="0" applyFill="0" applyBorder="0" applyProtection="0">
      <alignment vertical="top" wrapText="1"/>
    </xf>
    <xf numFmtId="0" fontId="7" fillId="0" borderId="0">
      <alignment vertical="center"/>
    </xf>
    <xf numFmtId="0" fontId="9" fillId="0" borderId="0"/>
    <xf numFmtId="0" fontId="9" fillId="0" borderId="0"/>
    <xf numFmtId="0" fontId="87" fillId="15" borderId="50" applyNumberFormat="0" applyAlignment="0" applyProtection="0">
      <alignment vertical="center"/>
    </xf>
    <xf numFmtId="0" fontId="7" fillId="0" borderId="0">
      <alignment vertical="center"/>
    </xf>
    <xf numFmtId="0" fontId="89" fillId="0" borderId="0"/>
    <xf numFmtId="0" fontId="87" fillId="15" borderId="50" applyNumberFormat="0" applyAlignment="0" applyProtection="0">
      <alignment vertical="center"/>
    </xf>
    <xf numFmtId="0" fontId="85" fillId="0" borderId="0">
      <alignment vertical="center"/>
    </xf>
    <xf numFmtId="0" fontId="24" fillId="0" borderId="0">
      <alignment vertical="center"/>
    </xf>
    <xf numFmtId="0" fontId="9" fillId="0" borderId="0"/>
    <xf numFmtId="0" fontId="87" fillId="15" borderId="50" applyNumberFormat="0" applyAlignment="0" applyProtection="0">
      <alignment vertical="center"/>
    </xf>
    <xf numFmtId="0" fontId="7" fillId="0" borderId="0">
      <alignment vertical="center"/>
    </xf>
    <xf numFmtId="0" fontId="9" fillId="0" borderId="0"/>
    <xf numFmtId="0" fontId="90" fillId="23" borderId="0" applyNumberFormat="0" applyBorder="0" applyAlignment="0" applyProtection="0">
      <alignment vertical="center"/>
    </xf>
    <xf numFmtId="0" fontId="24" fillId="0" borderId="0">
      <alignment vertical="center"/>
    </xf>
    <xf numFmtId="0" fontId="90" fillId="23" borderId="0" applyNumberFormat="0" applyBorder="0" applyAlignment="0" applyProtection="0">
      <alignment vertical="center"/>
    </xf>
    <xf numFmtId="0" fontId="9" fillId="0" borderId="0"/>
    <xf numFmtId="0" fontId="90" fillId="23" borderId="0" applyNumberFormat="0" applyBorder="0" applyAlignment="0" applyProtection="0">
      <alignment vertical="center"/>
    </xf>
    <xf numFmtId="0" fontId="85" fillId="0" borderId="0"/>
    <xf numFmtId="0" fontId="90" fillId="23" borderId="0" applyNumberFormat="0" applyBorder="0" applyAlignment="0" applyProtection="0">
      <alignment vertical="center"/>
    </xf>
    <xf numFmtId="0" fontId="85" fillId="0" borderId="0"/>
    <xf numFmtId="0" fontId="85" fillId="0" borderId="0"/>
    <xf numFmtId="0" fontId="9" fillId="0" borderId="0">
      <alignment vertical="center"/>
    </xf>
    <xf numFmtId="0" fontId="95" fillId="2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6" fillId="0" borderId="0">
      <alignment vertical="center"/>
    </xf>
    <xf numFmtId="0" fontId="90" fillId="29" borderId="0" applyNumberFormat="0" applyBorder="0" applyAlignment="0" applyProtection="0">
      <alignment vertical="center"/>
    </xf>
    <xf numFmtId="0" fontId="106" fillId="0" borderId="0">
      <alignment vertical="center"/>
    </xf>
    <xf numFmtId="0" fontId="90" fillId="29" borderId="0" applyNumberFormat="0" applyBorder="0" applyAlignment="0" applyProtection="0">
      <alignment vertical="center"/>
    </xf>
    <xf numFmtId="0" fontId="106" fillId="0" borderId="0">
      <alignment vertical="center"/>
    </xf>
    <xf numFmtId="0" fontId="85" fillId="0" borderId="0"/>
    <xf numFmtId="0" fontId="85" fillId="0" borderId="0"/>
    <xf numFmtId="0" fontId="87" fillId="15" borderId="50" applyNumberFormat="0" applyAlignment="0" applyProtection="0">
      <alignment vertical="center"/>
    </xf>
    <xf numFmtId="0" fontId="9" fillId="0" borderId="0">
      <alignment vertical="center"/>
    </xf>
    <xf numFmtId="0" fontId="85" fillId="0" borderId="0"/>
    <xf numFmtId="0" fontId="90" fillId="33" borderId="0" applyNumberFormat="0" applyBorder="0" applyAlignment="0" applyProtection="0">
      <alignment vertical="center"/>
    </xf>
    <xf numFmtId="0" fontId="71" fillId="0" borderId="0">
      <alignment vertical="center"/>
    </xf>
    <xf numFmtId="0" fontId="106" fillId="0" borderId="0">
      <alignment vertical="center"/>
    </xf>
    <xf numFmtId="0" fontId="9" fillId="20" borderId="52" applyNumberFormat="0" applyFont="0" applyAlignment="0" applyProtection="0">
      <alignment vertical="center"/>
    </xf>
    <xf numFmtId="0" fontId="38" fillId="0" borderId="0" applyNumberFormat="0" applyFill="0" applyBorder="0" applyAlignment="0" applyProtection="0">
      <alignment vertical="center"/>
    </xf>
    <xf numFmtId="0" fontId="89" fillId="0" borderId="0"/>
    <xf numFmtId="0" fontId="98" fillId="24" borderId="0" applyNumberFormat="0" applyBorder="0" applyAlignment="0" applyProtection="0">
      <alignment vertical="center"/>
    </xf>
    <xf numFmtId="0" fontId="98" fillId="24" borderId="0" applyNumberFormat="0" applyBorder="0" applyAlignment="0" applyProtection="0">
      <alignment vertical="center"/>
    </xf>
    <xf numFmtId="0" fontId="98" fillId="24" borderId="0" applyNumberFormat="0" applyBorder="0" applyAlignment="0" applyProtection="0">
      <alignment vertical="center"/>
    </xf>
    <xf numFmtId="0" fontId="81" fillId="0" borderId="49" applyNumberFormat="0" applyFill="0" applyAlignment="0" applyProtection="0">
      <alignment vertical="center"/>
    </xf>
    <xf numFmtId="0" fontId="94" fillId="3" borderId="53" applyNumberFormat="0" applyAlignment="0" applyProtection="0">
      <alignment vertical="center"/>
    </xf>
    <xf numFmtId="0" fontId="81" fillId="0" borderId="49" applyNumberFormat="0" applyFill="0" applyAlignment="0" applyProtection="0">
      <alignment vertical="center"/>
    </xf>
    <xf numFmtId="0" fontId="81" fillId="0" borderId="49" applyNumberFormat="0" applyFill="0" applyAlignment="0" applyProtection="0">
      <alignment vertical="center"/>
    </xf>
    <xf numFmtId="0" fontId="81" fillId="0" borderId="49" applyNumberFormat="0" applyFill="0" applyAlignment="0" applyProtection="0">
      <alignment vertical="center"/>
    </xf>
    <xf numFmtId="0" fontId="71" fillId="0" borderId="0"/>
    <xf numFmtId="0" fontId="90" fillId="31" borderId="0" applyNumberFormat="0" applyBorder="0" applyAlignment="0" applyProtection="0">
      <alignment vertical="center"/>
    </xf>
    <xf numFmtId="0" fontId="81" fillId="0" borderId="49" applyNumberFormat="0" applyFill="0" applyAlignment="0" applyProtection="0">
      <alignment vertical="center"/>
    </xf>
    <xf numFmtId="0" fontId="94" fillId="3" borderId="53" applyNumberFormat="0" applyAlignment="0" applyProtection="0">
      <alignment vertical="center"/>
    </xf>
    <xf numFmtId="0" fontId="94" fillId="3" borderId="53" applyNumberFormat="0" applyAlignment="0" applyProtection="0">
      <alignment vertical="center"/>
    </xf>
    <xf numFmtId="0" fontId="94" fillId="3" borderId="53" applyNumberForma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 fillId="20" borderId="52"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20" borderId="52" applyNumberFormat="0" applyFont="0" applyAlignment="0" applyProtection="0">
      <alignment vertical="center"/>
    </xf>
    <xf numFmtId="0" fontId="86" fillId="0" borderId="48" applyNumberFormat="0" applyFill="0" applyAlignment="0" applyProtection="0">
      <alignment vertical="center"/>
    </xf>
    <xf numFmtId="0" fontId="9" fillId="20" borderId="52" applyNumberFormat="0" applyFont="0" applyAlignment="0" applyProtection="0">
      <alignment vertical="center"/>
    </xf>
    <xf numFmtId="0" fontId="86" fillId="0" borderId="48" applyNumberFormat="0" applyFill="0" applyAlignment="0" applyProtection="0">
      <alignment vertical="center"/>
    </xf>
    <xf numFmtId="0" fontId="86" fillId="0" borderId="48" applyNumberFormat="0" applyFill="0" applyAlignment="0" applyProtection="0">
      <alignment vertical="center"/>
    </xf>
    <xf numFmtId="43" fontId="85" fillId="0" borderId="0" applyFont="0" applyFill="0" applyBorder="0" applyAlignment="0" applyProtection="0"/>
    <xf numFmtId="43" fontId="85" fillId="0" borderId="0" applyFont="0" applyFill="0" applyBorder="0" applyAlignment="0" applyProtection="0"/>
    <xf numFmtId="0" fontId="90" fillId="22" borderId="0" applyNumberFormat="0" applyBorder="0" applyAlignment="0" applyProtection="0">
      <alignment vertical="center"/>
    </xf>
    <xf numFmtId="0" fontId="90" fillId="22" borderId="0" applyNumberFormat="0" applyBorder="0" applyAlignment="0" applyProtection="0">
      <alignment vertical="center"/>
    </xf>
    <xf numFmtId="0" fontId="90" fillId="22" borderId="0" applyNumberFormat="0" applyBorder="0" applyAlignment="0" applyProtection="0">
      <alignment vertical="center"/>
    </xf>
    <xf numFmtId="0" fontId="90" fillId="22" borderId="0" applyNumberFormat="0" applyBorder="0" applyAlignment="0" applyProtection="0">
      <alignment vertical="center"/>
    </xf>
    <xf numFmtId="0" fontId="90" fillId="17" borderId="0" applyNumberFormat="0" applyBorder="0" applyAlignment="0" applyProtection="0">
      <alignment vertical="center"/>
    </xf>
    <xf numFmtId="0" fontId="90" fillId="17" borderId="0" applyNumberFormat="0" applyBorder="0" applyAlignment="0" applyProtection="0">
      <alignment vertical="center"/>
    </xf>
    <xf numFmtId="0" fontId="90" fillId="17" borderId="0" applyNumberFormat="0" applyBorder="0" applyAlignment="0" applyProtection="0">
      <alignment vertical="center"/>
    </xf>
    <xf numFmtId="0" fontId="87" fillId="15" borderId="50" applyNumberFormat="0" applyAlignment="0" applyProtection="0">
      <alignment vertical="center"/>
    </xf>
    <xf numFmtId="0" fontId="90" fillId="31" borderId="0" applyNumberFormat="0" applyBorder="0" applyAlignment="0" applyProtection="0">
      <alignment vertical="center"/>
    </xf>
    <xf numFmtId="0" fontId="90" fillId="31" borderId="0" applyNumberFormat="0" applyBorder="0" applyAlignment="0" applyProtection="0">
      <alignment vertical="center"/>
    </xf>
    <xf numFmtId="0" fontId="90" fillId="31" borderId="0" applyNumberFormat="0" applyBorder="0" applyAlignment="0" applyProtection="0">
      <alignment vertical="center"/>
    </xf>
    <xf numFmtId="0" fontId="90" fillId="23" borderId="0" applyNumberFormat="0" applyBorder="0" applyAlignment="0" applyProtection="0">
      <alignment vertical="center"/>
    </xf>
    <xf numFmtId="0" fontId="87" fillId="15" borderId="50" applyNumberFormat="0" applyAlignment="0" applyProtection="0">
      <alignment vertical="center"/>
    </xf>
    <xf numFmtId="0" fontId="90" fillId="23"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29" borderId="0" applyNumberFormat="0" applyBorder="0" applyAlignment="0" applyProtection="0">
      <alignment vertical="center"/>
    </xf>
    <xf numFmtId="0" fontId="90" fillId="33" borderId="0" applyNumberFormat="0" applyBorder="0" applyAlignment="0" applyProtection="0">
      <alignment vertical="center"/>
    </xf>
    <xf numFmtId="0" fontId="90" fillId="33" borderId="0" applyNumberFormat="0" applyBorder="0" applyAlignment="0" applyProtection="0">
      <alignment vertical="center"/>
    </xf>
    <xf numFmtId="0" fontId="90" fillId="33" borderId="0" applyNumberFormat="0" applyBorder="0" applyAlignment="0" applyProtection="0">
      <alignment vertical="center"/>
    </xf>
    <xf numFmtId="0" fontId="90" fillId="33" borderId="0" applyNumberFormat="0" applyBorder="0" applyAlignment="0" applyProtection="0">
      <alignment vertical="center"/>
    </xf>
    <xf numFmtId="0" fontId="90" fillId="33" borderId="0" applyNumberFormat="0" applyBorder="0" applyAlignment="0" applyProtection="0">
      <alignment vertical="center"/>
    </xf>
    <xf numFmtId="0" fontId="90" fillId="33"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88" fillId="16" borderId="51" applyNumberFormat="0" applyAlignment="0" applyProtection="0">
      <alignment vertical="center"/>
    </xf>
    <xf numFmtId="0" fontId="88" fillId="16" borderId="51" applyNumberFormat="0" applyAlignment="0" applyProtection="0">
      <alignment vertical="center"/>
    </xf>
    <xf numFmtId="0" fontId="88" fillId="16" borderId="51" applyNumberFormat="0" applyAlignment="0" applyProtection="0">
      <alignment vertical="center"/>
    </xf>
    <xf numFmtId="0" fontId="88" fillId="16" borderId="51" applyNumberFormat="0" applyAlignment="0" applyProtection="0">
      <alignment vertical="center"/>
    </xf>
    <xf numFmtId="0" fontId="93" fillId="0" borderId="0"/>
    <xf numFmtId="0" fontId="87" fillId="15" borderId="50" applyNumberFormat="0" applyAlignment="0" applyProtection="0">
      <alignment vertical="center"/>
    </xf>
    <xf numFmtId="0" fontId="93" fillId="0" borderId="0"/>
    <xf numFmtId="0" fontId="87" fillId="15" borderId="50" applyNumberFormat="0" applyAlignment="0" applyProtection="0">
      <alignment vertical="center"/>
    </xf>
    <xf numFmtId="0" fontId="87" fillId="15" borderId="50" applyNumberFormat="0" applyAlignment="0" applyProtection="0">
      <alignment vertical="center"/>
    </xf>
    <xf numFmtId="0" fontId="87" fillId="15" borderId="50" applyNumberFormat="0" applyAlignment="0" applyProtection="0">
      <alignment vertical="center"/>
    </xf>
    <xf numFmtId="0" fontId="87" fillId="15" borderId="50" applyNumberFormat="0" applyAlignment="0" applyProtection="0">
      <alignment vertical="center"/>
    </xf>
    <xf numFmtId="0" fontId="104" fillId="0" borderId="0"/>
    <xf numFmtId="0" fontId="71" fillId="0" borderId="0"/>
    <xf numFmtId="0" fontId="93" fillId="0" borderId="0"/>
    <xf numFmtId="0" fontId="93" fillId="0" borderId="0"/>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9" fillId="20" borderId="52" applyNumberFormat="0" applyFont="0" applyAlignment="0" applyProtection="0">
      <alignment vertical="center"/>
    </xf>
    <xf numFmtId="0" fontId="85" fillId="0" borderId="0"/>
    <xf numFmtId="0" fontId="105" fillId="0" borderId="0" applyNumberFormat="0" applyFill="0" applyBorder="0" applyAlignment="0" applyProtection="0">
      <alignment vertical="center"/>
    </xf>
    <xf numFmtId="38" fontId="85" fillId="0" borderId="0" applyFont="0" applyFill="0" applyBorder="0" applyAlignment="0" applyProtection="0">
      <alignment vertical="center"/>
    </xf>
    <xf numFmtId="0" fontId="12" fillId="0" borderId="0">
      <alignment vertical="center"/>
    </xf>
  </cellStyleXfs>
  <cellXfs count="387">
    <xf numFmtId="0" fontId="0" fillId="0" borderId="0" xfId="0">
      <alignment vertical="center"/>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protection locked="0"/>
    </xf>
    <xf numFmtId="180" fontId="9" fillId="0" borderId="0" xfId="0" applyNumberFormat="1" applyFont="1" applyFill="1" applyBorder="1" applyAlignment="1" applyProtection="1">
      <alignment horizontal="center" vertical="center"/>
      <protection locked="0"/>
    </xf>
    <xf numFmtId="49" fontId="10" fillId="0" borderId="0" xfId="225" applyNumberFormat="1" applyFont="1" applyFill="1" applyBorder="1" applyAlignment="1" applyProtection="1">
      <alignment horizontal="center" vertical="center"/>
      <protection locked="0"/>
    </xf>
    <xf numFmtId="176" fontId="10" fillId="0" borderId="0" xfId="0" applyNumberFormat="1" applyFont="1" applyFill="1" applyBorder="1" applyAlignment="1">
      <alignment horizontal="center" vertical="center" wrapText="1"/>
    </xf>
    <xf numFmtId="180" fontId="10" fillId="0" borderId="0" xfId="0" applyNumberFormat="1" applyFont="1" applyFill="1" applyBorder="1" applyAlignment="1">
      <alignment horizontal="center" vertical="center"/>
    </xf>
    <xf numFmtId="180" fontId="9" fillId="0" borderId="6" xfId="0" applyNumberFormat="1" applyFont="1" applyFill="1" applyBorder="1" applyAlignment="1" applyProtection="1">
      <alignment horizontal="center" vertical="center"/>
    </xf>
    <xf numFmtId="49" fontId="10" fillId="0" borderId="6" xfId="225" applyNumberFormat="1" applyFont="1" applyFill="1" applyBorder="1" applyAlignment="1" applyProtection="1">
      <alignment horizontal="center" vertical="center"/>
      <protection locked="0"/>
    </xf>
    <xf numFmtId="176" fontId="10" fillId="0" borderId="6" xfId="0" applyNumberFormat="1" applyFont="1" applyFill="1" applyBorder="1" applyAlignment="1">
      <alignment horizontal="center" vertical="center" wrapText="1"/>
    </xf>
    <xf numFmtId="0" fontId="10" fillId="0" borderId="6" xfId="225" applyNumberFormat="1" applyFont="1" applyFill="1" applyBorder="1" applyAlignment="1" applyProtection="1">
      <alignment horizontal="center" vertical="center" wrapText="1"/>
      <protection locked="0"/>
    </xf>
    <xf numFmtId="180" fontId="11" fillId="2" borderId="5" xfId="363" applyNumberFormat="1" applyFont="1" applyFill="1" applyBorder="1" applyAlignment="1" applyProtection="1">
      <alignment horizontal="center" vertical="center" wrapText="1"/>
    </xf>
    <xf numFmtId="180" fontId="12" fillId="5" borderId="0" xfId="0" applyNumberFormat="1" applyFont="1" applyFill="1" applyAlignment="1">
      <alignment horizontal="left" vertical="center"/>
    </xf>
    <xf numFmtId="180" fontId="13" fillId="0" borderId="0" xfId="163" applyNumberFormat="1" applyFont="1" applyFill="1" applyBorder="1" applyAlignment="1">
      <alignment horizontal="left"/>
    </xf>
    <xf numFmtId="0" fontId="13" fillId="5" borderId="0" xfId="0" applyNumberFormat="1" applyFont="1" applyFill="1" applyBorder="1" applyAlignment="1">
      <alignment horizontal="left" vertical="center"/>
    </xf>
    <xf numFmtId="180" fontId="14" fillId="0" borderId="6" xfId="0" applyNumberFormat="1" applyFont="1" applyFill="1" applyBorder="1" applyAlignment="1" applyProtection="1">
      <alignment horizontal="left" vertical="center"/>
    </xf>
    <xf numFmtId="14" fontId="14" fillId="0" borderId="6" xfId="0" applyNumberFormat="1" applyFont="1" applyFill="1" applyBorder="1" applyAlignment="1" applyProtection="1">
      <alignment horizontal="left" vertical="center"/>
    </xf>
    <xf numFmtId="180" fontId="9" fillId="0" borderId="0" xfId="0" applyNumberFormat="1" applyFont="1" applyFill="1" applyAlignment="1" applyProtection="1">
      <alignment vertical="center"/>
      <protection locked="0"/>
    </xf>
    <xf numFmtId="49" fontId="8" fillId="4" borderId="6" xfId="316" applyNumberFormat="1" applyFont="1" applyFill="1" applyBorder="1" applyAlignment="1" applyProtection="1">
      <alignment horizontal="center" vertical="center" wrapText="1"/>
    </xf>
    <xf numFmtId="14" fontId="13" fillId="0" borderId="6" xfId="0" applyNumberFormat="1" applyFont="1" applyFill="1" applyBorder="1" applyAlignment="1">
      <alignment horizontal="center" vertical="center"/>
    </xf>
    <xf numFmtId="14" fontId="7" fillId="0" borderId="0" xfId="0" applyNumberFormat="1" applyFont="1" applyFill="1" applyBorder="1" applyAlignment="1" applyProtection="1">
      <alignment horizontal="left" vertical="center"/>
      <protection locked="0"/>
    </xf>
    <xf numFmtId="0" fontId="9" fillId="0" borderId="6" xfId="0" applyNumberFormat="1" applyFont="1" applyFill="1" applyBorder="1" applyAlignment="1">
      <alignment vertical="center"/>
    </xf>
    <xf numFmtId="180" fontId="11" fillId="2" borderId="5" xfId="363" applyNumberFormat="1" applyFont="1" applyFill="1" applyBorder="1" applyAlignment="1" applyProtection="1">
      <alignment vertical="center" wrapText="1"/>
    </xf>
    <xf numFmtId="14" fontId="15" fillId="0" borderId="6" xfId="0" applyNumberFormat="1" applyFont="1" applyFill="1" applyBorder="1" applyAlignment="1" applyProtection="1">
      <alignment horizontal="left" vertical="center"/>
    </xf>
    <xf numFmtId="0" fontId="16" fillId="0" borderId="6" xfId="316" applyNumberFormat="1" applyFont="1" applyFill="1" applyBorder="1" applyAlignment="1" applyProtection="1">
      <alignment horizontal="left" vertical="center" wrapText="1"/>
    </xf>
    <xf numFmtId="49" fontId="17" fillId="0" borderId="6" xfId="316" applyNumberFormat="1" applyFont="1" applyFill="1" applyBorder="1" applyAlignment="1" applyProtection="1">
      <alignment horizontal="left" vertical="center" wrapText="1"/>
    </xf>
    <xf numFmtId="9" fontId="7" fillId="0" borderId="0" xfId="0" applyNumberFormat="1" applyFont="1" applyFill="1" applyBorder="1" applyAlignment="1" applyProtection="1">
      <alignment horizontal="left" vertical="center"/>
      <protection locked="0"/>
    </xf>
    <xf numFmtId="9" fontId="9" fillId="0" borderId="6" xfId="0" applyNumberFormat="1" applyFont="1" applyFill="1" applyBorder="1" applyAlignment="1">
      <alignment vertical="center"/>
    </xf>
    <xf numFmtId="0" fontId="9" fillId="0" borderId="0" xfId="261" applyBorder="1">
      <alignment vertical="center"/>
    </xf>
    <xf numFmtId="0" fontId="18" fillId="0" borderId="0" xfId="261" applyNumberFormat="1" applyFont="1" applyFill="1" applyBorder="1" applyAlignment="1" applyProtection="1">
      <alignment horizontal="center" vertical="center"/>
    </xf>
    <xf numFmtId="0" fontId="9" fillId="0" borderId="0" xfId="261" applyFill="1">
      <alignment vertical="center"/>
    </xf>
    <xf numFmtId="0" fontId="9" fillId="0" borderId="0" xfId="261"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vertical="center"/>
    </xf>
    <xf numFmtId="0" fontId="9" fillId="0" borderId="0" xfId="261">
      <alignment vertical="center"/>
    </xf>
    <xf numFmtId="0" fontId="9" fillId="0" borderId="0" xfId="261" applyNumberFormat="1">
      <alignment vertical="center"/>
    </xf>
    <xf numFmtId="0" fontId="9" fillId="0" borderId="0" xfId="261" applyNumberFormat="1" applyAlignment="1">
      <alignment horizontal="center" vertical="center"/>
    </xf>
    <xf numFmtId="14" fontId="9" fillId="0" borderId="0" xfId="261" applyNumberFormat="1">
      <alignment vertical="center"/>
    </xf>
    <xf numFmtId="178" fontId="9" fillId="0" borderId="0" xfId="261" applyNumberFormat="1">
      <alignment vertical="center"/>
    </xf>
    <xf numFmtId="184" fontId="19" fillId="0" borderId="0" xfId="63" applyNumberFormat="1" applyFont="1" applyFill="1" applyBorder="1" applyAlignment="1" applyProtection="1">
      <alignment vertical="center"/>
    </xf>
    <xf numFmtId="184" fontId="20" fillId="0" borderId="0" xfId="63" applyNumberFormat="1" applyFont="1" applyFill="1" applyBorder="1" applyAlignment="1" applyProtection="1">
      <alignment vertical="center"/>
    </xf>
    <xf numFmtId="184" fontId="21" fillId="0" borderId="0" xfId="63" applyNumberFormat="1" applyFont="1" applyFill="1" applyBorder="1" applyAlignment="1" applyProtection="1">
      <alignment vertical="center"/>
    </xf>
    <xf numFmtId="184" fontId="21" fillId="0" borderId="0" xfId="63" applyNumberFormat="1" applyFont="1" applyFill="1" applyBorder="1" applyAlignment="1" applyProtection="1">
      <alignment horizontal="center" vertical="top"/>
    </xf>
    <xf numFmtId="0" fontId="9" fillId="0" borderId="0" xfId="261" applyNumberFormat="1" applyFont="1" applyFill="1" applyBorder="1" applyAlignment="1" applyProtection="1">
      <alignment horizontal="center" vertical="center"/>
    </xf>
    <xf numFmtId="0" fontId="9" fillId="0" borderId="0" xfId="261" applyNumberFormat="1" applyBorder="1" applyAlignment="1">
      <alignment horizontal="center" vertical="center"/>
    </xf>
    <xf numFmtId="184" fontId="7" fillId="0" borderId="10" xfId="261" applyNumberFormat="1" applyFont="1" applyFill="1" applyBorder="1" applyAlignment="1" applyProtection="1">
      <alignment horizontal="center" vertical="center"/>
    </xf>
    <xf numFmtId="0" fontId="24" fillId="0" borderId="6" xfId="261" applyFont="1" applyFill="1" applyBorder="1" applyAlignment="1">
      <alignment horizontal="center" vertical="center" wrapText="1"/>
    </xf>
    <xf numFmtId="49" fontId="25" fillId="8" borderId="11" xfId="261" applyNumberFormat="1" applyFont="1" applyFill="1" applyBorder="1" applyAlignment="1">
      <alignment horizontal="center" vertical="center" wrapText="1"/>
    </xf>
    <xf numFmtId="0" fontId="9" fillId="0" borderId="6" xfId="261" applyNumberFormat="1" applyFont="1" applyFill="1" applyBorder="1" applyAlignment="1">
      <alignment horizontal="center" vertical="center"/>
    </xf>
    <xf numFmtId="0" fontId="9" fillId="0" borderId="11" xfId="261" applyFill="1" applyBorder="1">
      <alignment vertical="center"/>
    </xf>
    <xf numFmtId="0" fontId="24" fillId="7" borderId="6" xfId="261" applyFont="1" applyFill="1" applyBorder="1" applyAlignment="1">
      <alignment horizontal="center" vertical="center" wrapText="1"/>
    </xf>
    <xf numFmtId="49" fontId="25" fillId="7" borderId="11" xfId="261" applyNumberFormat="1" applyFont="1" applyFill="1" applyBorder="1" applyAlignment="1">
      <alignment horizontal="center" vertical="center" wrapText="1"/>
    </xf>
    <xf numFmtId="0" fontId="9" fillId="7" borderId="6" xfId="261" applyNumberFormat="1" applyFont="1" applyFill="1" applyBorder="1" applyAlignment="1">
      <alignment horizontal="center" vertical="center"/>
    </xf>
    <xf numFmtId="0" fontId="9" fillId="7" borderId="11" xfId="261" applyFill="1" applyBorder="1">
      <alignment vertical="center"/>
    </xf>
    <xf numFmtId="0" fontId="9" fillId="0" borderId="6" xfId="261" applyNumberFormat="1" applyFill="1" applyBorder="1" applyAlignment="1">
      <alignment horizontal="center" vertical="center"/>
    </xf>
    <xf numFmtId="184" fontId="7" fillId="8" borderId="10" xfId="261" applyNumberFormat="1" applyFont="1" applyFill="1" applyBorder="1" applyAlignment="1" applyProtection="1">
      <alignment horizontal="center" vertical="center" shrinkToFit="1"/>
    </xf>
    <xf numFmtId="184" fontId="26" fillId="8" borderId="6" xfId="261" applyNumberFormat="1" applyFont="1" applyFill="1" applyBorder="1" applyAlignment="1" applyProtection="1">
      <alignment horizontal="center" vertical="center" shrinkToFit="1"/>
    </xf>
    <xf numFmtId="184" fontId="26" fillId="8" borderId="6" xfId="261" applyNumberFormat="1" applyFont="1" applyFill="1" applyBorder="1" applyAlignment="1" applyProtection="1">
      <alignment horizontal="center" vertical="top" shrinkToFit="1"/>
    </xf>
    <xf numFmtId="0" fontId="25" fillId="8" borderId="6" xfId="261" applyNumberFormat="1" applyFont="1" applyFill="1" applyBorder="1" applyAlignment="1">
      <alignment horizontal="center" vertical="center" shrinkToFit="1"/>
    </xf>
    <xf numFmtId="0" fontId="9" fillId="8" borderId="6" xfId="261" applyNumberFormat="1" applyFont="1" applyFill="1" applyBorder="1" applyAlignment="1" applyProtection="1">
      <alignment horizontal="center" vertical="center" shrinkToFit="1"/>
    </xf>
    <xf numFmtId="0" fontId="9" fillId="8" borderId="6" xfId="261" applyNumberFormat="1" applyFill="1" applyBorder="1" applyAlignment="1">
      <alignment horizontal="center" vertical="center" shrinkToFit="1"/>
    </xf>
    <xf numFmtId="0" fontId="9" fillId="7" borderId="6" xfId="261" applyFont="1" applyFill="1" applyBorder="1" applyAlignment="1">
      <alignment horizontal="center" vertical="center"/>
    </xf>
    <xf numFmtId="178" fontId="9" fillId="8" borderId="6" xfId="261" applyNumberFormat="1" applyFont="1" applyFill="1" applyBorder="1" applyAlignment="1">
      <alignment horizontal="center" vertical="center"/>
    </xf>
    <xf numFmtId="185" fontId="9" fillId="0" borderId="0" xfId="261" applyNumberFormat="1" applyFont="1" applyBorder="1" applyAlignment="1">
      <alignment horizontal="center" vertical="center"/>
    </xf>
    <xf numFmtId="0" fontId="27" fillId="0" borderId="0" xfId="0" applyNumberFormat="1" applyFont="1" applyFill="1" applyBorder="1" applyAlignment="1" applyProtection="1">
      <alignment vertical="center"/>
    </xf>
    <xf numFmtId="0" fontId="28" fillId="0" borderId="0" xfId="0" applyNumberFormat="1" applyFont="1" applyFill="1" applyBorder="1" applyAlignment="1" applyProtection="1">
      <alignment horizontal="left" vertical="center"/>
    </xf>
    <xf numFmtId="185"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vertical="center"/>
    </xf>
    <xf numFmtId="0" fontId="30"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left" vertical="center" wrapText="1"/>
    </xf>
    <xf numFmtId="0" fontId="30" fillId="0" borderId="0" xfId="0" applyNumberFormat="1" applyFont="1" applyFill="1" applyBorder="1" applyAlignment="1" applyProtection="1">
      <alignment vertical="center" wrapText="1"/>
    </xf>
    <xf numFmtId="0" fontId="31" fillId="0" borderId="0" xfId="261" applyNumberFormat="1" applyFont="1" applyFill="1" applyBorder="1" applyAlignment="1" applyProtection="1">
      <alignment horizontal="left" vertical="center"/>
    </xf>
    <xf numFmtId="0" fontId="32" fillId="0" borderId="0" xfId="0" applyNumberFormat="1" applyFont="1" applyFill="1" applyBorder="1" applyAlignment="1" applyProtection="1">
      <alignment vertical="center"/>
    </xf>
    <xf numFmtId="14" fontId="9" fillId="0" borderId="0" xfId="261" applyNumberFormat="1" applyBorder="1">
      <alignment vertical="center"/>
    </xf>
    <xf numFmtId="184" fontId="21" fillId="0" borderId="0" xfId="63" applyNumberFormat="1" applyFont="1" applyFill="1" applyBorder="1" applyAlignment="1" applyProtection="1">
      <alignment horizontal="center" vertical="center"/>
    </xf>
    <xf numFmtId="0" fontId="16" fillId="7" borderId="6" xfId="354" applyNumberFormat="1" applyFont="1" applyFill="1" applyBorder="1" applyAlignment="1" applyProtection="1">
      <alignment horizontal="center" vertical="center" wrapText="1"/>
    </xf>
    <xf numFmtId="14" fontId="9" fillId="0" borderId="11" xfId="261" applyNumberFormat="1" applyFill="1" applyBorder="1">
      <alignment vertical="center"/>
    </xf>
    <xf numFmtId="179" fontId="7" fillId="0" borderId="6" xfId="261" applyNumberFormat="1" applyFont="1" applyFill="1" applyBorder="1" applyAlignment="1">
      <alignment vertical="center"/>
    </xf>
    <xf numFmtId="179" fontId="7" fillId="0" borderId="6" xfId="261" applyNumberFormat="1" applyFont="1" applyFill="1" applyBorder="1" applyAlignment="1">
      <alignment horizontal="center" vertical="center"/>
    </xf>
    <xf numFmtId="14" fontId="9" fillId="7" borderId="11" xfId="261" applyNumberFormat="1" applyFill="1" applyBorder="1">
      <alignment vertical="center"/>
    </xf>
    <xf numFmtId="179" fontId="7" fillId="0" borderId="6" xfId="261" applyNumberFormat="1" applyFont="1" applyFill="1" applyBorder="1">
      <alignment vertical="center"/>
    </xf>
    <xf numFmtId="0" fontId="9" fillId="8" borderId="11" xfId="261" applyNumberFormat="1" applyFont="1" applyFill="1" applyBorder="1" applyAlignment="1" applyProtection="1">
      <alignment horizontal="center" vertical="center" shrinkToFit="1"/>
    </xf>
    <xf numFmtId="14" fontId="9" fillId="8" borderId="11" xfId="261" applyNumberFormat="1" applyFont="1" applyFill="1" applyBorder="1" applyAlignment="1" applyProtection="1">
      <alignment horizontal="center" vertical="center" shrinkToFit="1"/>
    </xf>
    <xf numFmtId="185" fontId="26" fillId="8" borderId="6" xfId="261" applyNumberFormat="1" applyFont="1" applyFill="1" applyBorder="1" applyAlignment="1" applyProtection="1">
      <alignment horizontal="center" vertical="center" shrinkToFit="1"/>
    </xf>
    <xf numFmtId="14" fontId="9" fillId="0" borderId="0" xfId="0" applyNumberFormat="1" applyFont="1" applyFill="1" applyBorder="1" applyAlignment="1" applyProtection="1">
      <alignment vertical="center"/>
    </xf>
    <xf numFmtId="183" fontId="9" fillId="0" borderId="0" xfId="0" applyNumberFormat="1" applyFont="1" applyFill="1" applyBorder="1" applyAlignment="1" applyProtection="1">
      <alignment vertical="center"/>
    </xf>
    <xf numFmtId="14" fontId="9" fillId="0" borderId="0" xfId="0" applyNumberFormat="1" applyFont="1" applyFill="1" applyBorder="1" applyAlignment="1" applyProtection="1">
      <alignment horizontal="left" vertical="center" wrapText="1"/>
    </xf>
    <xf numFmtId="183"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center" wrapText="1"/>
    </xf>
    <xf numFmtId="14" fontId="9" fillId="0" borderId="0" xfId="0" applyNumberFormat="1" applyFont="1" applyFill="1" applyBorder="1" applyAlignment="1" applyProtection="1">
      <alignment vertical="center" wrapText="1"/>
    </xf>
    <xf numFmtId="183" fontId="9" fillId="0" borderId="0" xfId="0" applyNumberFormat="1" applyFont="1" applyFill="1" applyBorder="1" applyAlignment="1" applyProtection="1">
      <alignment vertical="center" wrapText="1"/>
    </xf>
    <xf numFmtId="14" fontId="30" fillId="0" borderId="0" xfId="0" applyNumberFormat="1" applyFont="1" applyFill="1" applyBorder="1" applyAlignment="1" applyProtection="1">
      <alignment vertical="center" wrapText="1"/>
    </xf>
    <xf numFmtId="179" fontId="0" fillId="0" borderId="0" xfId="261" applyNumberFormat="1" applyFont="1" applyFill="1" applyBorder="1" applyAlignment="1">
      <alignment horizontal="left" vertical="center"/>
    </xf>
    <xf numFmtId="0" fontId="23" fillId="7" borderId="6" xfId="354" applyNumberFormat="1" applyFont="1" applyFill="1" applyBorder="1" applyAlignment="1" applyProtection="1">
      <alignment horizontal="center" vertical="center" wrapText="1"/>
    </xf>
    <xf numFmtId="179" fontId="7" fillId="8" borderId="6" xfId="261" applyNumberFormat="1" applyFont="1" applyFill="1" applyBorder="1">
      <alignment vertical="center"/>
    </xf>
    <xf numFmtId="179" fontId="7" fillId="8" borderId="13" xfId="261" applyNumberFormat="1" applyFont="1" applyFill="1" applyBorder="1" applyAlignment="1">
      <alignment horizontal="center" vertical="center"/>
    </xf>
    <xf numFmtId="179" fontId="7" fillId="8" borderId="13" xfId="261" applyNumberFormat="1" applyFont="1" applyFill="1" applyBorder="1">
      <alignment vertical="center"/>
    </xf>
    <xf numFmtId="185" fontId="7" fillId="8" borderId="13" xfId="261" applyNumberFormat="1" applyFont="1" applyFill="1" applyBorder="1" applyAlignment="1" applyProtection="1">
      <alignment horizontal="center" vertical="center"/>
    </xf>
    <xf numFmtId="178" fontId="29" fillId="8" borderId="6" xfId="244" applyNumberFormat="1" applyFont="1" applyFill="1" applyBorder="1" applyAlignment="1" applyProtection="1">
      <alignment horizontal="center" vertical="center"/>
    </xf>
    <xf numFmtId="178" fontId="34" fillId="8" borderId="6" xfId="354" applyNumberFormat="1" applyFont="1" applyFill="1" applyBorder="1" applyAlignment="1" applyProtection="1">
      <alignment horizontal="center" vertical="center"/>
    </xf>
    <xf numFmtId="185" fontId="7" fillId="0" borderId="0" xfId="261" applyNumberFormat="1" applyFont="1" applyFill="1" applyBorder="1" applyAlignment="1" applyProtection="1">
      <alignment horizontal="center" vertical="center"/>
    </xf>
    <xf numFmtId="178" fontId="21" fillId="0" borderId="0" xfId="63" applyNumberFormat="1" applyFont="1" applyFill="1" applyBorder="1" applyAlignment="1" applyProtection="1">
      <alignment horizontal="center" vertical="center" wrapText="1"/>
    </xf>
    <xf numFmtId="185" fontId="7" fillId="8" borderId="6" xfId="261" applyNumberFormat="1" applyFont="1" applyFill="1" applyBorder="1" applyAlignment="1" applyProtection="1">
      <alignment horizontal="center" vertical="center"/>
    </xf>
    <xf numFmtId="178" fontId="25" fillId="0" borderId="6" xfId="261" applyNumberFormat="1" applyFont="1" applyFill="1" applyBorder="1" applyAlignment="1">
      <alignment horizontal="center" vertical="center" wrapText="1"/>
    </xf>
    <xf numFmtId="185" fontId="7" fillId="0" borderId="6" xfId="261" applyNumberFormat="1" applyFont="1" applyFill="1" applyBorder="1" applyAlignment="1" applyProtection="1">
      <alignment horizontal="center" vertical="center"/>
    </xf>
    <xf numFmtId="185" fontId="7" fillId="8" borderId="6" xfId="261" applyNumberFormat="1" applyFont="1" applyFill="1" applyBorder="1" applyAlignment="1" applyProtection="1">
      <alignment horizontal="center" vertical="center" shrinkToFit="1"/>
    </xf>
    <xf numFmtId="178" fontId="9" fillId="0" borderId="0" xfId="0" applyNumberFormat="1" applyFont="1" applyFill="1" applyBorder="1" applyAlignment="1" applyProtection="1">
      <alignment vertical="center"/>
    </xf>
    <xf numFmtId="49" fontId="9" fillId="0" borderId="0" xfId="261" applyNumberFormat="1" applyFont="1" applyFill="1" applyBorder="1" applyAlignment="1" applyProtection="1">
      <alignment horizontal="center" vertical="center"/>
    </xf>
    <xf numFmtId="0" fontId="34" fillId="8" borderId="6" xfId="261" applyFont="1" applyFill="1" applyBorder="1" applyAlignment="1">
      <alignment horizontal="center" vertical="center"/>
    </xf>
    <xf numFmtId="0" fontId="34" fillId="8" borderId="6" xfId="261" applyFont="1" applyFill="1" applyBorder="1" applyAlignment="1">
      <alignment horizontal="center" vertical="center" shrinkToFit="1"/>
    </xf>
    <xf numFmtId="0" fontId="9" fillId="7" borderId="0" xfId="261" applyFill="1">
      <alignment vertical="center"/>
    </xf>
    <xf numFmtId="184" fontId="7" fillId="7" borderId="10" xfId="261" applyNumberFormat="1" applyFont="1" applyFill="1" applyBorder="1" applyAlignment="1" applyProtection="1">
      <alignment horizontal="center" vertical="center"/>
    </xf>
    <xf numFmtId="179" fontId="7" fillId="7" borderId="6" xfId="261" applyNumberFormat="1" applyFont="1" applyFill="1" applyBorder="1" applyAlignment="1">
      <alignment vertical="center"/>
    </xf>
    <xf numFmtId="179" fontId="7" fillId="7" borderId="6" xfId="261" applyNumberFormat="1" applyFont="1" applyFill="1" applyBorder="1" applyAlignment="1">
      <alignment horizontal="center" vertical="center"/>
    </xf>
    <xf numFmtId="179" fontId="7" fillId="7" borderId="6" xfId="261" applyNumberFormat="1" applyFont="1" applyFill="1" applyBorder="1">
      <alignment vertical="center"/>
    </xf>
    <xf numFmtId="179" fontId="7" fillId="7" borderId="13" xfId="261" applyNumberFormat="1" applyFont="1" applyFill="1" applyBorder="1" applyAlignment="1">
      <alignment horizontal="center" vertical="center"/>
    </xf>
    <xf numFmtId="179" fontId="7" fillId="7" borderId="13" xfId="261" applyNumberFormat="1" applyFont="1" applyFill="1" applyBorder="1">
      <alignment vertical="center"/>
    </xf>
    <xf numFmtId="185" fontId="7" fillId="7" borderId="13" xfId="261" applyNumberFormat="1" applyFont="1" applyFill="1" applyBorder="1" applyAlignment="1" applyProtection="1">
      <alignment horizontal="center" vertical="center"/>
    </xf>
    <xf numFmtId="178" fontId="29" fillId="7" borderId="6" xfId="244" applyNumberFormat="1" applyFont="1" applyFill="1" applyBorder="1" applyAlignment="1" applyProtection="1">
      <alignment horizontal="center" vertical="center"/>
    </xf>
    <xf numFmtId="178" fontId="34" fillId="7" borderId="6" xfId="354" applyNumberFormat="1" applyFont="1" applyFill="1" applyBorder="1" applyAlignment="1" applyProtection="1">
      <alignment horizontal="center" vertical="center"/>
    </xf>
    <xf numFmtId="185" fontId="7" fillId="7" borderId="6" xfId="261" applyNumberFormat="1" applyFont="1" applyFill="1" applyBorder="1" applyAlignment="1" applyProtection="1">
      <alignment horizontal="center" vertical="center"/>
    </xf>
    <xf numFmtId="178" fontId="25" fillId="7" borderId="6" xfId="261" applyNumberFormat="1" applyFont="1" applyFill="1" applyBorder="1" applyAlignment="1">
      <alignment horizontal="center" vertical="center" wrapText="1"/>
    </xf>
    <xf numFmtId="185" fontId="9" fillId="0" borderId="0" xfId="261" applyNumberFormat="1">
      <alignment vertical="center"/>
    </xf>
    <xf numFmtId="0" fontId="34" fillId="7" borderId="6" xfId="261" applyFont="1" applyFill="1" applyBorder="1" applyAlignment="1">
      <alignment horizontal="center" vertical="center"/>
    </xf>
    <xf numFmtId="0" fontId="12" fillId="10" borderId="6" xfId="225" applyFont="1" applyFill="1" applyBorder="1" applyAlignment="1">
      <alignment horizontal="left" vertical="center"/>
    </xf>
    <xf numFmtId="49" fontId="12" fillId="0" borderId="6" xfId="225" applyNumberFormat="1" applyFont="1" applyBorder="1" applyAlignment="1" applyProtection="1">
      <protection locked="0"/>
    </xf>
    <xf numFmtId="0" fontId="9" fillId="0" borderId="11" xfId="261" applyFont="1" applyFill="1" applyBorder="1" applyAlignment="1">
      <alignment vertical="center"/>
    </xf>
    <xf numFmtId="14" fontId="9" fillId="0" borderId="11" xfId="261" applyNumberFormat="1" applyFont="1" applyFill="1" applyBorder="1" applyAlignment="1">
      <alignment vertical="center"/>
    </xf>
    <xf numFmtId="0" fontId="7" fillId="0" borderId="6" xfId="261" applyNumberFormat="1" applyFont="1" applyFill="1" applyBorder="1">
      <alignment vertical="center"/>
    </xf>
    <xf numFmtId="178" fontId="26" fillId="8" borderId="6" xfId="261" applyNumberFormat="1" applyFont="1" applyFill="1" applyBorder="1" applyAlignment="1" applyProtection="1">
      <alignment horizontal="center" vertical="center" shrinkToFit="1"/>
    </xf>
    <xf numFmtId="0" fontId="9" fillId="0" borderId="0" xfId="0" applyFont="1" applyFill="1" applyAlignment="1">
      <alignment horizontal="center" vertical="center"/>
    </xf>
    <xf numFmtId="0" fontId="9" fillId="0" borderId="0" xfId="0" applyFont="1" applyFill="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38" fillId="0" borderId="0" xfId="0" applyFont="1" applyFill="1" applyAlignment="1">
      <alignment vertical="center"/>
    </xf>
    <xf numFmtId="0" fontId="9" fillId="0" borderId="0" xfId="0" applyNumberFormat="1" applyFont="1" applyFill="1" applyAlignment="1">
      <alignment vertical="center"/>
    </xf>
    <xf numFmtId="0" fontId="39" fillId="0" borderId="0" xfId="0" applyFont="1" applyFill="1" applyAlignment="1">
      <alignment vertical="center"/>
    </xf>
    <xf numFmtId="0" fontId="40" fillId="0" borderId="6" xfId="0" applyFont="1" applyFill="1" applyBorder="1" applyAlignment="1">
      <alignment horizontal="center"/>
    </xf>
    <xf numFmtId="49" fontId="40" fillId="0" borderId="6" xfId="0" applyNumberFormat="1" applyFont="1" applyFill="1" applyBorder="1" applyAlignment="1">
      <alignment horizontal="center" vertical="center"/>
    </xf>
    <xf numFmtId="0" fontId="25" fillId="0" borderId="6" xfId="0" applyFont="1" applyFill="1" applyBorder="1" applyAlignment="1" applyProtection="1">
      <alignment horizontal="center" vertical="center"/>
      <protection locked="0"/>
    </xf>
    <xf numFmtId="49" fontId="40" fillId="0" borderId="6" xfId="0" applyNumberFormat="1" applyFont="1" applyFill="1" applyBorder="1" applyAlignment="1">
      <alignment horizontal="center"/>
    </xf>
    <xf numFmtId="0" fontId="41" fillId="0" borderId="6" xfId="0" applyFont="1" applyFill="1" applyBorder="1" applyAlignment="1">
      <alignment horizontal="center" vertical="center"/>
    </xf>
    <xf numFmtId="49" fontId="42" fillId="0" borderId="6" xfId="0" applyNumberFormat="1" applyFont="1" applyFill="1" applyBorder="1" applyAlignment="1">
      <alignment horizontal="center" vertical="center"/>
    </xf>
    <xf numFmtId="0" fontId="43" fillId="0" borderId="14" xfId="0" applyFont="1" applyFill="1" applyBorder="1" applyAlignment="1">
      <alignment horizontal="center"/>
    </xf>
    <xf numFmtId="49" fontId="43" fillId="0" borderId="14" xfId="0" applyNumberFormat="1" applyFont="1" applyFill="1" applyBorder="1" applyAlignment="1">
      <alignment horizontal="center" vertical="center"/>
    </xf>
    <xf numFmtId="0" fontId="25" fillId="0" borderId="10" xfId="0" applyFont="1" applyFill="1" applyBorder="1" applyAlignment="1" applyProtection="1">
      <alignment horizontal="center" vertical="center"/>
      <protection locked="0"/>
    </xf>
    <xf numFmtId="49" fontId="43" fillId="0" borderId="10" xfId="0" applyNumberFormat="1" applyFont="1" applyFill="1" applyBorder="1" applyAlignment="1">
      <alignment horizontal="center"/>
    </xf>
    <xf numFmtId="49" fontId="44" fillId="0" borderId="15" xfId="0" applyNumberFormat="1" applyFont="1" applyFill="1" applyBorder="1" applyAlignment="1">
      <alignment horizontal="center" vertical="center"/>
    </xf>
    <xf numFmtId="0" fontId="45" fillId="0" borderId="10" xfId="0" applyFont="1" applyFill="1" applyBorder="1" applyAlignment="1">
      <alignment horizontal="center" vertical="center"/>
    </xf>
    <xf numFmtId="49" fontId="46" fillId="0" borderId="10" xfId="0" applyNumberFormat="1" applyFont="1" applyFill="1" applyBorder="1" applyAlignment="1">
      <alignment horizontal="center" vertical="center"/>
    </xf>
    <xf numFmtId="49" fontId="44" fillId="0" borderId="10" xfId="0" applyNumberFormat="1" applyFont="1" applyFill="1" applyBorder="1" applyAlignment="1">
      <alignment horizontal="center"/>
    </xf>
    <xf numFmtId="0" fontId="28" fillId="11" borderId="16" xfId="0" applyFont="1" applyFill="1" applyBorder="1" applyAlignment="1">
      <alignment horizontal="left" vertical="center"/>
    </xf>
    <xf numFmtId="4" fontId="28" fillId="11" borderId="17" xfId="0" applyNumberFormat="1" applyFont="1" applyFill="1" applyBorder="1" applyAlignment="1">
      <alignment horizontal="right" vertical="center"/>
    </xf>
    <xf numFmtId="4" fontId="28" fillId="11" borderId="10" xfId="0" applyNumberFormat="1" applyFont="1" applyFill="1" applyBorder="1" applyAlignment="1">
      <alignment horizontal="right" vertical="center"/>
    </xf>
    <xf numFmtId="4" fontId="28" fillId="11" borderId="15" xfId="0" applyNumberFormat="1" applyFont="1" applyFill="1" applyBorder="1" applyAlignment="1">
      <alignment horizontal="right" vertical="center"/>
    </xf>
    <xf numFmtId="0" fontId="28" fillId="11" borderId="18" xfId="0" applyFont="1" applyFill="1" applyBorder="1" applyAlignment="1">
      <alignment horizontal="left" vertical="center"/>
    </xf>
    <xf numFmtId="4" fontId="28" fillId="11" borderId="19" xfId="0" applyNumberFormat="1" applyFont="1" applyFill="1" applyBorder="1" applyAlignment="1">
      <alignment horizontal="right" vertical="center"/>
    </xf>
    <xf numFmtId="4" fontId="28" fillId="11" borderId="20" xfId="0" applyNumberFormat="1" applyFont="1" applyFill="1" applyBorder="1" applyAlignment="1">
      <alignment horizontal="right" vertical="center"/>
    </xf>
    <xf numFmtId="4" fontId="28" fillId="11" borderId="21" xfId="0" applyNumberFormat="1" applyFont="1" applyFill="1" applyBorder="1" applyAlignment="1">
      <alignment horizontal="right" vertical="center"/>
    </xf>
    <xf numFmtId="0" fontId="9" fillId="0" borderId="0" xfId="0" applyFont="1" applyFill="1" applyAlignment="1"/>
    <xf numFmtId="0" fontId="45" fillId="0" borderId="0" xfId="0" applyFont="1" applyFill="1" applyAlignment="1">
      <alignment vertical="center"/>
    </xf>
    <xf numFmtId="0" fontId="29" fillId="11" borderId="6" xfId="0" applyFont="1" applyFill="1" applyBorder="1" applyAlignment="1">
      <alignment horizontal="center" vertical="center" wrapText="1"/>
    </xf>
    <xf numFmtId="0" fontId="43" fillId="0" borderId="15" xfId="0" applyFont="1" applyFill="1" applyBorder="1" applyAlignment="1">
      <alignment horizontal="center"/>
    </xf>
    <xf numFmtId="0" fontId="44" fillId="0" borderId="15" xfId="0" applyFont="1" applyFill="1" applyBorder="1" applyAlignment="1">
      <alignment horizontal="center"/>
    </xf>
    <xf numFmtId="4" fontId="28" fillId="11" borderId="22" xfId="0" applyNumberFormat="1" applyFont="1" applyFill="1" applyBorder="1" applyAlignment="1">
      <alignment horizontal="right" vertical="center"/>
    </xf>
    <xf numFmtId="0" fontId="43" fillId="7" borderId="15" xfId="0" applyFont="1" applyFill="1" applyBorder="1" applyAlignment="1">
      <alignment horizontal="center"/>
    </xf>
    <xf numFmtId="0" fontId="44" fillId="7" borderId="15" xfId="0" applyFont="1" applyFill="1" applyBorder="1" applyAlignment="1">
      <alignment horizontal="center"/>
    </xf>
    <xf numFmtId="0" fontId="35" fillId="0" borderId="6" xfId="0" applyFont="1" applyFill="1" applyBorder="1" applyAlignment="1">
      <alignment vertical="center"/>
    </xf>
    <xf numFmtId="0" fontId="36" fillId="0" borderId="15" xfId="0" applyFont="1" applyFill="1" applyBorder="1" applyAlignment="1">
      <alignment vertical="center"/>
    </xf>
    <xf numFmtId="0" fontId="29" fillId="11" borderId="6" xfId="0" applyNumberFormat="1" applyFont="1" applyFill="1" applyBorder="1" applyAlignment="1">
      <alignment horizontal="center" vertical="center" wrapText="1"/>
    </xf>
    <xf numFmtId="186" fontId="47" fillId="0" borderId="6" xfId="0" applyNumberFormat="1" applyFont="1" applyFill="1" applyBorder="1" applyAlignment="1">
      <alignment horizontal="left" vertical="center"/>
    </xf>
    <xf numFmtId="0" fontId="40" fillId="0" borderId="6" xfId="0" applyNumberFormat="1" applyFont="1" applyFill="1" applyBorder="1" applyAlignment="1">
      <alignment horizontal="center"/>
    </xf>
    <xf numFmtId="49" fontId="43" fillId="0" borderId="15" xfId="0" applyNumberFormat="1" applyFont="1" applyFill="1" applyBorder="1" applyAlignment="1">
      <alignment horizontal="center" vertical="center"/>
    </xf>
    <xf numFmtId="186" fontId="48" fillId="0" borderId="15" xfId="0" applyNumberFormat="1" applyFont="1" applyFill="1" applyBorder="1" applyAlignment="1">
      <alignment horizontal="left" vertical="center"/>
    </xf>
    <xf numFmtId="0" fontId="43" fillId="0" borderId="15" xfId="0" applyNumberFormat="1" applyFont="1" applyFill="1" applyBorder="1" applyAlignment="1">
      <alignment horizontal="center"/>
    </xf>
    <xf numFmtId="0" fontId="28" fillId="11" borderId="22" xfId="0" applyNumberFormat="1" applyFont="1" applyFill="1" applyBorder="1" applyAlignment="1">
      <alignment horizontal="right" vertical="center"/>
    </xf>
    <xf numFmtId="0" fontId="9" fillId="0" borderId="0" xfId="0" applyNumberFormat="1" applyFont="1" applyFill="1" applyAlignment="1"/>
    <xf numFmtId="4" fontId="12" fillId="0" borderId="6"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49" fontId="50" fillId="0" borderId="13" xfId="0" applyNumberFormat="1" applyFont="1" applyFill="1" applyBorder="1" applyAlignment="1">
      <alignment horizontal="center" wrapText="1"/>
    </xf>
    <xf numFmtId="49" fontId="50" fillId="0" borderId="13" xfId="0" applyNumberFormat="1" applyFont="1" applyFill="1" applyBorder="1" applyAlignment="1">
      <alignment horizontal="center"/>
    </xf>
    <xf numFmtId="49" fontId="50" fillId="0" borderId="13" xfId="0" applyNumberFormat="1" applyFont="1" applyFill="1" applyBorder="1" applyAlignment="1">
      <alignment horizontal="center" vertical="top" wrapText="1"/>
    </xf>
    <xf numFmtId="4" fontId="29" fillId="0" borderId="15" xfId="0" applyNumberFormat="1" applyFont="1" applyFill="1" applyBorder="1" applyAlignment="1">
      <alignment horizontal="center" vertical="center" wrapText="1"/>
    </xf>
    <xf numFmtId="4" fontId="29" fillId="0" borderId="14"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4" fontId="29" fillId="0" borderId="6" xfId="0" applyNumberFormat="1" applyFont="1" applyFill="1" applyBorder="1" applyAlignment="1">
      <alignment horizontal="center" vertical="center" wrapText="1"/>
    </xf>
    <xf numFmtId="49" fontId="6" fillId="0" borderId="13" xfId="0" applyNumberFormat="1" applyFont="1" applyFill="1" applyBorder="1" applyAlignment="1">
      <alignment horizontal="center"/>
    </xf>
    <xf numFmtId="4" fontId="49" fillId="11" borderId="6" xfId="0" applyNumberFormat="1" applyFont="1" applyFill="1" applyBorder="1" applyAlignment="1">
      <alignment horizontal="right" vertical="center"/>
    </xf>
    <xf numFmtId="4" fontId="49" fillId="11" borderId="4" xfId="0" applyNumberFormat="1" applyFont="1" applyFill="1" applyBorder="1" applyAlignment="1">
      <alignment horizontal="right" vertical="center"/>
    </xf>
    <xf numFmtId="0" fontId="39" fillId="0" borderId="0" xfId="0" applyFont="1" applyFill="1" applyAlignment="1"/>
    <xf numFmtId="179" fontId="9" fillId="0" borderId="0" xfId="0" applyNumberFormat="1" applyFont="1" applyFill="1" applyAlignment="1">
      <alignment vertical="center"/>
    </xf>
    <xf numFmtId="0" fontId="40" fillId="0" borderId="23" xfId="0" applyFont="1" applyFill="1" applyBorder="1" applyAlignment="1">
      <alignment horizontal="center" wrapText="1"/>
    </xf>
    <xf numFmtId="0" fontId="40" fillId="0" borderId="24" xfId="0" applyFont="1" applyFill="1" applyBorder="1" applyAlignment="1">
      <alignment horizontal="center" wrapText="1"/>
    </xf>
    <xf numFmtId="0" fontId="40" fillId="0" borderId="24" xfId="0" applyFont="1" applyFill="1" applyBorder="1" applyAlignment="1">
      <alignment horizontal="center"/>
    </xf>
    <xf numFmtId="49" fontId="40" fillId="0" borderId="24" xfId="0" applyNumberFormat="1" applyFont="1" applyFill="1" applyBorder="1" applyAlignment="1">
      <alignment horizontal="center" vertical="center"/>
    </xf>
    <xf numFmtId="0" fontId="51" fillId="0" borderId="0" xfId="0" applyFont="1" applyFill="1" applyAlignment="1">
      <alignment vertical="center"/>
    </xf>
    <xf numFmtId="0" fontId="52" fillId="0" borderId="0" xfId="0" applyFont="1" applyFill="1" applyAlignment="1">
      <alignment vertical="center"/>
    </xf>
    <xf numFmtId="0" fontId="53" fillId="0" borderId="6" xfId="0" applyFont="1" applyFill="1" applyBorder="1" applyAlignment="1">
      <alignment horizontal="center"/>
    </xf>
    <xf numFmtId="49" fontId="53" fillId="0" borderId="6" xfId="0" applyNumberFormat="1" applyFont="1" applyFill="1" applyBorder="1" applyAlignment="1">
      <alignment horizontal="center" vertical="center"/>
    </xf>
    <xf numFmtId="0" fontId="54" fillId="0" borderId="6" xfId="0" applyFont="1" applyFill="1" applyBorder="1" applyAlignment="1" applyProtection="1">
      <alignment horizontal="center" vertical="center"/>
      <protection locked="0"/>
    </xf>
    <xf numFmtId="49" fontId="53" fillId="0" borderId="6" xfId="0" applyNumberFormat="1" applyFont="1" applyFill="1" applyBorder="1" applyAlignment="1">
      <alignment horizontal="center"/>
    </xf>
    <xf numFmtId="0" fontId="55" fillId="0" borderId="6" xfId="0" applyFont="1" applyFill="1" applyBorder="1" applyAlignment="1">
      <alignment horizontal="center" vertical="center"/>
    </xf>
    <xf numFmtId="49" fontId="56" fillId="0" borderId="6" xfId="0" applyNumberFormat="1" applyFont="1" applyFill="1" applyBorder="1" applyAlignment="1">
      <alignment horizontal="center" vertical="center"/>
    </xf>
    <xf numFmtId="0" fontId="53" fillId="7" borderId="6" xfId="0" applyFont="1" applyFill="1" applyBorder="1" applyAlignment="1">
      <alignment horizontal="center"/>
    </xf>
    <xf numFmtId="0" fontId="52" fillId="0" borderId="6" xfId="0" applyFont="1" applyFill="1" applyBorder="1" applyAlignment="1">
      <alignment vertical="center"/>
    </xf>
    <xf numFmtId="186" fontId="57" fillId="0" borderId="6" xfId="0" applyNumberFormat="1" applyFont="1" applyFill="1" applyBorder="1" applyAlignment="1">
      <alignment horizontal="left" vertical="center"/>
    </xf>
    <xf numFmtId="0" fontId="53" fillId="0" borderId="6" xfId="0" applyNumberFormat="1" applyFont="1" applyFill="1" applyBorder="1" applyAlignment="1">
      <alignment horizontal="center"/>
    </xf>
    <xf numFmtId="4" fontId="17" fillId="0" borderId="6"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49" fontId="58" fillId="0" borderId="13" xfId="0" applyNumberFormat="1" applyFont="1" applyFill="1" applyBorder="1" applyAlignment="1">
      <alignment horizontal="center"/>
    </xf>
    <xf numFmtId="0" fontId="40" fillId="0" borderId="23" xfId="0" applyFont="1" applyFill="1" applyBorder="1" applyAlignment="1">
      <alignment horizontal="center"/>
    </xf>
    <xf numFmtId="0" fontId="59" fillId="0" borderId="0" xfId="0" applyFont="1" applyFill="1" applyAlignment="1">
      <alignment vertical="center"/>
    </xf>
    <xf numFmtId="0" fontId="9" fillId="12" borderId="0" xfId="0" applyFont="1" applyFill="1" applyAlignment="1">
      <alignment vertical="center"/>
    </xf>
    <xf numFmtId="0" fontId="61" fillId="12" borderId="0" xfId="442" applyNumberFormat="1" applyFont="1" applyFill="1" applyBorder="1" applyAlignment="1" applyProtection="1">
      <alignment horizontal="center" vertical="center"/>
      <protection locked="0"/>
    </xf>
    <xf numFmtId="0" fontId="61" fillId="12" borderId="0" xfId="442" applyNumberFormat="1" applyFont="1" applyFill="1" applyBorder="1" applyAlignment="1" applyProtection="1">
      <alignment horizontal="left" vertical="center"/>
      <protection locked="0"/>
    </xf>
    <xf numFmtId="0" fontId="62" fillId="12" borderId="0" xfId="442" applyNumberFormat="1" applyFont="1" applyFill="1" applyBorder="1" applyAlignment="1" applyProtection="1">
      <alignment horizontal="center" vertical="center"/>
      <protection locked="0"/>
    </xf>
    <xf numFmtId="0" fontId="63" fillId="12" borderId="0" xfId="442" applyNumberFormat="1" applyFont="1" applyFill="1" applyBorder="1" applyAlignment="1" applyProtection="1">
      <alignment horizontal="left" vertical="center"/>
      <protection locked="0"/>
    </xf>
    <xf numFmtId="0" fontId="12" fillId="12" borderId="0" xfId="0" applyFont="1" applyFill="1" applyBorder="1" applyAlignment="1" applyProtection="1">
      <alignment horizontal="right" vertical="center"/>
      <protection locked="0"/>
    </xf>
    <xf numFmtId="49" fontId="64" fillId="12" borderId="0" xfId="441" applyNumberFormat="1" applyFont="1" applyFill="1" applyBorder="1" applyAlignment="1" applyProtection="1">
      <alignment horizontal="left" vertical="center"/>
      <protection locked="0"/>
    </xf>
    <xf numFmtId="0" fontId="51" fillId="12" borderId="0" xfId="0" applyFont="1" applyFill="1" applyBorder="1" applyAlignment="1" applyProtection="1">
      <alignment horizontal="left" vertical="center"/>
      <protection locked="0"/>
    </xf>
    <xf numFmtId="0" fontId="65" fillId="12" borderId="0" xfId="442" applyFont="1" applyFill="1" applyBorder="1" applyAlignment="1">
      <alignment horizontal="right" vertical="center"/>
    </xf>
    <xf numFmtId="14" fontId="66" fillId="12" borderId="0" xfId="0" applyNumberFormat="1" applyFont="1" applyFill="1" applyBorder="1" applyAlignment="1" applyProtection="1">
      <alignment horizontal="left" vertical="center"/>
      <protection locked="0"/>
    </xf>
    <xf numFmtId="0" fontId="66" fillId="12" borderId="0" xfId="0" applyFont="1" applyFill="1" applyBorder="1" applyAlignment="1" applyProtection="1">
      <alignment horizontal="right" vertical="center"/>
      <protection locked="0"/>
    </xf>
    <xf numFmtId="0" fontId="67" fillId="12" borderId="0" xfId="0" applyFont="1" applyFill="1" applyBorder="1" applyAlignment="1">
      <alignment horizontal="left" vertical="center"/>
    </xf>
    <xf numFmtId="0" fontId="63" fillId="12" borderId="0" xfId="442" applyNumberFormat="1" applyFont="1" applyFill="1" applyBorder="1" applyAlignment="1" applyProtection="1">
      <alignment horizontal="center" vertical="center"/>
      <protection locked="0"/>
    </xf>
    <xf numFmtId="0" fontId="67" fillId="12" borderId="0" xfId="0" applyFont="1" applyFill="1" applyBorder="1" applyAlignment="1" applyProtection="1">
      <alignment horizontal="left" vertical="center"/>
      <protection locked="0"/>
    </xf>
    <xf numFmtId="0" fontId="68" fillId="12" borderId="0" xfId="442" applyNumberFormat="1" applyFont="1" applyFill="1" applyBorder="1" applyAlignment="1" applyProtection="1">
      <alignment horizontal="center" vertical="center"/>
      <protection locked="0"/>
    </xf>
    <xf numFmtId="187" fontId="66" fillId="12" borderId="0" xfId="441" applyNumberFormat="1" applyFont="1" applyFill="1" applyBorder="1" applyAlignment="1" applyProtection="1">
      <alignment horizontal="left" vertical="center"/>
      <protection locked="0"/>
    </xf>
    <xf numFmtId="43" fontId="71" fillId="12" borderId="10" xfId="0" applyNumberFormat="1" applyFont="1" applyFill="1" applyBorder="1" applyAlignment="1" applyProtection="1">
      <alignment horizontal="left" vertical="center" shrinkToFit="1"/>
    </xf>
    <xf numFmtId="43" fontId="71" fillId="12" borderId="37" xfId="0" applyNumberFormat="1" applyFont="1" applyFill="1" applyBorder="1" applyAlignment="1" applyProtection="1">
      <alignment horizontal="left" vertical="center" shrinkToFit="1"/>
      <protection locked="0"/>
    </xf>
    <xf numFmtId="43" fontId="71" fillId="12" borderId="6" xfId="0" applyNumberFormat="1" applyFont="1" applyFill="1" applyBorder="1" applyAlignment="1" applyProtection="1">
      <alignment horizontal="left" vertical="center" shrinkToFit="1"/>
      <protection locked="0"/>
    </xf>
    <xf numFmtId="43" fontId="71" fillId="12" borderId="39" xfId="0" applyNumberFormat="1" applyFont="1" applyFill="1" applyBorder="1" applyAlignment="1" applyProtection="1">
      <alignment horizontal="left" vertical="center" shrinkToFit="1"/>
      <protection locked="0"/>
    </xf>
    <xf numFmtId="43" fontId="71" fillId="12" borderId="41" xfId="441" applyNumberFormat="1" applyFont="1" applyFill="1" applyBorder="1" applyAlignment="1" applyProtection="1">
      <alignment horizontal="left" vertical="center" shrinkToFit="1"/>
      <protection locked="0"/>
    </xf>
    <xf numFmtId="43" fontId="71" fillId="12" borderId="45" xfId="441" applyNumberFormat="1" applyFont="1" applyFill="1" applyBorder="1" applyAlignment="1" applyProtection="1">
      <alignment horizontal="left" vertical="center" shrinkToFit="1"/>
      <protection locked="0"/>
    </xf>
    <xf numFmtId="189" fontId="72" fillId="12" borderId="0" xfId="441" applyNumberFormat="1" applyFont="1" applyFill="1" applyBorder="1" applyAlignment="1" applyProtection="1">
      <alignment horizontal="left" vertical="center"/>
      <protection locked="0"/>
    </xf>
    <xf numFmtId="0" fontId="73" fillId="0" borderId="25" xfId="439" applyFont="1" applyFill="1" applyBorder="1" applyAlignment="1">
      <alignment horizontal="center" vertical="center" wrapText="1"/>
    </xf>
    <xf numFmtId="0" fontId="73" fillId="0" borderId="46" xfId="439" applyFont="1" applyFill="1" applyBorder="1" applyAlignment="1">
      <alignment horizontal="center" vertical="center" wrapText="1"/>
    </xf>
    <xf numFmtId="183" fontId="73" fillId="0" borderId="46" xfId="439" applyNumberFormat="1" applyFont="1" applyFill="1" applyBorder="1" applyAlignment="1">
      <alignment horizontal="center" vertical="center" wrapText="1"/>
    </xf>
    <xf numFmtId="190" fontId="73" fillId="0" borderId="46" xfId="439" applyNumberFormat="1" applyFont="1" applyFill="1" applyBorder="1" applyAlignment="1">
      <alignment horizontal="center" vertical="center" wrapText="1"/>
    </xf>
    <xf numFmtId="0" fontId="73" fillId="0" borderId="47" xfId="439" applyFont="1" applyFill="1" applyBorder="1" applyAlignment="1">
      <alignment horizontal="center" vertical="center" wrapText="1"/>
    </xf>
    <xf numFmtId="0" fontId="50" fillId="0" borderId="38" xfId="439" applyFont="1" applyFill="1" applyBorder="1" applyAlignment="1">
      <alignment horizontal="center" vertical="center"/>
    </xf>
    <xf numFmtId="0" fontId="50" fillId="0" borderId="6" xfId="439" applyFont="1" applyFill="1" applyBorder="1" applyAlignment="1">
      <alignment horizontal="center" vertical="center"/>
    </xf>
    <xf numFmtId="183" fontId="50" fillId="0" borderId="6" xfId="439" applyNumberFormat="1" applyFont="1" applyFill="1" applyBorder="1" applyAlignment="1">
      <alignment horizontal="center" vertical="center"/>
    </xf>
    <xf numFmtId="190" fontId="50" fillId="0" borderId="6" xfId="439" applyNumberFormat="1" applyFont="1" applyFill="1" applyBorder="1" applyAlignment="1">
      <alignment horizontal="right" vertical="center"/>
    </xf>
    <xf numFmtId="0" fontId="50" fillId="0" borderId="39" xfId="439" applyFont="1" applyFill="1" applyBorder="1" applyAlignment="1">
      <alignment horizontal="left" vertical="center"/>
    </xf>
    <xf numFmtId="43" fontId="50" fillId="0" borderId="6" xfId="439" applyNumberFormat="1" applyFont="1" applyFill="1" applyBorder="1" applyAlignment="1">
      <alignment vertical="center"/>
    </xf>
    <xf numFmtId="43" fontId="50" fillId="0" borderId="6" xfId="439" applyNumberFormat="1" applyFont="1" applyFill="1" applyBorder="1" applyAlignment="1">
      <alignment horizontal="center" vertical="center"/>
    </xf>
    <xf numFmtId="0" fontId="50" fillId="0" borderId="39" xfId="439" applyFont="1" applyFill="1" applyBorder="1" applyAlignment="1">
      <alignment vertical="center" wrapText="1"/>
    </xf>
    <xf numFmtId="190" fontId="74" fillId="0" borderId="6" xfId="439" applyNumberFormat="1" applyFont="1" applyFill="1" applyBorder="1" applyAlignment="1">
      <alignment horizontal="right" vertical="center"/>
    </xf>
    <xf numFmtId="0" fontId="50" fillId="0" borderId="39" xfId="439" applyFont="1" applyFill="1" applyBorder="1" applyAlignment="1">
      <alignment vertical="center"/>
    </xf>
    <xf numFmtId="0" fontId="50" fillId="0" borderId="6" xfId="439" applyFont="1" applyFill="1" applyBorder="1" applyAlignment="1">
      <alignment horizontal="center" vertical="center" wrapText="1"/>
    </xf>
    <xf numFmtId="190" fontId="11" fillId="13" borderId="6" xfId="439" applyNumberFormat="1" applyFont="1" applyFill="1" applyBorder="1" applyAlignment="1">
      <alignment vertical="center"/>
    </xf>
    <xf numFmtId="0" fontId="50" fillId="13" borderId="39" xfId="439" applyFont="1" applyFill="1" applyBorder="1" applyAlignment="1">
      <alignment horizontal="left" vertical="center"/>
    </xf>
    <xf numFmtId="190" fontId="11" fillId="13" borderId="41" xfId="439" applyNumberFormat="1" applyFont="1" applyFill="1" applyBorder="1" applyAlignment="1">
      <alignment vertical="center"/>
    </xf>
    <xf numFmtId="0" fontId="50" fillId="13" borderId="45" xfId="439" applyFont="1" applyFill="1" applyBorder="1" applyAlignment="1">
      <alignment horizontal="left" vertical="center"/>
    </xf>
    <xf numFmtId="187" fontId="66" fillId="12" borderId="0" xfId="441" applyNumberFormat="1" applyFont="1" applyFill="1" applyBorder="1" applyAlignment="1" applyProtection="1">
      <alignment horizontal="right" vertical="center"/>
      <protection locked="0"/>
    </xf>
    <xf numFmtId="0" fontId="29" fillId="12" borderId="0" xfId="442" applyFont="1" applyFill="1" applyBorder="1" applyAlignment="1">
      <alignment horizontal="right" vertical="center"/>
    </xf>
    <xf numFmtId="14" fontId="64" fillId="12" borderId="0" xfId="0" applyNumberFormat="1" applyFont="1" applyFill="1" applyBorder="1" applyAlignment="1" applyProtection="1">
      <alignment horizontal="left" vertical="center"/>
      <protection locked="0"/>
    </xf>
    <xf numFmtId="0" fontId="75" fillId="12" borderId="0" xfId="442" applyNumberFormat="1" applyFont="1" applyFill="1" applyBorder="1" applyAlignment="1" applyProtection="1">
      <alignment horizontal="right" vertical="center"/>
      <protection locked="0"/>
    </xf>
    <xf numFmtId="0" fontId="76" fillId="12" borderId="0" xfId="442" applyNumberFormat="1" applyFont="1" applyFill="1" applyBorder="1" applyAlignment="1" applyProtection="1">
      <alignment horizontal="left" vertical="center"/>
      <protection locked="0"/>
    </xf>
    <xf numFmtId="0" fontId="78" fillId="12" borderId="0" xfId="442" applyNumberFormat="1" applyFont="1" applyFill="1" applyBorder="1" applyAlignment="1" applyProtection="1">
      <alignment horizontal="left" vertical="center"/>
      <protection locked="0"/>
    </xf>
    <xf numFmtId="0" fontId="79" fillId="12" borderId="0" xfId="442" applyNumberFormat="1" applyFont="1" applyFill="1" applyBorder="1" applyAlignment="1" applyProtection="1">
      <alignment horizontal="left" vertical="center"/>
      <protection locked="0"/>
    </xf>
    <xf numFmtId="0" fontId="80" fillId="12" borderId="0" xfId="442" applyNumberFormat="1" applyFont="1" applyFill="1" applyBorder="1" applyAlignment="1" applyProtection="1">
      <alignment horizontal="left" vertical="center"/>
      <protection locked="0"/>
    </xf>
    <xf numFmtId="0" fontId="81" fillId="12" borderId="0" xfId="442" applyNumberFormat="1" applyFont="1" applyFill="1" applyBorder="1" applyAlignment="1" applyProtection="1">
      <alignment horizontal="left" vertical="center"/>
      <protection locked="0"/>
    </xf>
    <xf numFmtId="0" fontId="80" fillId="12" borderId="0" xfId="442" applyNumberFormat="1" applyFont="1" applyFill="1" applyBorder="1" applyAlignment="1" applyProtection="1">
      <alignment horizontal="right" vertical="center"/>
      <protection locked="0"/>
    </xf>
    <xf numFmtId="49" fontId="82" fillId="12" borderId="0" xfId="442" applyNumberFormat="1" applyFont="1" applyFill="1" applyBorder="1" applyAlignment="1" applyProtection="1">
      <alignment horizontal="left" vertical="center"/>
      <protection locked="0"/>
    </xf>
    <xf numFmtId="0" fontId="83" fillId="12" borderId="0" xfId="0" applyFont="1" applyFill="1" applyBorder="1" applyAlignment="1">
      <alignment horizontal="left" vertical="center"/>
    </xf>
    <xf numFmtId="0" fontId="84" fillId="12" borderId="0" xfId="0" applyFont="1" applyFill="1" applyAlignment="1">
      <alignment vertical="center"/>
    </xf>
    <xf numFmtId="49" fontId="72" fillId="12" borderId="0" xfId="441" applyNumberFormat="1" applyFont="1" applyFill="1" applyBorder="1" applyAlignment="1" applyProtection="1">
      <alignment horizontal="left" vertical="center"/>
      <protection locked="0"/>
    </xf>
    <xf numFmtId="49" fontId="65" fillId="12" borderId="0" xfId="442" applyNumberFormat="1" applyFont="1" applyFill="1" applyBorder="1" applyAlignment="1" applyProtection="1">
      <alignment horizontal="left" vertical="center"/>
      <protection locked="0"/>
    </xf>
    <xf numFmtId="49" fontId="66" fillId="12" borderId="0" xfId="441" applyNumberFormat="1" applyFont="1" applyFill="1" applyBorder="1" applyAlignment="1" applyProtection="1">
      <alignment horizontal="left" vertical="center"/>
      <protection locked="0"/>
    </xf>
    <xf numFmtId="49" fontId="42" fillId="0" borderId="6" xfId="0" quotePrefix="1" applyNumberFormat="1" applyFont="1" applyFill="1" applyBorder="1" applyAlignment="1">
      <alignment horizontal="center" vertical="center"/>
    </xf>
    <xf numFmtId="49" fontId="56" fillId="0" borderId="6" xfId="0" quotePrefix="1" applyNumberFormat="1" applyFont="1" applyFill="1" applyBorder="1" applyAlignment="1">
      <alignment horizontal="center" vertical="center"/>
    </xf>
    <xf numFmtId="0" fontId="24" fillId="0" borderId="6" xfId="261" quotePrefix="1" applyFont="1" applyFill="1" applyBorder="1" applyAlignment="1">
      <alignment horizontal="center" vertical="center" wrapText="1"/>
    </xf>
    <xf numFmtId="0" fontId="60" fillId="12" borderId="0" xfId="442" applyFont="1" applyFill="1" applyBorder="1" applyAlignment="1">
      <alignment horizontal="center" vertical="center"/>
    </xf>
    <xf numFmtId="0" fontId="67" fillId="12" borderId="0" xfId="0" applyFont="1" applyFill="1" applyBorder="1" applyAlignment="1">
      <alignment horizontal="left" vertical="center"/>
    </xf>
    <xf numFmtId="0" fontId="67" fillId="12" borderId="0" xfId="0" applyFont="1" applyFill="1" applyAlignment="1">
      <alignment horizontal="left" vertical="center"/>
    </xf>
    <xf numFmtId="0" fontId="69" fillId="12" borderId="25" xfId="0" applyFont="1" applyFill="1" applyBorder="1" applyAlignment="1" applyProtection="1">
      <alignment horizontal="center" vertical="center"/>
      <protection locked="0"/>
    </xf>
    <xf numFmtId="0" fontId="69" fillId="12" borderId="26" xfId="0" applyFont="1" applyFill="1" applyBorder="1" applyAlignment="1" applyProtection="1">
      <alignment horizontal="center" vertical="center"/>
      <protection locked="0"/>
    </xf>
    <xf numFmtId="0" fontId="77" fillId="12" borderId="0" xfId="442" applyNumberFormat="1" applyFont="1" applyFill="1" applyBorder="1" applyAlignment="1" applyProtection="1">
      <alignment horizontal="right" vertical="center"/>
      <protection locked="0"/>
    </xf>
    <xf numFmtId="0" fontId="23" fillId="12" borderId="27" xfId="440" applyNumberFormat="1" applyFont="1" applyFill="1" applyBorder="1" applyAlignment="1" applyProtection="1">
      <alignment horizontal="left" vertical="center"/>
      <protection locked="0"/>
    </xf>
    <xf numFmtId="0" fontId="23" fillId="12" borderId="10" xfId="440" applyNumberFormat="1" applyFont="1" applyFill="1" applyBorder="1" applyAlignment="1" applyProtection="1">
      <alignment horizontal="left" vertical="center"/>
      <protection locked="0"/>
    </xf>
    <xf numFmtId="43" fontId="70" fillId="12" borderId="11" xfId="0" applyNumberFormat="1" applyFont="1" applyFill="1" applyBorder="1" applyAlignment="1" applyProtection="1">
      <alignment horizontal="left" vertical="center" shrinkToFit="1"/>
    </xf>
    <xf numFmtId="43" fontId="70" fillId="12" borderId="12" xfId="0" applyNumberFormat="1" applyFont="1" applyFill="1" applyBorder="1" applyAlignment="1" applyProtection="1">
      <alignment horizontal="left" vertical="center" shrinkToFit="1"/>
    </xf>
    <xf numFmtId="43" fontId="70" fillId="12" borderId="28" xfId="0" applyNumberFormat="1" applyFont="1" applyFill="1" applyBorder="1" applyAlignment="1" applyProtection="1">
      <alignment horizontal="left" vertical="center" shrinkToFit="1"/>
    </xf>
    <xf numFmtId="0" fontId="81" fillId="12" borderId="0" xfId="442" applyNumberFormat="1" applyFont="1" applyFill="1" applyBorder="1" applyAlignment="1" applyProtection="1">
      <alignment horizontal="left" vertical="center"/>
      <protection locked="0"/>
    </xf>
    <xf numFmtId="0" fontId="23" fillId="12" borderId="29" xfId="440" applyNumberFormat="1" applyFont="1" applyFill="1" applyBorder="1" applyAlignment="1" applyProtection="1">
      <alignment horizontal="left" vertical="center"/>
      <protection locked="0"/>
    </xf>
    <xf numFmtId="0" fontId="23" fillId="12" borderId="30" xfId="440" applyNumberFormat="1" applyFont="1" applyFill="1" applyBorder="1" applyAlignment="1" applyProtection="1">
      <alignment horizontal="left" vertical="center"/>
      <protection locked="0"/>
    </xf>
    <xf numFmtId="180" fontId="70" fillId="12" borderId="31" xfId="0" applyNumberFormat="1" applyFont="1" applyFill="1" applyBorder="1" applyAlignment="1" applyProtection="1">
      <alignment horizontal="right" vertical="center" shrinkToFit="1"/>
    </xf>
    <xf numFmtId="180" fontId="70" fillId="12" borderId="32" xfId="0" applyNumberFormat="1" applyFont="1" applyFill="1" applyBorder="1" applyAlignment="1" applyProtection="1">
      <alignment horizontal="right" vertical="center" shrinkToFit="1"/>
    </xf>
    <xf numFmtId="180" fontId="70" fillId="12" borderId="33" xfId="0" applyNumberFormat="1" applyFont="1" applyFill="1" applyBorder="1" applyAlignment="1" applyProtection="1">
      <alignment horizontal="right" vertical="center" shrinkToFit="1"/>
    </xf>
    <xf numFmtId="0" fontId="67" fillId="12" borderId="0" xfId="96" applyFont="1" applyFill="1" applyBorder="1" applyAlignment="1">
      <alignment horizontal="left" vertical="center"/>
    </xf>
    <xf numFmtId="0" fontId="67" fillId="12" borderId="0" xfId="96" applyFont="1" applyFill="1" applyAlignment="1">
      <alignment horizontal="left" vertical="center"/>
    </xf>
    <xf numFmtId="0" fontId="34" fillId="12" borderId="27" xfId="441" applyNumberFormat="1" applyFont="1" applyFill="1" applyBorder="1" applyAlignment="1" applyProtection="1">
      <alignment horizontal="left" vertical="center"/>
      <protection locked="0"/>
    </xf>
    <xf numFmtId="0" fontId="34" fillId="12" borderId="10" xfId="441" applyNumberFormat="1" applyFont="1" applyFill="1" applyBorder="1" applyAlignment="1" applyProtection="1">
      <alignment horizontal="left" vertical="center"/>
      <protection locked="0"/>
    </xf>
    <xf numFmtId="0" fontId="34" fillId="12" borderId="34" xfId="441" applyNumberFormat="1" applyFont="1" applyFill="1" applyBorder="1" applyAlignment="1" applyProtection="1">
      <alignment horizontal="left" vertical="center"/>
      <protection locked="0"/>
    </xf>
    <xf numFmtId="0" fontId="34" fillId="12" borderId="35" xfId="441" applyNumberFormat="1" applyFont="1" applyFill="1" applyBorder="1" applyAlignment="1" applyProtection="1">
      <alignment horizontal="left" vertical="center"/>
      <protection locked="0"/>
    </xf>
    <xf numFmtId="0" fontId="34" fillId="12" borderId="36" xfId="441" applyNumberFormat="1" applyFont="1" applyFill="1" applyBorder="1" applyAlignment="1" applyProtection="1">
      <alignment horizontal="left" vertical="center"/>
      <protection locked="0"/>
    </xf>
    <xf numFmtId="0" fontId="67" fillId="12" borderId="0" xfId="96" applyFont="1" applyFill="1" applyBorder="1" applyAlignment="1">
      <alignment horizontal="left" vertical="center" wrapText="1"/>
    </xf>
    <xf numFmtId="0" fontId="67" fillId="12" borderId="0" xfId="96" applyFont="1" applyFill="1" applyAlignment="1">
      <alignment horizontal="left" vertical="center" wrapText="1"/>
    </xf>
    <xf numFmtId="0" fontId="7" fillId="12" borderId="38" xfId="115" applyFont="1" applyFill="1" applyBorder="1" applyAlignment="1">
      <alignment vertical="center"/>
    </xf>
    <xf numFmtId="0" fontId="7" fillId="12" borderId="6" xfId="115" applyFont="1" applyFill="1" applyBorder="1" applyAlignment="1">
      <alignment vertical="center"/>
    </xf>
    <xf numFmtId="0" fontId="7" fillId="12" borderId="11" xfId="115" applyFont="1" applyFill="1" applyBorder="1" applyAlignment="1">
      <alignment horizontal="left" vertical="center"/>
    </xf>
    <xf numFmtId="0" fontId="7" fillId="12" borderId="12" xfId="115" applyFont="1" applyFill="1" applyBorder="1" applyAlignment="1">
      <alignment horizontal="left" vertical="center"/>
    </xf>
    <xf numFmtId="0" fontId="7" fillId="12" borderId="13" xfId="115" applyFont="1" applyFill="1" applyBorder="1" applyAlignment="1">
      <alignment horizontal="left" vertical="center"/>
    </xf>
    <xf numFmtId="49" fontId="29" fillId="12" borderId="0" xfId="442" applyNumberFormat="1" applyFont="1" applyFill="1" applyBorder="1" applyAlignment="1" applyProtection="1">
      <alignment horizontal="left" vertical="center"/>
      <protection locked="0"/>
    </xf>
    <xf numFmtId="0" fontId="7" fillId="12" borderId="40" xfId="115" applyFont="1" applyFill="1" applyBorder="1" applyAlignment="1">
      <alignment vertical="center"/>
    </xf>
    <xf numFmtId="0" fontId="7" fillId="12" borderId="41" xfId="115" applyFont="1" applyFill="1" applyBorder="1" applyAlignment="1">
      <alignment vertical="center"/>
    </xf>
    <xf numFmtId="188" fontId="34" fillId="12" borderId="42" xfId="441" applyNumberFormat="1" applyFont="1" applyFill="1" applyBorder="1" applyAlignment="1" applyProtection="1">
      <alignment horizontal="left" vertical="center"/>
      <protection locked="0"/>
    </xf>
    <xf numFmtId="188" fontId="34" fillId="12" borderId="43" xfId="441" applyNumberFormat="1" applyFont="1" applyFill="1" applyBorder="1" applyAlignment="1" applyProtection="1">
      <alignment horizontal="left" vertical="center"/>
      <protection locked="0"/>
    </xf>
    <xf numFmtId="188" fontId="34" fillId="12" borderId="44" xfId="441" applyNumberFormat="1" applyFont="1" applyFill="1" applyBorder="1" applyAlignment="1" applyProtection="1">
      <alignment horizontal="left" vertical="center"/>
      <protection locked="0"/>
    </xf>
    <xf numFmtId="49" fontId="12" fillId="12" borderId="0" xfId="441" applyNumberFormat="1" applyFont="1" applyFill="1" applyBorder="1" applyAlignment="1" applyProtection="1">
      <alignment horizontal="left" vertical="center"/>
      <protection locked="0"/>
    </xf>
    <xf numFmtId="0" fontId="62" fillId="12" borderId="0" xfId="442" applyNumberFormat="1" applyFont="1" applyFill="1" applyBorder="1" applyAlignment="1" applyProtection="1">
      <alignment horizontal="center" vertical="center"/>
      <protection locked="0"/>
    </xf>
    <xf numFmtId="0" fontId="73" fillId="0" borderId="46" xfId="439" applyFont="1" applyFill="1" applyBorder="1" applyAlignment="1">
      <alignment horizontal="center" vertical="center" wrapText="1"/>
    </xf>
    <xf numFmtId="43" fontId="50" fillId="0" borderId="6" xfId="439" applyNumberFormat="1" applyFont="1" applyFill="1" applyBorder="1" applyAlignment="1">
      <alignment horizontal="left" vertical="center"/>
    </xf>
    <xf numFmtId="43" fontId="74" fillId="0" borderId="6" xfId="439" applyNumberFormat="1" applyFont="1" applyFill="1" applyBorder="1" applyAlignment="1">
      <alignment horizontal="center" vertical="center"/>
    </xf>
    <xf numFmtId="10" fontId="74" fillId="0" borderId="6" xfId="439" applyNumberFormat="1" applyFont="1" applyFill="1" applyBorder="1" applyAlignment="1">
      <alignment horizontal="center" vertical="center"/>
    </xf>
    <xf numFmtId="0" fontId="11" fillId="13" borderId="38" xfId="439" applyFont="1" applyFill="1" applyBorder="1" applyAlignment="1">
      <alignment horizontal="center" vertical="center"/>
    </xf>
    <xf numFmtId="0" fontId="11" fillId="13" borderId="6" xfId="439" applyFont="1" applyFill="1" applyBorder="1" applyAlignment="1">
      <alignment horizontal="center" vertical="center"/>
    </xf>
    <xf numFmtId="0" fontId="11" fillId="13" borderId="40" xfId="439" applyFont="1" applyFill="1" applyBorder="1" applyAlignment="1">
      <alignment horizontal="center" vertical="center"/>
    </xf>
    <xf numFmtId="0" fontId="11" fillId="13" borderId="41" xfId="439" applyFont="1" applyFill="1" applyBorder="1" applyAlignment="1">
      <alignment horizontal="center" vertical="center"/>
    </xf>
    <xf numFmtId="0" fontId="50" fillId="0" borderId="6" xfId="439" applyFont="1" applyFill="1" applyBorder="1" applyAlignment="1">
      <alignment horizontal="center" vertical="center"/>
    </xf>
    <xf numFmtId="0" fontId="7" fillId="12" borderId="0" xfId="0" applyFont="1" applyFill="1" applyAlignment="1">
      <alignment horizontal="left" vertical="center" wrapText="1"/>
    </xf>
    <xf numFmtId="0" fontId="31" fillId="11" borderId="6" xfId="0" applyFont="1" applyFill="1" applyBorder="1" applyAlignment="1">
      <alignment horizontal="center" vertical="center" wrapText="1"/>
    </xf>
    <xf numFmtId="0" fontId="28" fillId="11" borderId="6" xfId="0" applyFont="1" applyFill="1" applyBorder="1" applyAlignment="1">
      <alignment horizontal="center" vertical="center" wrapText="1"/>
    </xf>
    <xf numFmtId="0" fontId="28" fillId="11" borderId="6"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wrapText="1"/>
    </xf>
    <xf numFmtId="4" fontId="17" fillId="0" borderId="6" xfId="0" applyNumberFormat="1" applyFont="1" applyFill="1" applyBorder="1" applyAlignment="1">
      <alignment horizontal="center" vertical="center" wrapText="1"/>
    </xf>
    <xf numFmtId="4" fontId="28" fillId="11" borderId="15" xfId="0" applyNumberFormat="1" applyFont="1" applyFill="1" applyBorder="1" applyAlignment="1">
      <alignment horizontal="center" vertical="center"/>
    </xf>
    <xf numFmtId="179" fontId="9" fillId="0" borderId="0" xfId="0" applyNumberFormat="1" applyFont="1" applyFill="1" applyAlignment="1">
      <alignment horizontal="center" vertical="center"/>
    </xf>
    <xf numFmtId="0" fontId="32" fillId="11" borderId="6" xfId="0" applyFont="1" applyFill="1" applyBorder="1" applyAlignment="1">
      <alignment horizontal="center" vertical="center" wrapText="1"/>
    </xf>
    <xf numFmtId="0" fontId="38" fillId="0" borderId="6" xfId="0" applyFont="1" applyFill="1" applyBorder="1" applyAlignment="1"/>
    <xf numFmtId="0" fontId="30" fillId="11" borderId="6" xfId="0" applyFont="1" applyFill="1" applyBorder="1" applyAlignment="1">
      <alignment horizontal="center" vertical="center" wrapText="1"/>
    </xf>
    <xf numFmtId="0" fontId="49" fillId="11" borderId="13" xfId="0" applyFont="1" applyFill="1" applyBorder="1" applyAlignment="1">
      <alignment horizontal="center" vertical="center" wrapText="1"/>
    </xf>
    <xf numFmtId="179" fontId="33" fillId="9" borderId="0" xfId="261" applyNumberFormat="1" applyFont="1" applyFill="1" applyBorder="1" applyAlignment="1">
      <alignment horizontal="center" vertical="center"/>
    </xf>
    <xf numFmtId="0" fontId="16" fillId="7" borderId="11" xfId="354" applyNumberFormat="1" applyFont="1" applyFill="1" applyBorder="1" applyAlignment="1" applyProtection="1">
      <alignment horizontal="center" vertical="center" wrapText="1"/>
    </xf>
    <xf numFmtId="0" fontId="16" fillId="7" borderId="12" xfId="354" applyNumberFormat="1" applyFont="1" applyFill="1" applyBorder="1" applyAlignment="1" applyProtection="1">
      <alignment horizontal="center" vertical="center" wrapText="1"/>
    </xf>
    <xf numFmtId="0" fontId="16" fillId="7" borderId="13" xfId="354" applyNumberFormat="1" applyFont="1" applyFill="1" applyBorder="1" applyAlignment="1" applyProtection="1">
      <alignment horizontal="center" vertical="center" wrapText="1"/>
    </xf>
    <xf numFmtId="0" fontId="23" fillId="7" borderId="11" xfId="354" applyNumberFormat="1" applyFont="1" applyFill="1" applyBorder="1" applyAlignment="1" applyProtection="1">
      <alignment horizontal="center" vertical="center" wrapText="1"/>
    </xf>
    <xf numFmtId="0" fontId="23" fillId="7" borderId="12" xfId="354" applyNumberFormat="1" applyFont="1" applyFill="1" applyBorder="1" applyAlignment="1" applyProtection="1">
      <alignment horizontal="center" vertical="center" wrapText="1"/>
    </xf>
    <xf numFmtId="0" fontId="23" fillId="7" borderId="13" xfId="354" applyNumberFormat="1" applyFont="1" applyFill="1" applyBorder="1" applyAlignment="1" applyProtection="1">
      <alignment horizontal="center" vertical="center" wrapText="1"/>
    </xf>
    <xf numFmtId="184" fontId="22" fillId="7" borderId="5" xfId="63" applyNumberFormat="1" applyFont="1" applyFill="1" applyBorder="1" applyAlignment="1" applyProtection="1">
      <alignment horizontal="center" vertical="center"/>
    </xf>
    <xf numFmtId="184" fontId="22" fillId="7" borderId="10" xfId="63" applyNumberFormat="1" applyFont="1" applyFill="1" applyBorder="1" applyAlignment="1" applyProtection="1">
      <alignment horizontal="center" vertical="center"/>
    </xf>
    <xf numFmtId="184" fontId="19" fillId="7" borderId="5" xfId="63" applyNumberFormat="1" applyFont="1" applyFill="1" applyBorder="1" applyAlignment="1" applyProtection="1">
      <alignment horizontal="center" vertical="center"/>
    </xf>
    <xf numFmtId="184" fontId="19" fillId="7" borderId="10" xfId="63" applyNumberFormat="1" applyFont="1" applyFill="1" applyBorder="1" applyAlignment="1" applyProtection="1">
      <alignment horizontal="center" vertical="center"/>
    </xf>
    <xf numFmtId="0" fontId="19" fillId="7" borderId="5" xfId="63" applyNumberFormat="1" applyFont="1" applyFill="1" applyBorder="1" applyAlignment="1" applyProtection="1">
      <alignment horizontal="center" vertical="center" wrapText="1"/>
    </xf>
    <xf numFmtId="0" fontId="19" fillId="7" borderId="10" xfId="63" applyNumberFormat="1" applyFont="1" applyFill="1" applyBorder="1" applyAlignment="1" applyProtection="1">
      <alignment horizontal="center" vertical="center" wrapText="1"/>
    </xf>
    <xf numFmtId="0" fontId="16" fillId="7" borderId="5" xfId="354" applyNumberFormat="1" applyFont="1" applyFill="1" applyBorder="1" applyAlignment="1" applyProtection="1">
      <alignment horizontal="center" vertical="center" wrapText="1"/>
    </xf>
    <xf numFmtId="0" fontId="16" fillId="7" borderId="10" xfId="354" applyNumberFormat="1" applyFont="1" applyFill="1" applyBorder="1" applyAlignment="1" applyProtection="1">
      <alignment horizontal="center" vertical="center" wrapText="1"/>
    </xf>
    <xf numFmtId="0" fontId="23" fillId="7" borderId="5" xfId="354" applyNumberFormat="1" applyFont="1" applyFill="1" applyBorder="1" applyAlignment="1" applyProtection="1">
      <alignment horizontal="center" vertical="center" wrapText="1"/>
    </xf>
    <xf numFmtId="0" fontId="23" fillId="7" borderId="10" xfId="354" applyNumberFormat="1" applyFont="1" applyFill="1" applyBorder="1" applyAlignment="1" applyProtection="1">
      <alignment horizontal="center" vertical="center" wrapText="1"/>
    </xf>
    <xf numFmtId="14" fontId="16" fillId="7" borderId="5" xfId="354" applyNumberFormat="1" applyFont="1" applyFill="1" applyBorder="1" applyAlignment="1" applyProtection="1">
      <alignment horizontal="center" vertical="center" wrapText="1"/>
    </xf>
    <xf numFmtId="14" fontId="16" fillId="7" borderId="10" xfId="354" applyNumberFormat="1" applyFont="1" applyFill="1" applyBorder="1" applyAlignment="1" applyProtection="1">
      <alignment horizontal="center" vertical="center" wrapText="1"/>
    </xf>
    <xf numFmtId="178" fontId="23" fillId="7" borderId="5" xfId="354" applyNumberFormat="1" applyFont="1" applyFill="1" applyBorder="1" applyAlignment="1" applyProtection="1">
      <alignment horizontal="center" vertical="center" wrapText="1"/>
    </xf>
    <xf numFmtId="178" fontId="23" fillId="7" borderId="10" xfId="354" applyNumberFormat="1" applyFont="1" applyFill="1" applyBorder="1" applyAlignment="1" applyProtection="1">
      <alignment horizontal="center" vertical="center" wrapText="1"/>
    </xf>
    <xf numFmtId="0" fontId="22" fillId="7" borderId="5" xfId="63" applyNumberFormat="1" applyFont="1" applyFill="1" applyBorder="1" applyAlignment="1" applyProtection="1">
      <alignment horizontal="center" vertical="center" wrapText="1"/>
    </xf>
    <xf numFmtId="0" fontId="22" fillId="7" borderId="10" xfId="63" applyNumberFormat="1" applyFont="1" applyFill="1" applyBorder="1" applyAlignment="1" applyProtection="1">
      <alignment horizontal="center" vertical="center" wrapText="1"/>
    </xf>
    <xf numFmtId="178" fontId="19" fillId="7" borderId="5" xfId="63" applyNumberFormat="1" applyFont="1" applyFill="1" applyBorder="1" applyAlignment="1" applyProtection="1">
      <alignment horizontal="center" vertical="center" wrapText="1"/>
    </xf>
    <xf numFmtId="178" fontId="19" fillId="7" borderId="10" xfId="63" applyNumberFormat="1" applyFont="1" applyFill="1" applyBorder="1" applyAlignment="1" applyProtection="1">
      <alignment horizontal="center" vertical="center" wrapText="1"/>
    </xf>
    <xf numFmtId="49" fontId="16" fillId="7" borderId="5" xfId="354" applyNumberFormat="1" applyFont="1" applyFill="1" applyBorder="1" applyAlignment="1" applyProtection="1">
      <alignment horizontal="center" vertical="center" wrapText="1"/>
    </xf>
    <xf numFmtId="49" fontId="16" fillId="7" borderId="10" xfId="354" applyNumberFormat="1" applyFont="1" applyFill="1" applyBorder="1" applyAlignment="1" applyProtection="1">
      <alignment horizontal="center" vertical="center" wrapText="1"/>
    </xf>
    <xf numFmtId="49" fontId="8" fillId="4" borderId="6" xfId="316" applyNumberFormat="1" applyFont="1" applyFill="1" applyBorder="1" applyAlignment="1" applyProtection="1">
      <alignment horizontal="center" vertical="center" wrapText="1"/>
    </xf>
    <xf numFmtId="49" fontId="8" fillId="4" borderId="6" xfId="363" applyNumberFormat="1" applyFont="1" applyFill="1" applyBorder="1" applyAlignment="1" applyProtection="1">
      <alignment horizontal="center" vertical="center" wrapText="1"/>
    </xf>
    <xf numFmtId="49" fontId="8" fillId="3" borderId="5" xfId="363" applyNumberFormat="1" applyFont="1" applyFill="1" applyBorder="1" applyAlignment="1" applyProtection="1">
      <alignment horizontal="center" vertical="center" wrapText="1"/>
    </xf>
    <xf numFmtId="49" fontId="8" fillId="3" borderId="7" xfId="363" applyNumberFormat="1" applyFont="1" applyFill="1" applyBorder="1" applyAlignment="1" applyProtection="1">
      <alignment horizontal="center" vertical="center" wrapText="1"/>
    </xf>
    <xf numFmtId="49" fontId="8" fillId="3" borderId="6" xfId="363" applyNumberFormat="1" applyFont="1" applyFill="1" applyBorder="1" applyAlignment="1" applyProtection="1">
      <alignment horizontal="center" vertical="center" wrapText="1"/>
    </xf>
    <xf numFmtId="49" fontId="8" fillId="4" borderId="5" xfId="363" applyNumberFormat="1" applyFont="1" applyFill="1" applyBorder="1" applyAlignment="1" applyProtection="1">
      <alignment horizontal="center" vertical="center" wrapText="1"/>
    </xf>
    <xf numFmtId="49" fontId="8" fillId="4" borderId="7" xfId="363" applyNumberFormat="1" applyFont="1" applyFill="1" applyBorder="1" applyAlignment="1" applyProtection="1">
      <alignment horizontal="center" vertical="center" wrapText="1"/>
    </xf>
    <xf numFmtId="183" fontId="8" fillId="3" borderId="6" xfId="363" applyNumberFormat="1" applyFont="1" applyFill="1" applyBorder="1" applyAlignment="1" applyProtection="1">
      <alignment horizontal="center" vertical="center" wrapText="1"/>
    </xf>
    <xf numFmtId="182" fontId="8" fillId="4" borderId="6" xfId="363" applyNumberFormat="1" applyFont="1" applyFill="1" applyBorder="1" applyAlignment="1" applyProtection="1">
      <alignment horizontal="center" vertical="center" wrapText="1"/>
    </xf>
    <xf numFmtId="49" fontId="8" fillId="3" borderId="8" xfId="363" applyNumberFormat="1" applyFont="1" applyFill="1" applyBorder="1" applyAlignment="1" applyProtection="1">
      <alignment horizontal="center" vertical="center" wrapText="1"/>
    </xf>
    <xf numFmtId="49" fontId="8" fillId="3" borderId="9" xfId="363" applyNumberFormat="1" applyFont="1" applyFill="1" applyBorder="1" applyAlignment="1" applyProtection="1">
      <alignment horizontal="center" vertical="center" wrapText="1"/>
    </xf>
    <xf numFmtId="49" fontId="8" fillId="6" borderId="6" xfId="316" applyNumberFormat="1" applyFont="1" applyFill="1" applyBorder="1" applyAlignment="1" applyProtection="1">
      <alignment horizontal="center" vertical="center" wrapText="1"/>
    </xf>
    <xf numFmtId="0" fontId="8" fillId="7" borderId="6" xfId="316" applyFont="1" applyFill="1" applyBorder="1" applyAlignment="1" applyProtection="1">
      <alignment horizontal="center" vertical="center" wrapText="1"/>
    </xf>
    <xf numFmtId="0" fontId="8" fillId="7" borderId="6" xfId="0" applyFont="1" applyFill="1" applyBorder="1" applyAlignment="1" applyProtection="1">
      <alignment horizontal="center" vertical="center" wrapText="1"/>
    </xf>
    <xf numFmtId="0" fontId="8" fillId="7" borderId="6" xfId="0" applyFont="1" applyFill="1" applyBorder="1" applyAlignment="1" applyProtection="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443">
    <cellStyle name=" 3]_x000d__x000a_Zoomed=1_x000d__x000a_Row=128_x000d__x000a_Column=101_x000d__x000a_Height=300_x000d__x000a_Width=301_x000d__x000a_FontName=System_x000d__x000a_FontStyle=1_x000d__x000a_FontSize=12_x000d__x000a_PrtFontNa" xfId="36"/>
    <cellStyle name="??&amp;O龡&amp;H?_x0008_??_x0007__x0001__x0001_" xfId="41"/>
    <cellStyle name="??_x005f_x0011_?_x005f_x0010_?" xfId="63"/>
    <cellStyle name="_ET_STYLE_NoName_00_" xfId="54"/>
    <cellStyle name="_ET_STYLE_NoName_00__北区长促工资1004_3" xfId="64"/>
    <cellStyle name="_ET_STYLE_NoName_00__南区长促工资1004_5" xfId="58"/>
    <cellStyle name="_ET_STYLE_NoName_-01_ 3 3 3 2" xfId="5"/>
    <cellStyle name="0,0_x000a__x000a_NA_x000a__x000a_" xfId="67"/>
    <cellStyle name="0,0_x000d__x000a_NA_x000d__x000a_" xfId="22"/>
    <cellStyle name="20% - 强调文字颜色 1 2" xfId="2"/>
    <cellStyle name="20% - 强调文字颜色 1 2 2" xfId="69"/>
    <cellStyle name="20% - 强调文字颜色 1 2 3" xfId="59"/>
    <cellStyle name="20% - 强调文字颜色 1 3" xfId="61"/>
    <cellStyle name="20% - 强调文字颜色 1 3 2" xfId="65"/>
    <cellStyle name="20% - 强调文字颜色 1 4" xfId="60"/>
    <cellStyle name="20% - 强调文字颜色 1 5" xfId="56"/>
    <cellStyle name="20% - 强调文字颜色 2 2" xfId="71"/>
    <cellStyle name="20% - 强调文字颜色 2 2 2" xfId="73"/>
    <cellStyle name="20% - 强调文字颜色 2 2 3" xfId="75"/>
    <cellStyle name="20% - 强调文字颜色 2 3" xfId="77"/>
    <cellStyle name="20% - 强调文字颜色 2 3 2" xfId="79"/>
    <cellStyle name="20% - 强调文字颜色 2 4" xfId="81"/>
    <cellStyle name="20% - 强调文字颜色 2 5" xfId="83"/>
    <cellStyle name="20% - 强调文字颜色 3 2" xfId="85"/>
    <cellStyle name="20% - 强调文字颜色 3 2 2" xfId="87"/>
    <cellStyle name="20% - 强调文字颜色 3 2 3" xfId="89"/>
    <cellStyle name="20% - 强调文字颜色 3 3" xfId="32"/>
    <cellStyle name="20% - 强调文字颜色 3 3 2" xfId="52"/>
    <cellStyle name="20% - 强调文字颜色 3 4" xfId="92"/>
    <cellStyle name="20% - 强调文字颜色 3 5" xfId="94"/>
    <cellStyle name="20% - 强调文字颜色 4 2" xfId="97"/>
    <cellStyle name="20% - 强调文字颜色 4 2 2" xfId="100"/>
    <cellStyle name="20% - 强调文字颜色 4 2 3" xfId="103"/>
    <cellStyle name="20% - 强调文字颜色 4 3" xfId="106"/>
    <cellStyle name="20% - 强调文字颜色 4 3 2" xfId="108"/>
    <cellStyle name="20% - 强调文字颜色 4 4" xfId="111"/>
    <cellStyle name="20% - 强调文字颜色 4 5" xfId="15"/>
    <cellStyle name="20% - 强调文字颜色 5 2" xfId="113"/>
    <cellStyle name="20% - 强调文字颜色 5 2 2" xfId="116"/>
    <cellStyle name="20% - 强调文字颜色 5 2 3" xfId="117"/>
    <cellStyle name="20% - 强调文字颜色 5 3" xfId="119"/>
    <cellStyle name="20% - 强调文字颜色 5 3 2" xfId="122"/>
    <cellStyle name="20% - 强调文字颜色 5 4" xfId="124"/>
    <cellStyle name="20% - 强调文字颜色 5 5" xfId="126"/>
    <cellStyle name="20% - 强调文字颜色 6 2" xfId="127"/>
    <cellStyle name="20% - 强调文字颜色 6 2 2" xfId="129"/>
    <cellStyle name="20% - 强调文字颜色 6 2 3" xfId="131"/>
    <cellStyle name="20% - 强调文字颜色 6 3" xfId="132"/>
    <cellStyle name="20% - 强调文字颜色 6 3 2" xfId="134"/>
    <cellStyle name="20% - 强调文字颜色 6 4" xfId="137"/>
    <cellStyle name="20% - 强调文字颜色 6 5" xfId="140"/>
    <cellStyle name="3232" xfId="115"/>
    <cellStyle name="40% - 强调文字颜色 1 2" xfId="141"/>
    <cellStyle name="40% - 强调文字颜色 1 2 2" xfId="142"/>
    <cellStyle name="40% - 强调文字颜色 1 2 3" xfId="143"/>
    <cellStyle name="40% - 强调文字颜色 1 3" xfId="144"/>
    <cellStyle name="40% - 强调文字颜色 1 3 2" xfId="145"/>
    <cellStyle name="40% - 强调文字颜色 1 4" xfId="146"/>
    <cellStyle name="40% - 强调文字颜色 1 5" xfId="147"/>
    <cellStyle name="40% - 强调文字颜色 2 2" xfId="57"/>
    <cellStyle name="40% - 强调文字颜色 2 2 2" xfId="148"/>
    <cellStyle name="40% - 强调文字颜色 2 2 3" xfId="149"/>
    <cellStyle name="40% - 强调文字颜色 2 3" xfId="150"/>
    <cellStyle name="40% - 强调文字颜色 2 3 2" xfId="151"/>
    <cellStyle name="40% - 强调文字颜色 2 4" xfId="152"/>
    <cellStyle name="40% - 强调文字颜色 2 5" xfId="153"/>
    <cellStyle name="40% - 强调文字颜色 3 2" xfId="155"/>
    <cellStyle name="40% - 强调文字颜色 3 2 2" xfId="157"/>
    <cellStyle name="40% - 强调文字颜色 3 2 3" xfId="158"/>
    <cellStyle name="40% - 强调文字颜色 3 3" xfId="160"/>
    <cellStyle name="40% - 强调文字颜色 3 3 2" xfId="162"/>
    <cellStyle name="40% - 强调文字颜色 3 4" xfId="165"/>
    <cellStyle name="40% - 强调文字颜色 3 5" xfId="166"/>
    <cellStyle name="40% - 强调文字颜色 4 2" xfId="26"/>
    <cellStyle name="40% - 强调文字颜色 4 2 2" xfId="171"/>
    <cellStyle name="40% - 强调文字颜色 4 2 3" xfId="175"/>
    <cellStyle name="40% - 强调文字颜色 4 3" xfId="178"/>
    <cellStyle name="40% - 强调文字颜色 4 3 2" xfId="40"/>
    <cellStyle name="40% - 强调文字颜色 4 4" xfId="128"/>
    <cellStyle name="40% - 强调文字颜色 4 5" xfId="130"/>
    <cellStyle name="40% - 强调文字颜色 5 2" xfId="181"/>
    <cellStyle name="40% - 强调文字颜色 5 2 2" xfId="139"/>
    <cellStyle name="40% - 强调文字颜色 5 2 3" xfId="183"/>
    <cellStyle name="40% - 强调文字颜色 5 3" xfId="185"/>
    <cellStyle name="40% - 强调文字颜色 5 3 2" xfId="187"/>
    <cellStyle name="40% - 强调文字颜色 5 4" xfId="133"/>
    <cellStyle name="40% - 强调文字颜色 5 5" xfId="188"/>
    <cellStyle name="40% - 强调文字颜色 6 2" xfId="191"/>
    <cellStyle name="40% - 强调文字颜色 6 2 2" xfId="192"/>
    <cellStyle name="40% - 强调文字颜色 6 2 3" xfId="193"/>
    <cellStyle name="40% - 强调文字颜色 6 3" xfId="196"/>
    <cellStyle name="40% - 强调文字颜色 6 3 2" xfId="198"/>
    <cellStyle name="40% - 强调文字颜色 6 4" xfId="201"/>
    <cellStyle name="40% - 强调文字颜色 6 5" xfId="30"/>
    <cellStyle name="60% - 强调文字颜色 1 2" xfId="91"/>
    <cellStyle name="60% - 强调文字颜色 1 2 2" xfId="202"/>
    <cellStyle name="60% - 强调文字颜色 1 2 3" xfId="203"/>
    <cellStyle name="60% - 强调文字颜色 1 3" xfId="93"/>
    <cellStyle name="60% - 强调文字颜色 1 3 2" xfId="204"/>
    <cellStyle name="60% - 强调文字颜色 1 4" xfId="205"/>
    <cellStyle name="60% - 强调文字颜色 1 5" xfId="208"/>
    <cellStyle name="60% - 强调文字颜色 2 2" xfId="110"/>
    <cellStyle name="60% - 强调文字颜色 2 2 2" xfId="20"/>
    <cellStyle name="60% - 强调文字颜色 2 2 3" xfId="209"/>
    <cellStyle name="60% - 强调文字颜色 2 3" xfId="14"/>
    <cellStyle name="60% - 强调文字颜色 2 3 2" xfId="212"/>
    <cellStyle name="60% - 强调文字颜色 2 4" xfId="214"/>
    <cellStyle name="60% - 强调文字颜色 2 5" xfId="217"/>
    <cellStyle name="60% - 强调文字颜色 3 2" xfId="123"/>
    <cellStyle name="60% - 强调文字颜色 3 2 2" xfId="219"/>
    <cellStyle name="60% - 强调文字颜色 3 2 3" xfId="220"/>
    <cellStyle name="60% - 强调文字颜色 3 3" xfId="125"/>
    <cellStyle name="60% - 强调文字颜色 3 3 2" xfId="221"/>
    <cellStyle name="60% - 强调文字颜色 3 4" xfId="222"/>
    <cellStyle name="60% - 强调文字颜色 3 5" xfId="223"/>
    <cellStyle name="60% - 强调文字颜色 4 2" xfId="136"/>
    <cellStyle name="60% - 强调文字颜色 4 2 2" xfId="200"/>
    <cellStyle name="60% - 强调文字颜色 4 2 3" xfId="29"/>
    <cellStyle name="60% - 强调文字颜色 4 3" xfId="138"/>
    <cellStyle name="60% - 强调文字颜色 4 3 2" xfId="224"/>
    <cellStyle name="60% - 强调文字颜色 4 4" xfId="182"/>
    <cellStyle name="60% - 强调文字颜色 4 5" xfId="226"/>
    <cellStyle name="60% - 强调文字颜色 5 2" xfId="227"/>
    <cellStyle name="60% - 强调文字颜色 5 2 2" xfId="229"/>
    <cellStyle name="60% - 强调文字颜色 5 2 3" xfId="230"/>
    <cellStyle name="60% - 强调文字颜色 5 3" xfId="186"/>
    <cellStyle name="60% - 强调文字颜色 5 3 2" xfId="231"/>
    <cellStyle name="60% - 强调文字颜色 5 4" xfId="232"/>
    <cellStyle name="60% - 强调文字颜色 5 5" xfId="233"/>
    <cellStyle name="60% - 强调文字颜色 6 2" xfId="234"/>
    <cellStyle name="60% - 强调文字颜色 6 2 2" xfId="237"/>
    <cellStyle name="60% - 强调文字颜色 6 2 3" xfId="239"/>
    <cellStyle name="60% - 强调文字颜色 6 3" xfId="240"/>
    <cellStyle name="60% - 强调文字颜色 6 3 2" xfId="12"/>
    <cellStyle name="60% - 强调文字颜色 6 4" xfId="241"/>
    <cellStyle name="60% - 强调文字颜色 6 5" xfId="242"/>
    <cellStyle name="Comma_SALARYBJ" xfId="244"/>
    <cellStyle name="Normal_08'前程工资8月" xfId="238"/>
    <cellStyle name="百分比 2" xfId="246"/>
    <cellStyle name="百分比 2 2" xfId="247"/>
    <cellStyle name="百分比 3" xfId="121"/>
    <cellStyle name="百分比 4" xfId="21"/>
    <cellStyle name="标题 1 2" xfId="248"/>
    <cellStyle name="标题 1 2 2" xfId="249"/>
    <cellStyle name="标题 1 2 3" xfId="250"/>
    <cellStyle name="标题 1 3" xfId="251"/>
    <cellStyle name="标题 1 3 2" xfId="253"/>
    <cellStyle name="标题 1 4" xfId="254"/>
    <cellStyle name="标题 1 5" xfId="255"/>
    <cellStyle name="标题 2 2" xfId="256"/>
    <cellStyle name="标题 2 2 2" xfId="257"/>
    <cellStyle name="标题 2 2 3" xfId="259"/>
    <cellStyle name="标题 2 3" xfId="260"/>
    <cellStyle name="标题 2 3 2" xfId="262"/>
    <cellStyle name="标题 2 4" xfId="263"/>
    <cellStyle name="标题 2 5" xfId="264"/>
    <cellStyle name="标题 3 2" xfId="265"/>
    <cellStyle name="标题 3 2 2" xfId="267"/>
    <cellStyle name="标题 3 2 3" xfId="268"/>
    <cellStyle name="标题 3 3" xfId="269"/>
    <cellStyle name="标题 3 3 2" xfId="271"/>
    <cellStyle name="标题 3 4" xfId="272"/>
    <cellStyle name="标题 3 5" xfId="273"/>
    <cellStyle name="标题 4 2" xfId="275"/>
    <cellStyle name="标题 4 2 2" xfId="53"/>
    <cellStyle name="标题 4 2 3" xfId="276"/>
    <cellStyle name="标题 4 3" xfId="278"/>
    <cellStyle name="标题 4 3 2" xfId="280"/>
    <cellStyle name="标题 4 4" xfId="170"/>
    <cellStyle name="标题 4 5" xfId="174"/>
    <cellStyle name="标题 5" xfId="282"/>
    <cellStyle name="标题 5 2" xfId="284"/>
    <cellStyle name="标题 5 3" xfId="287"/>
    <cellStyle name="标题 6" xfId="288"/>
    <cellStyle name="标题 6 2" xfId="290"/>
    <cellStyle name="标题 7" xfId="292"/>
    <cellStyle name="标题 8" xfId="293"/>
    <cellStyle name="差 2" xfId="295"/>
    <cellStyle name="差 2 2" xfId="296"/>
    <cellStyle name="差 2 3" xfId="62"/>
    <cellStyle name="差 3" xfId="297"/>
    <cellStyle name="差 3 2" xfId="298"/>
    <cellStyle name="差 4" xfId="245"/>
    <cellStyle name="差 5" xfId="120"/>
    <cellStyle name="常规" xfId="0" builtinId="0"/>
    <cellStyle name="常规 11" xfId="261"/>
    <cellStyle name="常规 11 2" xfId="299"/>
    <cellStyle name="常规 11 3" xfId="301"/>
    <cellStyle name="常规 12" xfId="302"/>
    <cellStyle name="常规 12 2" xfId="303"/>
    <cellStyle name="常规 12 3" xfId="304"/>
    <cellStyle name="常规 14" xfId="306"/>
    <cellStyle name="常规 14 2" xfId="307"/>
    <cellStyle name="常规 14 3" xfId="308"/>
    <cellStyle name="常规 2" xfId="309"/>
    <cellStyle name="常规 2 2" xfId="310"/>
    <cellStyle name="常规 2 2 2" xfId="311"/>
    <cellStyle name="常规 2 2 2 2" xfId="312"/>
    <cellStyle name="常规 2 2 3" xfId="313"/>
    <cellStyle name="常规 2 3" xfId="315"/>
    <cellStyle name="常规 2 3 2" xfId="318"/>
    <cellStyle name="常规 2 3 2 2" xfId="300"/>
    <cellStyle name="常规 2 3 2 3" xfId="68"/>
    <cellStyle name="常规 2 3 3" xfId="319"/>
    <cellStyle name="常规 2 3 4" xfId="320"/>
    <cellStyle name="常规 2 4" xfId="322"/>
    <cellStyle name="常规 2 4 2" xfId="323"/>
    <cellStyle name="常规 2 5" xfId="325"/>
    <cellStyle name="常规 2 5 2" xfId="327"/>
    <cellStyle name="常规 2 6" xfId="329"/>
    <cellStyle name="常规 2 6 2" xfId="331"/>
    <cellStyle name="常规 2 6 2 2" xfId="332"/>
    <cellStyle name="常规 25" xfId="163"/>
    <cellStyle name="常规 27" xfId="333"/>
    <cellStyle name="常规 3" xfId="96"/>
    <cellStyle name="常规 3 2" xfId="99"/>
    <cellStyle name="常规 3 2 2" xfId="335"/>
    <cellStyle name="常规 3 3" xfId="102"/>
    <cellStyle name="常规 3 3 2" xfId="336"/>
    <cellStyle name="常规 3 3 3" xfId="337"/>
    <cellStyle name="常规 3 4" xfId="338"/>
    <cellStyle name="常规 3 4 2" xfId="339"/>
    <cellStyle name="常规 3 4 3" xfId="9"/>
    <cellStyle name="常规 3 5" xfId="341"/>
    <cellStyle name="常规 3 5 2" xfId="343"/>
    <cellStyle name="常规 3 5 3" xfId="236"/>
    <cellStyle name="常规 4" xfId="105"/>
    <cellStyle name="常规 4 2" xfId="107"/>
    <cellStyle name="常规 4 2 2" xfId="345"/>
    <cellStyle name="常规 4 3" xfId="347"/>
    <cellStyle name="常规 4 4" xfId="344"/>
    <cellStyle name="常规 5" xfId="109"/>
    <cellStyle name="常规 5 2" xfId="19"/>
    <cellStyle name="常规 6" xfId="13"/>
    <cellStyle name="常规 6 2" xfId="211"/>
    <cellStyle name="常规 7" xfId="213"/>
    <cellStyle name="常规 7 2" xfId="348"/>
    <cellStyle name="常规 7 3" xfId="11"/>
    <cellStyle name="常规 8" xfId="216"/>
    <cellStyle name="常规 8 2" xfId="34"/>
    <cellStyle name="常规 8 3" xfId="27"/>
    <cellStyle name="常规 8 4" xfId="350"/>
    <cellStyle name="常规 9" xfId="351"/>
    <cellStyle name="常规_0705 UL South CS meeting (chonghua)" xfId="439"/>
    <cellStyle name="常规_Sheet1" xfId="363"/>
    <cellStyle name="常规_创联至信12年工资表sn803808" xfId="225"/>
    <cellStyle name="常规_付款通知书智联（神数系统）" xfId="354"/>
    <cellStyle name="常规_全国客服表格" xfId="316"/>
    <cellStyle name="好 2" xfId="55"/>
    <cellStyle name="好 2 2" xfId="355"/>
    <cellStyle name="好 2 3" xfId="180"/>
    <cellStyle name="好 3" xfId="356"/>
    <cellStyle name="好 3 2" xfId="258"/>
    <cellStyle name="好 4" xfId="357"/>
    <cellStyle name="好 5" xfId="266"/>
    <cellStyle name="汇总 2" xfId="358"/>
    <cellStyle name="汇总 2 2" xfId="277"/>
    <cellStyle name="汇总 2 2 2" xfId="279"/>
    <cellStyle name="汇总 2 3" xfId="169"/>
    <cellStyle name="汇总 2 3 2" xfId="360"/>
    <cellStyle name="汇总 2 4" xfId="173"/>
    <cellStyle name="汇总 3" xfId="252"/>
    <cellStyle name="汇总 3 2" xfId="286"/>
    <cellStyle name="汇总 3 2 2" xfId="45"/>
    <cellStyle name="汇总 3 3" xfId="39"/>
    <cellStyle name="汇总 4" xfId="361"/>
    <cellStyle name="汇总 4 2" xfId="4"/>
    <cellStyle name="汇总 5" xfId="362"/>
    <cellStyle name="汇总 5 2" xfId="365"/>
    <cellStyle name="计算 2" xfId="10"/>
    <cellStyle name="计算 2 2" xfId="154"/>
    <cellStyle name="计算 2 2 2" xfId="156"/>
    <cellStyle name="计算 2 3" xfId="159"/>
    <cellStyle name="计算 2 3 2" xfId="161"/>
    <cellStyle name="计算 2 4" xfId="164"/>
    <cellStyle name="计算 3" xfId="46"/>
    <cellStyle name="计算 3 2" xfId="25"/>
    <cellStyle name="计算 3 2 2" xfId="168"/>
    <cellStyle name="计算 3 3" xfId="177"/>
    <cellStyle name="计算 4" xfId="47"/>
    <cellStyle name="计算 4 2" xfId="179"/>
    <cellStyle name="计算 5" xfId="51"/>
    <cellStyle name="计算 5 2" xfId="190"/>
    <cellStyle name="检查单元格 2" xfId="167"/>
    <cellStyle name="检查单元格 2 2" xfId="359"/>
    <cellStyle name="检查单元格 2 3" xfId="366"/>
    <cellStyle name="检查单元格 3" xfId="172"/>
    <cellStyle name="检查单元格 3 2" xfId="35"/>
    <cellStyle name="检查单元格 4" xfId="367"/>
    <cellStyle name="检查单元格 5" xfId="368"/>
    <cellStyle name="解释性文本 2" xfId="369"/>
    <cellStyle name="解释性文本 2 2" xfId="16"/>
    <cellStyle name="解释性文本 2 3" xfId="281"/>
    <cellStyle name="解释性文本 3" xfId="197"/>
    <cellStyle name="解释性文本 3 2" xfId="370"/>
    <cellStyle name="解释性文本 4" xfId="371"/>
    <cellStyle name="解释性文本 5" xfId="294"/>
    <cellStyle name="警告文本 2" xfId="353"/>
    <cellStyle name="警告文本 2 2" xfId="207"/>
    <cellStyle name="警告文本 2 3" xfId="243"/>
    <cellStyle name="警告文本 3" xfId="373"/>
    <cellStyle name="警告文本 3 2" xfId="215"/>
    <cellStyle name="警告文本 4" xfId="374"/>
    <cellStyle name="警告文本 5" xfId="375"/>
    <cellStyle name="链接单元格 2" xfId="377"/>
    <cellStyle name="链接单元格 2 2" xfId="379"/>
    <cellStyle name="链接单元格 2 3" xfId="380"/>
    <cellStyle name="链接单元格 3" xfId="38"/>
    <cellStyle name="链接单元格 3 2" xfId="1"/>
    <cellStyle name="链接单元格 4" xfId="43"/>
    <cellStyle name="链接单元格 5" xfId="7"/>
    <cellStyle name="千位分隔 2" xfId="381"/>
    <cellStyle name="千位分隔 2 2" xfId="382"/>
    <cellStyle name="千位分隔 3" xfId="274"/>
    <cellStyle name="强调文字颜色 1 2" xfId="383"/>
    <cellStyle name="强调文字颜色 1 2 2" xfId="384"/>
    <cellStyle name="强调文字颜色 1 2 3" xfId="18"/>
    <cellStyle name="强调文字颜色 1 3" xfId="385"/>
    <cellStyle name="强调文字颜色 1 3 2" xfId="386"/>
    <cellStyle name="强调文字颜色 1 4" xfId="283"/>
    <cellStyle name="强调文字颜色 1 5" xfId="285"/>
    <cellStyle name="强调文字颜色 2 2" xfId="387"/>
    <cellStyle name="强调文字颜色 2 2 2" xfId="388"/>
    <cellStyle name="强调文字颜色 2 2 3" xfId="218"/>
    <cellStyle name="强调文字颜色 2 3" xfId="389"/>
    <cellStyle name="强调文字颜色 2 3 2" xfId="8"/>
    <cellStyle name="强调文字颜色 2 4" xfId="289"/>
    <cellStyle name="强调文字颜色 2 5" xfId="3"/>
    <cellStyle name="强调文字颜色 3 2" xfId="391"/>
    <cellStyle name="强调文字颜色 3 2 2" xfId="195"/>
    <cellStyle name="强调文字颜色 3 2 3" xfId="199"/>
    <cellStyle name="强调文字颜色 3 3" xfId="392"/>
    <cellStyle name="强调文字颜色 3 3 2" xfId="305"/>
    <cellStyle name="强调文字颜色 3 4" xfId="393"/>
    <cellStyle name="强调文字颜色 3 5" xfId="364"/>
    <cellStyle name="强调文字颜色 4 2" xfId="324"/>
    <cellStyle name="强调文字颜色 4 2 2" xfId="326"/>
    <cellStyle name="强调文字颜色 4 2 3" xfId="228"/>
    <cellStyle name="强调文字颜色 4 3" xfId="328"/>
    <cellStyle name="强调文字颜色 4 3 2" xfId="330"/>
    <cellStyle name="强调文字颜色 4 4" xfId="394"/>
    <cellStyle name="强调文字颜色 4 5" xfId="396"/>
    <cellStyle name="强调文字颜色 5 2" xfId="340"/>
    <cellStyle name="强调文字颜色 5 2 2" xfId="342"/>
    <cellStyle name="强调文字颜色 5 2 3" xfId="235"/>
    <cellStyle name="强调文字颜色 5 3" xfId="397"/>
    <cellStyle name="强调文字颜色 5 3 2" xfId="398"/>
    <cellStyle name="强调文字颜色 5 4" xfId="399"/>
    <cellStyle name="强调文字颜色 5 5" xfId="66"/>
    <cellStyle name="强调文字颜色 6 2" xfId="400"/>
    <cellStyle name="强调文字颜色 6 2 2" xfId="401"/>
    <cellStyle name="强调文字颜色 6 2 3" xfId="402"/>
    <cellStyle name="强调文字颜色 6 3" xfId="403"/>
    <cellStyle name="强调文字颜色 6 3 2" xfId="349"/>
    <cellStyle name="强调文字颜色 6 4" xfId="404"/>
    <cellStyle name="强调文字颜色 6 5" xfId="405"/>
    <cellStyle name="适中 2" xfId="50"/>
    <cellStyle name="适中 2 2" xfId="189"/>
    <cellStyle name="适中 2 3" xfId="194"/>
    <cellStyle name="适中 3" xfId="406"/>
    <cellStyle name="适中 3 2" xfId="407"/>
    <cellStyle name="适中 4" xfId="334"/>
    <cellStyle name="适中 5" xfId="408"/>
    <cellStyle name="输出 2" xfId="42"/>
    <cellStyle name="输出 2 2" xfId="70"/>
    <cellStyle name="输出 2 2 2" xfId="72"/>
    <cellStyle name="输出 2 2 2 2" xfId="409"/>
    <cellStyle name="输出 2 2 3" xfId="74"/>
    <cellStyle name="输出 2 3" xfId="76"/>
    <cellStyle name="输出 2 3 2" xfId="78"/>
    <cellStyle name="输出 2 3 2 2" xfId="410"/>
    <cellStyle name="输出 2 3 3" xfId="411"/>
    <cellStyle name="输出 2 4" xfId="80"/>
    <cellStyle name="输出 2 4 2" xfId="24"/>
    <cellStyle name="输出 2 5" xfId="82"/>
    <cellStyle name="输出 3" xfId="6"/>
    <cellStyle name="输出 3 2" xfId="84"/>
    <cellStyle name="输出 3 2 2" xfId="86"/>
    <cellStyle name="输出 3 2 2 2" xfId="412"/>
    <cellStyle name="输出 3 2 3" xfId="88"/>
    <cellStyle name="输出 3 3" xfId="31"/>
    <cellStyle name="输出 3 3 2" xfId="49"/>
    <cellStyle name="输出 3 4" xfId="90"/>
    <cellStyle name="输出 4" xfId="44"/>
    <cellStyle name="输出 4 2" xfId="95"/>
    <cellStyle name="输出 4 2 2" xfId="98"/>
    <cellStyle name="输出 4 3" xfId="104"/>
    <cellStyle name="输出 5" xfId="33"/>
    <cellStyle name="输出 5 2" xfId="112"/>
    <cellStyle name="输出 5 2 2" xfId="114"/>
    <cellStyle name="输出 5 3" xfId="118"/>
    <cellStyle name="输入 2" xfId="395"/>
    <cellStyle name="输入 2 2" xfId="414"/>
    <cellStyle name="输入 2 2 2" xfId="176"/>
    <cellStyle name="输入 2 3" xfId="416"/>
    <cellStyle name="输入 2 3 2" xfId="184"/>
    <cellStyle name="输入 2 4" xfId="390"/>
    <cellStyle name="输入 3" xfId="417"/>
    <cellStyle name="输入 3 2" xfId="314"/>
    <cellStyle name="输入 3 2 2" xfId="317"/>
    <cellStyle name="输入 3 3" xfId="321"/>
    <cellStyle name="输入 4" xfId="418"/>
    <cellStyle name="输入 4 2" xfId="101"/>
    <cellStyle name="输入 5" xfId="419"/>
    <cellStyle name="输入 5 2" xfId="346"/>
    <cellStyle name="㼿㼿㼿㼿? 2" xfId="442"/>
    <cellStyle name="㼿㼿㼿㼿㼿" xfId="440"/>
    <cellStyle name="㼿㼿㼿㼿㼿㼿㼿" xfId="441"/>
    <cellStyle name="样式 1" xfId="270"/>
    <cellStyle name="样式 1 2" xfId="420"/>
    <cellStyle name="样式 2" xfId="421"/>
    <cellStyle name="样式 2 2" xfId="422"/>
    <cellStyle name="样式 2 3" xfId="423"/>
    <cellStyle name="样式 2 4" xfId="413"/>
    <cellStyle name="样式 2 5" xfId="415"/>
    <cellStyle name="注释 2" xfId="210"/>
    <cellStyle name="注释 2 2" xfId="424"/>
    <cellStyle name="注释 2 2 2" xfId="425"/>
    <cellStyle name="注释 2 2 2 2" xfId="426"/>
    <cellStyle name="注释 2 2 3" xfId="427"/>
    <cellStyle name="注释 2 3" xfId="28"/>
    <cellStyle name="注释 2 3 2" xfId="376"/>
    <cellStyle name="注释 2 3 2 2" xfId="378"/>
    <cellStyle name="注释 2 3 3" xfId="37"/>
    <cellStyle name="注释 2 4" xfId="428"/>
    <cellStyle name="注释 2 4 2" xfId="291"/>
    <cellStyle name="注释 2 5" xfId="429"/>
    <cellStyle name="注释 3" xfId="430"/>
    <cellStyle name="注释 3 2" xfId="431"/>
    <cellStyle name="注释 3 2 2" xfId="23"/>
    <cellStyle name="注释 3 2 2 2" xfId="135"/>
    <cellStyle name="注释 3 2 3" xfId="48"/>
    <cellStyle name="注释 3 3" xfId="432"/>
    <cellStyle name="注释 3 3 2" xfId="433"/>
    <cellStyle name="注释 3 4" xfId="434"/>
    <cellStyle name="注释 4" xfId="435"/>
    <cellStyle name="注释 4 2" xfId="436"/>
    <cellStyle name="注释 4 2 2" xfId="437"/>
    <cellStyle name="注释 4 3" xfId="438"/>
    <cellStyle name="注释 5" xfId="17"/>
    <cellStyle name="注释 5 2" xfId="352"/>
    <cellStyle name="注释 5 2 2" xfId="206"/>
    <cellStyle name="注释 5 3" xfId="372"/>
  </cellStyles>
  <dxfs count="101">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ont>
        <b val="0"/>
        <color indexed="20"/>
      </font>
      <fill>
        <patternFill patternType="solid">
          <bgColor indexed="45"/>
        </patternFill>
      </fill>
    </dxf>
    <dxf>
      <fill>
        <patternFill patternType="solid">
          <bgColor indexed="43"/>
        </patternFill>
      </fill>
    </dxf>
    <dxf>
      <fill>
        <patternFill patternType="solid">
          <bgColor indexed="45"/>
        </patternFill>
      </fill>
    </dxf>
  </dxfs>
  <tableStyles count="0" defaultTableStyle="TableStyleMedium2" defaultPivotStyle="PivotStyleLight16"/>
  <colors>
    <mruColors>
      <color rgb="FF79EBA7"/>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xmlns:r="http://schemas.openxmlformats.org/officeDocument/2006/relationships" r:embed="rId1" cstate="print"/>
        <a:srcRect/>
        <a:stretch>
          <a:fillRect/>
        </a:stretch>
      </xdr:blipFill>
      <xdr:spPr>
        <a:xfrm>
          <a:off x="0" y="0"/>
          <a:ext cx="2409825"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5"/>
  <sheetViews>
    <sheetView workbookViewId="0">
      <selection activeCell="H24" sqref="H24"/>
    </sheetView>
  </sheetViews>
  <sheetFormatPr defaultColWidth="9" defaultRowHeight="13.5"/>
  <cols>
    <col min="1" max="2" width="9" style="221"/>
    <col min="3" max="3" width="10.75" style="221" customWidth="1"/>
    <col min="4" max="4" width="16.75" style="221" customWidth="1"/>
    <col min="5" max="5" width="11.75" style="221" customWidth="1"/>
    <col min="6" max="6" width="9" style="221"/>
    <col min="7" max="7" width="10.75" style="221" customWidth="1"/>
    <col min="8" max="12" width="9" style="221"/>
    <col min="13" max="13" width="9.5" style="221" customWidth="1"/>
    <col min="14" max="14" width="16.5" style="221" customWidth="1"/>
    <col min="15" max="16384" width="9" style="221"/>
  </cols>
  <sheetData>
    <row r="1" spans="1:14" ht="25.5">
      <c r="A1" s="283" t="s">
        <v>0</v>
      </c>
      <c r="B1" s="283"/>
      <c r="C1" s="283"/>
      <c r="D1" s="283"/>
      <c r="E1" s="283"/>
      <c r="F1" s="283"/>
      <c r="G1" s="283"/>
      <c r="H1" s="283"/>
      <c r="I1" s="283"/>
      <c r="J1" s="283"/>
      <c r="K1" s="283"/>
      <c r="L1" s="283"/>
      <c r="M1" s="283"/>
      <c r="N1" s="283"/>
    </row>
    <row r="2" spans="1:14" ht="14.25">
      <c r="A2" s="222"/>
      <c r="B2" s="223"/>
      <c r="C2" s="223"/>
      <c r="D2" s="224"/>
      <c r="E2" s="224"/>
      <c r="F2" s="224"/>
      <c r="G2" s="222"/>
      <c r="H2" s="222"/>
      <c r="I2" s="222"/>
      <c r="J2" s="224"/>
      <c r="K2" s="224"/>
      <c r="L2" s="224"/>
      <c r="M2" s="224"/>
      <c r="N2" s="224"/>
    </row>
    <row r="3" spans="1:14">
      <c r="A3" s="225"/>
      <c r="B3" s="226"/>
      <c r="C3" s="227"/>
      <c r="D3" s="228"/>
      <c r="E3" s="229"/>
      <c r="F3" s="229"/>
      <c r="G3" s="230"/>
      <c r="H3" s="231"/>
      <c r="I3" s="226"/>
      <c r="J3" s="227"/>
      <c r="K3" s="228"/>
      <c r="L3" s="264"/>
      <c r="M3" s="224"/>
      <c r="N3" s="224"/>
    </row>
    <row r="4" spans="1:14">
      <c r="A4" s="225"/>
      <c r="B4" s="284" t="s">
        <v>1</v>
      </c>
      <c r="C4" s="284"/>
      <c r="D4" s="284"/>
      <c r="E4" s="284"/>
      <c r="F4" s="285"/>
      <c r="G4" s="232"/>
      <c r="H4" s="231"/>
      <c r="K4" s="224"/>
      <c r="L4" s="265"/>
      <c r="M4" s="266"/>
      <c r="N4" s="224"/>
    </row>
    <row r="5" spans="1:14">
      <c r="A5" s="233"/>
      <c r="B5" s="234" t="s">
        <v>2</v>
      </c>
      <c r="C5" s="228"/>
      <c r="D5" s="228"/>
      <c r="E5" s="228"/>
      <c r="F5" s="228"/>
      <c r="G5" s="228"/>
      <c r="H5" s="235"/>
      <c r="I5" s="231"/>
      <c r="J5" s="226"/>
      <c r="K5" s="227"/>
      <c r="L5" s="264"/>
      <c r="M5" s="224"/>
      <c r="N5" s="224"/>
    </row>
    <row r="6" spans="1:14" ht="9.75" customHeight="1">
      <c r="A6" s="236"/>
      <c r="B6" s="236"/>
      <c r="C6" s="236"/>
      <c r="D6" s="236"/>
      <c r="E6" s="236"/>
      <c r="F6" s="236"/>
      <c r="G6" s="236"/>
      <c r="H6" s="236"/>
      <c r="I6" s="267"/>
      <c r="J6" s="267"/>
      <c r="K6" s="268"/>
      <c r="L6" s="268"/>
      <c r="M6" s="268"/>
      <c r="N6" s="268"/>
    </row>
    <row r="7" spans="1:14" ht="14.25">
      <c r="A7" s="236"/>
      <c r="B7" s="286" t="s">
        <v>3</v>
      </c>
      <c r="C7" s="287"/>
      <c r="D7" s="287"/>
      <c r="E7" s="287"/>
      <c r="F7" s="287"/>
      <c r="G7" s="287"/>
      <c r="H7" s="287"/>
      <c r="I7" s="288" t="s">
        <v>4</v>
      </c>
      <c r="J7" s="288"/>
      <c r="K7" s="269"/>
      <c r="L7" s="223"/>
      <c r="M7" s="223"/>
      <c r="N7" s="270"/>
    </row>
    <row r="8" spans="1:14" ht="14.25">
      <c r="A8" s="236"/>
      <c r="B8" s="289" t="s">
        <v>5</v>
      </c>
      <c r="C8" s="290"/>
      <c r="D8" s="290"/>
      <c r="E8" s="291">
        <f>D10</f>
        <v>87237.42</v>
      </c>
      <c r="F8" s="292"/>
      <c r="G8" s="292"/>
      <c r="H8" s="293"/>
      <c r="I8" s="271"/>
      <c r="J8" s="294" t="s">
        <v>6</v>
      </c>
      <c r="K8" s="294"/>
      <c r="L8" s="294"/>
      <c r="M8" s="294"/>
      <c r="N8" s="294"/>
    </row>
    <row r="9" spans="1:14">
      <c r="A9" s="236"/>
      <c r="B9" s="295" t="s">
        <v>7</v>
      </c>
      <c r="C9" s="296"/>
      <c r="D9" s="296"/>
      <c r="E9" s="297">
        <f>G24</f>
        <v>87237.42</v>
      </c>
      <c r="F9" s="298"/>
      <c r="G9" s="298"/>
      <c r="H9" s="299"/>
      <c r="I9" s="272"/>
      <c r="J9" s="300" t="s">
        <v>8</v>
      </c>
      <c r="K9" s="300"/>
      <c r="L9" s="300"/>
      <c r="M9" s="300"/>
      <c r="N9" s="301"/>
    </row>
    <row r="10" spans="1:14" ht="14.25">
      <c r="A10" s="236"/>
      <c r="B10" s="302" t="s">
        <v>9</v>
      </c>
      <c r="C10" s="303"/>
      <c r="D10" s="237">
        <f>G24</f>
        <v>87237.42</v>
      </c>
      <c r="E10" s="304" t="s">
        <v>10</v>
      </c>
      <c r="F10" s="305"/>
      <c r="G10" s="306"/>
      <c r="H10" s="238">
        <v>0</v>
      </c>
      <c r="I10" s="273"/>
      <c r="J10" s="307" t="s">
        <v>11</v>
      </c>
      <c r="K10" s="307"/>
      <c r="L10" s="307"/>
      <c r="M10" s="307"/>
      <c r="N10" s="308"/>
    </row>
    <row r="11" spans="1:14" ht="14.25">
      <c r="A11" s="236"/>
      <c r="B11" s="309" t="s">
        <v>12</v>
      </c>
      <c r="C11" s="310"/>
      <c r="D11" s="239"/>
      <c r="E11" s="311" t="s">
        <v>13</v>
      </c>
      <c r="F11" s="312"/>
      <c r="G11" s="313"/>
      <c r="H11" s="240"/>
      <c r="I11" s="274"/>
      <c r="J11" s="275"/>
      <c r="K11" s="274"/>
      <c r="L11" s="274"/>
      <c r="M11" s="274"/>
      <c r="N11" s="276"/>
    </row>
    <row r="12" spans="1:14">
      <c r="A12" s="233"/>
      <c r="B12" s="309" t="s">
        <v>14</v>
      </c>
      <c r="C12" s="310"/>
      <c r="D12" s="239">
        <v>0</v>
      </c>
      <c r="E12" s="311" t="s">
        <v>15</v>
      </c>
      <c r="F12" s="312"/>
      <c r="G12" s="313"/>
      <c r="H12" s="240"/>
      <c r="I12" s="277"/>
      <c r="J12" s="278"/>
      <c r="K12" s="314"/>
      <c r="L12" s="314"/>
      <c r="M12" s="314"/>
      <c r="N12" s="314"/>
    </row>
    <row r="13" spans="1:14">
      <c r="A13" s="224"/>
      <c r="B13" s="315" t="s">
        <v>16</v>
      </c>
      <c r="C13" s="316"/>
      <c r="D13" s="241">
        <v>0</v>
      </c>
      <c r="E13" s="317"/>
      <c r="F13" s="318"/>
      <c r="G13" s="319"/>
      <c r="H13" s="242"/>
      <c r="I13" s="236"/>
      <c r="J13" s="279"/>
      <c r="K13" s="320"/>
      <c r="L13" s="320"/>
      <c r="M13" s="320"/>
      <c r="N13" s="320"/>
    </row>
    <row r="14" spans="1:14" ht="5.25" customHeight="1">
      <c r="A14" s="243"/>
      <c r="B14" s="236"/>
      <c r="C14" s="236"/>
      <c r="D14" s="236"/>
      <c r="E14" s="236"/>
      <c r="F14" s="236"/>
      <c r="G14" s="236"/>
      <c r="H14" s="236"/>
      <c r="I14" s="236"/>
      <c r="J14" s="236"/>
      <c r="K14" s="236"/>
      <c r="L14" s="236"/>
      <c r="M14" s="236"/>
      <c r="N14" s="236"/>
    </row>
    <row r="15" spans="1:14">
      <c r="A15" s="321" t="s">
        <v>17</v>
      </c>
      <c r="B15" s="321"/>
      <c r="C15" s="321"/>
      <c r="D15" s="321"/>
      <c r="E15" s="321"/>
      <c r="F15" s="321"/>
      <c r="G15" s="321"/>
      <c r="H15" s="321"/>
      <c r="I15" s="321"/>
      <c r="J15" s="321"/>
      <c r="K15" s="321"/>
      <c r="L15" s="321"/>
      <c r="M15" s="321"/>
      <c r="N15" s="321"/>
    </row>
    <row r="16" spans="1:14" ht="3" customHeight="1">
      <c r="A16" s="224"/>
      <c r="B16" s="224"/>
      <c r="C16" s="224"/>
      <c r="D16" s="224"/>
      <c r="E16" s="224"/>
      <c r="F16" s="224"/>
      <c r="G16" s="224"/>
      <c r="H16" s="224"/>
      <c r="I16" s="224"/>
      <c r="J16" s="224"/>
      <c r="K16" s="224"/>
      <c r="L16" s="224"/>
      <c r="M16" s="224"/>
      <c r="N16" s="224"/>
    </row>
    <row r="17" spans="2:13" ht="18">
      <c r="B17" s="244" t="s">
        <v>18</v>
      </c>
      <c r="C17" s="245" t="s">
        <v>19</v>
      </c>
      <c r="D17" s="322" t="s">
        <v>20</v>
      </c>
      <c r="E17" s="322"/>
      <c r="F17" s="246" t="s">
        <v>21</v>
      </c>
      <c r="G17" s="247" t="s">
        <v>22</v>
      </c>
      <c r="H17" s="248" t="s">
        <v>23</v>
      </c>
      <c r="J17" s="331" t="s">
        <v>24</v>
      </c>
      <c r="K17" s="331"/>
      <c r="L17" s="331"/>
      <c r="M17" s="331"/>
    </row>
    <row r="18" spans="2:13" ht="16.5">
      <c r="B18" s="249">
        <v>1</v>
      </c>
      <c r="C18" s="330" t="s">
        <v>25</v>
      </c>
      <c r="D18" s="323" t="s">
        <v>26</v>
      </c>
      <c r="E18" s="323"/>
      <c r="F18" s="251"/>
      <c r="G18" s="252">
        <f>'（居民）工资表-5月'!E15</f>
        <v>78656.27</v>
      </c>
      <c r="H18" s="253"/>
      <c r="J18" s="331"/>
      <c r="K18" s="331"/>
      <c r="L18" s="331"/>
      <c r="M18" s="331"/>
    </row>
    <row r="19" spans="2:13" ht="16.5">
      <c r="B19" s="249">
        <v>2</v>
      </c>
      <c r="C19" s="330"/>
      <c r="D19" s="254" t="s">
        <v>27</v>
      </c>
      <c r="E19" s="255" t="s">
        <v>28</v>
      </c>
      <c r="F19" s="251"/>
      <c r="G19" s="252">
        <f>社保1!AX10</f>
        <v>6737.15</v>
      </c>
      <c r="H19" s="256"/>
      <c r="J19" s="331"/>
      <c r="K19" s="331"/>
      <c r="L19" s="331"/>
      <c r="M19" s="331"/>
    </row>
    <row r="20" spans="2:13" ht="16.5">
      <c r="B20" s="249">
        <v>3</v>
      </c>
      <c r="C20" s="330"/>
      <c r="D20" s="254" t="s">
        <v>29</v>
      </c>
      <c r="E20" s="255" t="s">
        <v>28</v>
      </c>
      <c r="F20" s="251"/>
      <c r="G20" s="252">
        <f>社保1!AZ10</f>
        <v>1444</v>
      </c>
      <c r="H20" s="256"/>
      <c r="J20" s="331"/>
      <c r="K20" s="331"/>
      <c r="L20" s="331"/>
      <c r="M20" s="331"/>
    </row>
    <row r="21" spans="2:13" ht="16.5">
      <c r="B21" s="249">
        <v>6</v>
      </c>
      <c r="C21" s="330"/>
      <c r="D21" s="324" t="s">
        <v>30</v>
      </c>
      <c r="E21" s="324"/>
      <c r="F21" s="251"/>
      <c r="G21" s="257">
        <f>G18+G19+G20</f>
        <v>86837.42</v>
      </c>
      <c r="H21" s="258"/>
      <c r="J21" s="331"/>
      <c r="K21" s="331"/>
      <c r="L21" s="331"/>
      <c r="M21" s="331"/>
    </row>
    <row r="22" spans="2:13" ht="16.5">
      <c r="B22" s="249">
        <v>7</v>
      </c>
      <c r="C22" s="250" t="s">
        <v>31</v>
      </c>
      <c r="D22" s="324" t="s">
        <v>32</v>
      </c>
      <c r="E22" s="324"/>
      <c r="F22" s="251"/>
      <c r="G22" s="257">
        <f>社保1!BB10</f>
        <v>400</v>
      </c>
      <c r="H22" s="253"/>
      <c r="J22" s="331"/>
      <c r="K22" s="331"/>
      <c r="L22" s="331"/>
      <c r="M22" s="331"/>
    </row>
    <row r="23" spans="2:13" ht="18" customHeight="1">
      <c r="B23" s="249">
        <v>8</v>
      </c>
      <c r="C23" s="259" t="s">
        <v>33</v>
      </c>
      <c r="D23" s="325">
        <v>5.6000000000000001E-2</v>
      </c>
      <c r="E23" s="325"/>
      <c r="F23" s="325"/>
      <c r="G23" s="257"/>
      <c r="H23" s="253"/>
      <c r="J23" s="331"/>
      <c r="K23" s="331"/>
      <c r="L23" s="331"/>
      <c r="M23" s="331"/>
    </row>
    <row r="24" spans="2:13" ht="16.5">
      <c r="B24" s="326" t="s">
        <v>34</v>
      </c>
      <c r="C24" s="327"/>
      <c r="D24" s="327"/>
      <c r="E24" s="327"/>
      <c r="F24" s="327"/>
      <c r="G24" s="260">
        <f>G21+G22</f>
        <v>87237.42</v>
      </c>
      <c r="H24" s="261"/>
    </row>
    <row r="25" spans="2:13" ht="15.95" customHeight="1">
      <c r="B25" s="328" t="s">
        <v>35</v>
      </c>
      <c r="C25" s="329"/>
      <c r="D25" s="329"/>
      <c r="E25" s="329"/>
      <c r="F25" s="329"/>
      <c r="G25" s="262">
        <f>G24</f>
        <v>87237.42</v>
      </c>
      <c r="H25" s="263"/>
    </row>
  </sheetData>
  <mergeCells count="31">
    <mergeCell ref="B25:F25"/>
    <mergeCell ref="C18:C21"/>
    <mergeCell ref="J17:M23"/>
    <mergeCell ref="D18:E18"/>
    <mergeCell ref="D21:E21"/>
    <mergeCell ref="D22:E22"/>
    <mergeCell ref="D23:F23"/>
    <mergeCell ref="B24:F24"/>
    <mergeCell ref="B13:C13"/>
    <mergeCell ref="E13:G13"/>
    <mergeCell ref="K13:N13"/>
    <mergeCell ref="A15:N15"/>
    <mergeCell ref="D17:E17"/>
    <mergeCell ref="B11:C11"/>
    <mergeCell ref="E11:G11"/>
    <mergeCell ref="B12:C12"/>
    <mergeCell ref="E12:G12"/>
    <mergeCell ref="K12:N12"/>
    <mergeCell ref="B9:D9"/>
    <mergeCell ref="E9:H9"/>
    <mergeCell ref="J9:N9"/>
    <mergeCell ref="B10:C10"/>
    <mergeCell ref="E10:G10"/>
    <mergeCell ref="J10:N10"/>
    <mergeCell ref="A1:N1"/>
    <mergeCell ref="B4:F4"/>
    <mergeCell ref="B7:H7"/>
    <mergeCell ref="I7:J7"/>
    <mergeCell ref="B8:D8"/>
    <mergeCell ref="E8:H8"/>
    <mergeCell ref="J8:N8"/>
  </mergeCells>
  <phoneticPr fontId="13" type="noConversion"/>
  <conditionalFormatting sqref="G20:H20 C21:H21 F19:F22">
    <cfRule type="cellIs" dxfId="100" priority="1" stopIfTrue="1" operator="equal">
      <formula>"信用卡"</formula>
    </cfRule>
    <cfRule type="cellIs" dxfId="99" priority="2" stopIfTrue="1" operator="equal">
      <formula>"現金"</formula>
    </cfRule>
  </conditionalFormatting>
  <pageMargins left="0.75" right="0.75" top="1" bottom="1" header="0.5" footer="0.5"/>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E15" sqref="E15"/>
    </sheetView>
  </sheetViews>
  <sheetFormatPr defaultColWidth="9" defaultRowHeight="13.5" outlineLevelCol="1"/>
  <cols>
    <col min="1" max="1" width="4.5" style="41" customWidth="1"/>
    <col min="2" max="2" width="14"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9.75" style="41" customWidth="1" outlineLevel="1"/>
    <col min="14" max="15" width="9" style="41" customWidth="1" outlineLevel="1"/>
    <col min="16" max="16" width="11.125" style="41" customWidth="1" outlineLevel="1"/>
    <col min="17" max="17" width="9.75" style="41" customWidth="1"/>
    <col min="18" max="18" width="9.5" style="41" customWidth="1"/>
    <col min="19" max="19" width="11.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hidden="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200</v>
      </c>
      <c r="C4" s="53" t="s">
        <v>75</v>
      </c>
      <c r="D4" s="53" t="s">
        <v>185</v>
      </c>
      <c r="E4" s="53" t="s">
        <v>76</v>
      </c>
      <c r="F4" s="54" t="s">
        <v>186</v>
      </c>
      <c r="G4" s="61">
        <v>18035163638</v>
      </c>
      <c r="H4" s="56"/>
      <c r="I4" s="56"/>
      <c r="J4" s="84"/>
      <c r="K4" s="56"/>
      <c r="L4" s="88">
        <v>9280</v>
      </c>
      <c r="M4" s="86">
        <v>264</v>
      </c>
      <c r="N4" s="86">
        <v>66</v>
      </c>
      <c r="O4" s="86">
        <v>9.9</v>
      </c>
      <c r="P4" s="86">
        <v>180</v>
      </c>
      <c r="Q4" s="102">
        <f>ROUND(SUM(M4:P4),2)</f>
        <v>519.9</v>
      </c>
      <c r="R4" s="88">
        <v>0</v>
      </c>
      <c r="S4" s="103">
        <f>L4</f>
        <v>9280</v>
      </c>
      <c r="T4" s="104">
        <v>5000</v>
      </c>
      <c r="U4" s="104">
        <f>Q4</f>
        <v>519.9</v>
      </c>
      <c r="V4" s="88">
        <v>1000</v>
      </c>
      <c r="W4" s="88"/>
      <c r="X4" s="88">
        <v>1000</v>
      </c>
      <c r="Y4" s="88"/>
      <c r="Z4" s="88"/>
      <c r="AA4" s="88"/>
      <c r="AB4" s="103">
        <f>ROUND(SUM(V4:AA4),2)</f>
        <v>2000</v>
      </c>
      <c r="AC4" s="103">
        <f>R4</f>
        <v>0</v>
      </c>
      <c r="AD4" s="105">
        <f>ROUND(S4-T4-U4-AB4-AC4,2)</f>
        <v>1760.1</v>
      </c>
      <c r="AE4" s="106">
        <f>ROUND(MAX((AD4)*{0.03;0.1;0.2;0.25;0.3;0.35;0.45}-{0;2520;16920;31920;52920;85920;181920},0),2)</f>
        <v>52.8</v>
      </c>
      <c r="AF4" s="107">
        <v>0</v>
      </c>
      <c r="AG4" s="107">
        <f>IF((AE4-AF4)&lt;0,0,AE4-AF4)</f>
        <v>52.8</v>
      </c>
      <c r="AH4" s="110">
        <f>ROUND(IF((L4-Q4-AG4)&lt;0,0,(L4-Q4-AG4)),2)</f>
        <v>8707.2999999999993</v>
      </c>
      <c r="AI4" s="111"/>
      <c r="AJ4" s="110">
        <f>AH4+AI4</f>
        <v>8707.2999999999993</v>
      </c>
      <c r="AK4" s="112"/>
      <c r="AL4" s="110">
        <f>AJ4+AG4+AK4</f>
        <v>8760.1</v>
      </c>
      <c r="AM4" s="112"/>
      <c r="AN4" s="112"/>
      <c r="AO4" s="112" t="s">
        <v>201</v>
      </c>
      <c r="AP4" s="112" t="s">
        <v>202</v>
      </c>
      <c r="AQ4" s="112" t="s">
        <v>203</v>
      </c>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IF(SUMPRODUCT(N(E$1:E$8=E4))&gt;1,"重复","不")</f>
        <v>不</v>
      </c>
      <c r="AT4" s="116" t="str">
        <f>IF(SUMPRODUCT(N(AO$1:AO$8=AO4))&gt;1,"重复","不")</f>
        <v>重复</v>
      </c>
    </row>
    <row r="5" spans="1:46" s="38" customFormat="1" ht="18" customHeight="1">
      <c r="A5" s="52">
        <v>2</v>
      </c>
      <c r="B5" s="53" t="s">
        <v>200</v>
      </c>
      <c r="C5" s="53" t="s">
        <v>93</v>
      </c>
      <c r="D5" s="53" t="s">
        <v>185</v>
      </c>
      <c r="E5" s="53" t="s">
        <v>94</v>
      </c>
      <c r="F5" s="54" t="s">
        <v>186</v>
      </c>
      <c r="G5" s="61">
        <v>13944441728</v>
      </c>
      <c r="H5" s="56"/>
      <c r="I5" s="56"/>
      <c r="J5" s="84"/>
      <c r="K5" s="56"/>
      <c r="L5" s="88">
        <v>7000</v>
      </c>
      <c r="M5" s="86">
        <v>268.81</v>
      </c>
      <c r="N5" s="86">
        <v>10.08</v>
      </c>
      <c r="O5" s="86">
        <v>61.06</v>
      </c>
      <c r="P5" s="86">
        <v>79</v>
      </c>
      <c r="Q5" s="102">
        <f>ROUND(SUM(M5:P5),2)</f>
        <v>418.95</v>
      </c>
      <c r="R5" s="88">
        <v>0</v>
      </c>
      <c r="S5" s="103">
        <f>L5</f>
        <v>7000</v>
      </c>
      <c r="T5" s="104">
        <v>5000</v>
      </c>
      <c r="U5" s="104">
        <f>Q5</f>
        <v>418.95</v>
      </c>
      <c r="V5" s="88"/>
      <c r="W5" s="88"/>
      <c r="X5" s="88">
        <v>1000</v>
      </c>
      <c r="Y5" s="88"/>
      <c r="Z5" s="88"/>
      <c r="AA5" s="88"/>
      <c r="AB5" s="103">
        <f>ROUND(SUM(V5:AA5),2)</f>
        <v>1000</v>
      </c>
      <c r="AC5" s="103">
        <f>R5</f>
        <v>0</v>
      </c>
      <c r="AD5" s="105">
        <f>ROUND(S5-T5-U5-AB5-AC5,2)</f>
        <v>581.04999999999995</v>
      </c>
      <c r="AE5" s="106">
        <f>ROUND(MAX((AD5)*{0.03;0.1;0.2;0.25;0.3;0.35;0.45}-{0;2520;16920;31920;52920;85920;181920},0),2)</f>
        <v>17.43</v>
      </c>
      <c r="AF5" s="107">
        <v>0</v>
      </c>
      <c r="AG5" s="107">
        <f>IF((AE5-AF5)&lt;0,0,AE5-AF5)</f>
        <v>17.43</v>
      </c>
      <c r="AH5" s="110">
        <f>ROUND(IF((L5-Q5-AG5)&lt;0,0,(L5-Q5-AG5)),2)</f>
        <v>6563.62</v>
      </c>
      <c r="AI5" s="111"/>
      <c r="AJ5" s="110">
        <f>AH5+AI5</f>
        <v>6563.62</v>
      </c>
      <c r="AK5" s="112"/>
      <c r="AL5" s="110">
        <f>AJ5+AG5+AK5</f>
        <v>6581.05</v>
      </c>
      <c r="AM5" s="112"/>
      <c r="AN5" s="112"/>
      <c r="AO5" s="112" t="s">
        <v>201</v>
      </c>
      <c r="AP5" s="112" t="s">
        <v>202</v>
      </c>
      <c r="AQ5" s="112" t="s">
        <v>203</v>
      </c>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IF(SUMPRODUCT(N(E$1:E$8=E5))&gt;1,"重复","不")</f>
        <v>不</v>
      </c>
      <c r="AT5" s="116" t="str">
        <f>IF(SUMPRODUCT(N(AO$1:AO$8=AO5))&gt;1,"重复","不")</f>
        <v>重复</v>
      </c>
    </row>
    <row r="6" spans="1:46" s="38" customFormat="1" ht="18" customHeight="1">
      <c r="A6" s="52">
        <v>3</v>
      </c>
      <c r="B6" s="53" t="s">
        <v>200</v>
      </c>
      <c r="C6" s="53" t="s">
        <v>110</v>
      </c>
      <c r="D6" s="53" t="s">
        <v>185</v>
      </c>
      <c r="E6" s="282" t="s">
        <v>111</v>
      </c>
      <c r="F6" s="54" t="str">
        <f>IF(MOD(MID(E6,17,1),2)=1,"男","女")</f>
        <v>女</v>
      </c>
      <c r="G6" s="61">
        <v>15360550807</v>
      </c>
      <c r="H6" s="56"/>
      <c r="I6" s="56"/>
      <c r="J6" s="84"/>
      <c r="K6" s="56"/>
      <c r="L6" s="88">
        <v>5700</v>
      </c>
      <c r="M6" s="86">
        <v>367.04</v>
      </c>
      <c r="N6" s="86">
        <v>123.5</v>
      </c>
      <c r="O6" s="86">
        <v>4.2</v>
      </c>
      <c r="P6" s="86">
        <v>105</v>
      </c>
      <c r="Q6" s="102">
        <f>ROUND(SUM(M6:P6),2)</f>
        <v>599.74</v>
      </c>
      <c r="R6" s="88">
        <v>0</v>
      </c>
      <c r="S6" s="103">
        <f>L6</f>
        <v>5700</v>
      </c>
      <c r="T6" s="104">
        <v>5000</v>
      </c>
      <c r="U6" s="104">
        <f>Q6</f>
        <v>599.74</v>
      </c>
      <c r="V6" s="88"/>
      <c r="W6" s="88"/>
      <c r="X6" s="88"/>
      <c r="Y6" s="88">
        <v>1500</v>
      </c>
      <c r="Z6" s="88"/>
      <c r="AA6" s="88"/>
      <c r="AB6" s="103">
        <f>ROUND(SUM(V6:AA6),2)</f>
        <v>1500</v>
      </c>
      <c r="AC6" s="103">
        <f>R6</f>
        <v>0</v>
      </c>
      <c r="AD6" s="105">
        <f>ROUND(S6-T6-U6-AB6-AC6,2)</f>
        <v>-1399.74</v>
      </c>
      <c r="AE6" s="106">
        <f>ROUND(MAX((AD6)*{0.03;0.1;0.2;0.25;0.3;0.35;0.45}-{0;2520;16920;31920;52920;85920;181920},0),2)</f>
        <v>0</v>
      </c>
      <c r="AF6" s="107">
        <v>0</v>
      </c>
      <c r="AG6" s="107">
        <f>IF((AE6-AF6)&lt;0,0,AE6-AF6)</f>
        <v>0</v>
      </c>
      <c r="AH6" s="110">
        <f>ROUND(IF((L6-Q6-AG6)&lt;0,0,(L6-Q6-AG6)),2)</f>
        <v>5100.26</v>
      </c>
      <c r="AI6" s="111"/>
      <c r="AJ6" s="110">
        <f>AH6+AI6</f>
        <v>5100.26</v>
      </c>
      <c r="AK6" s="112"/>
      <c r="AL6" s="110">
        <f>AJ6+AG6+AK6</f>
        <v>5100.26</v>
      </c>
      <c r="AM6" s="112"/>
      <c r="AN6" s="112"/>
      <c r="AO6" s="112" t="s">
        <v>201</v>
      </c>
      <c r="AP6" s="112" t="s">
        <v>202</v>
      </c>
      <c r="AQ6" s="112" t="s">
        <v>203</v>
      </c>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IF(SUMPRODUCT(N(E$1:E$8=E6))&gt;1,"重复","不")</f>
        <v>不</v>
      </c>
      <c r="AT6" s="116" t="str">
        <f>IF(SUMPRODUCT(N(AO$1:AO$8=AO6))&gt;1,"重复","不")</f>
        <v>重复</v>
      </c>
    </row>
    <row r="7" spans="1:46" s="38" customFormat="1" ht="18" customHeight="1">
      <c r="A7" s="52">
        <v>4</v>
      </c>
      <c r="B7" s="53" t="s">
        <v>200</v>
      </c>
      <c r="C7" s="53" t="s">
        <v>103</v>
      </c>
      <c r="D7" s="53" t="s">
        <v>185</v>
      </c>
      <c r="E7" s="282" t="s">
        <v>104</v>
      </c>
      <c r="F7" s="54" t="s">
        <v>186</v>
      </c>
      <c r="G7" s="61">
        <v>18607383005</v>
      </c>
      <c r="H7" s="56"/>
      <c r="I7" s="56"/>
      <c r="J7" s="84"/>
      <c r="K7" s="56"/>
      <c r="L7" s="88">
        <v>31000</v>
      </c>
      <c r="M7" s="86">
        <f>320</f>
        <v>320</v>
      </c>
      <c r="N7" s="86">
        <f>80</f>
        <v>80</v>
      </c>
      <c r="O7" s="86">
        <f>12</f>
        <v>12</v>
      </c>
      <c r="P7" s="86">
        <v>200</v>
      </c>
      <c r="Q7" s="102">
        <f>ROUND(SUM(M7:P7),2)</f>
        <v>612</v>
      </c>
      <c r="R7" s="88">
        <v>0</v>
      </c>
      <c r="S7" s="103">
        <f>L7</f>
        <v>31000</v>
      </c>
      <c r="T7" s="104">
        <v>5000</v>
      </c>
      <c r="U7" s="104">
        <f>Q7</f>
        <v>612</v>
      </c>
      <c r="V7" s="88">
        <v>2000</v>
      </c>
      <c r="W7" s="88">
        <v>1000</v>
      </c>
      <c r="X7" s="88"/>
      <c r="Y7" s="88"/>
      <c r="Z7" s="88"/>
      <c r="AA7" s="88"/>
      <c r="AB7" s="103">
        <f>ROUND(SUM(V7:AA7),2)</f>
        <v>3000</v>
      </c>
      <c r="AC7" s="103">
        <f>R7</f>
        <v>0</v>
      </c>
      <c r="AD7" s="105">
        <f>ROUND(S7-T7-U7-AB7-AC7,2)</f>
        <v>22388</v>
      </c>
      <c r="AE7" s="106">
        <f>ROUND(MAX((AD7)*{0.03;0.1;0.2;0.25;0.3;0.35;0.45}-{0;2520;16920;31920;52920;85920;181920},0),2)</f>
        <v>671.64</v>
      </c>
      <c r="AF7" s="107">
        <v>0</v>
      </c>
      <c r="AG7" s="107">
        <f>IF((AE7-AF7)&lt;0,0,AE7-AF7)</f>
        <v>671.64</v>
      </c>
      <c r="AH7" s="110">
        <f>ROUND(IF((L7-Q7-AG7)&lt;0,0,(L7-Q7-AG7)),2)</f>
        <v>29716.36</v>
      </c>
      <c r="AI7" s="111"/>
      <c r="AJ7" s="110">
        <f>AH7+AI7</f>
        <v>29716.36</v>
      </c>
      <c r="AK7" s="112"/>
      <c r="AL7" s="110">
        <f>AJ7+AG7+AK7</f>
        <v>30388</v>
      </c>
      <c r="AM7" s="112"/>
      <c r="AN7" s="112"/>
      <c r="AO7" s="112" t="s">
        <v>201</v>
      </c>
      <c r="AP7" s="112" t="s">
        <v>202</v>
      </c>
      <c r="AQ7" s="112" t="s">
        <v>203</v>
      </c>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IF(SUMPRODUCT(N(E$1:E$8=E7))&gt;1,"重复","不")</f>
        <v>不</v>
      </c>
      <c r="AT7" s="116" t="str">
        <f>IF(SUMPRODUCT(N(AO$1:AO$8=AO7))&gt;1,"重复","不")</f>
        <v>重复</v>
      </c>
    </row>
    <row r="8" spans="1:46" s="38" customFormat="1" ht="18" customHeight="1">
      <c r="A8" s="52">
        <v>5</v>
      </c>
      <c r="B8" s="53" t="s">
        <v>200</v>
      </c>
      <c r="C8" s="53" t="s">
        <v>107</v>
      </c>
      <c r="D8" s="53" t="s">
        <v>185</v>
      </c>
      <c r="E8" s="53" t="s">
        <v>108</v>
      </c>
      <c r="F8" s="54" t="s">
        <v>186</v>
      </c>
      <c r="G8" s="61">
        <v>13373825180</v>
      </c>
      <c r="H8" s="56"/>
      <c r="I8" s="56"/>
      <c r="J8" s="84"/>
      <c r="K8" s="56"/>
      <c r="L8" s="88">
        <v>26739</v>
      </c>
      <c r="M8" s="86">
        <v>261.04000000000002</v>
      </c>
      <c r="N8" s="86">
        <v>9.1</v>
      </c>
      <c r="O8" s="86">
        <v>57.18</v>
      </c>
      <c r="P8" s="86">
        <v>85</v>
      </c>
      <c r="Q8" s="102">
        <f>ROUND(SUM(M8:P8),2)</f>
        <v>412.32</v>
      </c>
      <c r="R8" s="88">
        <v>0</v>
      </c>
      <c r="S8" s="103">
        <f>L8</f>
        <v>26739</v>
      </c>
      <c r="T8" s="104">
        <v>5000</v>
      </c>
      <c r="U8" s="104">
        <f>Q8</f>
        <v>412.32</v>
      </c>
      <c r="V8" s="88">
        <v>1000</v>
      </c>
      <c r="W8" s="88">
        <v>1000</v>
      </c>
      <c r="X8" s="88">
        <v>1000</v>
      </c>
      <c r="Y8" s="88"/>
      <c r="Z8" s="88"/>
      <c r="AA8" s="88"/>
      <c r="AB8" s="103">
        <f>ROUND(SUM(V8:AA8),2)</f>
        <v>3000</v>
      </c>
      <c r="AC8" s="103">
        <f>R8</f>
        <v>0</v>
      </c>
      <c r="AD8" s="105">
        <f>ROUND(S8-T8-U8-AB8-AC8,2)</f>
        <v>18326.68</v>
      </c>
      <c r="AE8" s="106">
        <f>ROUND(MAX((AD8)*{0.03;0.1;0.2;0.25;0.3;0.35;0.45}-{0;2520;16920;31920;52920;85920;181920},0),2)</f>
        <v>549.79999999999995</v>
      </c>
      <c r="AF8" s="107">
        <v>0</v>
      </c>
      <c r="AG8" s="107">
        <f>IF((AE8-AF8)&lt;0,0,AE8-AF8)</f>
        <v>549.79999999999995</v>
      </c>
      <c r="AH8" s="110">
        <f>ROUND(IF((L8-Q8-AG8)&lt;0,0,(L8-Q8-AG8)),2)</f>
        <v>25776.880000000001</v>
      </c>
      <c r="AI8" s="111"/>
      <c r="AJ8" s="110">
        <f>AH8+AI8</f>
        <v>25776.880000000001</v>
      </c>
      <c r="AK8" s="112"/>
      <c r="AL8" s="110">
        <f>AJ8+AG8+AK8</f>
        <v>26326.68</v>
      </c>
      <c r="AM8" s="112"/>
      <c r="AN8" s="112"/>
      <c r="AO8" s="112" t="s">
        <v>201</v>
      </c>
      <c r="AP8" s="112" t="s">
        <v>202</v>
      </c>
      <c r="AQ8" s="112" t="s">
        <v>203</v>
      </c>
      <c r="AR8" s="116"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6" t="str">
        <f>IF(SUMPRODUCT(N(E$1:E$8=E8))&gt;1,"重复","不")</f>
        <v>不</v>
      </c>
      <c r="AT8" s="116" t="str">
        <f>IF(SUMPRODUCT(N(AO$1:AO$8=AO8))&gt;1,"重复","不")</f>
        <v>重复</v>
      </c>
    </row>
    <row r="9" spans="1:46" s="39" customFormat="1" ht="18" customHeight="1">
      <c r="A9" s="62"/>
      <c r="B9" s="63" t="s">
        <v>188</v>
      </c>
      <c r="C9" s="63"/>
      <c r="D9" s="64"/>
      <c r="E9" s="65"/>
      <c r="F9" s="66"/>
      <c r="G9" s="67"/>
      <c r="H9" s="66"/>
      <c r="I9" s="89"/>
      <c r="J9" s="90"/>
      <c r="K9" s="89"/>
      <c r="L9" s="91">
        <f t="shared" ref="L9:AL9" si="0">SUM(L4:L8)</f>
        <v>79719</v>
      </c>
      <c r="M9" s="91">
        <f t="shared" si="0"/>
        <v>1480.89</v>
      </c>
      <c r="N9" s="91">
        <f t="shared" si="0"/>
        <v>288.68</v>
      </c>
      <c r="O9" s="91">
        <f t="shared" si="0"/>
        <v>144.34</v>
      </c>
      <c r="P9" s="91">
        <f t="shared" si="0"/>
        <v>649</v>
      </c>
      <c r="Q9" s="91">
        <f t="shared" si="0"/>
        <v>2562.91</v>
      </c>
      <c r="R9" s="91">
        <f t="shared" si="0"/>
        <v>0</v>
      </c>
      <c r="S9" s="91">
        <f t="shared" si="0"/>
        <v>79719</v>
      </c>
      <c r="T9" s="91">
        <f t="shared" si="0"/>
        <v>25000</v>
      </c>
      <c r="U9" s="91">
        <f t="shared" si="0"/>
        <v>2562.91</v>
      </c>
      <c r="V9" s="91">
        <f t="shared" si="0"/>
        <v>4000</v>
      </c>
      <c r="W9" s="91">
        <f t="shared" si="0"/>
        <v>2000</v>
      </c>
      <c r="X9" s="91">
        <f t="shared" si="0"/>
        <v>3000</v>
      </c>
      <c r="Y9" s="91">
        <f t="shared" si="0"/>
        <v>1500</v>
      </c>
      <c r="Z9" s="91">
        <f t="shared" si="0"/>
        <v>0</v>
      </c>
      <c r="AA9" s="91">
        <f t="shared" si="0"/>
        <v>0</v>
      </c>
      <c r="AB9" s="91">
        <f t="shared" si="0"/>
        <v>10500</v>
      </c>
      <c r="AC9" s="91">
        <f t="shared" si="0"/>
        <v>0</v>
      </c>
      <c r="AD9" s="91">
        <f t="shared" si="0"/>
        <v>41656.089999999997</v>
      </c>
      <c r="AE9" s="91">
        <f t="shared" si="0"/>
        <v>1291.67</v>
      </c>
      <c r="AF9" s="91">
        <f t="shared" si="0"/>
        <v>0</v>
      </c>
      <c r="AG9" s="91">
        <f t="shared" si="0"/>
        <v>1291.67</v>
      </c>
      <c r="AH9" s="91">
        <f t="shared" si="0"/>
        <v>75864.42</v>
      </c>
      <c r="AI9" s="137">
        <f t="shared" si="0"/>
        <v>0</v>
      </c>
      <c r="AJ9" s="91">
        <f t="shared" si="0"/>
        <v>75864.42</v>
      </c>
      <c r="AK9" s="91">
        <f t="shared" si="0"/>
        <v>0</v>
      </c>
      <c r="AL9" s="91">
        <f t="shared" si="0"/>
        <v>77156.09</v>
      </c>
      <c r="AM9" s="113"/>
      <c r="AN9" s="113"/>
      <c r="AO9" s="113"/>
      <c r="AP9" s="113"/>
      <c r="AQ9" s="113"/>
      <c r="AR9" s="66"/>
      <c r="AS9" s="66"/>
      <c r="AT9" s="117"/>
    </row>
    <row r="12" spans="1:46">
      <c r="AD12" s="108"/>
    </row>
    <row r="13" spans="1:46" ht="18.75" customHeight="1">
      <c r="B13" s="68" t="s">
        <v>165</v>
      </c>
      <c r="C13" s="68" t="s">
        <v>189</v>
      </c>
      <c r="D13" s="68" t="s">
        <v>57</v>
      </c>
      <c r="E13" s="68" t="s">
        <v>58</v>
      </c>
      <c r="AD13" s="36"/>
    </row>
    <row r="14" spans="1:46" ht="18.75" customHeight="1">
      <c r="B14" s="69">
        <f>AJ9</f>
        <v>75864.42</v>
      </c>
      <c r="C14" s="69">
        <f>AG9</f>
        <v>1291.67</v>
      </c>
      <c r="D14" s="69">
        <f>AK9</f>
        <v>0</v>
      </c>
      <c r="E14" s="69">
        <f>B14+C14+D14</f>
        <v>77156.09</v>
      </c>
    </row>
    <row r="15" spans="1:46">
      <c r="B15" s="70"/>
      <c r="C15" s="70"/>
      <c r="D15" s="70"/>
      <c r="E15" s="70"/>
    </row>
    <row r="16" spans="1:46" s="40" customFormat="1">
      <c r="A16" s="71" t="s">
        <v>190</v>
      </c>
      <c r="B16" s="72" t="s">
        <v>191</v>
      </c>
      <c r="C16" s="73"/>
      <c r="D16" s="73"/>
      <c r="E16" s="73"/>
      <c r="G16" s="74"/>
      <c r="J16" s="92"/>
      <c r="M16" s="93"/>
      <c r="AI16" s="114"/>
    </row>
    <row r="17" spans="1:35" s="40" customFormat="1">
      <c r="A17" s="75"/>
      <c r="B17" s="76" t="s">
        <v>192</v>
      </c>
      <c r="C17" s="73"/>
      <c r="D17" s="73"/>
      <c r="E17" s="73"/>
      <c r="G17" s="74"/>
      <c r="J17" s="92"/>
      <c r="M17" s="93"/>
      <c r="AI17" s="114"/>
    </row>
    <row r="18" spans="1:35" s="40" customFormat="1">
      <c r="A18" s="72"/>
      <c r="B18" s="76" t="s">
        <v>193</v>
      </c>
      <c r="C18" s="77"/>
      <c r="D18" s="77"/>
      <c r="E18" s="77"/>
      <c r="F18" s="77"/>
      <c r="G18" s="77"/>
      <c r="H18" s="77"/>
      <c r="I18" s="77"/>
      <c r="J18" s="94"/>
      <c r="K18" s="77"/>
      <c r="L18" s="77"/>
      <c r="M18" s="95"/>
      <c r="N18" s="77"/>
      <c r="O18" s="77"/>
      <c r="P18" s="77"/>
      <c r="AI18" s="114"/>
    </row>
    <row r="19" spans="1:35" s="40" customFormat="1" ht="13.5" customHeight="1">
      <c r="A19" s="76"/>
      <c r="B19" s="76" t="s">
        <v>194</v>
      </c>
      <c r="C19" s="78"/>
      <c r="D19" s="78"/>
      <c r="E19" s="78"/>
      <c r="F19" s="78"/>
      <c r="G19" s="78"/>
      <c r="H19" s="78"/>
      <c r="I19" s="96"/>
      <c r="J19" s="97"/>
      <c r="K19" s="96"/>
      <c r="L19" s="96"/>
      <c r="M19" s="98"/>
      <c r="N19" s="96"/>
      <c r="O19" s="96"/>
      <c r="P19" s="96"/>
      <c r="AI19" s="114"/>
    </row>
    <row r="20" spans="1:35" s="40" customFormat="1" ht="13.5" customHeight="1">
      <c r="A20" s="76"/>
      <c r="B20" s="76" t="s">
        <v>195</v>
      </c>
      <c r="C20" s="78"/>
      <c r="D20" s="78"/>
      <c r="E20" s="78"/>
      <c r="F20" s="78"/>
      <c r="G20" s="78"/>
      <c r="H20" s="78"/>
      <c r="I20" s="78"/>
      <c r="J20" s="99"/>
      <c r="K20" s="78"/>
      <c r="L20" s="96"/>
      <c r="M20" s="98"/>
      <c r="N20" s="96"/>
      <c r="O20" s="96"/>
      <c r="P20" s="96"/>
      <c r="AI20" s="114"/>
    </row>
    <row r="21" spans="1:35" s="40" customFormat="1" ht="13.5" customHeight="1">
      <c r="A21" s="76"/>
      <c r="B21" s="76" t="s">
        <v>196</v>
      </c>
      <c r="C21" s="78"/>
      <c r="D21" s="78"/>
      <c r="E21" s="78"/>
      <c r="F21" s="78"/>
      <c r="G21" s="78"/>
      <c r="H21" s="78"/>
      <c r="I21" s="96"/>
      <c r="J21" s="97"/>
      <c r="K21" s="96"/>
      <c r="L21" s="96"/>
      <c r="M21" s="98"/>
      <c r="N21" s="96"/>
      <c r="O21" s="96"/>
      <c r="P21" s="96"/>
      <c r="AI21" s="114"/>
    </row>
    <row r="23" spans="1:35" ht="11.25" customHeight="1">
      <c r="B23" s="79" t="s">
        <v>197</v>
      </c>
    </row>
    <row r="24" spans="1:35">
      <c r="B24" s="80" t="s">
        <v>198</v>
      </c>
    </row>
    <row r="25" spans="1:35">
      <c r="B25" s="80" t="s">
        <v>199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1">
    <cfRule type="duplicateValues" dxfId="44" priority="10" stopIfTrue="1"/>
  </conditionalFormatting>
  <conditionalFormatting sqref="B16:B20">
    <cfRule type="duplicateValues" dxfId="43" priority="13" stopIfTrue="1"/>
  </conditionalFormatting>
  <conditionalFormatting sqref="B24:B25">
    <cfRule type="duplicateValues" dxfId="42" priority="1" stopIfTrue="1"/>
  </conditionalFormatting>
  <conditionalFormatting sqref="C13:C15">
    <cfRule type="duplicateValues" dxfId="41" priority="17" stopIfTrue="1"/>
    <cfRule type="expression" dxfId="40" priority="19" stopIfTrue="1">
      <formula>AND(COUNTIF($B$9:$B$65445,C13)+COUNTIF($B$1:$B$3,C13)&gt;1,NOT(ISBLANK(C13)))</formula>
    </cfRule>
    <cfRule type="expression" dxfId="39" priority="21" stopIfTrue="1">
      <formula>AND(COUNTIF($B$20:$B$65396,C13)+COUNTIF($B$1:$B$19,C13)&gt;1,NOT(ISBLANK(C13)))</formula>
    </cfRule>
    <cfRule type="expression" dxfId="38" priority="23"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G4" activePane="bottomRight" state="frozen"/>
      <selection pane="topRight"/>
      <selection pane="bottomLeft"/>
      <selection pane="bottomRight" activeCell="B4" sqref="B4:P8"/>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3.375"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8000</v>
      </c>
      <c r="M4" s="86">
        <v>264</v>
      </c>
      <c r="N4" s="86">
        <v>66</v>
      </c>
      <c r="O4" s="86">
        <v>9.9</v>
      </c>
      <c r="P4" s="86">
        <v>180</v>
      </c>
      <c r="Q4" s="102">
        <f>ROUND(SUM(M4:P4),2)</f>
        <v>519.9</v>
      </c>
      <c r="R4" s="88">
        <v>0</v>
      </c>
      <c r="S4" s="103">
        <f>L4+IFERROR(VLOOKUP($E:$E,'（居民）工资表-11月'!$E:$S,15,0),0)</f>
        <v>110240</v>
      </c>
      <c r="T4" s="104">
        <f>5000+IFERROR(VLOOKUP($E:$E,'（居民）工资表-11月'!$E:$T,16,0),0)</f>
        <v>60000</v>
      </c>
      <c r="U4" s="104">
        <f>Q4+IFERROR(VLOOKUP($E:$E,'（居民）工资表-11月'!$E:$U,17,0),0)</f>
        <v>6238.7999999999984</v>
      </c>
      <c r="V4" s="88"/>
      <c r="W4" s="88"/>
      <c r="X4" s="88">
        <v>12000</v>
      </c>
      <c r="Y4" s="88"/>
      <c r="Z4" s="88"/>
      <c r="AA4" s="88"/>
      <c r="AB4" s="103">
        <f>ROUND(SUM(V4:AA4),2)</f>
        <v>12000</v>
      </c>
      <c r="AC4" s="103">
        <f>R4+IFERROR(VLOOKUP($E:$E,'（居民）工资表-11月'!$E:$AC,25,0),0)</f>
        <v>0</v>
      </c>
      <c r="AD4" s="105">
        <f>ROUND(S4-T4-U4-AB4-AC4,2)</f>
        <v>32001.200000000001</v>
      </c>
      <c r="AE4" s="106">
        <f>ROUND(MAX((AD4)*{0.03;0.1;0.2;0.25;0.3;0.35;0.45}-{0;2520;16920;31920;52920;85920;181920},0),2)</f>
        <v>960.04</v>
      </c>
      <c r="AF4" s="107">
        <f>IFERROR(VLOOKUP(E:E,'（居民）工资表-11月'!E:AF,28,0)+VLOOKUP(E:E,'（居民）工资表-11月'!E:AG,29,0),0)</f>
        <v>915.63</v>
      </c>
      <c r="AG4" s="107">
        <f>IF((AE4-AF4)&lt;0,0,AE4-AF4)</f>
        <v>44.409999999999968</v>
      </c>
      <c r="AH4" s="110">
        <f>ROUND(IF((L4-Q4-AG4)&lt;0,0,(L4-Q4-AG4)),2)</f>
        <v>7435.69</v>
      </c>
      <c r="AI4" s="111"/>
      <c r="AJ4" s="110">
        <f>AH4+AI4</f>
        <v>7435.69</v>
      </c>
      <c r="AK4" s="112"/>
      <c r="AL4" s="110">
        <f>AJ4+AG4+AK4</f>
        <v>7480.0999999999995</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IF(SUMPRODUCT(N(E$1:E$8=E4))&gt;1,"重复","不")</f>
        <v>不</v>
      </c>
      <c r="AT4" s="116" t="str">
        <f>IF(SUMPRODUCT(N(AO$1:AO$8=AO4))&gt;1,"重复","不")</f>
        <v>重复</v>
      </c>
    </row>
    <row r="5" spans="1:46" s="38" customFormat="1" ht="18" customHeight="1">
      <c r="A5" s="52">
        <v>2</v>
      </c>
      <c r="B5" s="53" t="s">
        <v>184</v>
      </c>
      <c r="C5" s="53" t="s">
        <v>93</v>
      </c>
      <c r="D5" s="53" t="s">
        <v>185</v>
      </c>
      <c r="E5" s="53" t="s">
        <v>94</v>
      </c>
      <c r="F5" s="54" t="s">
        <v>186</v>
      </c>
      <c r="G5" s="61">
        <v>13944441728</v>
      </c>
      <c r="H5" s="56"/>
      <c r="I5" s="56"/>
      <c r="J5" s="84"/>
      <c r="K5" s="56"/>
      <c r="L5" s="88">
        <v>7000</v>
      </c>
      <c r="M5" s="86">
        <v>268.81</v>
      </c>
      <c r="N5" s="86">
        <v>10.08</v>
      </c>
      <c r="O5" s="86">
        <v>61.06</v>
      </c>
      <c r="P5" s="86">
        <v>79</v>
      </c>
      <c r="Q5" s="102">
        <f>ROUND(SUM(M5:P5),2)</f>
        <v>418.95</v>
      </c>
      <c r="R5" s="88">
        <v>0</v>
      </c>
      <c r="S5" s="103">
        <f>L5+IFERROR(VLOOKUP($E:$E,'（居民）工资表-11月'!$E:$S,15,0),0)</f>
        <v>84851.4</v>
      </c>
      <c r="T5" s="104">
        <f>5000+IFERROR(VLOOKUP($E:$E,'（居民）工资表-11月'!$E:$T,16,0),0)</f>
        <v>60000</v>
      </c>
      <c r="U5" s="104">
        <f>Q5+IFERROR(VLOOKUP($E:$E,'（居民）工资表-11月'!$E:$U,17,0),0)</f>
        <v>5465.37</v>
      </c>
      <c r="V5" s="88"/>
      <c r="W5" s="88"/>
      <c r="X5" s="88"/>
      <c r="Y5" s="88"/>
      <c r="Z5" s="88"/>
      <c r="AA5" s="88"/>
      <c r="AB5" s="103">
        <f>ROUND(SUM(V5:AA5),2)</f>
        <v>0</v>
      </c>
      <c r="AC5" s="103">
        <f>R5+IFERROR(VLOOKUP($E:$E,'（居民）工资表-11月'!$E:$AC,25,0),0)</f>
        <v>0</v>
      </c>
      <c r="AD5" s="105">
        <f>ROUND(S5-T5-U5-AB5-AC5,2)</f>
        <v>19386.03</v>
      </c>
      <c r="AE5" s="106">
        <f>ROUND(MAX((AD5)*{0.03;0.1;0.2;0.25;0.3;0.35;0.45}-{0;2520;16920;31920;52920;85920;181920},0),2)</f>
        <v>581.58000000000004</v>
      </c>
      <c r="AF5" s="107">
        <f>IFERROR(VLOOKUP(E:E,'（居民）工资表-11月'!E:AF,28,0)+VLOOKUP(E:E,'（居民）工资表-11月'!E:AG,29,0),0)</f>
        <v>534.15</v>
      </c>
      <c r="AG5" s="107">
        <f>IF((AE5-AF5)&lt;0,0,AE5-AF5)</f>
        <v>47.430000000000064</v>
      </c>
      <c r="AH5" s="110">
        <f>ROUND(IF((L5-Q5-AG5)&lt;0,0,(L5-Q5-AG5)),2)</f>
        <v>6533.62</v>
      </c>
      <c r="AI5" s="111"/>
      <c r="AJ5" s="110">
        <f>AH5+AI5</f>
        <v>6533.62</v>
      </c>
      <c r="AK5" s="112"/>
      <c r="AL5" s="110">
        <f>AJ5+AG5+AK5</f>
        <v>6581.05</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IF(SUMPRODUCT(N(E$1:E$8=E5))&gt;1,"重复","不")</f>
        <v>不</v>
      </c>
      <c r="AT5" s="116" t="str">
        <f>IF(SUMPRODUCT(N(AO$1:AO$8=AO5))&gt;1,"重复","不")</f>
        <v>重复</v>
      </c>
    </row>
    <row r="6" spans="1:46" s="38" customFormat="1" ht="18" customHeight="1">
      <c r="A6" s="52">
        <v>3</v>
      </c>
      <c r="B6" s="53" t="s">
        <v>184</v>
      </c>
      <c r="C6" s="53" t="s">
        <v>110</v>
      </c>
      <c r="D6" s="53" t="s">
        <v>185</v>
      </c>
      <c r="E6" s="282" t="s">
        <v>111</v>
      </c>
      <c r="F6" s="54" t="str">
        <f>IF(MOD(MID(E6,17,1),2)=1,"男","女")</f>
        <v>女</v>
      </c>
      <c r="G6" s="61">
        <v>15360550807</v>
      </c>
      <c r="H6" s="56"/>
      <c r="I6" s="56"/>
      <c r="J6" s="84"/>
      <c r="K6" s="56"/>
      <c r="L6" s="88">
        <v>5700</v>
      </c>
      <c r="M6" s="86">
        <v>367.04</v>
      </c>
      <c r="N6" s="86">
        <v>123.5</v>
      </c>
      <c r="O6" s="86">
        <v>4.2</v>
      </c>
      <c r="P6" s="86">
        <v>105</v>
      </c>
      <c r="Q6" s="102">
        <f>ROUND(SUM(M6:P6),2)</f>
        <v>599.74</v>
      </c>
      <c r="R6" s="88">
        <v>0</v>
      </c>
      <c r="S6" s="103">
        <f>L6+IFERROR(VLOOKUP($E:$E,'（居民）工资表-11月'!$E:$S,15,0),0)</f>
        <v>29743.63636363636</v>
      </c>
      <c r="T6" s="104">
        <f>5000+IFERROR(VLOOKUP($E:$E,'（居民）工资表-11月'!$E:$T,16,0),0)</f>
        <v>30000</v>
      </c>
      <c r="U6" s="104">
        <f>Q6+IFERROR(VLOOKUP($E:$E,'（居民）工资表-11月'!$E:$U,17,0),0)</f>
        <v>1199.48</v>
      </c>
      <c r="V6" s="88"/>
      <c r="W6" s="88"/>
      <c r="X6" s="88"/>
      <c r="Y6" s="88"/>
      <c r="Z6" s="88"/>
      <c r="AA6" s="88"/>
      <c r="AB6" s="103">
        <f>ROUND(SUM(V6:AA6),2)</f>
        <v>0</v>
      </c>
      <c r="AC6" s="103">
        <f>R6+IFERROR(VLOOKUP($E:$E,'（居民）工资表-11月'!$E:$AC,25,0),0)</f>
        <v>0</v>
      </c>
      <c r="AD6" s="105">
        <f>ROUND(S6-T6-U6-AB6-AC6,2)</f>
        <v>-1455.84</v>
      </c>
      <c r="AE6" s="106">
        <f>ROUND(MAX((AD6)*{0.03;0.1;0.2;0.25;0.3;0.35;0.45}-{0;2520;16920;31920;52920;85920;181920},0),2)</f>
        <v>0</v>
      </c>
      <c r="AF6" s="107">
        <f>IFERROR(VLOOKUP(E:E,'（居民）工资表-11月'!E:AF,28,0)+VLOOKUP(E:E,'（居民）工资表-11月'!E:AG,29,0),0)</f>
        <v>0</v>
      </c>
      <c r="AG6" s="107">
        <f>IF((AE6-AF6)&lt;0,0,AE6-AF6)</f>
        <v>0</v>
      </c>
      <c r="AH6" s="110">
        <f>ROUND(IF((L6-Q6-AG6)&lt;0,0,(L6-Q6-AG6)),2)</f>
        <v>5100.26</v>
      </c>
      <c r="AI6" s="111"/>
      <c r="AJ6" s="110">
        <f>AH6+AI6</f>
        <v>5100.26</v>
      </c>
      <c r="AK6" s="112"/>
      <c r="AL6" s="110">
        <f>AJ6+AG6+AK6</f>
        <v>5100.26</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IF(SUMPRODUCT(N(E$1:E$8=E6))&gt;1,"重复","不")</f>
        <v>不</v>
      </c>
      <c r="AT6" s="116" t="str">
        <f>IF(SUMPRODUCT(N(AO$1:AO$8=AO6))&gt;1,"重复","不")</f>
        <v>重复</v>
      </c>
    </row>
    <row r="7" spans="1:46" s="38" customFormat="1" ht="18" customHeight="1">
      <c r="A7" s="52">
        <v>4</v>
      </c>
      <c r="B7" s="53" t="s">
        <v>184</v>
      </c>
      <c r="C7" s="53" t="s">
        <v>103</v>
      </c>
      <c r="D7" s="53" t="s">
        <v>185</v>
      </c>
      <c r="E7" s="282" t="s">
        <v>104</v>
      </c>
      <c r="F7" s="54" t="s">
        <v>186</v>
      </c>
      <c r="G7" s="61">
        <v>18607383005</v>
      </c>
      <c r="H7" s="56"/>
      <c r="I7" s="56"/>
      <c r="J7" s="84"/>
      <c r="K7" s="56"/>
      <c r="L7" s="88">
        <v>25000</v>
      </c>
      <c r="M7" s="86">
        <f>320</f>
        <v>320</v>
      </c>
      <c r="N7" s="86">
        <f>80</f>
        <v>80</v>
      </c>
      <c r="O7" s="86">
        <f>12</f>
        <v>12</v>
      </c>
      <c r="P7" s="86">
        <v>200</v>
      </c>
      <c r="Q7" s="102">
        <f>ROUND(SUM(M7:P7),2)</f>
        <v>612</v>
      </c>
      <c r="R7" s="88">
        <v>0</v>
      </c>
      <c r="S7" s="103">
        <f>L7+IFERROR(VLOOKUP($E:$E,'（居民）工资表-11月'!$E:$S,15,0),0)</f>
        <v>305120</v>
      </c>
      <c r="T7" s="104">
        <f>5000+IFERROR(VLOOKUP($E:$E,'（居民）工资表-11月'!$E:$T,16,0),0)</f>
        <v>60000</v>
      </c>
      <c r="U7" s="104">
        <f>Q7+IFERROR(VLOOKUP($E:$E,'（居民）工资表-11月'!$E:$U,17,0),0)</f>
        <v>8172.67</v>
      </c>
      <c r="V7" s="88"/>
      <c r="W7" s="88"/>
      <c r="X7" s="88"/>
      <c r="Y7" s="88"/>
      <c r="Z7" s="88"/>
      <c r="AA7" s="88"/>
      <c r="AB7" s="103">
        <f>ROUND(SUM(V7:AA7),2)</f>
        <v>0</v>
      </c>
      <c r="AC7" s="103">
        <f>R7+IFERROR(VLOOKUP($E:$E,'（居民）工资表-11月'!$E:$AC,25,0),0)</f>
        <v>0</v>
      </c>
      <c r="AD7" s="105">
        <f>ROUND(S7-T7-U7-AB7-AC7,2)</f>
        <v>236947.33</v>
      </c>
      <c r="AE7" s="106">
        <f>ROUND(MAX((AD7)*{0.03;0.1;0.2;0.25;0.3;0.35;0.45}-{0;2520;16920;31920;52920;85920;181920},0),2)</f>
        <v>30469.47</v>
      </c>
      <c r="AF7" s="107">
        <f>IFERROR(VLOOKUP(E:E,'（居民）工资表-11月'!E:AF,28,0)+VLOOKUP(E:E,'（居民）工资表-11月'!E:AG,29,0),0)</f>
        <v>26591.87</v>
      </c>
      <c r="AG7" s="107">
        <f>IF((AE7-AF7)&lt;0,0,AE7-AF7)</f>
        <v>3877.6000000000022</v>
      </c>
      <c r="AH7" s="110">
        <f>ROUND(IF((L7-Q7-AG7)&lt;0,0,(L7-Q7-AG7)),2)</f>
        <v>20510.400000000001</v>
      </c>
      <c r="AI7" s="111"/>
      <c r="AJ7" s="110">
        <f>AH7+AI7</f>
        <v>20510.400000000001</v>
      </c>
      <c r="AK7" s="112"/>
      <c r="AL7" s="110">
        <f>AJ7+AG7+AK7</f>
        <v>24388.000000000004</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IF(SUMPRODUCT(N(E$1:E$8=E7))&gt;1,"重复","不")</f>
        <v>不</v>
      </c>
      <c r="AT7" s="116" t="str">
        <f>IF(SUMPRODUCT(N(AO$1:AO$8=AO7))&gt;1,"重复","不")</f>
        <v>重复</v>
      </c>
    </row>
    <row r="8" spans="1:46" s="38" customFormat="1" ht="18" customHeight="1">
      <c r="A8" s="52">
        <v>5</v>
      </c>
      <c r="B8" s="53" t="s">
        <v>184</v>
      </c>
      <c r="C8" s="53" t="s">
        <v>107</v>
      </c>
      <c r="D8" s="53" t="s">
        <v>185</v>
      </c>
      <c r="E8" s="53" t="s">
        <v>108</v>
      </c>
      <c r="F8" s="54" t="s">
        <v>186</v>
      </c>
      <c r="G8" s="61">
        <v>13373825180</v>
      </c>
      <c r="H8" s="56"/>
      <c r="I8" s="56"/>
      <c r="J8" s="84"/>
      <c r="K8" s="56"/>
      <c r="L8" s="88">
        <v>25000</v>
      </c>
      <c r="M8" s="86">
        <v>261.04000000000002</v>
      </c>
      <c r="N8" s="86">
        <v>9.1</v>
      </c>
      <c r="O8" s="86">
        <v>57.18</v>
      </c>
      <c r="P8" s="86">
        <v>85</v>
      </c>
      <c r="Q8" s="102">
        <f>ROUND(SUM(M8:P8),2)</f>
        <v>412.32</v>
      </c>
      <c r="R8" s="88">
        <v>0</v>
      </c>
      <c r="S8" s="103">
        <f>L8+IFERROR(VLOOKUP($E:$E,'（居民）工资表-11月'!$E:$S,15,0),0)</f>
        <v>50000</v>
      </c>
      <c r="T8" s="104">
        <f>5000+IFERROR(VLOOKUP($E:$E,'（居民）工资表-11月'!$E:$T,16,0),0)</f>
        <v>10000</v>
      </c>
      <c r="U8" s="104">
        <f>Q8+IFERROR(VLOOKUP($E:$E,'（居民）工资表-11月'!$E:$U,17,0),0)</f>
        <v>1269.46</v>
      </c>
      <c r="V8" s="88"/>
      <c r="W8" s="88"/>
      <c r="X8" s="88"/>
      <c r="Y8" s="88"/>
      <c r="Z8" s="88"/>
      <c r="AA8" s="88"/>
      <c r="AB8" s="103">
        <f>ROUND(SUM(V8:AA8),2)</f>
        <v>0</v>
      </c>
      <c r="AC8" s="103">
        <f>R8+IFERROR(VLOOKUP($E:$E,'（居民）工资表-11月'!$E:$AC,25,0),0)</f>
        <v>0</v>
      </c>
      <c r="AD8" s="105">
        <f>ROUND(S8-T8-U8-AB8-AC8,2)</f>
        <v>38730.54</v>
      </c>
      <c r="AE8" s="106">
        <f>ROUND(MAX((AD8)*{0.03;0.1;0.2;0.25;0.3;0.35;0.45}-{0;2520;16920;31920;52920;85920;181920},0),2)</f>
        <v>1353.05</v>
      </c>
      <c r="AF8" s="107">
        <f>IFERROR(VLOOKUP(E:E,'（居民）工资表-11月'!E:AF,28,0)+VLOOKUP(E:E,'（居民）工资表-11月'!E:AG,29,0),0)</f>
        <v>574.29</v>
      </c>
      <c r="AG8" s="107">
        <f>IF((AE8-AF8)&lt;0,0,AE8-AF8)</f>
        <v>778.76</v>
      </c>
      <c r="AH8" s="110">
        <f>ROUND(IF((L8-Q8-AG8)&lt;0,0,(L8-Q8-AG8)),2)</f>
        <v>23808.92</v>
      </c>
      <c r="AI8" s="111"/>
      <c r="AJ8" s="110">
        <f>AH8+AI8</f>
        <v>23808.92</v>
      </c>
      <c r="AK8" s="112"/>
      <c r="AL8" s="110">
        <f>AJ8+AG8+AK8</f>
        <v>24587.679999999997</v>
      </c>
      <c r="AM8" s="112"/>
      <c r="AN8" s="112"/>
      <c r="AO8" s="112"/>
      <c r="AP8" s="112"/>
      <c r="AQ8" s="112"/>
      <c r="AR8" s="116"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6" t="str">
        <f>IF(SUMPRODUCT(N(E$1:E$8=E8))&gt;1,"重复","不")</f>
        <v>不</v>
      </c>
      <c r="AT8" s="116" t="str">
        <f>IF(SUMPRODUCT(N(AO$1:AO$8=AO8))&gt;1,"重复","不")</f>
        <v>重复</v>
      </c>
    </row>
    <row r="9" spans="1:46" s="39" customFormat="1" ht="18" customHeight="1">
      <c r="A9" s="62"/>
      <c r="B9" s="63" t="s">
        <v>188</v>
      </c>
      <c r="C9" s="63"/>
      <c r="D9" s="64"/>
      <c r="E9" s="65"/>
      <c r="F9" s="66"/>
      <c r="G9" s="67"/>
      <c r="H9" s="66"/>
      <c r="I9" s="89"/>
      <c r="J9" s="90"/>
      <c r="K9" s="89"/>
      <c r="L9" s="91">
        <f t="shared" ref="L9:AL9" si="0">SUM(L4:L8)</f>
        <v>70700</v>
      </c>
      <c r="M9" s="91">
        <f t="shared" si="0"/>
        <v>1480.89</v>
      </c>
      <c r="N9" s="91">
        <f t="shared" si="0"/>
        <v>288.68</v>
      </c>
      <c r="O9" s="91">
        <f t="shared" si="0"/>
        <v>144.34</v>
      </c>
      <c r="P9" s="91">
        <f t="shared" si="0"/>
        <v>649</v>
      </c>
      <c r="Q9" s="91">
        <f t="shared" si="0"/>
        <v>2562.91</v>
      </c>
      <c r="R9" s="91">
        <f t="shared" si="0"/>
        <v>0</v>
      </c>
      <c r="S9" s="91">
        <f t="shared" si="0"/>
        <v>579955.03636363638</v>
      </c>
      <c r="T9" s="91">
        <f t="shared" si="0"/>
        <v>220000</v>
      </c>
      <c r="U9" s="91">
        <f t="shared" si="0"/>
        <v>22345.78</v>
      </c>
      <c r="V9" s="91">
        <f t="shared" si="0"/>
        <v>0</v>
      </c>
      <c r="W9" s="91">
        <f t="shared" si="0"/>
        <v>0</v>
      </c>
      <c r="X9" s="91">
        <f t="shared" si="0"/>
        <v>12000</v>
      </c>
      <c r="Y9" s="91">
        <f t="shared" si="0"/>
        <v>0</v>
      </c>
      <c r="Z9" s="91">
        <f t="shared" si="0"/>
        <v>0</v>
      </c>
      <c r="AA9" s="91">
        <f t="shared" si="0"/>
        <v>0</v>
      </c>
      <c r="AB9" s="91">
        <f t="shared" si="0"/>
        <v>12000</v>
      </c>
      <c r="AC9" s="91">
        <f t="shared" si="0"/>
        <v>0</v>
      </c>
      <c r="AD9" s="91">
        <f t="shared" si="0"/>
        <v>325609.25999999995</v>
      </c>
      <c r="AE9" s="91">
        <f t="shared" si="0"/>
        <v>33364.14</v>
      </c>
      <c r="AF9" s="91">
        <f t="shared" si="0"/>
        <v>28615.94</v>
      </c>
      <c r="AG9" s="91">
        <f t="shared" si="0"/>
        <v>4748.2000000000025</v>
      </c>
      <c r="AH9" s="91">
        <f t="shared" si="0"/>
        <v>63388.89</v>
      </c>
      <c r="AI9" s="137">
        <f t="shared" si="0"/>
        <v>0</v>
      </c>
      <c r="AJ9" s="91">
        <f t="shared" si="0"/>
        <v>63388.89</v>
      </c>
      <c r="AK9" s="91">
        <f t="shared" si="0"/>
        <v>0</v>
      </c>
      <c r="AL9" s="91">
        <f t="shared" si="0"/>
        <v>68137.09</v>
      </c>
      <c r="AM9" s="113"/>
      <c r="AN9" s="113"/>
      <c r="AO9" s="113"/>
      <c r="AP9" s="113"/>
      <c r="AQ9" s="113"/>
      <c r="AR9" s="66"/>
      <c r="AS9" s="66"/>
      <c r="AT9" s="117"/>
    </row>
    <row r="12" spans="1:46">
      <c r="AD12" s="108"/>
    </row>
    <row r="13" spans="1:46" ht="18.75" customHeight="1">
      <c r="B13" s="68" t="s">
        <v>165</v>
      </c>
      <c r="C13" s="68" t="s">
        <v>189</v>
      </c>
      <c r="D13" s="68" t="s">
        <v>57</v>
      </c>
      <c r="E13" s="68" t="s">
        <v>58</v>
      </c>
      <c r="AD13" s="36"/>
    </row>
    <row r="14" spans="1:46" ht="18.75" customHeight="1">
      <c r="B14" s="69">
        <f>AJ9</f>
        <v>63388.89</v>
      </c>
      <c r="C14" s="69">
        <f>AG9</f>
        <v>4748.2000000000025</v>
      </c>
      <c r="D14" s="69">
        <f>AK9</f>
        <v>0</v>
      </c>
      <c r="E14" s="69">
        <f>B14+C14+D14</f>
        <v>68137.09</v>
      </c>
    </row>
    <row r="15" spans="1:46">
      <c r="B15" s="70"/>
      <c r="C15" s="70"/>
      <c r="D15" s="70"/>
      <c r="E15" s="70"/>
    </row>
    <row r="16" spans="1:46" s="40" customFormat="1">
      <c r="A16" s="71" t="s">
        <v>190</v>
      </c>
      <c r="B16" s="72" t="s">
        <v>191</v>
      </c>
      <c r="C16" s="73"/>
      <c r="D16" s="73"/>
      <c r="E16" s="73"/>
      <c r="G16" s="74"/>
      <c r="J16" s="92"/>
      <c r="M16" s="93"/>
      <c r="AI16" s="114"/>
    </row>
    <row r="17" spans="1:35" s="40" customFormat="1">
      <c r="A17" s="75"/>
      <c r="B17" s="76" t="s">
        <v>192</v>
      </c>
      <c r="C17" s="73"/>
      <c r="D17" s="73"/>
      <c r="E17" s="73"/>
      <c r="G17" s="74"/>
      <c r="J17" s="92"/>
      <c r="M17" s="93"/>
      <c r="AI17" s="114"/>
    </row>
    <row r="18" spans="1:35" s="40" customFormat="1">
      <c r="A18" s="72"/>
      <c r="B18" s="76" t="s">
        <v>193</v>
      </c>
      <c r="C18" s="77"/>
      <c r="D18" s="77"/>
      <c r="E18" s="77"/>
      <c r="F18" s="77"/>
      <c r="G18" s="77"/>
      <c r="H18" s="77"/>
      <c r="I18" s="77"/>
      <c r="J18" s="94"/>
      <c r="K18" s="77"/>
      <c r="L18" s="77"/>
      <c r="M18" s="95"/>
      <c r="N18" s="77"/>
      <c r="O18" s="77"/>
      <c r="P18" s="77"/>
      <c r="AI18" s="114"/>
    </row>
    <row r="19" spans="1:35" s="40" customFormat="1" ht="13.5" customHeight="1">
      <c r="A19" s="76"/>
      <c r="B19" s="76" t="s">
        <v>194</v>
      </c>
      <c r="C19" s="78"/>
      <c r="D19" s="78"/>
      <c r="E19" s="78"/>
      <c r="F19" s="78"/>
      <c r="G19" s="78"/>
      <c r="H19" s="78"/>
      <c r="I19" s="96"/>
      <c r="J19" s="97"/>
      <c r="K19" s="96"/>
      <c r="L19" s="96"/>
      <c r="M19" s="98"/>
      <c r="N19" s="96"/>
      <c r="O19" s="96"/>
      <c r="P19" s="96"/>
      <c r="AI19" s="114"/>
    </row>
    <row r="20" spans="1:35" s="40" customFormat="1" ht="13.5" customHeight="1">
      <c r="A20" s="76"/>
      <c r="B20" s="76" t="s">
        <v>195</v>
      </c>
      <c r="C20" s="78"/>
      <c r="D20" s="78"/>
      <c r="E20" s="78"/>
      <c r="F20" s="78"/>
      <c r="G20" s="78"/>
      <c r="H20" s="78"/>
      <c r="I20" s="78"/>
      <c r="J20" s="99"/>
      <c r="K20" s="78"/>
      <c r="L20" s="96"/>
      <c r="M20" s="98"/>
      <c r="N20" s="96"/>
      <c r="O20" s="96"/>
      <c r="P20" s="96"/>
      <c r="AI20" s="114"/>
    </row>
    <row r="21" spans="1:35" s="40" customFormat="1" ht="13.5" customHeight="1">
      <c r="A21" s="76"/>
      <c r="B21" s="76" t="s">
        <v>196</v>
      </c>
      <c r="C21" s="78"/>
      <c r="D21" s="78"/>
      <c r="E21" s="78"/>
      <c r="F21" s="78"/>
      <c r="G21" s="78"/>
      <c r="H21" s="78"/>
      <c r="I21" s="96"/>
      <c r="J21" s="97"/>
      <c r="K21" s="96"/>
      <c r="L21" s="96"/>
      <c r="M21" s="98"/>
      <c r="N21" s="96"/>
      <c r="O21" s="96"/>
      <c r="P21" s="96"/>
      <c r="AI21" s="114"/>
    </row>
    <row r="23" spans="1:35" ht="11.25" customHeight="1">
      <c r="B23" s="79" t="s">
        <v>197</v>
      </c>
    </row>
    <row r="24" spans="1:35">
      <c r="B24" s="80" t="s">
        <v>198</v>
      </c>
    </row>
    <row r="25" spans="1:35">
      <c r="B25" s="80" t="s">
        <v>199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1">
    <cfRule type="duplicateValues" dxfId="37" priority="2" stopIfTrue="1"/>
  </conditionalFormatting>
  <conditionalFormatting sqref="B16:B20">
    <cfRule type="duplicateValues" dxfId="36" priority="3" stopIfTrue="1"/>
  </conditionalFormatting>
  <conditionalFormatting sqref="B24:B25">
    <cfRule type="duplicateValues" dxfId="35" priority="1" stopIfTrue="1"/>
  </conditionalFormatting>
  <conditionalFormatting sqref="C13:C15">
    <cfRule type="duplicateValues" dxfId="34" priority="4" stopIfTrue="1"/>
    <cfRule type="expression" dxfId="33" priority="5" stopIfTrue="1">
      <formula>AND(COUNTIF($B$9:$B$65445,C13)+COUNTIF($B$1:$B$3,C13)&gt;1,NOT(ISBLANK(C13)))</formula>
    </cfRule>
    <cfRule type="expression" dxfId="32" priority="6" stopIfTrue="1">
      <formula>AND(COUNTIF($B$20:$B$65396,C13)+COUNTIF($B$1:$B$19,C13)&gt;1,NOT(ISBLANK(C13)))</formula>
    </cfRule>
    <cfRule type="expression" dxfId="31"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29"/>
  <sheetViews>
    <sheetView workbookViewId="0">
      <pane xSplit="6" ySplit="3" topLeftCell="AD4" activePane="bottomRight" state="frozen"/>
      <selection pane="topRight"/>
      <selection pane="bottomLeft"/>
      <selection pane="bottomRight" activeCell="AH9" sqref="AH9"/>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9.5" style="41" customWidth="1" outlineLevel="1"/>
    <col min="14" max="15" width="9" style="41" customWidth="1" outlineLevel="1"/>
    <col min="16" max="16" width="11.125" style="41" customWidth="1" outlineLevel="1"/>
    <col min="17" max="17" width="9.75" style="41" customWidth="1"/>
    <col min="18" max="18" width="9.5" style="41" customWidth="1"/>
    <col min="19" max="19" width="11.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f>U4/2</f>
        <v>519.9</v>
      </c>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200</v>
      </c>
      <c r="C4" s="53" t="s">
        <v>75</v>
      </c>
      <c r="D4" s="53" t="s">
        <v>185</v>
      </c>
      <c r="E4" s="53" t="s">
        <v>76</v>
      </c>
      <c r="F4" s="54" t="s">
        <v>186</v>
      </c>
      <c r="G4" s="61">
        <v>18035163638</v>
      </c>
      <c r="H4" s="56"/>
      <c r="I4" s="56"/>
      <c r="J4" s="84"/>
      <c r="K4" s="56"/>
      <c r="L4" s="88">
        <v>8490</v>
      </c>
      <c r="M4" s="86">
        <v>264</v>
      </c>
      <c r="N4" s="86">
        <v>66</v>
      </c>
      <c r="O4" s="86">
        <v>9.9</v>
      </c>
      <c r="P4" s="86">
        <v>180</v>
      </c>
      <c r="Q4" s="102">
        <f t="shared" ref="Q4:Q12" si="0">ROUND(SUM(M4:P4),2)</f>
        <v>519.9</v>
      </c>
      <c r="R4" s="88">
        <v>0</v>
      </c>
      <c r="S4" s="103">
        <f>L4+IFERROR(VLOOKUP($E:$E,'（居民）工资表-1月'!$E:$S,15,0),0)</f>
        <v>17770</v>
      </c>
      <c r="T4" s="104">
        <f>5000+IFERROR(VLOOKUP($E:$E,'（居民）工资表-1月'!$E:$T,16,0),0)</f>
        <v>10000</v>
      </c>
      <c r="U4" s="104">
        <f>Q4+IFERROR(VLOOKUP($E:$E,'（居民）工资表-1月'!$E:$U,17,0),0)</f>
        <v>1039.8</v>
      </c>
      <c r="V4" s="136">
        <v>2000</v>
      </c>
      <c r="W4" s="136"/>
      <c r="X4" s="136">
        <v>2000</v>
      </c>
      <c r="Y4" s="136"/>
      <c r="Z4" s="136"/>
      <c r="AA4" s="136"/>
      <c r="AB4" s="103">
        <f>ROUND(SUM(V4:AA4),2)</f>
        <v>4000</v>
      </c>
      <c r="AC4" s="103">
        <f>R4+IFERROR(VLOOKUP($E:$E,'（居民）工资表-1月'!$E:$AC,25,0),0)</f>
        <v>0</v>
      </c>
      <c r="AD4" s="105">
        <f t="shared" ref="AD4:AD12" si="1">ROUND(S4-T4-U4-AB4-AC4,2)</f>
        <v>2730.2</v>
      </c>
      <c r="AE4" s="106">
        <f>ROUND(MAX((AD4)*{0.03;0.1;0.2;0.25;0.3;0.35;0.45}-{0;2520;16920;31920;52920;85920;181920},0),2)</f>
        <v>81.91</v>
      </c>
      <c r="AF4" s="107">
        <f>IFERROR(VLOOKUP(E:E,'（居民）工资表-1月'!E:AF,28,0)+VLOOKUP(E:E,'（居民）工资表-1月'!E:AG,29,0),0)</f>
        <v>52.8</v>
      </c>
      <c r="AG4" s="107">
        <f t="shared" ref="AG4:AG12" si="2">IF((AE4-AF4)&lt;0,0,AE4-AF4)</f>
        <v>29.11</v>
      </c>
      <c r="AH4" s="110">
        <f t="shared" ref="AH4:AH12" si="3">ROUND(IF((L4-Q4-AG4)&lt;0,0,(L4-Q4-AG4)),2)</f>
        <v>7940.99</v>
      </c>
      <c r="AI4" s="111"/>
      <c r="AJ4" s="110">
        <f t="shared" ref="AJ4:AJ12" si="4">AH4+AI4</f>
        <v>7940.99</v>
      </c>
      <c r="AK4" s="112"/>
      <c r="AL4" s="110">
        <f t="shared" ref="AL4:AL12" si="5">AJ4+AG4+AK4</f>
        <v>7970.1</v>
      </c>
      <c r="AM4" s="112"/>
      <c r="AN4" s="112"/>
      <c r="AO4" s="112"/>
      <c r="AP4" s="112"/>
      <c r="AQ4" s="112"/>
      <c r="AR4" s="116"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 t="shared" ref="AS4:AS12" si="7">IF(SUMPRODUCT(N(E$1:E$8=E4))&gt;1,"重复","不")</f>
        <v>不</v>
      </c>
      <c r="AT4" s="116" t="str">
        <f t="shared" ref="AT4:AT12" si="8">IF(SUMPRODUCT(N(AO$1:AO$8=AO4))&gt;1,"重复","不")</f>
        <v>重复</v>
      </c>
    </row>
    <row r="5" spans="1:46" s="38" customFormat="1" ht="18" customHeight="1">
      <c r="A5" s="52">
        <v>2</v>
      </c>
      <c r="B5" s="53" t="s">
        <v>200</v>
      </c>
      <c r="C5" s="53" t="s">
        <v>93</v>
      </c>
      <c r="D5" s="53" t="s">
        <v>185</v>
      </c>
      <c r="E5" s="53" t="s">
        <v>94</v>
      </c>
      <c r="F5" s="54" t="s">
        <v>186</v>
      </c>
      <c r="G5" s="61">
        <v>13944441728</v>
      </c>
      <c r="H5" s="56"/>
      <c r="I5" s="56"/>
      <c r="J5" s="84"/>
      <c r="K5" s="56"/>
      <c r="L5" s="88">
        <v>7000</v>
      </c>
      <c r="M5" s="86">
        <v>268.81</v>
      </c>
      <c r="N5" s="86">
        <v>61.06</v>
      </c>
      <c r="O5" s="86">
        <v>10.08</v>
      </c>
      <c r="P5" s="86">
        <v>79</v>
      </c>
      <c r="Q5" s="102">
        <f t="shared" si="0"/>
        <v>418.95</v>
      </c>
      <c r="R5" s="88">
        <v>0</v>
      </c>
      <c r="S5" s="103">
        <f>L5+IFERROR(VLOOKUP($E:$E,'（居民）工资表-1月'!$E:$S,15,0),0)</f>
        <v>14000</v>
      </c>
      <c r="T5" s="104">
        <f>5000+IFERROR(VLOOKUP($E:$E,'（居民）工资表-1月'!$E:$T,16,0),0)</f>
        <v>10000</v>
      </c>
      <c r="U5" s="104">
        <f>Q5+IFERROR(VLOOKUP($E:$E,'（居民）工资表-1月'!$E:$U,17,0),0)</f>
        <v>837.9</v>
      </c>
      <c r="V5" s="136"/>
      <c r="W5" s="136"/>
      <c r="X5" s="136">
        <v>2000</v>
      </c>
      <c r="Y5" s="136"/>
      <c r="Z5" s="136"/>
      <c r="AA5" s="136"/>
      <c r="AB5" s="103">
        <f t="shared" ref="AB5:AB12" si="9">ROUND(SUM(V5:AA5),2)</f>
        <v>2000</v>
      </c>
      <c r="AC5" s="103">
        <f>R5+IFERROR(VLOOKUP($E:$E,'（居民）工资表-1月'!$E:$AC,25,0),0)</f>
        <v>0</v>
      </c>
      <c r="AD5" s="105">
        <f t="shared" si="1"/>
        <v>1162.0999999999999</v>
      </c>
      <c r="AE5" s="106">
        <f>ROUND(MAX((AD5)*{0.03;0.1;0.2;0.25;0.3;0.35;0.45}-{0;2520;16920;31920;52920;85920;181920},0),2)</f>
        <v>34.86</v>
      </c>
      <c r="AF5" s="107">
        <f>IFERROR(VLOOKUP(E:E,'（居民）工资表-1月'!E:AF,28,0)+VLOOKUP(E:E,'（居民）工资表-1月'!E:AG,29,0),0)</f>
        <v>17.43</v>
      </c>
      <c r="AG5" s="107">
        <f t="shared" si="2"/>
        <v>17.43</v>
      </c>
      <c r="AH5" s="110">
        <f t="shared" si="3"/>
        <v>6563.62</v>
      </c>
      <c r="AI5" s="111"/>
      <c r="AJ5" s="110">
        <f t="shared" si="4"/>
        <v>6563.62</v>
      </c>
      <c r="AK5" s="112"/>
      <c r="AL5" s="110">
        <f t="shared" si="5"/>
        <v>6581.05</v>
      </c>
      <c r="AM5" s="112"/>
      <c r="AN5" s="112"/>
      <c r="AO5" s="112"/>
      <c r="AP5" s="112"/>
      <c r="AQ5" s="112"/>
      <c r="AR5" s="116" t="str">
        <f t="shared" si="6"/>
        <v>正确</v>
      </c>
      <c r="AS5" s="116" t="str">
        <f t="shared" si="7"/>
        <v>不</v>
      </c>
      <c r="AT5" s="116" t="str">
        <f t="shared" si="8"/>
        <v>重复</v>
      </c>
    </row>
    <row r="6" spans="1:46" s="38" customFormat="1" ht="18" customHeight="1">
      <c r="A6" s="52">
        <v>3</v>
      </c>
      <c r="B6" s="53" t="s">
        <v>200</v>
      </c>
      <c r="C6" s="53" t="s">
        <v>110</v>
      </c>
      <c r="D6" s="53" t="s">
        <v>185</v>
      </c>
      <c r="E6" s="282" t="s">
        <v>111</v>
      </c>
      <c r="F6" s="54" t="str">
        <f>IF(MOD(MID(E6,17,1),2)=1,"男","女")</f>
        <v>女</v>
      </c>
      <c r="G6" s="61">
        <v>15360550807</v>
      </c>
      <c r="H6" s="56"/>
      <c r="I6" s="56"/>
      <c r="J6" s="84"/>
      <c r="K6" s="56"/>
      <c r="L6" s="88">
        <v>5700</v>
      </c>
      <c r="M6" s="86">
        <v>367.04</v>
      </c>
      <c r="N6" s="86">
        <v>176.06</v>
      </c>
      <c r="O6" s="86">
        <v>5</v>
      </c>
      <c r="P6" s="86">
        <v>155.91999999999999</v>
      </c>
      <c r="Q6" s="102">
        <f t="shared" si="0"/>
        <v>704.02</v>
      </c>
      <c r="R6" s="88">
        <v>0</v>
      </c>
      <c r="S6" s="103">
        <f>L6+IFERROR(VLOOKUP($E:$E,'（居民）工资表-1月'!$E:$S,15,0),0)</f>
        <v>11400</v>
      </c>
      <c r="T6" s="104">
        <f>5000+IFERROR(VLOOKUP($E:$E,'（居民）工资表-1月'!$E:$T,16,0),0)</f>
        <v>10000</v>
      </c>
      <c r="U6" s="104">
        <f>Q6+IFERROR(VLOOKUP($E:$E,'（居民）工资表-1月'!$E:$U,17,0),0)</f>
        <v>1303.76</v>
      </c>
      <c r="V6" s="136"/>
      <c r="W6" s="136"/>
      <c r="X6" s="136"/>
      <c r="Y6" s="136">
        <v>3000</v>
      </c>
      <c r="Z6" s="136"/>
      <c r="AA6" s="136"/>
      <c r="AB6" s="103">
        <f t="shared" si="9"/>
        <v>3000</v>
      </c>
      <c r="AC6" s="103">
        <f>R6+IFERROR(VLOOKUP($E:$E,'（居民）工资表-1月'!$E:$AC,25,0),0)</f>
        <v>0</v>
      </c>
      <c r="AD6" s="105">
        <f t="shared" si="1"/>
        <v>-2903.76</v>
      </c>
      <c r="AE6" s="106">
        <f>ROUND(MAX((AD6)*{0.03;0.1;0.2;0.25;0.3;0.35;0.45}-{0;2520;16920;31920;52920;85920;181920},0),2)</f>
        <v>0</v>
      </c>
      <c r="AF6" s="107">
        <f>IFERROR(VLOOKUP(E:E,'（居民）工资表-1月'!E:AF,28,0)+VLOOKUP(E:E,'（居民）工资表-1月'!E:AG,29,0),0)</f>
        <v>0</v>
      </c>
      <c r="AG6" s="107">
        <f t="shared" si="2"/>
        <v>0</v>
      </c>
      <c r="AH6" s="110">
        <f t="shared" si="3"/>
        <v>4995.9799999999996</v>
      </c>
      <c r="AI6" s="111"/>
      <c r="AJ6" s="110">
        <f t="shared" si="4"/>
        <v>4995.9799999999996</v>
      </c>
      <c r="AK6" s="112"/>
      <c r="AL6" s="110">
        <f t="shared" si="5"/>
        <v>4995.9799999999996</v>
      </c>
      <c r="AM6" s="112"/>
      <c r="AN6" s="112"/>
      <c r="AO6" s="112"/>
      <c r="AP6" s="112"/>
      <c r="AQ6" s="112"/>
      <c r="AR6" s="116" t="str">
        <f t="shared" si="6"/>
        <v>正确</v>
      </c>
      <c r="AS6" s="116" t="str">
        <f t="shared" si="7"/>
        <v>不</v>
      </c>
      <c r="AT6" s="116" t="str">
        <f t="shared" si="8"/>
        <v>重复</v>
      </c>
    </row>
    <row r="7" spans="1:46" s="38" customFormat="1" ht="18" customHeight="1">
      <c r="A7" s="52">
        <v>4</v>
      </c>
      <c r="B7" s="53" t="s">
        <v>200</v>
      </c>
      <c r="C7" s="53" t="s">
        <v>103</v>
      </c>
      <c r="D7" s="53" t="s">
        <v>185</v>
      </c>
      <c r="E7" s="282" t="s">
        <v>104</v>
      </c>
      <c r="F7" s="54" t="s">
        <v>186</v>
      </c>
      <c r="G7" s="61">
        <v>18607383005</v>
      </c>
      <c r="H7" s="56"/>
      <c r="I7" s="56"/>
      <c r="J7" s="84"/>
      <c r="K7" s="56"/>
      <c r="L7" s="88">
        <v>29000</v>
      </c>
      <c r="M7" s="86">
        <v>320</v>
      </c>
      <c r="N7" s="86">
        <v>210</v>
      </c>
      <c r="O7" s="86">
        <v>12</v>
      </c>
      <c r="P7" s="86">
        <v>330</v>
      </c>
      <c r="Q7" s="102">
        <f t="shared" si="0"/>
        <v>872</v>
      </c>
      <c r="R7" s="88">
        <v>0</v>
      </c>
      <c r="S7" s="103">
        <f>L7+IFERROR(VLOOKUP($E:$E,'（居民）工资表-1月'!$E:$S,15,0),0)</f>
        <v>60000</v>
      </c>
      <c r="T7" s="104">
        <f>5000+IFERROR(VLOOKUP($E:$E,'（居民）工资表-1月'!$E:$T,16,0),0)</f>
        <v>10000</v>
      </c>
      <c r="U7" s="104">
        <f>Q7+IFERROR(VLOOKUP($E:$E,'（居民）工资表-1月'!$E:$U,17,0),0)</f>
        <v>1484</v>
      </c>
      <c r="V7" s="136">
        <v>4000</v>
      </c>
      <c r="W7" s="136">
        <v>2000</v>
      </c>
      <c r="X7" s="136"/>
      <c r="Y7" s="136"/>
      <c r="Z7" s="136"/>
      <c r="AA7" s="136"/>
      <c r="AB7" s="103">
        <f t="shared" si="9"/>
        <v>6000</v>
      </c>
      <c r="AC7" s="103">
        <f>R7+IFERROR(VLOOKUP($E:$E,'（居民）工资表-1月'!$E:$AC,25,0),0)</f>
        <v>0</v>
      </c>
      <c r="AD7" s="105">
        <f t="shared" si="1"/>
        <v>42516</v>
      </c>
      <c r="AE7" s="106">
        <f>ROUND(MAX((AD7)*{0.03;0.1;0.2;0.25;0.3;0.35;0.45}-{0;2520;16920;31920;52920;85920;181920},0),2)</f>
        <v>1731.6</v>
      </c>
      <c r="AF7" s="107">
        <f>IFERROR(VLOOKUP(E:E,'（居民）工资表-1月'!E:AF,28,0)+VLOOKUP(E:E,'（居民）工资表-1月'!E:AG,29,0),0)</f>
        <v>671.64</v>
      </c>
      <c r="AG7" s="107">
        <f t="shared" si="2"/>
        <v>1059.96</v>
      </c>
      <c r="AH7" s="110">
        <f t="shared" si="3"/>
        <v>27068.04</v>
      </c>
      <c r="AI7" s="111"/>
      <c r="AJ7" s="110">
        <f t="shared" si="4"/>
        <v>27068.04</v>
      </c>
      <c r="AK7" s="112"/>
      <c r="AL7" s="110">
        <f t="shared" si="5"/>
        <v>28128</v>
      </c>
      <c r="AM7" s="112"/>
      <c r="AN7" s="112"/>
      <c r="AO7" s="112"/>
      <c r="AP7" s="112"/>
      <c r="AQ7" s="112"/>
      <c r="AR7" s="116" t="str">
        <f t="shared" si="6"/>
        <v>正确</v>
      </c>
      <c r="AS7" s="116" t="str">
        <f t="shared" si="7"/>
        <v>不</v>
      </c>
      <c r="AT7" s="116" t="str">
        <f t="shared" si="8"/>
        <v>重复</v>
      </c>
    </row>
    <row r="8" spans="1:46" s="38" customFormat="1" ht="18" customHeight="1">
      <c r="A8" s="52">
        <v>5</v>
      </c>
      <c r="B8" s="53" t="s">
        <v>200</v>
      </c>
      <c r="C8" s="53" t="s">
        <v>107</v>
      </c>
      <c r="D8" s="53" t="s">
        <v>185</v>
      </c>
      <c r="E8" s="53" t="s">
        <v>108</v>
      </c>
      <c r="F8" s="54" t="s">
        <v>186</v>
      </c>
      <c r="G8" s="61">
        <v>13373825180</v>
      </c>
      <c r="H8" s="56"/>
      <c r="I8" s="56"/>
      <c r="J8" s="84"/>
      <c r="K8" s="56"/>
      <c r="L8" s="88">
        <v>30739</v>
      </c>
      <c r="M8" s="86">
        <v>266.24</v>
      </c>
      <c r="N8" s="86">
        <v>228.02</v>
      </c>
      <c r="O8" s="86">
        <v>12.75</v>
      </c>
      <c r="P8" s="86">
        <v>247.5</v>
      </c>
      <c r="Q8" s="102">
        <f t="shared" si="0"/>
        <v>754.51</v>
      </c>
      <c r="R8" s="88">
        <v>0</v>
      </c>
      <c r="S8" s="103">
        <f>L8+IFERROR(VLOOKUP($E:$E,'（居民）工资表-1月'!$E:$S,15,0),0)</f>
        <v>57478</v>
      </c>
      <c r="T8" s="104">
        <f>5000+IFERROR(VLOOKUP($E:$E,'（居民）工资表-1月'!$E:$T,16,0),0)</f>
        <v>10000</v>
      </c>
      <c r="U8" s="104">
        <f>Q8+IFERROR(VLOOKUP($E:$E,'（居民）工资表-1月'!$E:$U,17,0),0)</f>
        <v>1166.83</v>
      </c>
      <c r="V8" s="136">
        <v>2000</v>
      </c>
      <c r="W8" s="136">
        <v>2000</v>
      </c>
      <c r="X8" s="136">
        <v>2000</v>
      </c>
      <c r="Y8" s="136"/>
      <c r="Z8" s="136"/>
      <c r="AA8" s="136"/>
      <c r="AB8" s="103">
        <f t="shared" si="9"/>
        <v>6000</v>
      </c>
      <c r="AC8" s="103">
        <f>R8+IFERROR(VLOOKUP($E:$E,'（居民）工资表-1月'!$E:$AC,25,0),0)</f>
        <v>0</v>
      </c>
      <c r="AD8" s="105">
        <f t="shared" si="1"/>
        <v>40311.17</v>
      </c>
      <c r="AE8" s="106">
        <f>ROUND(MAX((AD8)*{0.03;0.1;0.2;0.25;0.3;0.35;0.45}-{0;2520;16920;31920;52920;85920;181920},0),2)</f>
        <v>1511.12</v>
      </c>
      <c r="AF8" s="107">
        <f>IFERROR(VLOOKUP(E:E,'（居民）工资表-1月'!E:AF,28,0)+VLOOKUP(E:E,'（居民）工资表-1月'!E:AG,29,0),0)</f>
        <v>549.79999999999995</v>
      </c>
      <c r="AG8" s="107">
        <f t="shared" si="2"/>
        <v>961.32</v>
      </c>
      <c r="AH8" s="110">
        <f t="shared" si="3"/>
        <v>29023.17</v>
      </c>
      <c r="AI8" s="111"/>
      <c r="AJ8" s="110">
        <f t="shared" si="4"/>
        <v>29023.17</v>
      </c>
      <c r="AK8" s="112"/>
      <c r="AL8" s="110">
        <f t="shared" si="5"/>
        <v>29984.49</v>
      </c>
      <c r="AM8" s="112"/>
      <c r="AN8" s="112"/>
      <c r="AO8" s="112"/>
      <c r="AP8" s="112"/>
      <c r="AQ8" s="112"/>
      <c r="AR8" s="116" t="str">
        <f t="shared" si="6"/>
        <v>正确</v>
      </c>
      <c r="AS8" s="116" t="str">
        <f t="shared" si="7"/>
        <v>不</v>
      </c>
      <c r="AT8" s="116" t="str">
        <f t="shared" si="8"/>
        <v>重复</v>
      </c>
    </row>
    <row r="9" spans="1:46" s="38" customFormat="1" ht="18" customHeight="1">
      <c r="A9" s="52">
        <v>6</v>
      </c>
      <c r="B9" s="53" t="s">
        <v>200</v>
      </c>
      <c r="C9" s="53" t="s">
        <v>118</v>
      </c>
      <c r="D9" s="53" t="s">
        <v>185</v>
      </c>
      <c r="E9" s="53" t="s">
        <v>119</v>
      </c>
      <c r="F9" s="54" t="s">
        <v>186</v>
      </c>
      <c r="G9" s="61">
        <v>18037463616</v>
      </c>
      <c r="H9" s="56"/>
      <c r="I9" s="56"/>
      <c r="J9" s="84"/>
      <c r="K9" s="56"/>
      <c r="L9" s="88">
        <v>14200</v>
      </c>
      <c r="M9" s="86">
        <v>508.64</v>
      </c>
      <c r="N9" s="86">
        <v>127.16</v>
      </c>
      <c r="O9" s="86">
        <v>19.079999999999998</v>
      </c>
      <c r="P9" s="86">
        <v>215.58</v>
      </c>
      <c r="Q9" s="102">
        <f t="shared" si="0"/>
        <v>870.46</v>
      </c>
      <c r="R9" s="88">
        <v>0</v>
      </c>
      <c r="S9" s="103">
        <f>L9+IFERROR(VLOOKUP($E:$E,'（居民）工资表-1月'!$E:$S,15,0),0)</f>
        <v>14200</v>
      </c>
      <c r="T9" s="104">
        <f>5000+IFERROR(VLOOKUP($E:$E,'（居民）工资表-1月'!$E:$T,16,0),0)</f>
        <v>5000</v>
      </c>
      <c r="U9" s="104">
        <f>Q9+IFERROR(VLOOKUP($E:$E,'（居民）工资表-1月'!$E:$U,17,0),0)</f>
        <v>870.46</v>
      </c>
      <c r="V9" s="136"/>
      <c r="W9" s="136"/>
      <c r="X9" s="136"/>
      <c r="Y9" s="136"/>
      <c r="Z9" s="136"/>
      <c r="AA9" s="136"/>
      <c r="AB9" s="103">
        <f t="shared" si="9"/>
        <v>0</v>
      </c>
      <c r="AC9" s="103">
        <f>R9+IFERROR(VLOOKUP($E:$E,'（居民）工资表-1月'!$E:$AC,25,0),0)</f>
        <v>0</v>
      </c>
      <c r="AD9" s="105">
        <f t="shared" si="1"/>
        <v>8329.5400000000009</v>
      </c>
      <c r="AE9" s="106">
        <f>ROUND(MAX((AD9)*{0.03;0.1;0.2;0.25;0.3;0.35;0.45}-{0;2520;16920;31920;52920;85920;181920},0),2)</f>
        <v>249.89</v>
      </c>
      <c r="AF9" s="107">
        <f>IFERROR(VLOOKUP(E:E,'（居民）工资表-1月'!E:AF,28,0)+VLOOKUP(E:E,'（居民）工资表-1月'!E:AG,29,0),0)</f>
        <v>0</v>
      </c>
      <c r="AG9" s="107">
        <f t="shared" si="2"/>
        <v>249.89</v>
      </c>
      <c r="AH9" s="110">
        <f t="shared" si="3"/>
        <v>13079.65</v>
      </c>
      <c r="AI9" s="111"/>
      <c r="AJ9" s="110">
        <f t="shared" si="4"/>
        <v>13079.65</v>
      </c>
      <c r="AK9" s="112"/>
      <c r="AL9" s="110">
        <f t="shared" si="5"/>
        <v>13329.54</v>
      </c>
      <c r="AM9" s="112"/>
      <c r="AN9" s="112"/>
      <c r="AO9" s="112"/>
      <c r="AP9" s="112"/>
      <c r="AQ9" s="112"/>
      <c r="AR9" s="116" t="str">
        <f t="shared" si="6"/>
        <v>正确</v>
      </c>
      <c r="AS9" s="116" t="str">
        <f t="shared" si="7"/>
        <v>不</v>
      </c>
      <c r="AT9" s="116" t="str">
        <f t="shared" si="8"/>
        <v>重复</v>
      </c>
    </row>
    <row r="10" spans="1:46" s="38" customFormat="1" ht="18" customHeight="1">
      <c r="A10" s="52">
        <v>7</v>
      </c>
      <c r="B10" s="53" t="s">
        <v>200</v>
      </c>
      <c r="C10" s="53" t="s">
        <v>120</v>
      </c>
      <c r="D10" s="53" t="s">
        <v>185</v>
      </c>
      <c r="E10" s="282" t="s">
        <v>121</v>
      </c>
      <c r="F10" s="54" t="s">
        <v>186</v>
      </c>
      <c r="G10" s="61">
        <v>18500634358</v>
      </c>
      <c r="H10" s="56"/>
      <c r="I10" s="56"/>
      <c r="J10" s="84"/>
      <c r="K10" s="56"/>
      <c r="L10" s="88">
        <v>14500</v>
      </c>
      <c r="M10" s="86">
        <v>508.64</v>
      </c>
      <c r="N10" s="86">
        <v>127.16</v>
      </c>
      <c r="O10" s="86">
        <v>19.079999999999998</v>
      </c>
      <c r="P10" s="86">
        <v>215.58</v>
      </c>
      <c r="Q10" s="102">
        <f t="shared" si="0"/>
        <v>870.46</v>
      </c>
      <c r="R10" s="88">
        <v>0</v>
      </c>
      <c r="S10" s="103">
        <f>L10+IFERROR(VLOOKUP($E:$E,'（居民）工资表-1月'!$E:$S,15,0),0)</f>
        <v>14500</v>
      </c>
      <c r="T10" s="104">
        <f>5000+IFERROR(VLOOKUP($E:$E,'（居民）工资表-1月'!$E:$T,16,0),0)</f>
        <v>5000</v>
      </c>
      <c r="U10" s="104">
        <f>Q10+IFERROR(VLOOKUP($E:$E,'（居民）工资表-1月'!$E:$U,17,0),0)</f>
        <v>870.46</v>
      </c>
      <c r="V10" s="136"/>
      <c r="W10" s="136"/>
      <c r="X10" s="136"/>
      <c r="Y10" s="136"/>
      <c r="Z10" s="136"/>
      <c r="AA10" s="136"/>
      <c r="AB10" s="103">
        <f t="shared" si="9"/>
        <v>0</v>
      </c>
      <c r="AC10" s="103">
        <f>R10+IFERROR(VLOOKUP($E:$E,'（居民）工资表-1月'!$E:$AC,25,0),0)</f>
        <v>0</v>
      </c>
      <c r="AD10" s="105">
        <f t="shared" si="1"/>
        <v>8629.5400000000009</v>
      </c>
      <c r="AE10" s="106">
        <f>ROUND(MAX((AD10)*{0.03;0.1;0.2;0.25;0.3;0.35;0.45}-{0;2520;16920;31920;52920;85920;181920},0),2)</f>
        <v>258.89</v>
      </c>
      <c r="AF10" s="107">
        <f>IFERROR(VLOOKUP(E:E,'（居民）工资表-1月'!E:AF,28,0)+VLOOKUP(E:E,'（居民）工资表-1月'!E:AG,29,0),0)</f>
        <v>0</v>
      </c>
      <c r="AG10" s="107">
        <f t="shared" si="2"/>
        <v>258.89</v>
      </c>
      <c r="AH10" s="110">
        <f t="shared" si="3"/>
        <v>13370.65</v>
      </c>
      <c r="AI10" s="111"/>
      <c r="AJ10" s="110">
        <f t="shared" si="4"/>
        <v>13370.65</v>
      </c>
      <c r="AK10" s="112"/>
      <c r="AL10" s="110">
        <f t="shared" si="5"/>
        <v>13629.54</v>
      </c>
      <c r="AM10" s="112"/>
      <c r="AN10" s="112"/>
      <c r="AO10" s="112"/>
      <c r="AP10" s="112"/>
      <c r="AQ10" s="112"/>
      <c r="AR10" s="116" t="str">
        <f t="shared" si="6"/>
        <v>正确</v>
      </c>
      <c r="AS10" s="116" t="str">
        <f t="shared" si="7"/>
        <v>不</v>
      </c>
      <c r="AT10" s="116" t="str">
        <f t="shared" si="8"/>
        <v>重复</v>
      </c>
    </row>
    <row r="11" spans="1:46" s="38" customFormat="1" ht="18" customHeight="1">
      <c r="A11" s="52">
        <v>8</v>
      </c>
      <c r="B11" s="53" t="s">
        <v>200</v>
      </c>
      <c r="C11" s="53" t="s">
        <v>114</v>
      </c>
      <c r="D11" s="53" t="s">
        <v>185</v>
      </c>
      <c r="E11" s="53" t="s">
        <v>115</v>
      </c>
      <c r="F11" s="54" t="s">
        <v>186</v>
      </c>
      <c r="G11" s="61">
        <v>18738169923</v>
      </c>
      <c r="H11" s="56"/>
      <c r="I11" s="56"/>
      <c r="J11" s="84"/>
      <c r="K11" s="56"/>
      <c r="L11" s="88">
        <v>12000</v>
      </c>
      <c r="M11" s="86">
        <v>508.64</v>
      </c>
      <c r="N11" s="86">
        <v>127.16</v>
      </c>
      <c r="O11" s="86">
        <v>19.079999999999998</v>
      </c>
      <c r="P11" s="86">
        <v>317.58</v>
      </c>
      <c r="Q11" s="102">
        <f t="shared" si="0"/>
        <v>972.46</v>
      </c>
      <c r="R11" s="88">
        <v>0</v>
      </c>
      <c r="S11" s="103">
        <f>L11+IFERROR(VLOOKUP($E:$E,'（居民）工资表-1月'!$E:$S,15,0),0)</f>
        <v>12000</v>
      </c>
      <c r="T11" s="104">
        <f>5000+IFERROR(VLOOKUP($E:$E,'（居民）工资表-1月'!$E:$T,16,0),0)</f>
        <v>5000</v>
      </c>
      <c r="U11" s="104">
        <f>Q11+IFERROR(VLOOKUP($E:$E,'（居民）工资表-1月'!$E:$U,17,0),0)</f>
        <v>972.46</v>
      </c>
      <c r="V11" s="136"/>
      <c r="W11" s="136"/>
      <c r="X11" s="136"/>
      <c r="Y11" s="136"/>
      <c r="Z11" s="136"/>
      <c r="AA11" s="136"/>
      <c r="AB11" s="103">
        <f t="shared" si="9"/>
        <v>0</v>
      </c>
      <c r="AC11" s="103">
        <f>R11+IFERROR(VLOOKUP($E:$E,'（居民）工资表-1月'!$E:$AC,25,0),0)</f>
        <v>0</v>
      </c>
      <c r="AD11" s="105">
        <f t="shared" si="1"/>
        <v>6027.54</v>
      </c>
      <c r="AE11" s="106">
        <f>ROUND(MAX((AD11)*{0.03;0.1;0.2;0.25;0.3;0.35;0.45}-{0;2520;16920;31920;52920;85920;181920},0),2)</f>
        <v>180.83</v>
      </c>
      <c r="AF11" s="107">
        <f>IFERROR(VLOOKUP(E:E,'（居民）工资表-1月'!E:AF,28,0)+VLOOKUP(E:E,'（居民）工资表-1月'!E:AG,29,0),0)</f>
        <v>0</v>
      </c>
      <c r="AG11" s="107">
        <f t="shared" si="2"/>
        <v>180.83</v>
      </c>
      <c r="AH11" s="110">
        <f t="shared" si="3"/>
        <v>10846.71</v>
      </c>
      <c r="AI11" s="111"/>
      <c r="AJ11" s="110">
        <f t="shared" si="4"/>
        <v>10846.71</v>
      </c>
      <c r="AK11" s="112"/>
      <c r="AL11" s="110">
        <f t="shared" si="5"/>
        <v>11027.54</v>
      </c>
      <c r="AM11" s="112"/>
      <c r="AN11" s="112"/>
      <c r="AO11" s="112"/>
      <c r="AP11" s="112"/>
      <c r="AQ11" s="112"/>
      <c r="AR11" s="116" t="str">
        <f t="shared" si="6"/>
        <v>正确</v>
      </c>
      <c r="AS11" s="116" t="str">
        <f t="shared" si="7"/>
        <v>不</v>
      </c>
      <c r="AT11" s="116" t="str">
        <f t="shared" si="8"/>
        <v>重复</v>
      </c>
    </row>
    <row r="12" spans="1:46" s="38" customFormat="1" ht="18" customHeight="1">
      <c r="A12" s="52">
        <v>9</v>
      </c>
      <c r="B12" s="53" t="s">
        <v>200</v>
      </c>
      <c r="C12" s="53" t="s">
        <v>116</v>
      </c>
      <c r="D12" s="53" t="s">
        <v>185</v>
      </c>
      <c r="E12" s="53" t="s">
        <v>117</v>
      </c>
      <c r="F12" s="54" t="s">
        <v>186</v>
      </c>
      <c r="G12" s="61">
        <v>15001138812</v>
      </c>
      <c r="H12" s="56"/>
      <c r="I12" s="56"/>
      <c r="J12" s="84"/>
      <c r="K12" s="56"/>
      <c r="L12" s="88">
        <v>10000</v>
      </c>
      <c r="M12" s="86">
        <v>508.64</v>
      </c>
      <c r="N12" s="86">
        <v>127.16</v>
      </c>
      <c r="O12" s="86">
        <v>19.079999999999998</v>
      </c>
      <c r="P12" s="86">
        <v>215.58</v>
      </c>
      <c r="Q12" s="102">
        <f t="shared" si="0"/>
        <v>870.46</v>
      </c>
      <c r="R12" s="88">
        <v>0</v>
      </c>
      <c r="S12" s="103">
        <f>L12+IFERROR(VLOOKUP($E:$E,'（居民）工资表-1月'!$E:$S,15,0),0)</f>
        <v>10000</v>
      </c>
      <c r="T12" s="104">
        <f>5000+IFERROR(VLOOKUP($E:$E,'（居民）工资表-1月'!$E:$T,16,0),0)</f>
        <v>5000</v>
      </c>
      <c r="U12" s="104">
        <f>Q12+IFERROR(VLOOKUP($E:$E,'（居民）工资表-1月'!$E:$U,17,0),0)</f>
        <v>870.46</v>
      </c>
      <c r="V12" s="136"/>
      <c r="W12" s="136"/>
      <c r="X12" s="136"/>
      <c r="Y12" s="136"/>
      <c r="Z12" s="136"/>
      <c r="AA12" s="136"/>
      <c r="AB12" s="103">
        <f t="shared" si="9"/>
        <v>0</v>
      </c>
      <c r="AC12" s="103">
        <f>R12+IFERROR(VLOOKUP($E:$E,'（居民）工资表-1月'!$E:$AC,25,0),0)</f>
        <v>0</v>
      </c>
      <c r="AD12" s="105">
        <f t="shared" si="1"/>
        <v>4129.54</v>
      </c>
      <c r="AE12" s="106">
        <f>ROUND(MAX((AD12)*{0.03;0.1;0.2;0.25;0.3;0.35;0.45}-{0;2520;16920;31920;52920;85920;181920},0),2)</f>
        <v>123.89</v>
      </c>
      <c r="AF12" s="107">
        <f>IFERROR(VLOOKUP(E:E,'（居民）工资表-1月'!E:AF,28,0)+VLOOKUP(E:E,'（居民）工资表-1月'!E:AG,29,0),0)</f>
        <v>0</v>
      </c>
      <c r="AG12" s="107">
        <f t="shared" si="2"/>
        <v>123.89</v>
      </c>
      <c r="AH12" s="110">
        <f t="shared" si="3"/>
        <v>9005.65</v>
      </c>
      <c r="AI12" s="111"/>
      <c r="AJ12" s="110">
        <f t="shared" si="4"/>
        <v>9005.65</v>
      </c>
      <c r="AK12" s="112"/>
      <c r="AL12" s="110">
        <f t="shared" si="5"/>
        <v>9129.5400000000009</v>
      </c>
      <c r="AM12" s="112"/>
      <c r="AN12" s="112"/>
      <c r="AO12" s="112"/>
      <c r="AP12" s="112"/>
      <c r="AQ12" s="112"/>
      <c r="AR12" s="116" t="str">
        <f t="shared" si="6"/>
        <v>正确</v>
      </c>
      <c r="AS12" s="116" t="str">
        <f t="shared" si="7"/>
        <v>不</v>
      </c>
      <c r="AT12" s="116" t="str">
        <f t="shared" si="8"/>
        <v>重复</v>
      </c>
    </row>
    <row r="13" spans="1:46" s="39" customFormat="1" ht="18" customHeight="1">
      <c r="A13" s="62"/>
      <c r="B13" s="63" t="s">
        <v>188</v>
      </c>
      <c r="C13" s="63"/>
      <c r="D13" s="64"/>
      <c r="E13" s="65"/>
      <c r="F13" s="66"/>
      <c r="G13" s="67"/>
      <c r="H13" s="66"/>
      <c r="I13" s="89"/>
      <c r="J13" s="90"/>
      <c r="K13" s="89"/>
      <c r="L13" s="91">
        <f>SUM(L4:L12)</f>
        <v>131629</v>
      </c>
      <c r="M13" s="91">
        <f t="shared" ref="M13:AL13" si="10">SUM(M4:M12)</f>
        <v>3520.65</v>
      </c>
      <c r="N13" s="91">
        <f t="shared" si="10"/>
        <v>1249.78</v>
      </c>
      <c r="O13" s="91">
        <f t="shared" si="10"/>
        <v>126.05</v>
      </c>
      <c r="P13" s="91">
        <f t="shared" si="10"/>
        <v>1956.74</v>
      </c>
      <c r="Q13" s="91">
        <f t="shared" si="10"/>
        <v>6853.22</v>
      </c>
      <c r="R13" s="91">
        <f t="shared" si="10"/>
        <v>0</v>
      </c>
      <c r="S13" s="91">
        <f t="shared" si="10"/>
        <v>211348</v>
      </c>
      <c r="T13" s="91">
        <f t="shared" si="10"/>
        <v>70000</v>
      </c>
      <c r="U13" s="91">
        <f t="shared" si="10"/>
        <v>9416.1299999999992</v>
      </c>
      <c r="V13" s="91">
        <f t="shared" si="10"/>
        <v>8000</v>
      </c>
      <c r="W13" s="91">
        <f t="shared" si="10"/>
        <v>4000</v>
      </c>
      <c r="X13" s="91">
        <f t="shared" si="10"/>
        <v>6000</v>
      </c>
      <c r="Y13" s="91">
        <f t="shared" si="10"/>
        <v>3000</v>
      </c>
      <c r="Z13" s="91">
        <f t="shared" si="10"/>
        <v>0</v>
      </c>
      <c r="AA13" s="91">
        <f t="shared" si="10"/>
        <v>0</v>
      </c>
      <c r="AB13" s="91">
        <f t="shared" si="10"/>
        <v>21000</v>
      </c>
      <c r="AC13" s="91">
        <f t="shared" si="10"/>
        <v>0</v>
      </c>
      <c r="AD13" s="91">
        <f t="shared" si="10"/>
        <v>110931.87</v>
      </c>
      <c r="AE13" s="91">
        <f t="shared" si="10"/>
        <v>4172.99</v>
      </c>
      <c r="AF13" s="91">
        <f t="shared" si="10"/>
        <v>1291.67</v>
      </c>
      <c r="AG13" s="91">
        <f t="shared" si="10"/>
        <v>2881.32</v>
      </c>
      <c r="AH13" s="91">
        <f t="shared" si="10"/>
        <v>121894.46</v>
      </c>
      <c r="AI13" s="91">
        <f t="shared" si="10"/>
        <v>0</v>
      </c>
      <c r="AJ13" s="91">
        <f t="shared" si="10"/>
        <v>121894.46</v>
      </c>
      <c r="AK13" s="91">
        <f t="shared" si="10"/>
        <v>0</v>
      </c>
      <c r="AL13" s="91">
        <f t="shared" si="10"/>
        <v>124775.78</v>
      </c>
      <c r="AM13" s="113"/>
      <c r="AN13" s="113"/>
      <c r="AO13" s="113"/>
      <c r="AP13" s="113"/>
      <c r="AQ13" s="113"/>
      <c r="AR13" s="66"/>
      <c r="AS13" s="66"/>
      <c r="AT13" s="117"/>
    </row>
    <row r="16" spans="1:46">
      <c r="AD16" s="108"/>
    </row>
    <row r="17" spans="1:35" ht="18.75" customHeight="1">
      <c r="B17" s="68" t="s">
        <v>165</v>
      </c>
      <c r="C17" s="68" t="s">
        <v>189</v>
      </c>
      <c r="D17" s="68" t="s">
        <v>57</v>
      </c>
      <c r="E17" s="68" t="s">
        <v>58</v>
      </c>
      <c r="AD17" s="36"/>
    </row>
    <row r="18" spans="1:35" ht="18.75" customHeight="1">
      <c r="B18" s="69">
        <f>AJ13</f>
        <v>121894.46</v>
      </c>
      <c r="C18" s="69">
        <f>AG13</f>
        <v>2881.32</v>
      </c>
      <c r="D18" s="69">
        <f>AK13</f>
        <v>0</v>
      </c>
      <c r="E18" s="69">
        <f>B18+C18+D18</f>
        <v>124775.78</v>
      </c>
    </row>
    <row r="19" spans="1:35">
      <c r="B19" s="70"/>
      <c r="C19" s="70"/>
      <c r="D19" s="70"/>
      <c r="E19" s="70"/>
    </row>
    <row r="20" spans="1:35" s="40" customFormat="1">
      <c r="A20" s="71" t="s">
        <v>190</v>
      </c>
      <c r="B20" s="72" t="s">
        <v>191</v>
      </c>
      <c r="C20" s="73"/>
      <c r="D20" s="73"/>
      <c r="E20" s="73"/>
      <c r="G20" s="74"/>
      <c r="J20" s="92"/>
      <c r="M20" s="93"/>
      <c r="AI20" s="114"/>
    </row>
    <row r="21" spans="1:35" s="40" customFormat="1">
      <c r="A21" s="75"/>
      <c r="B21" s="76" t="s">
        <v>192</v>
      </c>
      <c r="C21" s="73"/>
      <c r="D21" s="73"/>
      <c r="E21" s="73"/>
      <c r="G21" s="74"/>
      <c r="J21" s="92"/>
      <c r="M21" s="93"/>
      <c r="AI21" s="114"/>
    </row>
    <row r="22" spans="1:35" s="40" customFormat="1">
      <c r="A22" s="72"/>
      <c r="B22" s="76" t="s">
        <v>193</v>
      </c>
      <c r="C22" s="77"/>
      <c r="D22" s="77"/>
      <c r="E22" s="77"/>
      <c r="F22" s="77"/>
      <c r="G22" s="77"/>
      <c r="H22" s="77"/>
      <c r="I22" s="77"/>
      <c r="J22" s="94"/>
      <c r="K22" s="77"/>
      <c r="L22" s="77"/>
      <c r="M22" s="95"/>
      <c r="N22" s="77"/>
      <c r="O22" s="77"/>
      <c r="P22" s="77"/>
      <c r="AI22" s="114"/>
    </row>
    <row r="23" spans="1:35" s="40" customFormat="1" ht="13.5" customHeight="1">
      <c r="A23" s="76"/>
      <c r="B23" s="76" t="s">
        <v>194</v>
      </c>
      <c r="C23" s="78"/>
      <c r="D23" s="78"/>
      <c r="E23" s="78"/>
      <c r="F23" s="78"/>
      <c r="G23" s="78"/>
      <c r="H23" s="78"/>
      <c r="I23" s="96"/>
      <c r="J23" s="97"/>
      <c r="K23" s="96"/>
      <c r="L23" s="96"/>
      <c r="M23" s="98"/>
      <c r="N23" s="96"/>
      <c r="O23" s="96"/>
      <c r="P23" s="96"/>
      <c r="AI23" s="114"/>
    </row>
    <row r="24" spans="1:35" s="40" customFormat="1" ht="13.5" customHeight="1">
      <c r="A24" s="76"/>
      <c r="B24" s="76" t="s">
        <v>195</v>
      </c>
      <c r="C24" s="78"/>
      <c r="D24" s="78"/>
      <c r="E24" s="78"/>
      <c r="F24" s="78"/>
      <c r="G24" s="78"/>
      <c r="H24" s="78"/>
      <c r="I24" s="78"/>
      <c r="J24" s="99"/>
      <c r="K24" s="78"/>
      <c r="L24" s="96"/>
      <c r="M24" s="98"/>
      <c r="N24" s="96"/>
      <c r="O24" s="96"/>
      <c r="P24" s="96"/>
      <c r="AI24" s="114"/>
    </row>
    <row r="25" spans="1:35" s="40" customFormat="1" ht="13.5" customHeight="1">
      <c r="A25" s="76"/>
      <c r="B25" s="76" t="s">
        <v>196</v>
      </c>
      <c r="C25" s="78"/>
      <c r="D25" s="78"/>
      <c r="E25" s="78"/>
      <c r="F25" s="78"/>
      <c r="G25" s="78"/>
      <c r="H25" s="78"/>
      <c r="I25" s="96"/>
      <c r="J25" s="97"/>
      <c r="K25" s="96"/>
      <c r="L25" s="96"/>
      <c r="M25" s="98"/>
      <c r="N25" s="96"/>
      <c r="O25" s="96"/>
      <c r="P25" s="96"/>
      <c r="AI25" s="114"/>
    </row>
    <row r="27" spans="1:35" ht="11.25" customHeight="1">
      <c r="B27" s="79" t="s">
        <v>197</v>
      </c>
    </row>
    <row r="28" spans="1:35">
      <c r="B28" s="80" t="s">
        <v>198</v>
      </c>
    </row>
    <row r="29" spans="1:35">
      <c r="B29" s="80" t="s">
        <v>199</v>
      </c>
    </row>
  </sheetData>
  <autoFilter ref="A3:AT13"/>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5">
    <cfRule type="duplicateValues" dxfId="30" priority="2" stopIfTrue="1"/>
  </conditionalFormatting>
  <conditionalFormatting sqref="B20:B24">
    <cfRule type="duplicateValues" dxfId="29" priority="3" stopIfTrue="1"/>
  </conditionalFormatting>
  <conditionalFormatting sqref="B28:B29">
    <cfRule type="duplicateValues" dxfId="28" priority="1" stopIfTrue="1"/>
  </conditionalFormatting>
  <conditionalFormatting sqref="C17:C19">
    <cfRule type="duplicateValues" dxfId="27" priority="4" stopIfTrue="1"/>
    <cfRule type="expression" dxfId="26" priority="5" stopIfTrue="1">
      <formula>AND(COUNTIF($B$13:$B$65449,C17)+COUNTIF($B$1:$B$3,C17)&gt;1,NOT(ISBLANK(C17)))</formula>
    </cfRule>
    <cfRule type="expression" dxfId="25" priority="6" stopIfTrue="1">
      <formula>AND(COUNTIF($B$24:$B$65400,C17)+COUNTIF($B$1:$B$23,C17)&gt;1,NOT(ISBLANK(C17)))</formula>
    </cfRule>
    <cfRule type="expression" dxfId="24" priority="7" stopIfTrue="1">
      <formula>AND(COUNTIF($B$13:$B$65438,C17)+COUNTIF($B$1:$B$3,C17)&gt;1,NOT(ISBLANK(C17)))</formula>
    </cfRule>
  </conditionalFormatting>
  <pageMargins left="0.235416666666667" right="0.235416666666667" top="0.74791666666666701" bottom="0.74791666666666701" header="0.31388888888888899" footer="0.31388888888888899"/>
  <pageSetup paperSize="9" scale="40" fitToWidth="2"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0"/>
  <sheetViews>
    <sheetView workbookViewId="0">
      <pane xSplit="6" ySplit="3" topLeftCell="T4" activePane="bottomRight" state="frozen"/>
      <selection pane="topRight"/>
      <selection pane="bottomLeft"/>
      <selection pane="bottomRight" activeCell="X9" sqref="X9"/>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9.5" style="41" customWidth="1" outlineLevel="1"/>
    <col min="14" max="15" width="9" style="41" customWidth="1" outlineLevel="1"/>
    <col min="16" max="16" width="11.125" style="41" customWidth="1" outlineLevel="1"/>
    <col min="17" max="17" width="9.75" style="41" customWidth="1"/>
    <col min="18" max="18" width="9.5" style="41" customWidth="1"/>
    <col min="19" max="19" width="11.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200</v>
      </c>
      <c r="C4" s="53" t="s">
        <v>75</v>
      </c>
      <c r="D4" s="53" t="s">
        <v>185</v>
      </c>
      <c r="E4" s="53" t="s">
        <v>76</v>
      </c>
      <c r="F4" s="54" t="s">
        <v>186</v>
      </c>
      <c r="G4" s="61">
        <v>18035163638</v>
      </c>
      <c r="H4" s="56"/>
      <c r="I4" s="56"/>
      <c r="J4" s="84"/>
      <c r="K4" s="56"/>
      <c r="L4" s="88">
        <v>8000</v>
      </c>
      <c r="M4" s="86">
        <v>264</v>
      </c>
      <c r="N4" s="86">
        <v>66</v>
      </c>
      <c r="O4" s="86">
        <v>9.9</v>
      </c>
      <c r="P4" s="86">
        <v>180</v>
      </c>
      <c r="Q4" s="102">
        <f>ROUND(SUM(M4:P4),2)</f>
        <v>519.9</v>
      </c>
      <c r="R4" s="88">
        <v>0</v>
      </c>
      <c r="S4" s="103">
        <f>L4+IFERROR(VLOOKUP($E:$E,'（居民）工资表-2月'!$E:$S,15,0),0)</f>
        <v>25770</v>
      </c>
      <c r="T4" s="104">
        <f>5000+IFERROR(VLOOKUP($E:$E,'（居民）工资表-2月'!$E:$T,16,0),0)</f>
        <v>15000</v>
      </c>
      <c r="U4" s="104">
        <f>Q4+IFERROR(VLOOKUP($E:$E,'（居民）工资表-2月'!$E:$U,17,0),0)</f>
        <v>1559.7</v>
      </c>
      <c r="V4" s="88">
        <v>3000</v>
      </c>
      <c r="W4" s="88"/>
      <c r="X4" s="88">
        <v>3000</v>
      </c>
      <c r="Y4" s="88"/>
      <c r="Z4" s="88"/>
      <c r="AA4" s="88"/>
      <c r="AB4" s="103">
        <f>ROUND(SUM(V4:AA4),2)</f>
        <v>6000</v>
      </c>
      <c r="AC4" s="103">
        <f>R4+IFERROR(VLOOKUP($E:$E,'（居民）工资表-2月'!$E:$AC,25,0),0)</f>
        <v>0</v>
      </c>
      <c r="AD4" s="105">
        <f>ROUND(S4-T4-U4-AB4-AC4,2)</f>
        <v>3210.3</v>
      </c>
      <c r="AE4" s="106">
        <f>ROUND(MAX((AD4)*{0.03;0.1;0.2;0.25;0.3;0.35;0.45}-{0;2520;16920;31920;52920;85920;181920},0),2)</f>
        <v>96.31</v>
      </c>
      <c r="AF4" s="107">
        <f>IFERROR(VLOOKUP(E:E,'（居民）工资表-2月'!E:AF,28,0)+VLOOKUP(E:E,'（居民）工资表-2月'!E:AG,29,0),0)</f>
        <v>81.91</v>
      </c>
      <c r="AG4" s="107">
        <f>IF((AE4-AF4)&lt;0,0,AE4-AF4)</f>
        <v>14.4</v>
      </c>
      <c r="AH4" s="110">
        <f>ROUND(IF((L4-Q4-AG4)&lt;0,0,(L4-Q4-AG4)),2)</f>
        <v>7465.7</v>
      </c>
      <c r="AI4" s="111"/>
      <c r="AJ4" s="110">
        <f>AH4+AI4</f>
        <v>7465.7</v>
      </c>
      <c r="AK4" s="112"/>
      <c r="AL4" s="110">
        <f>AJ4+AG4+AK4</f>
        <v>7480.1</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IF(SUMPRODUCT(N(E$1:E$5=E4))&gt;1,"重复","不")</f>
        <v>不</v>
      </c>
      <c r="AT4" s="116" t="str">
        <f>IF(SUMPRODUCT(N(AO$1:AO$5=AO4))&gt;1,"重复","不")</f>
        <v>重复</v>
      </c>
    </row>
    <row r="5" spans="1:46" s="38" customFormat="1" ht="18" customHeight="1">
      <c r="A5" s="52">
        <v>2</v>
      </c>
      <c r="B5" s="53" t="s">
        <v>200</v>
      </c>
      <c r="C5" s="53" t="s">
        <v>93</v>
      </c>
      <c r="D5" s="53" t="s">
        <v>185</v>
      </c>
      <c r="E5" s="53" t="s">
        <v>94</v>
      </c>
      <c r="F5" s="54" t="s">
        <v>186</v>
      </c>
      <c r="G5" s="61">
        <v>13944441728</v>
      </c>
      <c r="H5" s="56"/>
      <c r="I5" s="56"/>
      <c r="J5" s="84"/>
      <c r="K5" s="56"/>
      <c r="L5" s="88">
        <v>7000</v>
      </c>
      <c r="M5" s="86">
        <v>268.81</v>
      </c>
      <c r="N5" s="86">
        <v>61.06</v>
      </c>
      <c r="O5" s="86">
        <v>10.08</v>
      </c>
      <c r="P5" s="86">
        <v>79</v>
      </c>
      <c r="Q5" s="102">
        <f>ROUND(SUM(M5:P5),2)</f>
        <v>418.95</v>
      </c>
      <c r="R5" s="88">
        <v>0</v>
      </c>
      <c r="S5" s="103">
        <f>L5+IFERROR(VLOOKUP($E:$E,'（居民）工资表-2月'!$E:$S,15,0),0)</f>
        <v>21000</v>
      </c>
      <c r="T5" s="104">
        <f>5000+IFERROR(VLOOKUP($E:$E,'（居民）工资表-2月'!$E:$T,16,0),0)</f>
        <v>15000</v>
      </c>
      <c r="U5" s="104">
        <f>Q5+IFERROR(VLOOKUP($E:$E,'（居民）工资表-2月'!$E:$U,17,0),0)</f>
        <v>1256.8499999999999</v>
      </c>
      <c r="V5" s="88"/>
      <c r="W5" s="88"/>
      <c r="X5" s="88">
        <v>3000</v>
      </c>
      <c r="Y5" s="88"/>
      <c r="Z5" s="88"/>
      <c r="AA5" s="88"/>
      <c r="AB5" s="103">
        <f>ROUND(SUM(V5:AA5),2)</f>
        <v>3000</v>
      </c>
      <c r="AC5" s="103">
        <f>R5+IFERROR(VLOOKUP($E:$E,'（居民）工资表-2月'!$E:$AC,25,0),0)</f>
        <v>0</v>
      </c>
      <c r="AD5" s="105">
        <f>ROUND(S5-T5-U5-AB5-AC5,2)</f>
        <v>1743.15</v>
      </c>
      <c r="AE5" s="106">
        <f>ROUND(MAX((AD5)*{0.03;0.1;0.2;0.25;0.3;0.35;0.45}-{0;2520;16920;31920;52920;85920;181920},0),2)</f>
        <v>52.29</v>
      </c>
      <c r="AF5" s="107">
        <f>IFERROR(VLOOKUP(E:E,'（居民）工资表-2月'!E:AF,28,0)+VLOOKUP(E:E,'（居民）工资表-2月'!E:AG,29,0),0)</f>
        <v>34.86</v>
      </c>
      <c r="AG5" s="107">
        <f>IF((AE5-AF5)&lt;0,0,AE5-AF5)</f>
        <v>17.43</v>
      </c>
      <c r="AH5" s="110">
        <f>ROUND(IF((L5-Q5-AG5)&lt;0,0,(L5-Q5-AG5)),2)</f>
        <v>6563.62</v>
      </c>
      <c r="AI5" s="111"/>
      <c r="AJ5" s="110">
        <f>AH5+AI5</f>
        <v>6563.62</v>
      </c>
      <c r="AK5" s="112"/>
      <c r="AL5" s="110">
        <f>AJ5+AG5+AK5</f>
        <v>6581.05</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IF(SUMPRODUCT(N(E$1:E$5=E5))&gt;1,"重复","不")</f>
        <v>不</v>
      </c>
      <c r="AT5" s="116" t="str">
        <f>IF(SUMPRODUCT(N(AO$1:AO$5=AO5))&gt;1,"重复","不")</f>
        <v>重复</v>
      </c>
    </row>
    <row r="6" spans="1:46" s="38" customFormat="1" ht="18" customHeight="1">
      <c r="A6" s="52">
        <v>3</v>
      </c>
      <c r="B6" s="53" t="s">
        <v>200</v>
      </c>
      <c r="C6" s="53" t="s">
        <v>110</v>
      </c>
      <c r="D6" s="53" t="s">
        <v>185</v>
      </c>
      <c r="E6" s="282" t="s">
        <v>111</v>
      </c>
      <c r="F6" s="54" t="str">
        <f>IF(MOD(MID(E6,17,1),2)=1,"男","女")</f>
        <v>女</v>
      </c>
      <c r="G6" s="61">
        <v>15360550807</v>
      </c>
      <c r="H6" s="56"/>
      <c r="I6" s="56"/>
      <c r="J6" s="84"/>
      <c r="K6" s="56"/>
      <c r="L6" s="88">
        <v>5700</v>
      </c>
      <c r="M6" s="86">
        <v>367.04</v>
      </c>
      <c r="N6" s="86">
        <v>135.13999999999999</v>
      </c>
      <c r="O6" s="86">
        <v>4.5999999999999996</v>
      </c>
      <c r="P6" s="86">
        <v>84.08</v>
      </c>
      <c r="Q6" s="102">
        <f t="shared" ref="Q6:Q12" si="0">ROUND(SUM(M6:P6),2)</f>
        <v>590.86</v>
      </c>
      <c r="R6" s="88">
        <v>0</v>
      </c>
      <c r="S6" s="103">
        <f>L6+IFERROR(VLOOKUP($E:$E,'（居民）工资表-2月'!$E:$S,15,0),0)</f>
        <v>17100</v>
      </c>
      <c r="T6" s="104">
        <f>5000+IFERROR(VLOOKUP($E:$E,'（居民）工资表-2月'!$E:$T,16,0),0)</f>
        <v>15000</v>
      </c>
      <c r="U6" s="104">
        <f>Q6+IFERROR(VLOOKUP($E:$E,'（居民）工资表-2月'!$E:$U,17,0),0)</f>
        <v>1894.62</v>
      </c>
      <c r="V6" s="88"/>
      <c r="W6" s="88"/>
      <c r="X6" s="88"/>
      <c r="Y6" s="88">
        <v>4500</v>
      </c>
      <c r="Z6" s="88"/>
      <c r="AA6" s="88"/>
      <c r="AB6" s="103">
        <f t="shared" ref="AB6:AB12" si="1">ROUND(SUM(V6:AA6),2)</f>
        <v>4500</v>
      </c>
      <c r="AC6" s="103">
        <f>R6+IFERROR(VLOOKUP($E:$E,'（居民）工资表-2月'!$E:$AC,25,0),0)</f>
        <v>0</v>
      </c>
      <c r="AD6" s="105">
        <f t="shared" ref="AD6:AD12" si="2">ROUND(S6-T6-U6-AB6-AC6,2)</f>
        <v>-4294.62</v>
      </c>
      <c r="AE6" s="106">
        <f>ROUND(MAX((AD6)*{0.03;0.1;0.2;0.25;0.3;0.35;0.45}-{0;2520;16920;31920;52920;85920;181920},0),2)</f>
        <v>0</v>
      </c>
      <c r="AF6" s="107">
        <f>IFERROR(VLOOKUP(E:E,'（居民）工资表-2月'!E:AF,28,0)+VLOOKUP(E:E,'（居民）工资表-2月'!E:AG,29,0),0)</f>
        <v>0</v>
      </c>
      <c r="AG6" s="107">
        <f t="shared" ref="AG6:AG12" si="3">IF((AE6-AF6)&lt;0,0,AE6-AF6)</f>
        <v>0</v>
      </c>
      <c r="AH6" s="110">
        <f t="shared" ref="AH6:AH12" si="4">ROUND(IF((L6-Q6-AG6)&lt;0,0,(L6-Q6-AG6)),2)</f>
        <v>5109.1400000000003</v>
      </c>
      <c r="AI6" s="111"/>
      <c r="AJ6" s="110">
        <f t="shared" ref="AJ6:AJ12" si="5">AH6+AI6</f>
        <v>5109.1400000000003</v>
      </c>
      <c r="AK6" s="112"/>
      <c r="AL6" s="110">
        <f t="shared" ref="AL6:AL12" si="6">AJ6+AG6+AK6</f>
        <v>5109.1400000000003</v>
      </c>
      <c r="AM6" s="112"/>
      <c r="AN6" s="112"/>
      <c r="AO6" s="112"/>
      <c r="AP6" s="112"/>
      <c r="AQ6" s="112"/>
      <c r="AR6" s="116"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 t="shared" ref="AS6:AS12" si="8">IF(SUMPRODUCT(N(E$1:E$5=E6))&gt;1,"重复","不")</f>
        <v>不</v>
      </c>
      <c r="AT6" s="116" t="str">
        <f t="shared" ref="AT6:AT12" si="9">IF(SUMPRODUCT(N(AO$1:AO$5=AO6))&gt;1,"重复","不")</f>
        <v>重复</v>
      </c>
    </row>
    <row r="7" spans="1:46" s="38" customFormat="1" ht="18" customHeight="1">
      <c r="A7" s="52">
        <v>4</v>
      </c>
      <c r="B7" s="53" t="s">
        <v>200</v>
      </c>
      <c r="C7" s="53" t="s">
        <v>103</v>
      </c>
      <c r="D7" s="53" t="s">
        <v>185</v>
      </c>
      <c r="E7" s="282" t="s">
        <v>104</v>
      </c>
      <c r="F7" s="54" t="s">
        <v>186</v>
      </c>
      <c r="G7" s="61">
        <v>18607383005</v>
      </c>
      <c r="H7" s="56"/>
      <c r="I7" s="56"/>
      <c r="J7" s="84"/>
      <c r="K7" s="56"/>
      <c r="L7" s="88">
        <v>25000</v>
      </c>
      <c r="M7" s="86">
        <v>320</v>
      </c>
      <c r="N7" s="86">
        <v>80</v>
      </c>
      <c r="O7" s="86">
        <v>12</v>
      </c>
      <c r="P7" s="86">
        <v>70</v>
      </c>
      <c r="Q7" s="102">
        <f t="shared" si="0"/>
        <v>482</v>
      </c>
      <c r="R7" s="88">
        <v>0</v>
      </c>
      <c r="S7" s="103">
        <f>L7+IFERROR(VLOOKUP($E:$E,'（居民）工资表-2月'!$E:$S,15,0),0)</f>
        <v>85000</v>
      </c>
      <c r="T7" s="104">
        <f>5000+IFERROR(VLOOKUP($E:$E,'（居民）工资表-2月'!$E:$T,16,0),0)</f>
        <v>15000</v>
      </c>
      <c r="U7" s="104">
        <f>Q7+IFERROR(VLOOKUP($E:$E,'（居民）工资表-2月'!$E:$U,17,0),0)</f>
        <v>1966</v>
      </c>
      <c r="V7" s="88">
        <v>6000</v>
      </c>
      <c r="W7" s="88">
        <v>3000</v>
      </c>
      <c r="X7" s="88"/>
      <c r="Y7" s="88"/>
      <c r="Z7" s="88"/>
      <c r="AA7" s="88"/>
      <c r="AB7" s="103">
        <f t="shared" si="1"/>
        <v>9000</v>
      </c>
      <c r="AC7" s="103">
        <f>R7+IFERROR(VLOOKUP($E:$E,'（居民）工资表-2月'!$E:$AC,25,0),0)</f>
        <v>0</v>
      </c>
      <c r="AD7" s="105">
        <f t="shared" si="2"/>
        <v>59034</v>
      </c>
      <c r="AE7" s="106">
        <f>ROUND(MAX((AD7)*{0.03;0.1;0.2;0.25;0.3;0.35;0.45}-{0;2520;16920;31920;52920;85920;181920},0),2)</f>
        <v>3383.4</v>
      </c>
      <c r="AF7" s="107">
        <f>IFERROR(VLOOKUP(E:E,'（居民）工资表-2月'!E:AF,28,0)+VLOOKUP(E:E,'（居民）工资表-2月'!E:AG,29,0),0)</f>
        <v>1731.6</v>
      </c>
      <c r="AG7" s="107">
        <f t="shared" si="3"/>
        <v>1651.8</v>
      </c>
      <c r="AH7" s="110">
        <f t="shared" si="4"/>
        <v>22866.2</v>
      </c>
      <c r="AI7" s="111"/>
      <c r="AJ7" s="110">
        <f t="shared" si="5"/>
        <v>22866.2</v>
      </c>
      <c r="AK7" s="112"/>
      <c r="AL7" s="110">
        <f t="shared" si="6"/>
        <v>24518</v>
      </c>
      <c r="AM7" s="112"/>
      <c r="AN7" s="112"/>
      <c r="AO7" s="112"/>
      <c r="AP7" s="112"/>
      <c r="AQ7" s="112"/>
      <c r="AR7" s="116" t="str">
        <f t="shared" si="7"/>
        <v>正确</v>
      </c>
      <c r="AS7" s="116" t="str">
        <f t="shared" si="8"/>
        <v>不</v>
      </c>
      <c r="AT7" s="116" t="str">
        <f t="shared" si="9"/>
        <v>重复</v>
      </c>
    </row>
    <row r="8" spans="1:46" s="38" customFormat="1" ht="18" customHeight="1">
      <c r="A8" s="52">
        <v>5</v>
      </c>
      <c r="B8" s="53" t="s">
        <v>200</v>
      </c>
      <c r="C8" s="53" t="s">
        <v>107</v>
      </c>
      <c r="D8" s="53" t="s">
        <v>185</v>
      </c>
      <c r="E8" s="53" t="s">
        <v>108</v>
      </c>
      <c r="F8" s="54" t="s">
        <v>186</v>
      </c>
      <c r="G8" s="61">
        <v>13373825180</v>
      </c>
      <c r="H8" s="56"/>
      <c r="I8" s="56"/>
      <c r="J8" s="84"/>
      <c r="K8" s="56"/>
      <c r="L8" s="88">
        <f>26739+77.5</f>
        <v>26816.5</v>
      </c>
      <c r="M8" s="86">
        <v>363.84</v>
      </c>
      <c r="N8" s="86">
        <v>90.96</v>
      </c>
      <c r="O8" s="86">
        <v>13.64</v>
      </c>
      <c r="P8" s="86"/>
      <c r="Q8" s="102">
        <f t="shared" si="0"/>
        <v>468.44</v>
      </c>
      <c r="R8" s="88">
        <v>0</v>
      </c>
      <c r="S8" s="103">
        <f>L8+IFERROR(VLOOKUP($E:$E,'（居民）工资表-2月'!$E:$S,15,0),0)</f>
        <v>84294.5</v>
      </c>
      <c r="T8" s="104">
        <f>5000+IFERROR(VLOOKUP($E:$E,'（居民）工资表-2月'!$E:$T,16,0),0)</f>
        <v>15000</v>
      </c>
      <c r="U8" s="104">
        <f>Q8+IFERROR(VLOOKUP($E:$E,'（居民）工资表-2月'!$E:$U,17,0),0)</f>
        <v>1635.27</v>
      </c>
      <c r="V8" s="88">
        <v>3000</v>
      </c>
      <c r="W8" s="88">
        <v>3000</v>
      </c>
      <c r="X8" s="88">
        <v>3000</v>
      </c>
      <c r="Y8" s="88"/>
      <c r="Z8" s="88"/>
      <c r="AA8" s="88"/>
      <c r="AB8" s="103">
        <f t="shared" si="1"/>
        <v>9000</v>
      </c>
      <c r="AC8" s="103">
        <f>R8+IFERROR(VLOOKUP($E:$E,'（居民）工资表-2月'!$E:$AC,25,0),0)</f>
        <v>0</v>
      </c>
      <c r="AD8" s="105">
        <f t="shared" si="2"/>
        <v>58659.23</v>
      </c>
      <c r="AE8" s="106">
        <f>ROUND(MAX((AD8)*{0.03;0.1;0.2;0.25;0.3;0.35;0.45}-{0;2520;16920;31920;52920;85920;181920},0),2)</f>
        <v>3345.92</v>
      </c>
      <c r="AF8" s="107">
        <f>IFERROR(VLOOKUP(E:E,'（居民）工资表-2月'!E:AF,28,0)+VLOOKUP(E:E,'（居民）工资表-2月'!E:AG,29,0),0)</f>
        <v>1511.12</v>
      </c>
      <c r="AG8" s="107">
        <f t="shared" si="3"/>
        <v>1834.8</v>
      </c>
      <c r="AH8" s="110">
        <f t="shared" si="4"/>
        <v>24513.26</v>
      </c>
      <c r="AI8" s="111"/>
      <c r="AJ8" s="110">
        <f t="shared" si="5"/>
        <v>24513.26</v>
      </c>
      <c r="AK8" s="112"/>
      <c r="AL8" s="110">
        <f t="shared" si="6"/>
        <v>26348.06</v>
      </c>
      <c r="AM8" s="112"/>
      <c r="AN8" s="112"/>
      <c r="AO8" s="112"/>
      <c r="AP8" s="112"/>
      <c r="AQ8" s="112"/>
      <c r="AR8" s="116" t="str">
        <f t="shared" si="7"/>
        <v>正确</v>
      </c>
      <c r="AS8" s="116" t="str">
        <f t="shared" si="8"/>
        <v>不</v>
      </c>
      <c r="AT8" s="116" t="str">
        <f t="shared" si="9"/>
        <v>重复</v>
      </c>
    </row>
    <row r="9" spans="1:46" s="38" customFormat="1" ht="18" customHeight="1">
      <c r="A9" s="52">
        <v>6</v>
      </c>
      <c r="B9" s="53" t="s">
        <v>200</v>
      </c>
      <c r="C9" s="53" t="s">
        <v>118</v>
      </c>
      <c r="D9" s="53" t="s">
        <v>185</v>
      </c>
      <c r="E9" s="53" t="s">
        <v>119</v>
      </c>
      <c r="F9" s="54" t="s">
        <v>186</v>
      </c>
      <c r="G9" s="61">
        <v>18037463616</v>
      </c>
      <c r="H9" s="56"/>
      <c r="I9" s="56"/>
      <c r="J9" s="84"/>
      <c r="K9" s="56"/>
      <c r="L9" s="88">
        <v>13572.63</v>
      </c>
      <c r="M9" s="86">
        <v>255.76</v>
      </c>
      <c r="N9" s="86">
        <v>65.02</v>
      </c>
      <c r="O9" s="86">
        <v>9.59</v>
      </c>
      <c r="P9" s="86">
        <v>445.06</v>
      </c>
      <c r="Q9" s="102">
        <f t="shared" si="0"/>
        <v>775.43</v>
      </c>
      <c r="R9" s="88">
        <v>0</v>
      </c>
      <c r="S9" s="103">
        <f>L9+IFERROR(VLOOKUP($E:$E,'（居民）工资表-2月'!$E:$S,15,0),0)</f>
        <v>27772.63</v>
      </c>
      <c r="T9" s="104">
        <f>5000+IFERROR(VLOOKUP($E:$E,'（居民）工资表-2月'!$E:$T,16,0),0)</f>
        <v>10000</v>
      </c>
      <c r="U9" s="104">
        <f>Q9+IFERROR(VLOOKUP($E:$E,'（居民）工资表-2月'!$E:$U,17,0),0)</f>
        <v>1645.89</v>
      </c>
      <c r="V9" s="88"/>
      <c r="W9" s="88"/>
      <c r="X9" s="88"/>
      <c r="Y9" s="88"/>
      <c r="Z9" s="88"/>
      <c r="AA9" s="88"/>
      <c r="AB9" s="103">
        <f t="shared" si="1"/>
        <v>0</v>
      </c>
      <c r="AC9" s="103">
        <f>R9+IFERROR(VLOOKUP($E:$E,'（居民）工资表-2月'!$E:$AC,25,0),0)</f>
        <v>0</v>
      </c>
      <c r="AD9" s="105">
        <f t="shared" si="2"/>
        <v>16126.74</v>
      </c>
      <c r="AE9" s="106">
        <f>ROUND(MAX((AD9)*{0.03;0.1;0.2;0.25;0.3;0.35;0.45}-{0;2520;16920;31920;52920;85920;181920},0),2)</f>
        <v>483.8</v>
      </c>
      <c r="AF9" s="107">
        <f>IFERROR(VLOOKUP(E:E,'（居民）工资表-2月'!E:AF,28,0)+VLOOKUP(E:E,'（居民）工资表-2月'!E:AG,29,0),0)</f>
        <v>249.89</v>
      </c>
      <c r="AG9" s="107">
        <f t="shared" si="3"/>
        <v>233.91</v>
      </c>
      <c r="AH9" s="110">
        <f t="shared" si="4"/>
        <v>12563.29</v>
      </c>
      <c r="AI9" s="111"/>
      <c r="AJ9" s="110">
        <f t="shared" si="5"/>
        <v>12563.29</v>
      </c>
      <c r="AK9" s="112"/>
      <c r="AL9" s="110">
        <f t="shared" si="6"/>
        <v>12797.2</v>
      </c>
      <c r="AM9" s="112"/>
      <c r="AN9" s="112"/>
      <c r="AO9" s="112"/>
      <c r="AP9" s="112"/>
      <c r="AQ9" s="112"/>
      <c r="AR9" s="116" t="str">
        <f t="shared" si="7"/>
        <v>正确</v>
      </c>
      <c r="AS9" s="116" t="str">
        <f t="shared" si="8"/>
        <v>不</v>
      </c>
      <c r="AT9" s="116" t="str">
        <f t="shared" si="9"/>
        <v>重复</v>
      </c>
    </row>
    <row r="10" spans="1:46" s="38" customFormat="1" ht="18" customHeight="1">
      <c r="A10" s="52">
        <v>7</v>
      </c>
      <c r="B10" s="53" t="s">
        <v>200</v>
      </c>
      <c r="C10" s="53" t="s">
        <v>120</v>
      </c>
      <c r="D10" s="53" t="s">
        <v>185</v>
      </c>
      <c r="E10" s="282" t="s">
        <v>121</v>
      </c>
      <c r="F10" s="54" t="s">
        <v>186</v>
      </c>
      <c r="G10" s="61">
        <v>18500634358</v>
      </c>
      <c r="H10" s="56"/>
      <c r="I10" s="56"/>
      <c r="J10" s="84"/>
      <c r="K10" s="56"/>
      <c r="L10" s="88">
        <v>14620</v>
      </c>
      <c r="M10" s="86">
        <v>255.76</v>
      </c>
      <c r="N10" s="86">
        <v>65.02</v>
      </c>
      <c r="O10" s="86">
        <v>9.59</v>
      </c>
      <c r="P10" s="86">
        <v>445.06</v>
      </c>
      <c r="Q10" s="102">
        <f t="shared" si="0"/>
        <v>775.43</v>
      </c>
      <c r="R10" s="88">
        <v>0</v>
      </c>
      <c r="S10" s="103">
        <f>L10+IFERROR(VLOOKUP($E:$E,'（居民）工资表-2月'!$E:$S,15,0),0)</f>
        <v>29120</v>
      </c>
      <c r="T10" s="104">
        <f>5000+IFERROR(VLOOKUP($E:$E,'（居民）工资表-2月'!$E:$T,16,0),0)</f>
        <v>10000</v>
      </c>
      <c r="U10" s="104">
        <f>Q10+IFERROR(VLOOKUP($E:$E,'（居民）工资表-2月'!$E:$U,17,0),0)</f>
        <v>1645.89</v>
      </c>
      <c r="V10" s="88"/>
      <c r="W10" s="88"/>
      <c r="X10" s="88"/>
      <c r="Y10" s="88"/>
      <c r="Z10" s="88"/>
      <c r="AA10" s="88"/>
      <c r="AB10" s="103">
        <f t="shared" si="1"/>
        <v>0</v>
      </c>
      <c r="AC10" s="103">
        <f>R10+IFERROR(VLOOKUP($E:$E,'（居民）工资表-2月'!$E:$AC,25,0),0)</f>
        <v>0</v>
      </c>
      <c r="AD10" s="105">
        <f t="shared" si="2"/>
        <v>17474.11</v>
      </c>
      <c r="AE10" s="106">
        <f>ROUND(MAX((AD10)*{0.03;0.1;0.2;0.25;0.3;0.35;0.45}-{0;2520;16920;31920;52920;85920;181920},0),2)</f>
        <v>524.22</v>
      </c>
      <c r="AF10" s="107">
        <f>IFERROR(VLOOKUP(E:E,'（居民）工资表-2月'!E:AF,28,0)+VLOOKUP(E:E,'（居民）工资表-2月'!E:AG,29,0),0)</f>
        <v>258.89</v>
      </c>
      <c r="AG10" s="107">
        <f t="shared" si="3"/>
        <v>265.33</v>
      </c>
      <c r="AH10" s="110">
        <f t="shared" si="4"/>
        <v>13579.24</v>
      </c>
      <c r="AI10" s="111"/>
      <c r="AJ10" s="110">
        <f t="shared" si="5"/>
        <v>13579.24</v>
      </c>
      <c r="AK10" s="112"/>
      <c r="AL10" s="110">
        <f t="shared" si="6"/>
        <v>13844.57</v>
      </c>
      <c r="AM10" s="112"/>
      <c r="AN10" s="112"/>
      <c r="AO10" s="112"/>
      <c r="AP10" s="112"/>
      <c r="AQ10" s="112"/>
      <c r="AR10" s="116" t="str">
        <f t="shared" si="7"/>
        <v>正确</v>
      </c>
      <c r="AS10" s="116" t="str">
        <f t="shared" si="8"/>
        <v>不</v>
      </c>
      <c r="AT10" s="116" t="str">
        <f t="shared" si="9"/>
        <v>重复</v>
      </c>
    </row>
    <row r="11" spans="1:46" s="38" customFormat="1" ht="18" customHeight="1">
      <c r="A11" s="52">
        <v>8</v>
      </c>
      <c r="B11" s="53" t="s">
        <v>200</v>
      </c>
      <c r="C11" s="53" t="s">
        <v>114</v>
      </c>
      <c r="D11" s="53" t="s">
        <v>185</v>
      </c>
      <c r="E11" s="53" t="s">
        <v>115</v>
      </c>
      <c r="F11" s="54" t="s">
        <v>186</v>
      </c>
      <c r="G11" s="61">
        <v>18738169923</v>
      </c>
      <c r="H11" s="56"/>
      <c r="I11" s="56"/>
      <c r="J11" s="84"/>
      <c r="K11" s="56"/>
      <c r="L11" s="88">
        <v>12120</v>
      </c>
      <c r="M11" s="86">
        <v>254.32</v>
      </c>
      <c r="N11" s="86">
        <v>64.66</v>
      </c>
      <c r="O11" s="86">
        <v>9.5399999999999991</v>
      </c>
      <c r="P11" s="86">
        <v>445.38</v>
      </c>
      <c r="Q11" s="102">
        <f t="shared" si="0"/>
        <v>773.9</v>
      </c>
      <c r="R11" s="88">
        <v>0</v>
      </c>
      <c r="S11" s="103">
        <f>L11+IFERROR(VLOOKUP($E:$E,'（居民）工资表-2月'!$E:$S,15,0),0)</f>
        <v>24120</v>
      </c>
      <c r="T11" s="104">
        <f>5000+IFERROR(VLOOKUP($E:$E,'（居民）工资表-2月'!$E:$T,16,0),0)</f>
        <v>10000</v>
      </c>
      <c r="U11" s="104">
        <f>Q11+IFERROR(VLOOKUP($E:$E,'（居民）工资表-2月'!$E:$U,17,0),0)</f>
        <v>1746.36</v>
      </c>
      <c r="V11" s="88"/>
      <c r="W11" s="88"/>
      <c r="X11" s="88"/>
      <c r="Y11" s="88"/>
      <c r="Z11" s="88"/>
      <c r="AA11" s="88"/>
      <c r="AB11" s="103">
        <f t="shared" si="1"/>
        <v>0</v>
      </c>
      <c r="AC11" s="103">
        <f>R11+IFERROR(VLOOKUP($E:$E,'（居民）工资表-2月'!$E:$AC,25,0),0)</f>
        <v>0</v>
      </c>
      <c r="AD11" s="105">
        <f t="shared" si="2"/>
        <v>12373.64</v>
      </c>
      <c r="AE11" s="106">
        <f>ROUND(MAX((AD11)*{0.03;0.1;0.2;0.25;0.3;0.35;0.45}-{0;2520;16920;31920;52920;85920;181920},0),2)</f>
        <v>371.21</v>
      </c>
      <c r="AF11" s="107">
        <f>IFERROR(VLOOKUP(E:E,'（居民）工资表-2月'!E:AF,28,0)+VLOOKUP(E:E,'（居民）工资表-2月'!E:AG,29,0),0)</f>
        <v>180.83</v>
      </c>
      <c r="AG11" s="107">
        <f t="shared" si="3"/>
        <v>190.38</v>
      </c>
      <c r="AH11" s="110">
        <f t="shared" si="4"/>
        <v>11155.72</v>
      </c>
      <c r="AI11" s="111"/>
      <c r="AJ11" s="110">
        <f t="shared" si="5"/>
        <v>11155.72</v>
      </c>
      <c r="AK11" s="112"/>
      <c r="AL11" s="110">
        <f t="shared" si="6"/>
        <v>11346.1</v>
      </c>
      <c r="AM11" s="112"/>
      <c r="AN11" s="112"/>
      <c r="AO11" s="112"/>
      <c r="AP11" s="112"/>
      <c r="AQ11" s="112"/>
      <c r="AR11" s="116" t="str">
        <f t="shared" si="7"/>
        <v>正确</v>
      </c>
      <c r="AS11" s="116" t="str">
        <f t="shared" si="8"/>
        <v>不</v>
      </c>
      <c r="AT11" s="116" t="str">
        <f t="shared" si="9"/>
        <v>重复</v>
      </c>
    </row>
    <row r="12" spans="1:46" s="38" customFormat="1" ht="18" customHeight="1">
      <c r="A12" s="52">
        <v>9</v>
      </c>
      <c r="B12" s="53" t="s">
        <v>200</v>
      </c>
      <c r="C12" s="53" t="s">
        <v>116</v>
      </c>
      <c r="D12" s="53" t="s">
        <v>185</v>
      </c>
      <c r="E12" s="53" t="s">
        <v>117</v>
      </c>
      <c r="F12" s="54" t="s">
        <v>186</v>
      </c>
      <c r="G12" s="61">
        <v>15001138812</v>
      </c>
      <c r="H12" s="56"/>
      <c r="I12" s="56"/>
      <c r="J12" s="84"/>
      <c r="K12" s="56"/>
      <c r="L12" s="88">
        <v>10120</v>
      </c>
      <c r="M12" s="86">
        <v>254.32</v>
      </c>
      <c r="N12" s="86">
        <v>64.66</v>
      </c>
      <c r="O12" s="86">
        <v>9.5399999999999991</v>
      </c>
      <c r="P12" s="86">
        <v>547.38</v>
      </c>
      <c r="Q12" s="102">
        <f t="shared" si="0"/>
        <v>875.9</v>
      </c>
      <c r="R12" s="88">
        <v>0</v>
      </c>
      <c r="S12" s="103">
        <f>L12+IFERROR(VLOOKUP($E:$E,'（居民）工资表-2月'!$E:$S,15,0),0)</f>
        <v>20120</v>
      </c>
      <c r="T12" s="104">
        <f>5000+IFERROR(VLOOKUP($E:$E,'（居民）工资表-2月'!$E:$T,16,0),0)</f>
        <v>10000</v>
      </c>
      <c r="U12" s="104">
        <f>Q12+IFERROR(VLOOKUP($E:$E,'（居民）工资表-2月'!$E:$U,17,0),0)</f>
        <v>1746.36</v>
      </c>
      <c r="V12" s="88"/>
      <c r="W12" s="88"/>
      <c r="X12" s="88"/>
      <c r="Y12" s="88"/>
      <c r="Z12" s="88"/>
      <c r="AA12" s="88"/>
      <c r="AB12" s="103">
        <f t="shared" si="1"/>
        <v>0</v>
      </c>
      <c r="AC12" s="103">
        <f>R12+IFERROR(VLOOKUP($E:$E,'（居民）工资表-2月'!$E:$AC,25,0),0)</f>
        <v>0</v>
      </c>
      <c r="AD12" s="105">
        <f t="shared" si="2"/>
        <v>8373.64</v>
      </c>
      <c r="AE12" s="106">
        <f>ROUND(MAX((AD12)*{0.03;0.1;0.2;0.25;0.3;0.35;0.45}-{0;2520;16920;31920;52920;85920;181920},0),2)</f>
        <v>251.21</v>
      </c>
      <c r="AF12" s="107">
        <f>IFERROR(VLOOKUP(E:E,'（居民）工资表-2月'!E:AF,28,0)+VLOOKUP(E:E,'（居民）工资表-2月'!E:AG,29,0),0)</f>
        <v>123.89</v>
      </c>
      <c r="AG12" s="107">
        <f t="shared" si="3"/>
        <v>127.32</v>
      </c>
      <c r="AH12" s="110">
        <f t="shared" si="4"/>
        <v>9116.7800000000007</v>
      </c>
      <c r="AI12" s="111"/>
      <c r="AJ12" s="110">
        <f t="shared" si="5"/>
        <v>9116.7800000000007</v>
      </c>
      <c r="AK12" s="112"/>
      <c r="AL12" s="110">
        <f t="shared" si="6"/>
        <v>9244.1</v>
      </c>
      <c r="AM12" s="112"/>
      <c r="AN12" s="112"/>
      <c r="AO12" s="112"/>
      <c r="AP12" s="112"/>
      <c r="AQ12" s="112"/>
      <c r="AR12" s="116" t="str">
        <f t="shared" si="7"/>
        <v>正确</v>
      </c>
      <c r="AS12" s="116" t="str">
        <f t="shared" si="8"/>
        <v>不</v>
      </c>
      <c r="AT12" s="116" t="str">
        <f t="shared" si="9"/>
        <v>重复</v>
      </c>
    </row>
    <row r="13" spans="1:46" s="38" customFormat="1" ht="18" customHeight="1">
      <c r="A13" s="52"/>
      <c r="B13" s="53"/>
      <c r="C13" s="132"/>
      <c r="D13" s="53"/>
      <c r="E13" s="133"/>
      <c r="F13" s="54"/>
      <c r="G13" s="55"/>
      <c r="H13" s="134"/>
      <c r="I13" s="134"/>
      <c r="J13" s="135"/>
      <c r="K13" s="134"/>
      <c r="L13" s="85"/>
      <c r="M13" s="85"/>
      <c r="N13" s="85"/>
      <c r="O13" s="85"/>
      <c r="P13" s="85"/>
      <c r="Q13" s="102"/>
      <c r="R13" s="88"/>
      <c r="S13" s="103"/>
      <c r="T13" s="104"/>
      <c r="U13" s="104"/>
      <c r="V13" s="88"/>
      <c r="W13" s="88"/>
      <c r="X13" s="88"/>
      <c r="Y13" s="88"/>
      <c r="Z13" s="88"/>
      <c r="AA13" s="88"/>
      <c r="AB13" s="103"/>
      <c r="AC13" s="103"/>
      <c r="AD13" s="105"/>
      <c r="AE13" s="106"/>
      <c r="AF13" s="107"/>
      <c r="AG13" s="107"/>
      <c r="AH13" s="110"/>
      <c r="AI13" s="111"/>
      <c r="AJ13" s="110"/>
      <c r="AK13" s="112"/>
      <c r="AL13" s="110"/>
      <c r="AM13" s="112"/>
      <c r="AN13" s="112"/>
      <c r="AO13" s="112"/>
      <c r="AP13" s="112"/>
      <c r="AQ13" s="112"/>
      <c r="AR13" s="116"/>
      <c r="AS13" s="116"/>
      <c r="AT13" s="116"/>
    </row>
    <row r="14" spans="1:46" s="39" customFormat="1" ht="18" customHeight="1">
      <c r="A14" s="62"/>
      <c r="B14" s="63" t="s">
        <v>188</v>
      </c>
      <c r="C14" s="63"/>
      <c r="D14" s="64"/>
      <c r="E14" s="65"/>
      <c r="F14" s="66"/>
      <c r="G14" s="67"/>
      <c r="H14" s="66"/>
      <c r="I14" s="89"/>
      <c r="J14" s="90"/>
      <c r="K14" s="89"/>
      <c r="L14" s="91">
        <f>SUM(L4:L13)</f>
        <v>122949.13</v>
      </c>
      <c r="M14" s="91">
        <f t="shared" ref="M14:AL14" si="10">SUM(M4:M13)</f>
        <v>2603.85</v>
      </c>
      <c r="N14" s="91">
        <f t="shared" si="10"/>
        <v>692.52</v>
      </c>
      <c r="O14" s="91">
        <f t="shared" si="10"/>
        <v>88.48</v>
      </c>
      <c r="P14" s="91">
        <f t="shared" si="10"/>
        <v>2295.96</v>
      </c>
      <c r="Q14" s="91">
        <f t="shared" si="10"/>
        <v>5680.81</v>
      </c>
      <c r="R14" s="91">
        <f t="shared" si="10"/>
        <v>0</v>
      </c>
      <c r="S14" s="91">
        <f t="shared" si="10"/>
        <v>334297.13</v>
      </c>
      <c r="T14" s="91">
        <f t="shared" si="10"/>
        <v>115000</v>
      </c>
      <c r="U14" s="91">
        <f t="shared" si="10"/>
        <v>15096.94</v>
      </c>
      <c r="V14" s="91">
        <f t="shared" si="10"/>
        <v>12000</v>
      </c>
      <c r="W14" s="91">
        <f t="shared" si="10"/>
        <v>6000</v>
      </c>
      <c r="X14" s="91">
        <f t="shared" si="10"/>
        <v>9000</v>
      </c>
      <c r="Y14" s="91">
        <f t="shared" si="10"/>
        <v>4500</v>
      </c>
      <c r="Z14" s="91">
        <f t="shared" si="10"/>
        <v>0</v>
      </c>
      <c r="AA14" s="91">
        <f t="shared" si="10"/>
        <v>0</v>
      </c>
      <c r="AB14" s="91">
        <f t="shared" si="10"/>
        <v>31500</v>
      </c>
      <c r="AC14" s="91">
        <f t="shared" si="10"/>
        <v>0</v>
      </c>
      <c r="AD14" s="91">
        <f t="shared" si="10"/>
        <v>172700.19</v>
      </c>
      <c r="AE14" s="91">
        <f t="shared" si="10"/>
        <v>8508.36</v>
      </c>
      <c r="AF14" s="91">
        <f t="shared" si="10"/>
        <v>4172.99</v>
      </c>
      <c r="AG14" s="91">
        <f t="shared" si="10"/>
        <v>4335.37</v>
      </c>
      <c r="AH14" s="91">
        <f t="shared" si="10"/>
        <v>112932.95</v>
      </c>
      <c r="AI14" s="91">
        <f t="shared" si="10"/>
        <v>0</v>
      </c>
      <c r="AJ14" s="91">
        <f t="shared" si="10"/>
        <v>112932.95</v>
      </c>
      <c r="AK14" s="91">
        <f t="shared" si="10"/>
        <v>0</v>
      </c>
      <c r="AL14" s="91">
        <f t="shared" si="10"/>
        <v>117268.32</v>
      </c>
      <c r="AM14" s="113"/>
      <c r="AN14" s="113"/>
      <c r="AO14" s="113"/>
      <c r="AP14" s="113"/>
      <c r="AQ14" s="113"/>
      <c r="AR14" s="66"/>
      <c r="AS14" s="66"/>
      <c r="AT14" s="117"/>
    </row>
    <row r="17" spans="1:35">
      <c r="AD17" s="108"/>
    </row>
    <row r="18" spans="1:35" ht="18.75" customHeight="1">
      <c r="B18" s="68" t="s">
        <v>165</v>
      </c>
      <c r="C18" s="68" t="s">
        <v>189</v>
      </c>
      <c r="D18" s="68" t="s">
        <v>57</v>
      </c>
      <c r="E18" s="68" t="s">
        <v>58</v>
      </c>
      <c r="AD18" s="36"/>
    </row>
    <row r="19" spans="1:35" ht="18.75" customHeight="1">
      <c r="B19" s="69">
        <f>AJ14</f>
        <v>112932.95</v>
      </c>
      <c r="C19" s="69">
        <f>AG14</f>
        <v>4335.37</v>
      </c>
      <c r="D19" s="69">
        <f>AK14</f>
        <v>0</v>
      </c>
      <c r="E19" s="69">
        <f>B19+C19+D19</f>
        <v>117268.32</v>
      </c>
    </row>
    <row r="20" spans="1:35">
      <c r="B20" s="70"/>
      <c r="C20" s="70"/>
      <c r="D20" s="70"/>
      <c r="E20" s="70">
        <f>社保1!BC10</f>
        <v>8581.1500000000015</v>
      </c>
    </row>
    <row r="21" spans="1:35" s="40" customFormat="1">
      <c r="A21" s="71" t="s">
        <v>190</v>
      </c>
      <c r="B21" s="72" t="s">
        <v>191</v>
      </c>
      <c r="C21" s="73"/>
      <c r="D21" s="73"/>
      <c r="E21" s="73"/>
      <c r="G21" s="74"/>
      <c r="J21" s="92"/>
      <c r="M21" s="93"/>
      <c r="AI21" s="114"/>
    </row>
    <row r="22" spans="1:35" s="40" customFormat="1">
      <c r="A22" s="75"/>
      <c r="B22" s="76" t="s">
        <v>192</v>
      </c>
      <c r="C22" s="73"/>
      <c r="D22" s="73"/>
      <c r="E22" s="73"/>
      <c r="G22" s="74"/>
      <c r="J22" s="92"/>
      <c r="M22" s="93"/>
      <c r="AI22" s="114"/>
    </row>
    <row r="23" spans="1:35" s="40" customFormat="1">
      <c r="A23" s="72"/>
      <c r="B23" s="76" t="s">
        <v>193</v>
      </c>
      <c r="C23" s="77"/>
      <c r="D23" s="77"/>
      <c r="E23" s="77"/>
      <c r="F23" s="77"/>
      <c r="G23" s="77"/>
      <c r="H23" s="77"/>
      <c r="I23" s="77"/>
      <c r="J23" s="94"/>
      <c r="K23" s="77"/>
      <c r="L23" s="77"/>
      <c r="M23" s="95"/>
      <c r="N23" s="77"/>
      <c r="O23" s="77"/>
      <c r="P23" s="77"/>
      <c r="AI23" s="114"/>
    </row>
    <row r="24" spans="1:35" s="40" customFormat="1" ht="13.5" customHeight="1">
      <c r="A24" s="76"/>
      <c r="B24" s="76" t="s">
        <v>194</v>
      </c>
      <c r="C24" s="78"/>
      <c r="D24" s="78"/>
      <c r="E24" s="78"/>
      <c r="F24" s="78"/>
      <c r="G24" s="78"/>
      <c r="H24" s="78"/>
      <c r="I24" s="96"/>
      <c r="J24" s="97"/>
      <c r="K24" s="96"/>
      <c r="L24" s="96"/>
      <c r="M24" s="98"/>
      <c r="N24" s="96"/>
      <c r="O24" s="96"/>
      <c r="P24" s="96"/>
      <c r="AI24" s="114"/>
    </row>
    <row r="25" spans="1:35" s="40" customFormat="1" ht="13.5" customHeight="1">
      <c r="A25" s="76"/>
      <c r="B25" s="76" t="s">
        <v>195</v>
      </c>
      <c r="C25" s="78"/>
      <c r="D25" s="78"/>
      <c r="E25" s="78"/>
      <c r="F25" s="78"/>
      <c r="G25" s="78"/>
      <c r="H25" s="78"/>
      <c r="I25" s="78"/>
      <c r="J25" s="99"/>
      <c r="K25" s="78"/>
      <c r="L25" s="96"/>
      <c r="M25" s="98"/>
      <c r="N25" s="96"/>
      <c r="O25" s="96"/>
      <c r="P25" s="96"/>
      <c r="AI25" s="114"/>
    </row>
    <row r="26" spans="1:35" s="40" customFormat="1" ht="13.5" customHeight="1">
      <c r="A26" s="76"/>
      <c r="B26" s="76" t="s">
        <v>196</v>
      </c>
      <c r="C26" s="78"/>
      <c r="D26" s="78"/>
      <c r="E26" s="78"/>
      <c r="F26" s="78"/>
      <c r="G26" s="78"/>
      <c r="H26" s="78"/>
      <c r="I26" s="96"/>
      <c r="J26" s="97"/>
      <c r="K26" s="96"/>
      <c r="L26" s="96"/>
      <c r="M26" s="98"/>
      <c r="N26" s="96"/>
      <c r="O26" s="96"/>
      <c r="P26" s="96"/>
      <c r="AI26" s="114"/>
    </row>
    <row r="28" spans="1:35" ht="11.25" customHeight="1">
      <c r="B28" s="79" t="s">
        <v>197</v>
      </c>
    </row>
    <row r="29" spans="1:35">
      <c r="B29" s="80" t="s">
        <v>198</v>
      </c>
    </row>
    <row r="30" spans="1:35">
      <c r="B30" s="80" t="s">
        <v>199</v>
      </c>
    </row>
  </sheetData>
  <autoFilter ref="A3:AT14"/>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6">
    <cfRule type="duplicateValues" dxfId="23" priority="2" stopIfTrue="1"/>
  </conditionalFormatting>
  <conditionalFormatting sqref="B21:B25">
    <cfRule type="duplicateValues" dxfId="22" priority="3" stopIfTrue="1"/>
  </conditionalFormatting>
  <conditionalFormatting sqref="B29:B30">
    <cfRule type="duplicateValues" dxfId="21" priority="1" stopIfTrue="1"/>
  </conditionalFormatting>
  <conditionalFormatting sqref="C18:C20">
    <cfRule type="duplicateValues" dxfId="20" priority="4" stopIfTrue="1"/>
    <cfRule type="expression" dxfId="19" priority="5" stopIfTrue="1">
      <formula>AND(COUNTIF($B$14:$B$65450,C18)+COUNTIF($B$1:$B$3,C18)&gt;1,NOT(ISBLANK(C18)))</formula>
    </cfRule>
    <cfRule type="expression" dxfId="18" priority="6" stopIfTrue="1">
      <formula>AND(COUNTIF($B$25:$B$65401,C18)+COUNTIF($B$1:$B$24,C18)&gt;1,NOT(ISBLANK(C18)))</formula>
    </cfRule>
    <cfRule type="expression" dxfId="17" priority="7" stopIfTrue="1">
      <formula>AND(COUNTIF($B$14:$B$65439,C18)+COUNTIF($B$1:$B$3,C18)&gt;1,NOT(ISBLANK(C18)))</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34"/>
  <sheetViews>
    <sheetView workbookViewId="0">
      <pane xSplit="6" ySplit="3" topLeftCell="U4" activePane="bottomRight" state="frozen"/>
      <selection pane="topRight"/>
      <selection pane="bottomLeft"/>
      <selection pane="bottomRight" activeCell="X9" sqref="X9"/>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9.875" style="41" customWidth="1" outlineLevel="1"/>
    <col min="14" max="15" width="9" style="41" customWidth="1" outlineLevel="1"/>
    <col min="16" max="16" width="11.125" style="41" customWidth="1" outlineLevel="1"/>
    <col min="17" max="17" width="9.75" style="41" customWidth="1"/>
    <col min="18" max="18" width="9.5" style="41" customWidth="1"/>
    <col min="19" max="19" width="11.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200</v>
      </c>
      <c r="C4" s="53" t="s">
        <v>75</v>
      </c>
      <c r="D4" s="53" t="s">
        <v>185</v>
      </c>
      <c r="E4" s="53" t="s">
        <v>76</v>
      </c>
      <c r="F4" s="54" t="s">
        <v>186</v>
      </c>
      <c r="G4" s="55">
        <v>18035163638</v>
      </c>
      <c r="H4" s="56"/>
      <c r="I4" s="56"/>
      <c r="J4" s="84"/>
      <c r="K4" s="56"/>
      <c r="L4" s="85">
        <v>11010</v>
      </c>
      <c r="M4" s="86">
        <v>264</v>
      </c>
      <c r="N4" s="86">
        <v>9.9</v>
      </c>
      <c r="O4" s="86">
        <v>66</v>
      </c>
      <c r="P4" s="86">
        <v>180</v>
      </c>
      <c r="Q4" s="102">
        <f t="shared" ref="Q4:Q16" si="0">ROUND(SUM(M4:P4),2)</f>
        <v>519.9</v>
      </c>
      <c r="R4" s="88">
        <v>0</v>
      </c>
      <c r="S4" s="103">
        <f>L4+IFERROR(VLOOKUP($E:$E,'（居民）工资表-3月'!$E:$S,15,0),0)</f>
        <v>36780</v>
      </c>
      <c r="T4" s="104">
        <f>5000+IFERROR(VLOOKUP($E:$E,'（居民）工资表-3月'!$E:$T,16,0),0)</f>
        <v>20000</v>
      </c>
      <c r="U4" s="104">
        <f>Q4+IFERROR(VLOOKUP($E:$E,'（居民）工资表-3月'!$E:$U,17,0),0)</f>
        <v>2079.6</v>
      </c>
      <c r="V4" s="88">
        <v>4000</v>
      </c>
      <c r="W4" s="88"/>
      <c r="X4" s="88">
        <v>4000</v>
      </c>
      <c r="Y4" s="88"/>
      <c r="Z4" s="88"/>
      <c r="AA4" s="88"/>
      <c r="AB4" s="103">
        <f t="shared" ref="AB4:AB16" si="1">ROUND(SUM(V4:AA4),2)</f>
        <v>8000</v>
      </c>
      <c r="AC4" s="103">
        <f>R4+IFERROR(VLOOKUP($E:$E,'（居民）工资表-3月'!$E:$AC,25,0),0)</f>
        <v>0</v>
      </c>
      <c r="AD4" s="105">
        <f t="shared" ref="AD4:AD16" si="2">ROUND(S4-T4-U4-AB4-AC4,2)</f>
        <v>6700.4</v>
      </c>
      <c r="AE4" s="106">
        <f>ROUND(MAX((AD4)*{0.03;0.1;0.2;0.25;0.3;0.35;0.45}-{0;2520;16920;31920;52920;85920;181920},0),2)</f>
        <v>201.01</v>
      </c>
      <c r="AF4" s="107">
        <f>IFERROR(VLOOKUP(E:E,'（居民）工资表-3月'!E:AF,28,0)+VLOOKUP(E:E,'（居民）工资表-3月'!E:AG,29,0),0)</f>
        <v>96.31</v>
      </c>
      <c r="AG4" s="107">
        <f t="shared" ref="AG4:AG16" si="3">IF((AE4-AF4)&lt;0,0,AE4-AF4)</f>
        <v>104.69999999999999</v>
      </c>
      <c r="AH4" s="110">
        <f t="shared" ref="AH4:AH16" si="4">ROUND(IF((L4-Q4-AG4)&lt;0,0,(L4-Q4-AG4)),2)</f>
        <v>10385.4</v>
      </c>
      <c r="AI4" s="111"/>
      <c r="AJ4" s="110">
        <f t="shared" ref="AJ4:AJ16" si="5">AH4+AI4</f>
        <v>10385.4</v>
      </c>
      <c r="AK4" s="112"/>
      <c r="AL4" s="110">
        <f t="shared" ref="AL4:AL16" si="6">AJ4+AG4+AK4</f>
        <v>10490.1</v>
      </c>
      <c r="AM4" s="112"/>
      <c r="AN4" s="112"/>
      <c r="AO4" s="112"/>
      <c r="AP4" s="112"/>
      <c r="AQ4" s="112"/>
      <c r="AR4" s="116"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 t="shared" ref="AS4:AS12" si="8">IF(SUMPRODUCT(N(E$1:E$6=E4))&gt;1,"重复","不")</f>
        <v>不</v>
      </c>
      <c r="AT4" s="116" t="str">
        <f t="shared" ref="AT4:AT12" si="9">IF(SUMPRODUCT(N(AO$1:AO$6=AO4))&gt;1,"重复","不")</f>
        <v>重复</v>
      </c>
    </row>
    <row r="5" spans="1:46" s="38" customFormat="1" ht="18" customHeight="1">
      <c r="A5" s="52">
        <v>2</v>
      </c>
      <c r="B5" s="53" t="s">
        <v>200</v>
      </c>
      <c r="C5" s="53" t="s">
        <v>93</v>
      </c>
      <c r="D5" s="53" t="s">
        <v>185</v>
      </c>
      <c r="E5" s="53" t="s">
        <v>94</v>
      </c>
      <c r="F5" s="54" t="s">
        <v>186</v>
      </c>
      <c r="G5" s="55">
        <v>13944441728</v>
      </c>
      <c r="H5" s="56"/>
      <c r="I5" s="56"/>
      <c r="J5" s="84"/>
      <c r="K5" s="56"/>
      <c r="L5" s="85">
        <v>7000</v>
      </c>
      <c r="M5" s="86">
        <v>268.81</v>
      </c>
      <c r="N5" s="86">
        <v>10.08</v>
      </c>
      <c r="O5" s="86">
        <v>105.06</v>
      </c>
      <c r="P5" s="86">
        <v>91</v>
      </c>
      <c r="Q5" s="102">
        <f t="shared" si="0"/>
        <v>474.95</v>
      </c>
      <c r="R5" s="88">
        <v>0</v>
      </c>
      <c r="S5" s="103">
        <f>L5+IFERROR(VLOOKUP($E:$E,'（居民）工资表-3月'!$E:$S,15,0),0)</f>
        <v>28000</v>
      </c>
      <c r="T5" s="104">
        <f>5000+IFERROR(VLOOKUP($E:$E,'（居民）工资表-3月'!$E:$T,16,0),0)</f>
        <v>20000</v>
      </c>
      <c r="U5" s="104">
        <f>Q5+IFERROR(VLOOKUP($E:$E,'（居民）工资表-3月'!$E:$U,17,0),0)</f>
        <v>1731.8</v>
      </c>
      <c r="V5" s="88"/>
      <c r="W5" s="88"/>
      <c r="X5" s="88">
        <v>4000</v>
      </c>
      <c r="Y5" s="88"/>
      <c r="Z5" s="88"/>
      <c r="AA5" s="88"/>
      <c r="AB5" s="103">
        <f t="shared" si="1"/>
        <v>4000</v>
      </c>
      <c r="AC5" s="103">
        <f>R5+IFERROR(VLOOKUP($E:$E,'（居民）工资表-3月'!$E:$AC,25,0),0)</f>
        <v>0</v>
      </c>
      <c r="AD5" s="105">
        <f t="shared" si="2"/>
        <v>2268.1999999999998</v>
      </c>
      <c r="AE5" s="106">
        <f>ROUND(MAX((AD5)*{0.03;0.1;0.2;0.25;0.3;0.35;0.45}-{0;2520;16920;31920;52920;85920;181920},0),2)</f>
        <v>68.05</v>
      </c>
      <c r="AF5" s="107">
        <f>IFERROR(VLOOKUP(E:E,'（居民）工资表-3月'!E:AF,28,0)+VLOOKUP(E:E,'（居民）工资表-3月'!E:AG,29,0),0)</f>
        <v>52.29</v>
      </c>
      <c r="AG5" s="107">
        <f t="shared" si="3"/>
        <v>15.759999999999998</v>
      </c>
      <c r="AH5" s="110">
        <f t="shared" si="4"/>
        <v>6509.29</v>
      </c>
      <c r="AI5" s="111"/>
      <c r="AJ5" s="110">
        <f t="shared" si="5"/>
        <v>6509.29</v>
      </c>
      <c r="AK5" s="112"/>
      <c r="AL5" s="110">
        <f t="shared" si="6"/>
        <v>6525.05</v>
      </c>
      <c r="AM5" s="112"/>
      <c r="AN5" s="112"/>
      <c r="AO5" s="112"/>
      <c r="AP5" s="112"/>
      <c r="AQ5" s="112"/>
      <c r="AR5" s="116" t="str">
        <f t="shared" si="7"/>
        <v>正确</v>
      </c>
      <c r="AS5" s="116" t="str">
        <f t="shared" si="8"/>
        <v>不</v>
      </c>
      <c r="AT5" s="116" t="str">
        <f t="shared" si="9"/>
        <v>重复</v>
      </c>
    </row>
    <row r="6" spans="1:46" s="38" customFormat="1" ht="18" customHeight="1">
      <c r="A6" s="52">
        <v>3</v>
      </c>
      <c r="B6" s="53" t="s">
        <v>200</v>
      </c>
      <c r="C6" s="53" t="s">
        <v>110</v>
      </c>
      <c r="D6" s="53" t="s">
        <v>185</v>
      </c>
      <c r="E6" s="282" t="s">
        <v>111</v>
      </c>
      <c r="F6" s="54" t="str">
        <f>IF(MOD(MID(E6,17,1),2)=1,"男","女")</f>
        <v>女</v>
      </c>
      <c r="G6" s="55">
        <v>15360550807</v>
      </c>
      <c r="H6" s="56"/>
      <c r="I6" s="56"/>
      <c r="J6" s="84"/>
      <c r="K6" s="56"/>
      <c r="L6" s="85">
        <v>5700</v>
      </c>
      <c r="M6" s="86">
        <v>367.04</v>
      </c>
      <c r="N6" s="86">
        <v>4.5999999999999996</v>
      </c>
      <c r="O6" s="86">
        <v>135.13999999999999</v>
      </c>
      <c r="P6" s="86">
        <v>115</v>
      </c>
      <c r="Q6" s="102">
        <f t="shared" si="0"/>
        <v>621.78</v>
      </c>
      <c r="R6" s="88">
        <v>0</v>
      </c>
      <c r="S6" s="103">
        <f>L6+IFERROR(VLOOKUP($E:$E,'（居民）工资表-3月'!$E:$S,15,0),0)</f>
        <v>22800</v>
      </c>
      <c r="T6" s="104">
        <f>5000+IFERROR(VLOOKUP($E:$E,'（居民）工资表-3月'!$E:$T,16,0),0)</f>
        <v>20000</v>
      </c>
      <c r="U6" s="104">
        <f>Q6+IFERROR(VLOOKUP($E:$E,'（居民）工资表-3月'!$E:$U,17,0),0)</f>
        <v>2516.3999999999996</v>
      </c>
      <c r="V6" s="88"/>
      <c r="W6" s="88"/>
      <c r="X6" s="88"/>
      <c r="Y6" s="88">
        <v>6000</v>
      </c>
      <c r="Z6" s="88"/>
      <c r="AA6" s="88"/>
      <c r="AB6" s="103">
        <f t="shared" si="1"/>
        <v>6000</v>
      </c>
      <c r="AC6" s="103">
        <f>R6+IFERROR(VLOOKUP($E:$E,'（居民）工资表-3月'!$E:$AC,25,0),0)</f>
        <v>0</v>
      </c>
      <c r="AD6" s="105">
        <f t="shared" si="2"/>
        <v>-5716.4</v>
      </c>
      <c r="AE6" s="106">
        <f>ROUND(MAX((AD6)*{0.03;0.1;0.2;0.25;0.3;0.35;0.45}-{0;2520;16920;31920;52920;85920;181920},0),2)</f>
        <v>0</v>
      </c>
      <c r="AF6" s="107">
        <f>IFERROR(VLOOKUP(E:E,'（居民）工资表-3月'!E:AF,28,0)+VLOOKUP(E:E,'（居民）工资表-3月'!E:AG,29,0),0)</f>
        <v>0</v>
      </c>
      <c r="AG6" s="107">
        <f t="shared" si="3"/>
        <v>0</v>
      </c>
      <c r="AH6" s="110">
        <f t="shared" si="4"/>
        <v>5078.22</v>
      </c>
      <c r="AI6" s="111"/>
      <c r="AJ6" s="110">
        <f t="shared" si="5"/>
        <v>5078.22</v>
      </c>
      <c r="AK6" s="112"/>
      <c r="AL6" s="110">
        <f t="shared" si="6"/>
        <v>5078.22</v>
      </c>
      <c r="AM6" s="112"/>
      <c r="AN6" s="112"/>
      <c r="AO6" s="112"/>
      <c r="AP6" s="112"/>
      <c r="AQ6" s="112"/>
      <c r="AR6" s="116" t="str">
        <f t="shared" si="7"/>
        <v>正确</v>
      </c>
      <c r="AS6" s="116" t="str">
        <f t="shared" si="8"/>
        <v>不</v>
      </c>
      <c r="AT6" s="116" t="str">
        <f t="shared" si="9"/>
        <v>重复</v>
      </c>
    </row>
    <row r="7" spans="1:46" s="38" customFormat="1" ht="18" customHeight="1">
      <c r="A7" s="52">
        <v>4</v>
      </c>
      <c r="B7" s="53" t="s">
        <v>200</v>
      </c>
      <c r="C7" s="53" t="s">
        <v>103</v>
      </c>
      <c r="D7" s="53" t="s">
        <v>185</v>
      </c>
      <c r="E7" s="282" t="s">
        <v>104</v>
      </c>
      <c r="F7" s="54" t="s">
        <v>186</v>
      </c>
      <c r="G7" s="55">
        <v>18607383005</v>
      </c>
      <c r="H7" s="56"/>
      <c r="I7" s="56"/>
      <c r="J7" s="84"/>
      <c r="K7" s="56"/>
      <c r="L7" s="85">
        <v>25000</v>
      </c>
      <c r="M7" s="86">
        <v>320</v>
      </c>
      <c r="N7" s="86">
        <v>12</v>
      </c>
      <c r="O7" s="86">
        <v>80</v>
      </c>
      <c r="P7" s="86">
        <v>200</v>
      </c>
      <c r="Q7" s="102">
        <f t="shared" si="0"/>
        <v>612</v>
      </c>
      <c r="R7" s="88">
        <v>0</v>
      </c>
      <c r="S7" s="103">
        <f>L7+IFERROR(VLOOKUP($E:$E,'（居民）工资表-3月'!$E:$S,15,0),0)</f>
        <v>110000</v>
      </c>
      <c r="T7" s="104">
        <f>5000+IFERROR(VLOOKUP($E:$E,'（居民）工资表-3月'!$E:$T,16,0),0)</f>
        <v>20000</v>
      </c>
      <c r="U7" s="104">
        <f>Q7+IFERROR(VLOOKUP($E:$E,'（居民）工资表-3月'!$E:$U,17,0),0)</f>
        <v>2578</v>
      </c>
      <c r="V7" s="88">
        <v>8000</v>
      </c>
      <c r="W7" s="88">
        <v>4000</v>
      </c>
      <c r="X7" s="88"/>
      <c r="Y7" s="88"/>
      <c r="Z7" s="88"/>
      <c r="AA7" s="88"/>
      <c r="AB7" s="103">
        <f t="shared" si="1"/>
        <v>12000</v>
      </c>
      <c r="AC7" s="103">
        <f>R7+IFERROR(VLOOKUP($E:$E,'（居民）工资表-3月'!$E:$AC,25,0),0)</f>
        <v>0</v>
      </c>
      <c r="AD7" s="105">
        <f t="shared" si="2"/>
        <v>75422</v>
      </c>
      <c r="AE7" s="106">
        <f>ROUND(MAX((AD7)*{0.03;0.1;0.2;0.25;0.3;0.35;0.45}-{0;2520;16920;31920;52920;85920;181920},0),2)</f>
        <v>5022.2</v>
      </c>
      <c r="AF7" s="107">
        <f>IFERROR(VLOOKUP(E:E,'（居民）工资表-3月'!E:AF,28,0)+VLOOKUP(E:E,'（居民）工资表-3月'!E:AG,29,0),0)</f>
        <v>3383.3999999999996</v>
      </c>
      <c r="AG7" s="107">
        <f t="shared" si="3"/>
        <v>1638.8000000000002</v>
      </c>
      <c r="AH7" s="110">
        <f t="shared" si="4"/>
        <v>22749.200000000001</v>
      </c>
      <c r="AI7" s="111"/>
      <c r="AJ7" s="110">
        <f t="shared" si="5"/>
        <v>22749.200000000001</v>
      </c>
      <c r="AK7" s="112"/>
      <c r="AL7" s="110">
        <f t="shared" si="6"/>
        <v>24388</v>
      </c>
      <c r="AM7" s="112"/>
      <c r="AN7" s="112"/>
      <c r="AO7" s="112"/>
      <c r="AP7" s="112"/>
      <c r="AQ7" s="112"/>
      <c r="AR7" s="116" t="str">
        <f t="shared" si="7"/>
        <v>正确</v>
      </c>
      <c r="AS7" s="116" t="str">
        <f t="shared" si="8"/>
        <v>不</v>
      </c>
      <c r="AT7" s="116" t="str">
        <f t="shared" si="9"/>
        <v>重复</v>
      </c>
    </row>
    <row r="8" spans="1:46" s="38" customFormat="1" ht="18" customHeight="1">
      <c r="A8" s="52">
        <v>5</v>
      </c>
      <c r="B8" s="53" t="s">
        <v>200</v>
      </c>
      <c r="C8" s="53" t="s">
        <v>107</v>
      </c>
      <c r="D8" s="53" t="s">
        <v>185</v>
      </c>
      <c r="E8" s="53" t="s">
        <v>108</v>
      </c>
      <c r="F8" s="54" t="s">
        <v>186</v>
      </c>
      <c r="G8" s="55">
        <v>13373825180</v>
      </c>
      <c r="H8" s="56"/>
      <c r="I8" s="56"/>
      <c r="J8" s="84"/>
      <c r="K8" s="56"/>
      <c r="L8" s="85">
        <v>28739</v>
      </c>
      <c r="M8" s="86">
        <v>296</v>
      </c>
      <c r="N8" s="86">
        <v>11.1</v>
      </c>
      <c r="O8" s="86">
        <v>74</v>
      </c>
      <c r="P8" s="86">
        <v>85</v>
      </c>
      <c r="Q8" s="102">
        <f t="shared" si="0"/>
        <v>466.1</v>
      </c>
      <c r="R8" s="88">
        <v>0</v>
      </c>
      <c r="S8" s="103">
        <f>L8+IFERROR(VLOOKUP($E:$E,'（居民）工资表-3月'!$E:$S,15,0),0)</f>
        <v>113033.5</v>
      </c>
      <c r="T8" s="104">
        <f>5000+IFERROR(VLOOKUP($E:$E,'（居民）工资表-3月'!$E:$T,16,0),0)</f>
        <v>20000</v>
      </c>
      <c r="U8" s="104">
        <f>Q8+IFERROR(VLOOKUP($E:$E,'（居民）工资表-3月'!$E:$U,17,0),0)</f>
        <v>2101.37</v>
      </c>
      <c r="V8" s="88">
        <v>4000</v>
      </c>
      <c r="W8" s="88">
        <v>4000</v>
      </c>
      <c r="X8" s="88">
        <v>4000</v>
      </c>
      <c r="Y8" s="88"/>
      <c r="Z8" s="88"/>
      <c r="AA8" s="88"/>
      <c r="AB8" s="103">
        <f t="shared" si="1"/>
        <v>12000</v>
      </c>
      <c r="AC8" s="103">
        <f>R8+IFERROR(VLOOKUP($E:$E,'（居民）工资表-3月'!$E:$AC,25,0),0)</f>
        <v>0</v>
      </c>
      <c r="AD8" s="105">
        <f t="shared" si="2"/>
        <v>78932.13</v>
      </c>
      <c r="AE8" s="106">
        <f>ROUND(MAX((AD8)*{0.03;0.1;0.2;0.25;0.3;0.35;0.45}-{0;2520;16920;31920;52920;85920;181920},0),2)</f>
        <v>5373.21</v>
      </c>
      <c r="AF8" s="107">
        <f>IFERROR(VLOOKUP(E:E,'（居民）工资表-3月'!E:AF,28,0)+VLOOKUP(E:E,'（居民）工资表-3月'!E:AG,29,0),0)</f>
        <v>3345.92</v>
      </c>
      <c r="AG8" s="107">
        <f t="shared" si="3"/>
        <v>2027.29</v>
      </c>
      <c r="AH8" s="110">
        <f t="shared" si="4"/>
        <v>26245.61</v>
      </c>
      <c r="AI8" s="111"/>
      <c r="AJ8" s="110">
        <f t="shared" si="5"/>
        <v>26245.61</v>
      </c>
      <c r="AK8" s="112"/>
      <c r="AL8" s="110">
        <f t="shared" si="6"/>
        <v>28272.9</v>
      </c>
      <c r="AM8" s="112"/>
      <c r="AN8" s="112"/>
      <c r="AO8" s="112"/>
      <c r="AP8" s="112"/>
      <c r="AQ8" s="112"/>
      <c r="AR8" s="116" t="str">
        <f t="shared" si="7"/>
        <v>正确</v>
      </c>
      <c r="AS8" s="116" t="str">
        <f t="shared" si="8"/>
        <v>不</v>
      </c>
      <c r="AT8" s="116" t="str">
        <f t="shared" si="9"/>
        <v>重复</v>
      </c>
    </row>
    <row r="9" spans="1:46" s="118" customFormat="1" ht="18" customHeight="1">
      <c r="A9" s="119">
        <v>6</v>
      </c>
      <c r="B9" s="57" t="s">
        <v>200</v>
      </c>
      <c r="C9" s="57" t="s">
        <v>118</v>
      </c>
      <c r="D9" s="57" t="s">
        <v>185</v>
      </c>
      <c r="E9" s="57" t="s">
        <v>119</v>
      </c>
      <c r="F9" s="58" t="s">
        <v>186</v>
      </c>
      <c r="G9" s="59">
        <v>18037463616</v>
      </c>
      <c r="H9" s="60"/>
      <c r="I9" s="60"/>
      <c r="J9" s="87"/>
      <c r="K9" s="60"/>
      <c r="L9" s="120">
        <v>14320</v>
      </c>
      <c r="M9" s="121">
        <v>254.32</v>
      </c>
      <c r="N9" s="121">
        <v>9.5399999999999991</v>
      </c>
      <c r="O9" s="121">
        <v>63.94</v>
      </c>
      <c r="P9" s="121">
        <v>254.32</v>
      </c>
      <c r="Q9" s="122">
        <f t="shared" si="0"/>
        <v>582.12</v>
      </c>
      <c r="R9" s="122">
        <v>0</v>
      </c>
      <c r="S9" s="123">
        <f>L9+IFERROR(VLOOKUP($E:$E,'（居民）工资表-3月'!$E:$S,15,0),0)</f>
        <v>42092.630000000005</v>
      </c>
      <c r="T9" s="124">
        <f>5000+IFERROR(VLOOKUP($E:$E,'（居民）工资表-3月'!$E:$T,16,0),0)</f>
        <v>15000</v>
      </c>
      <c r="U9" s="124">
        <f>Q9+IFERROR(VLOOKUP($E:$E,'（居民）工资表-3月'!$E:$U,17,0),0)</f>
        <v>2228.0100000000002</v>
      </c>
      <c r="V9" s="122"/>
      <c r="W9" s="122"/>
      <c r="X9" s="122">
        <v>3000</v>
      </c>
      <c r="Y9" s="122"/>
      <c r="Z9" s="122"/>
      <c r="AA9" s="122"/>
      <c r="AB9" s="123">
        <f t="shared" si="1"/>
        <v>3000</v>
      </c>
      <c r="AC9" s="123">
        <f>R9+IFERROR(VLOOKUP($E:$E,'（居民）工资表-3月'!$E:$AC,25,0),0)</f>
        <v>0</v>
      </c>
      <c r="AD9" s="125">
        <f t="shared" si="2"/>
        <v>21864.62</v>
      </c>
      <c r="AE9" s="126">
        <f>ROUND(MAX((AD9)*{0.03;0.1;0.2;0.25;0.3;0.35;0.45}-{0;2520;16920;31920;52920;85920;181920},0),2)</f>
        <v>655.94</v>
      </c>
      <c r="AF9" s="127">
        <f>IFERROR(VLOOKUP(E:E,'（居民）工资表-3月'!E:AF,28,0)+VLOOKUP(E:E,'（居民）工资表-3月'!E:AG,29,0),0)</f>
        <v>483.79999999999995</v>
      </c>
      <c r="AG9" s="127">
        <f t="shared" si="3"/>
        <v>172.1400000000001</v>
      </c>
      <c r="AH9" s="128">
        <f t="shared" si="4"/>
        <v>13565.74</v>
      </c>
      <c r="AI9" s="129"/>
      <c r="AJ9" s="128">
        <f t="shared" si="5"/>
        <v>13565.74</v>
      </c>
      <c r="AK9" s="128"/>
      <c r="AL9" s="128">
        <f t="shared" si="6"/>
        <v>13737.88</v>
      </c>
      <c r="AM9" s="128"/>
      <c r="AN9" s="128"/>
      <c r="AO9" s="128"/>
      <c r="AP9" s="128"/>
      <c r="AQ9" s="128"/>
      <c r="AR9" s="131" t="str">
        <f t="shared" si="7"/>
        <v>正确</v>
      </c>
      <c r="AS9" s="131" t="str">
        <f t="shared" si="8"/>
        <v>不</v>
      </c>
      <c r="AT9" s="131" t="str">
        <f t="shared" si="9"/>
        <v>重复</v>
      </c>
    </row>
    <row r="10" spans="1:46" s="38" customFormat="1" ht="18" customHeight="1">
      <c r="A10" s="52">
        <v>7</v>
      </c>
      <c r="B10" s="53" t="s">
        <v>200</v>
      </c>
      <c r="C10" s="53" t="s">
        <v>120</v>
      </c>
      <c r="D10" s="53" t="s">
        <v>185</v>
      </c>
      <c r="E10" s="282" t="s">
        <v>121</v>
      </c>
      <c r="F10" s="54" t="s">
        <v>186</v>
      </c>
      <c r="G10" s="55">
        <v>18500634358</v>
      </c>
      <c r="H10" s="56"/>
      <c r="I10" s="56"/>
      <c r="J10" s="84"/>
      <c r="K10" s="56"/>
      <c r="L10" s="85">
        <v>14920</v>
      </c>
      <c r="M10" s="86">
        <v>254.32</v>
      </c>
      <c r="N10" s="86">
        <v>9.5399999999999991</v>
      </c>
      <c r="O10" s="86">
        <v>63.94</v>
      </c>
      <c r="P10" s="86">
        <v>254.32</v>
      </c>
      <c r="Q10" s="102">
        <f t="shared" si="0"/>
        <v>582.12</v>
      </c>
      <c r="R10" s="88">
        <v>0</v>
      </c>
      <c r="S10" s="103">
        <f>L10+IFERROR(VLOOKUP($E:$E,'（居民）工资表-3月'!$E:$S,15,0),0)</f>
        <v>44040</v>
      </c>
      <c r="T10" s="104">
        <f>5000+IFERROR(VLOOKUP($E:$E,'（居民）工资表-3月'!$E:$T,16,0),0)</f>
        <v>15000</v>
      </c>
      <c r="U10" s="104">
        <f>Q10+IFERROR(VLOOKUP($E:$E,'（居民）工资表-3月'!$E:$U,17,0),0)</f>
        <v>2228.0100000000002</v>
      </c>
      <c r="V10" s="88"/>
      <c r="W10" s="88"/>
      <c r="X10" s="88"/>
      <c r="Y10" s="88"/>
      <c r="Z10" s="88"/>
      <c r="AA10" s="88"/>
      <c r="AB10" s="103">
        <f t="shared" si="1"/>
        <v>0</v>
      </c>
      <c r="AC10" s="103">
        <f>R10+IFERROR(VLOOKUP($E:$E,'（居民）工资表-3月'!$E:$AC,25,0),0)</f>
        <v>0</v>
      </c>
      <c r="AD10" s="105">
        <f t="shared" si="2"/>
        <v>26811.99</v>
      </c>
      <c r="AE10" s="106">
        <f>ROUND(MAX((AD10)*{0.03;0.1;0.2;0.25;0.3;0.35;0.45}-{0;2520;16920;31920;52920;85920;181920},0),2)</f>
        <v>804.36</v>
      </c>
      <c r="AF10" s="107">
        <f>IFERROR(VLOOKUP(E:E,'（居民）工资表-3月'!E:AF,28,0)+VLOOKUP(E:E,'（居民）工资表-3月'!E:AG,29,0),0)</f>
        <v>524.22</v>
      </c>
      <c r="AG10" s="107">
        <f t="shared" si="3"/>
        <v>280.14</v>
      </c>
      <c r="AH10" s="110">
        <f t="shared" si="4"/>
        <v>14057.74</v>
      </c>
      <c r="AI10" s="111"/>
      <c r="AJ10" s="110">
        <f t="shared" si="5"/>
        <v>14057.74</v>
      </c>
      <c r="AK10" s="112"/>
      <c r="AL10" s="110">
        <f t="shared" si="6"/>
        <v>14337.88</v>
      </c>
      <c r="AM10" s="112"/>
      <c r="AN10" s="112"/>
      <c r="AO10" s="112"/>
      <c r="AP10" s="112"/>
      <c r="AQ10" s="112"/>
      <c r="AR10" s="116" t="str">
        <f t="shared" si="7"/>
        <v>正确</v>
      </c>
      <c r="AS10" s="116" t="str">
        <f t="shared" si="8"/>
        <v>不</v>
      </c>
      <c r="AT10" s="116" t="str">
        <f t="shared" si="9"/>
        <v>重复</v>
      </c>
    </row>
    <row r="11" spans="1:46" s="38" customFormat="1" ht="18" customHeight="1">
      <c r="A11" s="52">
        <v>8</v>
      </c>
      <c r="B11" s="53" t="s">
        <v>200</v>
      </c>
      <c r="C11" s="53" t="s">
        <v>114</v>
      </c>
      <c r="D11" s="53" t="s">
        <v>185</v>
      </c>
      <c r="E11" s="53" t="s">
        <v>115</v>
      </c>
      <c r="F11" s="54" t="s">
        <v>186</v>
      </c>
      <c r="G11" s="55">
        <v>18738169923</v>
      </c>
      <c r="H11" s="56"/>
      <c r="I11" s="56"/>
      <c r="J11" s="84"/>
      <c r="K11" s="56"/>
      <c r="L11" s="85">
        <v>12420</v>
      </c>
      <c r="M11" s="86">
        <v>254.32</v>
      </c>
      <c r="N11" s="86">
        <v>9.5399999999999991</v>
      </c>
      <c r="O11" s="86">
        <v>63.94</v>
      </c>
      <c r="P11" s="86">
        <v>254.32</v>
      </c>
      <c r="Q11" s="102">
        <f t="shared" si="0"/>
        <v>582.12</v>
      </c>
      <c r="R11" s="88">
        <v>0</v>
      </c>
      <c r="S11" s="103">
        <f>L11+IFERROR(VLOOKUP($E:$E,'（居民）工资表-3月'!$E:$S,15,0),0)</f>
        <v>36540</v>
      </c>
      <c r="T11" s="104">
        <f>5000+IFERROR(VLOOKUP($E:$E,'（居民）工资表-3月'!$E:$T,16,0),0)</f>
        <v>15000</v>
      </c>
      <c r="U11" s="104">
        <f>Q11+IFERROR(VLOOKUP($E:$E,'（居民）工资表-3月'!$E:$U,17,0),0)</f>
        <v>2328.48</v>
      </c>
      <c r="V11" s="88"/>
      <c r="W11" s="88"/>
      <c r="X11" s="88"/>
      <c r="Y11" s="88"/>
      <c r="Z11" s="88"/>
      <c r="AA11" s="88"/>
      <c r="AB11" s="103">
        <f t="shared" si="1"/>
        <v>0</v>
      </c>
      <c r="AC11" s="103">
        <f>R11+IFERROR(VLOOKUP($E:$E,'（居民）工资表-3月'!$E:$AC,25,0),0)</f>
        <v>0</v>
      </c>
      <c r="AD11" s="105">
        <f t="shared" si="2"/>
        <v>19211.52</v>
      </c>
      <c r="AE11" s="106">
        <f>ROUND(MAX((AD11)*{0.03;0.1;0.2;0.25;0.3;0.35;0.45}-{0;2520;16920;31920;52920;85920;181920},0),2)</f>
        <v>576.35</v>
      </c>
      <c r="AF11" s="107">
        <f>IFERROR(VLOOKUP(E:E,'（居民）工资表-3月'!E:AF,28,0)+VLOOKUP(E:E,'（居民）工资表-3月'!E:AG,29,0),0)</f>
        <v>371.21000000000004</v>
      </c>
      <c r="AG11" s="107">
        <f t="shared" si="3"/>
        <v>205.14</v>
      </c>
      <c r="AH11" s="110">
        <f t="shared" si="4"/>
        <v>11632.74</v>
      </c>
      <c r="AI11" s="111"/>
      <c r="AJ11" s="110">
        <f t="shared" si="5"/>
        <v>11632.74</v>
      </c>
      <c r="AK11" s="112"/>
      <c r="AL11" s="110">
        <f t="shared" si="6"/>
        <v>11837.88</v>
      </c>
      <c r="AM11" s="112"/>
      <c r="AN11" s="112"/>
      <c r="AO11" s="112"/>
      <c r="AP11" s="112"/>
      <c r="AQ11" s="112"/>
      <c r="AR11" s="116" t="str">
        <f t="shared" si="7"/>
        <v>正确</v>
      </c>
      <c r="AS11" s="116" t="str">
        <f t="shared" si="8"/>
        <v>不</v>
      </c>
      <c r="AT11" s="116" t="str">
        <f t="shared" si="9"/>
        <v>重复</v>
      </c>
    </row>
    <row r="12" spans="1:46" s="38" customFormat="1" ht="18" customHeight="1">
      <c r="A12" s="52">
        <v>9</v>
      </c>
      <c r="B12" s="53" t="s">
        <v>200</v>
      </c>
      <c r="C12" s="53" t="s">
        <v>122</v>
      </c>
      <c r="D12" s="53" t="s">
        <v>185</v>
      </c>
      <c r="E12" s="53" t="s">
        <v>123</v>
      </c>
      <c r="F12" s="54" t="s">
        <v>186</v>
      </c>
      <c r="G12" s="55" t="s">
        <v>204</v>
      </c>
      <c r="H12" s="56"/>
      <c r="I12" s="56"/>
      <c r="J12" s="84"/>
      <c r="K12" s="56"/>
      <c r="L12" s="85">
        <v>18014.740000000002</v>
      </c>
      <c r="M12" s="86">
        <v>508.64</v>
      </c>
      <c r="N12" s="86">
        <v>19.079999999999998</v>
      </c>
      <c r="O12" s="86">
        <v>127.88</v>
      </c>
      <c r="P12" s="86">
        <v>508.64</v>
      </c>
      <c r="Q12" s="102">
        <f t="shared" si="0"/>
        <v>1164.24</v>
      </c>
      <c r="R12" s="88">
        <v>0</v>
      </c>
      <c r="S12" s="103">
        <f>L12+IFERROR(VLOOKUP($E:$E,'（居民）工资表-3月'!$E:$S,15,0),0)</f>
        <v>18014.740000000002</v>
      </c>
      <c r="T12" s="104">
        <f>5000+IFERROR(VLOOKUP($E:$E,'（居民）工资表-3月'!$E:$T,16,0),0)</f>
        <v>5000</v>
      </c>
      <c r="U12" s="104">
        <f>Q12+IFERROR(VLOOKUP($E:$E,'（居民）工资表-3月'!$E:$U,17,0),0)</f>
        <v>1164.24</v>
      </c>
      <c r="V12" s="88"/>
      <c r="W12" s="88"/>
      <c r="X12" s="88"/>
      <c r="Y12" s="88"/>
      <c r="Z12" s="88"/>
      <c r="AA12" s="88"/>
      <c r="AB12" s="103">
        <f t="shared" si="1"/>
        <v>0</v>
      </c>
      <c r="AC12" s="103">
        <f>R12+IFERROR(VLOOKUP($E:$E,'（居民）工资表-3月'!$E:$AC,25,0),0)</f>
        <v>0</v>
      </c>
      <c r="AD12" s="105">
        <f t="shared" si="2"/>
        <v>11850.5</v>
      </c>
      <c r="AE12" s="106">
        <f>ROUND(MAX((AD12)*{0.03;0.1;0.2;0.25;0.3;0.35;0.45}-{0;2520;16920;31920;52920;85920;181920},0),2)</f>
        <v>355.52</v>
      </c>
      <c r="AF12" s="107">
        <f>IFERROR(VLOOKUP(E:E,'（居民）工资表-3月'!E:AF,28,0)+VLOOKUP(E:E,'（居民）工资表-3月'!E:AG,29,0),0)</f>
        <v>0</v>
      </c>
      <c r="AG12" s="107">
        <f t="shared" si="3"/>
        <v>355.52</v>
      </c>
      <c r="AH12" s="110">
        <f t="shared" si="4"/>
        <v>16494.98</v>
      </c>
      <c r="AI12" s="111"/>
      <c r="AJ12" s="110">
        <f t="shared" si="5"/>
        <v>16494.98</v>
      </c>
      <c r="AK12" s="112"/>
      <c r="AL12" s="110">
        <f t="shared" si="6"/>
        <v>16850.5</v>
      </c>
      <c r="AM12" s="112"/>
      <c r="AN12" s="112"/>
      <c r="AO12" s="112"/>
      <c r="AP12" s="112"/>
      <c r="AQ12" s="112"/>
      <c r="AR12" s="116" t="str">
        <f t="shared" si="7"/>
        <v>正确</v>
      </c>
      <c r="AS12" s="116" t="str">
        <f t="shared" si="8"/>
        <v>不</v>
      </c>
      <c r="AT12" s="116" t="str">
        <f t="shared" si="9"/>
        <v>重复</v>
      </c>
    </row>
    <row r="13" spans="1:46" s="38" customFormat="1" ht="18" customHeight="1">
      <c r="A13" s="52">
        <v>10</v>
      </c>
      <c r="B13" s="53" t="s">
        <v>200</v>
      </c>
      <c r="C13" s="53" t="s">
        <v>126</v>
      </c>
      <c r="D13" s="53" t="s">
        <v>185</v>
      </c>
      <c r="E13" s="53" t="s">
        <v>127</v>
      </c>
      <c r="F13" s="54" t="s">
        <v>186</v>
      </c>
      <c r="G13" s="55" t="s">
        <v>205</v>
      </c>
      <c r="H13" s="56"/>
      <c r="I13" s="56"/>
      <c r="J13" s="84"/>
      <c r="K13" s="56"/>
      <c r="L13" s="85">
        <v>15117.39</v>
      </c>
      <c r="M13" s="86">
        <v>508.64</v>
      </c>
      <c r="N13" s="86">
        <v>19.079999999999998</v>
      </c>
      <c r="O13" s="86">
        <v>127.88</v>
      </c>
      <c r="P13" s="86">
        <v>508.64</v>
      </c>
      <c r="Q13" s="102">
        <f t="shared" si="0"/>
        <v>1164.24</v>
      </c>
      <c r="R13" s="88">
        <v>0</v>
      </c>
      <c r="S13" s="103">
        <f>L13+IFERROR(VLOOKUP($E:$E,'（居民）工资表-3月'!$E:$S,15,0),0)</f>
        <v>15117.39</v>
      </c>
      <c r="T13" s="104">
        <f>5000+IFERROR(VLOOKUP($E:$E,'（居民）工资表-3月'!$E:$T,16,0),0)</f>
        <v>5000</v>
      </c>
      <c r="U13" s="104">
        <f>Q13+IFERROR(VLOOKUP($E:$E,'（居民）工资表-3月'!$E:$U,17,0),0)</f>
        <v>1164.24</v>
      </c>
      <c r="V13" s="88"/>
      <c r="W13" s="88"/>
      <c r="X13" s="88"/>
      <c r="Y13" s="88"/>
      <c r="Z13" s="88"/>
      <c r="AA13" s="88"/>
      <c r="AB13" s="103">
        <f t="shared" si="1"/>
        <v>0</v>
      </c>
      <c r="AC13" s="103">
        <f>R13+IFERROR(VLOOKUP($E:$E,'（居民）工资表-3月'!$E:$AC,25,0),0)</f>
        <v>0</v>
      </c>
      <c r="AD13" s="105">
        <f t="shared" si="2"/>
        <v>8953.15</v>
      </c>
      <c r="AE13" s="106">
        <f>ROUND(MAX((AD13)*{0.03;0.1;0.2;0.25;0.3;0.35;0.45}-{0;2520;16920;31920;52920;85920;181920},0),2)</f>
        <v>268.58999999999997</v>
      </c>
      <c r="AF13" s="107">
        <f>IFERROR(VLOOKUP(E:E,'（居民）工资表-3月'!E:AF,28,0)+VLOOKUP(E:E,'（居民）工资表-3月'!E:AG,29,0),0)</f>
        <v>0</v>
      </c>
      <c r="AG13" s="107">
        <f t="shared" si="3"/>
        <v>268.58999999999997</v>
      </c>
      <c r="AH13" s="110">
        <f t="shared" si="4"/>
        <v>13684.56</v>
      </c>
      <c r="AI13" s="111"/>
      <c r="AJ13" s="110">
        <f t="shared" si="5"/>
        <v>13684.56</v>
      </c>
      <c r="AK13" s="112"/>
      <c r="AL13" s="110">
        <f t="shared" si="6"/>
        <v>13953.15</v>
      </c>
      <c r="AM13" s="112"/>
      <c r="AN13" s="112"/>
      <c r="AO13" s="112"/>
      <c r="AP13" s="112"/>
      <c r="AQ13" s="112"/>
      <c r="AR13" s="116"/>
      <c r="AS13" s="116"/>
      <c r="AT13" s="116"/>
    </row>
    <row r="14" spans="1:46" s="38" customFormat="1" ht="18" customHeight="1">
      <c r="A14" s="52">
        <v>11</v>
      </c>
      <c r="B14" s="53" t="s">
        <v>200</v>
      </c>
      <c r="C14" s="53" t="s">
        <v>124</v>
      </c>
      <c r="D14" s="53" t="s">
        <v>185</v>
      </c>
      <c r="E14" s="53" t="s">
        <v>125</v>
      </c>
      <c r="F14" s="54" t="s">
        <v>186</v>
      </c>
      <c r="G14" s="55" t="s">
        <v>206</v>
      </c>
      <c r="H14" s="56"/>
      <c r="I14" s="56"/>
      <c r="J14" s="84"/>
      <c r="K14" s="56"/>
      <c r="L14" s="85">
        <v>11152.17</v>
      </c>
      <c r="M14" s="86">
        <v>508.64</v>
      </c>
      <c r="N14" s="86">
        <v>19.079999999999998</v>
      </c>
      <c r="O14" s="86">
        <v>127.88</v>
      </c>
      <c r="P14" s="86">
        <v>508.64</v>
      </c>
      <c r="Q14" s="102">
        <f t="shared" si="0"/>
        <v>1164.24</v>
      </c>
      <c r="R14" s="88">
        <v>0</v>
      </c>
      <c r="S14" s="103">
        <f>L14+IFERROR(VLOOKUP($E:$E,'（居民）工资表-3月'!$E:$S,15,0),0)</f>
        <v>11152.17</v>
      </c>
      <c r="T14" s="104">
        <f>5000+IFERROR(VLOOKUP($E:$E,'（居民）工资表-3月'!$E:$T,16,0),0)</f>
        <v>5000</v>
      </c>
      <c r="U14" s="104">
        <f>Q14+IFERROR(VLOOKUP($E:$E,'（居民）工资表-3月'!$E:$U,17,0),0)</f>
        <v>1164.24</v>
      </c>
      <c r="V14" s="88"/>
      <c r="W14" s="88"/>
      <c r="X14" s="88"/>
      <c r="Y14" s="88"/>
      <c r="Z14" s="88"/>
      <c r="AA14" s="88"/>
      <c r="AB14" s="103">
        <f t="shared" si="1"/>
        <v>0</v>
      </c>
      <c r="AC14" s="103">
        <f>R14+IFERROR(VLOOKUP($E:$E,'（居民）工资表-3月'!$E:$AC,25,0),0)</f>
        <v>0</v>
      </c>
      <c r="AD14" s="105">
        <f t="shared" si="2"/>
        <v>4987.93</v>
      </c>
      <c r="AE14" s="106">
        <f>ROUND(MAX((AD14)*{0.03;0.1;0.2;0.25;0.3;0.35;0.45}-{0;2520;16920;31920;52920;85920;181920},0),2)</f>
        <v>149.63999999999999</v>
      </c>
      <c r="AF14" s="107">
        <f>IFERROR(VLOOKUP(E:E,'（居民）工资表-3月'!E:AF,28,0)+VLOOKUP(E:E,'（居民）工资表-3月'!E:AG,29,0),0)</f>
        <v>0</v>
      </c>
      <c r="AG14" s="107">
        <f t="shared" si="3"/>
        <v>149.63999999999999</v>
      </c>
      <c r="AH14" s="110">
        <f t="shared" si="4"/>
        <v>9838.2900000000009</v>
      </c>
      <c r="AI14" s="111"/>
      <c r="AJ14" s="110">
        <f t="shared" si="5"/>
        <v>9838.2900000000009</v>
      </c>
      <c r="AK14" s="112"/>
      <c r="AL14" s="110">
        <f t="shared" si="6"/>
        <v>9987.93</v>
      </c>
      <c r="AM14" s="112"/>
      <c r="AN14" s="112"/>
      <c r="AO14" s="112"/>
      <c r="AP14" s="112"/>
      <c r="AQ14" s="112"/>
      <c r="AR14" s="116"/>
      <c r="AS14" s="116"/>
      <c r="AT14" s="116"/>
    </row>
    <row r="15" spans="1:46" s="38" customFormat="1" ht="17.100000000000001" customHeight="1">
      <c r="A15" s="52">
        <v>12</v>
      </c>
      <c r="B15" s="53" t="s">
        <v>200</v>
      </c>
      <c r="C15" s="53" t="s">
        <v>116</v>
      </c>
      <c r="D15" s="53" t="s">
        <v>185</v>
      </c>
      <c r="E15" s="53" t="s">
        <v>117</v>
      </c>
      <c r="F15" s="54" t="s">
        <v>186</v>
      </c>
      <c r="G15" s="55">
        <v>15001138812</v>
      </c>
      <c r="H15" s="56"/>
      <c r="I15" s="56"/>
      <c r="J15" s="84"/>
      <c r="K15" s="56"/>
      <c r="L15" s="85">
        <v>10420</v>
      </c>
      <c r="M15" s="86">
        <v>254.32</v>
      </c>
      <c r="N15" s="86">
        <v>9.5399999999999991</v>
      </c>
      <c r="O15" s="86">
        <v>63.94</v>
      </c>
      <c r="P15" s="86">
        <v>254.32</v>
      </c>
      <c r="Q15" s="102">
        <f t="shared" si="0"/>
        <v>582.12</v>
      </c>
      <c r="R15" s="88">
        <v>0</v>
      </c>
      <c r="S15" s="103">
        <f>L15+IFERROR(VLOOKUP($E:$E,'（居民）工资表-3月'!$E:$S,15,0),0)</f>
        <v>30540</v>
      </c>
      <c r="T15" s="104">
        <f>5000+IFERROR(VLOOKUP($E:$E,'（居民）工资表-3月'!$E:$T,16,0),0)</f>
        <v>15000</v>
      </c>
      <c r="U15" s="104">
        <f>Q15+IFERROR(VLOOKUP($E:$E,'（居民）工资表-3月'!$E:$U,17,0),0)</f>
        <v>2328.48</v>
      </c>
      <c r="V15" s="88"/>
      <c r="W15" s="88"/>
      <c r="X15" s="88"/>
      <c r="Y15" s="88"/>
      <c r="Z15" s="88"/>
      <c r="AA15" s="88"/>
      <c r="AB15" s="103">
        <f t="shared" si="1"/>
        <v>0</v>
      </c>
      <c r="AC15" s="103">
        <f>R15+IFERROR(VLOOKUP($E:$E,'（居民）工资表-3月'!$E:$AC,25,0),0)</f>
        <v>0</v>
      </c>
      <c r="AD15" s="105">
        <f t="shared" si="2"/>
        <v>13211.52</v>
      </c>
      <c r="AE15" s="106">
        <f>ROUND(MAX((AD15)*{0.03;0.1;0.2;0.25;0.3;0.35;0.45}-{0;2520;16920;31920;52920;85920;181920},0),2)</f>
        <v>396.35</v>
      </c>
      <c r="AF15" s="107">
        <f>IFERROR(VLOOKUP(E:E,'（居民）工资表-3月'!E:AF,28,0)+VLOOKUP(E:E,'（居民）工资表-3月'!E:AG,29,0),0)</f>
        <v>251.20999999999998</v>
      </c>
      <c r="AG15" s="107">
        <f t="shared" si="3"/>
        <v>145.14000000000004</v>
      </c>
      <c r="AH15" s="110">
        <f t="shared" si="4"/>
        <v>9692.74</v>
      </c>
      <c r="AI15" s="111"/>
      <c r="AJ15" s="110">
        <f t="shared" si="5"/>
        <v>9692.74</v>
      </c>
      <c r="AK15" s="112"/>
      <c r="AL15" s="110">
        <f t="shared" si="6"/>
        <v>9837.8799999999992</v>
      </c>
      <c r="AM15" s="112"/>
      <c r="AN15" s="112"/>
      <c r="AO15" s="112"/>
      <c r="AP15" s="112"/>
      <c r="AQ15" s="112"/>
      <c r="AR15" s="116"/>
      <c r="AS15" s="116"/>
      <c r="AT15" s="116"/>
    </row>
    <row r="16" spans="1:46" s="38" customFormat="1" ht="17.100000000000001" customHeight="1">
      <c r="A16" s="52">
        <v>13</v>
      </c>
      <c r="B16" s="53" t="s">
        <v>200</v>
      </c>
      <c r="C16" s="53" t="s">
        <v>128</v>
      </c>
      <c r="D16" s="53" t="s">
        <v>185</v>
      </c>
      <c r="E16" s="53" t="s">
        <v>129</v>
      </c>
      <c r="F16" s="54" t="s">
        <v>186</v>
      </c>
      <c r="G16" s="55">
        <v>15333903368</v>
      </c>
      <c r="H16" s="56"/>
      <c r="I16" s="56"/>
      <c r="J16" s="84"/>
      <c r="K16" s="56"/>
      <c r="L16" s="85">
        <v>5869.57</v>
      </c>
      <c r="M16" s="86"/>
      <c r="N16" s="86"/>
      <c r="O16" s="86"/>
      <c r="P16" s="86"/>
      <c r="Q16" s="102">
        <f t="shared" si="0"/>
        <v>0</v>
      </c>
      <c r="R16" s="88">
        <v>0</v>
      </c>
      <c r="S16" s="103">
        <f>L16+IFERROR(VLOOKUP($E:$E,'（居民）工资表-3月'!$E:$S,15,0),0)</f>
        <v>5869.57</v>
      </c>
      <c r="T16" s="104">
        <f>5000+IFERROR(VLOOKUP($E:$E,'（居民）工资表-3月'!$E:$T,16,0),0)</f>
        <v>5000</v>
      </c>
      <c r="U16" s="104">
        <f>Q16+IFERROR(VLOOKUP($E:$E,'（居民）工资表-3月'!$E:$U,17,0),0)</f>
        <v>0</v>
      </c>
      <c r="V16" s="88"/>
      <c r="W16" s="88"/>
      <c r="X16" s="88"/>
      <c r="Y16" s="88"/>
      <c r="Z16" s="88"/>
      <c r="AA16" s="88"/>
      <c r="AB16" s="103">
        <f t="shared" si="1"/>
        <v>0</v>
      </c>
      <c r="AC16" s="103">
        <f>R16+IFERROR(VLOOKUP($E:$E,'（居民）工资表-3月'!$E:$AC,25,0),0)</f>
        <v>0</v>
      </c>
      <c r="AD16" s="105">
        <f t="shared" si="2"/>
        <v>869.57</v>
      </c>
      <c r="AE16" s="106">
        <f>ROUND(MAX((AD16)*{0.03;0.1;0.2;0.25;0.3;0.35;0.45}-{0;2520;16920;31920;52920;85920;181920},0),2)</f>
        <v>26.09</v>
      </c>
      <c r="AF16" s="107">
        <f>IFERROR(VLOOKUP(E:E,'（居民）工资表-3月'!E:AF,28,0)+VLOOKUP(E:E,'（居民）工资表-3月'!E:AG,29,0),0)</f>
        <v>0</v>
      </c>
      <c r="AG16" s="107">
        <f t="shared" si="3"/>
        <v>26.09</v>
      </c>
      <c r="AH16" s="110">
        <f t="shared" si="4"/>
        <v>5843.48</v>
      </c>
      <c r="AI16" s="111"/>
      <c r="AJ16" s="110">
        <f t="shared" si="5"/>
        <v>5843.48</v>
      </c>
      <c r="AK16" s="112"/>
      <c r="AL16" s="110">
        <f t="shared" si="6"/>
        <v>5869.57</v>
      </c>
      <c r="AM16" s="112"/>
      <c r="AN16" s="112"/>
      <c r="AO16" s="112"/>
      <c r="AP16" s="112"/>
      <c r="AQ16" s="112"/>
      <c r="AR16" s="116"/>
      <c r="AS16" s="116"/>
      <c r="AT16" s="116"/>
    </row>
    <row r="17" spans="1:46" s="38" customFormat="1" ht="18" customHeight="1">
      <c r="A17" s="52"/>
      <c r="B17" s="53"/>
      <c r="C17" s="53"/>
      <c r="D17" s="53"/>
      <c r="E17" s="53"/>
      <c r="F17" s="54"/>
      <c r="G17" s="61"/>
      <c r="H17" s="56"/>
      <c r="I17" s="56"/>
      <c r="J17" s="84"/>
      <c r="K17" s="56"/>
      <c r="L17" s="88"/>
      <c r="M17" s="86"/>
      <c r="N17" s="86"/>
      <c r="O17" s="86"/>
      <c r="P17" s="86"/>
      <c r="Q17" s="102"/>
      <c r="R17" s="88"/>
      <c r="S17" s="103"/>
      <c r="T17" s="104"/>
      <c r="U17" s="104"/>
      <c r="V17" s="88"/>
      <c r="W17" s="88"/>
      <c r="X17" s="88"/>
      <c r="Y17" s="88"/>
      <c r="Z17" s="88"/>
      <c r="AA17" s="88"/>
      <c r="AB17" s="103"/>
      <c r="AC17" s="103"/>
      <c r="AD17" s="105"/>
      <c r="AE17" s="106"/>
      <c r="AF17" s="107"/>
      <c r="AG17" s="107"/>
      <c r="AH17" s="110"/>
      <c r="AI17" s="111"/>
      <c r="AJ17" s="110"/>
      <c r="AK17" s="112"/>
      <c r="AL17" s="110"/>
      <c r="AM17" s="112"/>
      <c r="AN17" s="112"/>
      <c r="AO17" s="112"/>
      <c r="AP17" s="112"/>
      <c r="AQ17" s="112"/>
      <c r="AR17" s="116"/>
      <c r="AS17" s="116"/>
      <c r="AT17" s="116"/>
    </row>
    <row r="18" spans="1:46" s="39" customFormat="1" ht="18" customHeight="1">
      <c r="A18" s="62"/>
      <c r="B18" s="63" t="s">
        <v>188</v>
      </c>
      <c r="C18" s="63"/>
      <c r="D18" s="64"/>
      <c r="E18" s="65"/>
      <c r="F18" s="66"/>
      <c r="G18" s="67"/>
      <c r="H18" s="66"/>
      <c r="I18" s="89"/>
      <c r="J18" s="90"/>
      <c r="K18" s="89"/>
      <c r="L18" s="91">
        <f>SUM(L4:L17)</f>
        <v>179682.87</v>
      </c>
      <c r="M18" s="91">
        <f t="shared" ref="M18:AL18" si="10">SUM(M4:M17)</f>
        <v>4059.05</v>
      </c>
      <c r="N18" s="91">
        <f t="shared" si="10"/>
        <v>143.08000000000001</v>
      </c>
      <c r="O18" s="91">
        <f t="shared" si="10"/>
        <v>1099.5999999999999</v>
      </c>
      <c r="P18" s="91">
        <f t="shared" si="10"/>
        <v>3214.2</v>
      </c>
      <c r="Q18" s="91">
        <f t="shared" si="10"/>
        <v>8515.93</v>
      </c>
      <c r="R18" s="91">
        <f t="shared" si="10"/>
        <v>0</v>
      </c>
      <c r="S18" s="91">
        <f t="shared" si="10"/>
        <v>513980</v>
      </c>
      <c r="T18" s="91">
        <f t="shared" si="10"/>
        <v>180000</v>
      </c>
      <c r="U18" s="91">
        <f t="shared" si="10"/>
        <v>23612.870000000003</v>
      </c>
      <c r="V18" s="91">
        <f t="shared" si="10"/>
        <v>16000</v>
      </c>
      <c r="W18" s="91">
        <f t="shared" si="10"/>
        <v>8000</v>
      </c>
      <c r="X18" s="91">
        <f t="shared" si="10"/>
        <v>15000</v>
      </c>
      <c r="Y18" s="91">
        <f t="shared" si="10"/>
        <v>6000</v>
      </c>
      <c r="Z18" s="91">
        <f t="shared" si="10"/>
        <v>0</v>
      </c>
      <c r="AA18" s="91">
        <f t="shared" si="10"/>
        <v>0</v>
      </c>
      <c r="AB18" s="91">
        <f t="shared" si="10"/>
        <v>45000</v>
      </c>
      <c r="AC18" s="91">
        <f t="shared" si="10"/>
        <v>0</v>
      </c>
      <c r="AD18" s="91">
        <f t="shared" si="10"/>
        <v>265367.13</v>
      </c>
      <c r="AE18" s="91">
        <f t="shared" si="10"/>
        <v>13897.310000000003</v>
      </c>
      <c r="AF18" s="91">
        <f t="shared" si="10"/>
        <v>8508.36</v>
      </c>
      <c r="AG18" s="91">
        <f t="shared" si="10"/>
        <v>5388.9500000000025</v>
      </c>
      <c r="AH18" s="91">
        <f t="shared" si="10"/>
        <v>165777.99000000002</v>
      </c>
      <c r="AI18" s="91">
        <f t="shared" si="10"/>
        <v>0</v>
      </c>
      <c r="AJ18" s="91">
        <f t="shared" si="10"/>
        <v>165777.99000000002</v>
      </c>
      <c r="AK18" s="91">
        <f t="shared" si="10"/>
        <v>0</v>
      </c>
      <c r="AL18" s="91">
        <f t="shared" si="10"/>
        <v>171166.94000000003</v>
      </c>
      <c r="AM18" s="113"/>
      <c r="AN18" s="113"/>
      <c r="AO18" s="113"/>
      <c r="AP18" s="113"/>
      <c r="AQ18" s="113"/>
      <c r="AR18" s="66"/>
      <c r="AS18" s="66"/>
      <c r="AT18" s="117"/>
    </row>
    <row r="21" spans="1:46">
      <c r="AD21" s="108"/>
    </row>
    <row r="22" spans="1:46" ht="18.75" customHeight="1">
      <c r="B22" s="68" t="s">
        <v>165</v>
      </c>
      <c r="C22" s="68" t="s">
        <v>189</v>
      </c>
      <c r="D22" s="68" t="s">
        <v>57</v>
      </c>
      <c r="E22" s="68" t="s">
        <v>58</v>
      </c>
      <c r="AD22" s="36"/>
      <c r="AG22" s="130"/>
    </row>
    <row r="23" spans="1:46" ht="18.75" customHeight="1">
      <c r="B23" s="69">
        <f>AJ18</f>
        <v>165777.99000000002</v>
      </c>
      <c r="C23" s="69">
        <f>AG18</f>
        <v>5388.9500000000025</v>
      </c>
      <c r="D23" s="69">
        <f>AK18</f>
        <v>0</v>
      </c>
      <c r="E23" s="69">
        <f>B23+C23+D23</f>
        <v>171166.94000000003</v>
      </c>
    </row>
    <row r="24" spans="1:46">
      <c r="B24" s="70"/>
      <c r="C24" s="70"/>
      <c r="D24" s="70"/>
      <c r="E24" s="70">
        <f>社保1!BC10</f>
        <v>8581.1500000000015</v>
      </c>
    </row>
    <row r="25" spans="1:46" s="40" customFormat="1">
      <c r="A25" s="71" t="s">
        <v>190</v>
      </c>
      <c r="B25" s="72" t="s">
        <v>191</v>
      </c>
      <c r="C25" s="73"/>
      <c r="D25" s="73"/>
      <c r="E25" s="73"/>
      <c r="G25" s="74"/>
      <c r="J25" s="92"/>
      <c r="M25" s="93"/>
      <c r="AI25" s="114"/>
    </row>
    <row r="26" spans="1:46" s="40" customFormat="1">
      <c r="A26" s="75"/>
      <c r="B26" s="76" t="s">
        <v>192</v>
      </c>
      <c r="C26" s="73"/>
      <c r="D26" s="73"/>
      <c r="E26" s="73"/>
      <c r="G26" s="74"/>
      <c r="J26" s="92"/>
      <c r="M26" s="93"/>
      <c r="AI26" s="114"/>
    </row>
    <row r="27" spans="1:46" s="40" customFormat="1">
      <c r="A27" s="72"/>
      <c r="B27" s="76" t="s">
        <v>193</v>
      </c>
      <c r="C27" s="77"/>
      <c r="D27" s="77"/>
      <c r="E27" s="77"/>
      <c r="F27" s="77"/>
      <c r="G27" s="77"/>
      <c r="H27" s="77"/>
      <c r="I27" s="77"/>
      <c r="J27" s="94"/>
      <c r="K27" s="77"/>
      <c r="L27" s="77"/>
      <c r="M27" s="95"/>
      <c r="N27" s="77"/>
      <c r="O27" s="77"/>
      <c r="P27" s="77"/>
      <c r="AI27" s="114"/>
    </row>
    <row r="28" spans="1:46" s="40" customFormat="1" ht="13.5" customHeight="1">
      <c r="A28" s="76"/>
      <c r="B28" s="76" t="s">
        <v>194</v>
      </c>
      <c r="C28" s="78"/>
      <c r="D28" s="78"/>
      <c r="E28" s="78"/>
      <c r="F28" s="78"/>
      <c r="G28" s="78"/>
      <c r="H28" s="78"/>
      <c r="I28" s="96"/>
      <c r="J28" s="97"/>
      <c r="K28" s="96"/>
      <c r="L28" s="96"/>
      <c r="M28" s="98"/>
      <c r="N28" s="96"/>
      <c r="O28" s="96"/>
      <c r="P28" s="96"/>
      <c r="AI28" s="114"/>
    </row>
    <row r="29" spans="1:46" s="40" customFormat="1" ht="13.5" customHeight="1">
      <c r="A29" s="76"/>
      <c r="B29" s="76" t="s">
        <v>195</v>
      </c>
      <c r="C29" s="78"/>
      <c r="D29" s="78"/>
      <c r="E29" s="78"/>
      <c r="F29" s="78"/>
      <c r="G29" s="78"/>
      <c r="H29" s="78"/>
      <c r="I29" s="78"/>
      <c r="J29" s="99"/>
      <c r="K29" s="78"/>
      <c r="L29" s="96"/>
      <c r="M29" s="98"/>
      <c r="N29" s="96"/>
      <c r="O29" s="96"/>
      <c r="P29" s="96"/>
      <c r="AI29" s="114"/>
    </row>
    <row r="30" spans="1:46" s="40" customFormat="1" ht="13.5" customHeight="1">
      <c r="A30" s="76"/>
      <c r="B30" s="76" t="s">
        <v>196</v>
      </c>
      <c r="C30" s="78"/>
      <c r="D30" s="78"/>
      <c r="E30" s="78"/>
      <c r="F30" s="78"/>
      <c r="G30" s="78"/>
      <c r="H30" s="78"/>
      <c r="I30" s="96"/>
      <c r="J30" s="97"/>
      <c r="K30" s="96"/>
      <c r="L30" s="96"/>
      <c r="M30" s="98"/>
      <c r="N30" s="96"/>
      <c r="O30" s="96"/>
      <c r="P30" s="96"/>
      <c r="AI30" s="114"/>
    </row>
    <row r="32" spans="1:46" ht="11.25" customHeight="1">
      <c r="B32" s="79" t="s">
        <v>197</v>
      </c>
    </row>
    <row r="33" spans="2:2">
      <c r="B33" s="80" t="s">
        <v>198</v>
      </c>
    </row>
    <row r="34" spans="2:2">
      <c r="B34" s="80" t="s">
        <v>199</v>
      </c>
    </row>
  </sheetData>
  <autoFilter ref="A3:AT1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30">
    <cfRule type="duplicateValues" dxfId="16" priority="2" stopIfTrue="1"/>
  </conditionalFormatting>
  <conditionalFormatting sqref="B25:B29">
    <cfRule type="duplicateValues" dxfId="15" priority="3" stopIfTrue="1"/>
  </conditionalFormatting>
  <conditionalFormatting sqref="B33:B34">
    <cfRule type="duplicateValues" dxfId="14" priority="1" stopIfTrue="1"/>
  </conditionalFormatting>
  <conditionalFormatting sqref="C22:C24">
    <cfRule type="duplicateValues" dxfId="13" priority="4" stopIfTrue="1"/>
    <cfRule type="expression" dxfId="12" priority="5" stopIfTrue="1">
      <formula>AND(COUNTIF($B$18:$B$65454,C22)+COUNTIF($B$1:$B$3,C22)&gt;1,NOT(ISBLANK(C22)))</formula>
    </cfRule>
    <cfRule type="expression" dxfId="11" priority="6" stopIfTrue="1">
      <formula>AND(COUNTIF($B$29:$B$65405,C22)+COUNTIF($B$1:$B$28,C22)&gt;1,NOT(ISBLANK(C22)))</formula>
    </cfRule>
    <cfRule type="expression" dxfId="10" priority="7" stopIfTrue="1">
      <formula>AND(COUNTIF($B$18:$B$65443,C22)+COUNTIF($B$1:$B$3,C22)&gt;1,NOT(ISBLANK(C22)))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6"/>
  <sheetViews>
    <sheetView workbookViewId="0">
      <pane xSplit="6" ySplit="3" topLeftCell="G4" activePane="bottomRight" state="frozen"/>
      <selection pane="topRight"/>
      <selection pane="bottomLeft"/>
      <selection pane="bottomRight" activeCell="A9" sqref="A9:XFD20"/>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9.75" style="41" customWidth="1" outlineLevel="1"/>
    <col min="14" max="15" width="9" style="41" customWidth="1" outlineLevel="1"/>
    <col min="16" max="16" width="11.125" style="41" customWidth="1" outlineLevel="1"/>
    <col min="17" max="17" width="9.75" style="41" customWidth="1"/>
    <col min="18" max="18" width="9.5" style="41" customWidth="1"/>
    <col min="19" max="19" width="14.12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200</v>
      </c>
      <c r="C4" s="53" t="s">
        <v>75</v>
      </c>
      <c r="D4" s="53" t="s">
        <v>185</v>
      </c>
      <c r="E4" s="53" t="s">
        <v>76</v>
      </c>
      <c r="F4" s="54" t="s">
        <v>186</v>
      </c>
      <c r="G4" s="55">
        <v>18035163638</v>
      </c>
      <c r="H4" s="56"/>
      <c r="I4" s="56"/>
      <c r="J4" s="84"/>
      <c r="K4" s="56"/>
      <c r="L4" s="85">
        <v>10870</v>
      </c>
      <c r="M4" s="86">
        <v>264</v>
      </c>
      <c r="N4" s="86">
        <v>66</v>
      </c>
      <c r="O4" s="86">
        <v>9.9</v>
      </c>
      <c r="P4" s="86">
        <v>180</v>
      </c>
      <c r="Q4" s="102">
        <f t="shared" ref="Q4:Q7" si="0">ROUND(SUM(M4:P4),2)</f>
        <v>519.9</v>
      </c>
      <c r="R4" s="88">
        <v>0</v>
      </c>
      <c r="S4" s="103">
        <f>L4+IFERROR(VLOOKUP($E:$E,'（居民）工资表-4月'!$E:$S,15,0),0)</f>
        <v>47650</v>
      </c>
      <c r="T4" s="104">
        <f>5000+IFERROR(VLOOKUP($E:$E,'（居民）工资表-4月'!$E:$T,16,0),0)</f>
        <v>25000</v>
      </c>
      <c r="U4" s="104">
        <f>Q4+IFERROR(VLOOKUP($E:$E,'（居民）工资表-4月'!$E:$U,17,0),0)</f>
        <v>2599.5</v>
      </c>
      <c r="V4" s="88">
        <v>5000</v>
      </c>
      <c r="W4" s="88"/>
      <c r="X4" s="88">
        <v>5000</v>
      </c>
      <c r="Y4" s="88"/>
      <c r="Z4" s="88"/>
      <c r="AA4" s="88"/>
      <c r="AB4" s="103">
        <f t="shared" ref="AB4:AB7" si="1">ROUND(SUM(V4:AA4),2)</f>
        <v>10000</v>
      </c>
      <c r="AC4" s="103">
        <f>R4+IFERROR(VLOOKUP($E:$E,'（居民）工资表-4月'!$E:$AC,25,0),0)</f>
        <v>0</v>
      </c>
      <c r="AD4" s="105">
        <f t="shared" ref="AD4:AD7" si="2">ROUND(S4-T4-U4-AB4-AC4,2)</f>
        <v>10050.5</v>
      </c>
      <c r="AE4" s="106">
        <f>ROUND(MAX((AD4)*{0.03;0.1;0.2;0.25;0.3;0.35;0.45}-{0;2520;16920;31920;52920;85920;181920},0),2)</f>
        <v>301.52</v>
      </c>
      <c r="AF4" s="107">
        <f>IFERROR(VLOOKUP(E:E,'（居民）工资表-4月'!E:AF,28,0)+VLOOKUP(E:E,'（居民）工资表-4月'!E:AG,29,0),0)</f>
        <v>201.01</v>
      </c>
      <c r="AG4" s="107">
        <f t="shared" ref="AG4:AG6" si="3">IF((AE4-AF4)&lt;0,0,AE4-AF4)</f>
        <v>100.50999999999999</v>
      </c>
      <c r="AH4" s="110">
        <f t="shared" ref="AH4:AH6" si="4">ROUND(IF((L4-Q4-AG4)&lt;0,0,(L4-Q4-AG4)),2)</f>
        <v>10249.59</v>
      </c>
      <c r="AI4" s="111"/>
      <c r="AJ4" s="110">
        <f t="shared" ref="AJ4:AJ7" si="5">AH4+AI4</f>
        <v>10249.59</v>
      </c>
      <c r="AK4" s="112"/>
      <c r="AL4" s="110">
        <f t="shared" ref="AL4:AL7" si="6">AJ4+AG4+AK4</f>
        <v>10350.1</v>
      </c>
      <c r="AM4" s="112"/>
      <c r="AN4" s="112"/>
      <c r="AO4" s="112"/>
      <c r="AP4" s="112"/>
      <c r="AQ4" s="112"/>
      <c r="AR4" s="116"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IF(SUMPRODUCT(N(E$1:E$7=E4))&gt;1,"重复","不")</f>
        <v>不</v>
      </c>
      <c r="AT4" s="116" t="str">
        <f>IF(SUMPRODUCT(N(AO$1:AO$7=AO4))&gt;1,"重复","不")</f>
        <v>重复</v>
      </c>
    </row>
    <row r="5" spans="1:46" s="38" customFormat="1" ht="18" customHeight="1">
      <c r="A5" s="52">
        <v>2</v>
      </c>
      <c r="B5" s="53" t="s">
        <v>200</v>
      </c>
      <c r="C5" s="53" t="s">
        <v>93</v>
      </c>
      <c r="D5" s="53" t="s">
        <v>185</v>
      </c>
      <c r="E5" s="53" t="s">
        <v>94</v>
      </c>
      <c r="F5" s="54" t="s">
        <v>186</v>
      </c>
      <c r="G5" s="55">
        <v>13944441728</v>
      </c>
      <c r="H5" s="56"/>
      <c r="I5" s="56"/>
      <c r="J5" s="84"/>
      <c r="K5" s="56"/>
      <c r="L5" s="85">
        <v>7000</v>
      </c>
      <c r="M5" s="86">
        <v>268.81</v>
      </c>
      <c r="N5" s="86">
        <v>72.06</v>
      </c>
      <c r="O5" s="86">
        <v>10.08</v>
      </c>
      <c r="P5" s="86">
        <v>82</v>
      </c>
      <c r="Q5" s="102">
        <f t="shared" si="0"/>
        <v>432.95</v>
      </c>
      <c r="R5" s="88">
        <v>0</v>
      </c>
      <c r="S5" s="103">
        <f>L5+IFERROR(VLOOKUP($E:$E,'（居民）工资表-4月'!$E:$S,15,0),0)</f>
        <v>35000</v>
      </c>
      <c r="T5" s="104">
        <f>5000+IFERROR(VLOOKUP($E:$E,'（居民）工资表-4月'!$E:$T,16,0),0)</f>
        <v>25000</v>
      </c>
      <c r="U5" s="104">
        <f>Q5+IFERROR(VLOOKUP($E:$E,'（居民）工资表-4月'!$E:$U,17,0),0)</f>
        <v>2164.75</v>
      </c>
      <c r="V5" s="88"/>
      <c r="W5" s="88"/>
      <c r="X5" s="88">
        <v>5000</v>
      </c>
      <c r="Y5" s="88"/>
      <c r="Z5" s="88"/>
      <c r="AA5" s="88"/>
      <c r="AB5" s="103">
        <f t="shared" si="1"/>
        <v>5000</v>
      </c>
      <c r="AC5" s="103">
        <f>R5+IFERROR(VLOOKUP($E:$E,'（居民）工资表-4月'!$E:$AC,25,0),0)</f>
        <v>0</v>
      </c>
      <c r="AD5" s="105">
        <f t="shared" si="2"/>
        <v>2835.25</v>
      </c>
      <c r="AE5" s="106">
        <f>ROUND(MAX((AD5)*{0.03;0.1;0.2;0.25;0.3;0.35;0.45}-{0;2520;16920;31920;52920;85920;181920},0),2)</f>
        <v>85.06</v>
      </c>
      <c r="AF5" s="107">
        <f>IFERROR(VLOOKUP(E:E,'（居民）工资表-4月'!E:AF,28,0)+VLOOKUP(E:E,'（居民）工资表-4月'!E:AG,29,0),0)</f>
        <v>68.05</v>
      </c>
      <c r="AG5" s="107">
        <f t="shared" si="3"/>
        <v>17.010000000000005</v>
      </c>
      <c r="AH5" s="110">
        <f t="shared" si="4"/>
        <v>6550.04</v>
      </c>
      <c r="AI5" s="111"/>
      <c r="AJ5" s="110">
        <f t="shared" si="5"/>
        <v>6550.04</v>
      </c>
      <c r="AK5" s="112"/>
      <c r="AL5" s="110">
        <f t="shared" si="6"/>
        <v>6567.05</v>
      </c>
      <c r="AM5" s="112"/>
      <c r="AN5" s="112"/>
      <c r="AO5" s="112"/>
      <c r="AP5" s="112"/>
      <c r="AQ5" s="112"/>
      <c r="AR5" s="116" t="str">
        <f t="shared" si="7"/>
        <v>正确</v>
      </c>
      <c r="AS5" s="116" t="str">
        <f>IF(SUMPRODUCT(N(E$1:E$7=E5))&gt;1,"重复","不")</f>
        <v>不</v>
      </c>
      <c r="AT5" s="116" t="str">
        <f>IF(SUMPRODUCT(N(AO$1:AO$7=AO5))&gt;1,"重复","不")</f>
        <v>重复</v>
      </c>
    </row>
    <row r="6" spans="1:46" s="38" customFormat="1" ht="18" customHeight="1">
      <c r="A6" s="52">
        <v>3</v>
      </c>
      <c r="B6" s="53" t="s">
        <v>200</v>
      </c>
      <c r="C6" s="53" t="s">
        <v>110</v>
      </c>
      <c r="D6" s="53" t="s">
        <v>185</v>
      </c>
      <c r="E6" s="282" t="s">
        <v>111</v>
      </c>
      <c r="F6" s="54" t="str">
        <f>IF(MOD(MID(E6,17,1),2)=1,"男","女")</f>
        <v>女</v>
      </c>
      <c r="G6" s="55">
        <v>15360550807</v>
      </c>
      <c r="H6" s="56"/>
      <c r="I6" s="56"/>
      <c r="J6" s="84"/>
      <c r="K6" s="56"/>
      <c r="L6" s="85">
        <v>5700</v>
      </c>
      <c r="M6" s="86">
        <v>367.04</v>
      </c>
      <c r="N6" s="86">
        <v>135.13999999999999</v>
      </c>
      <c r="O6" s="86">
        <v>4.5999999999999996</v>
      </c>
      <c r="P6" s="86">
        <v>115</v>
      </c>
      <c r="Q6" s="102">
        <f t="shared" si="0"/>
        <v>621.78</v>
      </c>
      <c r="R6" s="88">
        <v>0</v>
      </c>
      <c r="S6" s="103">
        <f>L6+IFERROR(VLOOKUP($E:$E,'（居民）工资表-4月'!$E:$S,15,0),0)</f>
        <v>28500</v>
      </c>
      <c r="T6" s="104">
        <f>5000+IFERROR(VLOOKUP($E:$E,'（居民）工资表-4月'!$E:$T,16,0),0)</f>
        <v>25000</v>
      </c>
      <c r="U6" s="104">
        <f>Q6+IFERROR(VLOOKUP($E:$E,'（居民）工资表-4月'!$E:$U,17,0),0)</f>
        <v>3138.1799999999994</v>
      </c>
      <c r="V6" s="88"/>
      <c r="W6" s="88"/>
      <c r="X6" s="88"/>
      <c r="Y6" s="88">
        <v>7500</v>
      </c>
      <c r="Z6" s="88"/>
      <c r="AA6" s="88"/>
      <c r="AB6" s="103">
        <f t="shared" si="1"/>
        <v>7500</v>
      </c>
      <c r="AC6" s="103">
        <f>R6+IFERROR(VLOOKUP($E:$E,'（居民）工资表-4月'!$E:$AC,25,0),0)</f>
        <v>0</v>
      </c>
      <c r="AD6" s="105">
        <f t="shared" si="2"/>
        <v>-7138.18</v>
      </c>
      <c r="AE6" s="106">
        <f>ROUND(MAX((AD6)*{0.03;0.1;0.2;0.25;0.3;0.35;0.45}-{0;2520;16920;31920;52920;85920;181920},0),2)</f>
        <v>0</v>
      </c>
      <c r="AF6" s="107">
        <f>IFERROR(VLOOKUP(E:E,'（居民）工资表-4月'!E:AF,28,0)+VLOOKUP(E:E,'（居民）工资表-4月'!E:AG,29,0),0)</f>
        <v>0</v>
      </c>
      <c r="AG6" s="107">
        <f t="shared" si="3"/>
        <v>0</v>
      </c>
      <c r="AH6" s="110">
        <f t="shared" si="4"/>
        <v>5078.22</v>
      </c>
      <c r="AI6" s="111"/>
      <c r="AJ6" s="110">
        <f t="shared" si="5"/>
        <v>5078.22</v>
      </c>
      <c r="AK6" s="112"/>
      <c r="AL6" s="110">
        <f t="shared" si="6"/>
        <v>5078.22</v>
      </c>
      <c r="AM6" s="112"/>
      <c r="AN6" s="112"/>
      <c r="AO6" s="112"/>
      <c r="AP6" s="112"/>
      <c r="AQ6" s="112"/>
      <c r="AR6" s="116" t="str">
        <f t="shared" si="7"/>
        <v>正确</v>
      </c>
      <c r="AS6" s="116" t="str">
        <f>IF(SUMPRODUCT(N(E$1:E$7=E6))&gt;1,"重复","不")</f>
        <v>不</v>
      </c>
      <c r="AT6" s="116" t="str">
        <f>IF(SUMPRODUCT(N(AO$1:AO$7=AO6))&gt;1,"重复","不")</f>
        <v>重复</v>
      </c>
    </row>
    <row r="7" spans="1:46" s="38" customFormat="1" ht="18" customHeight="1">
      <c r="A7" s="52">
        <v>4</v>
      </c>
      <c r="B7" s="53" t="s">
        <v>200</v>
      </c>
      <c r="C7" s="53" t="s">
        <v>103</v>
      </c>
      <c r="D7" s="53" t="s">
        <v>185</v>
      </c>
      <c r="E7" s="282" t="s">
        <v>104</v>
      </c>
      <c r="F7" s="54" t="s">
        <v>186</v>
      </c>
      <c r="G7" s="55">
        <v>18607383005</v>
      </c>
      <c r="H7" s="56"/>
      <c r="I7" s="56"/>
      <c r="J7" s="84"/>
      <c r="K7" s="56"/>
      <c r="L7" s="85">
        <v>27000</v>
      </c>
      <c r="M7" s="86">
        <v>320</v>
      </c>
      <c r="N7" s="86">
        <v>80</v>
      </c>
      <c r="O7" s="86">
        <v>12</v>
      </c>
      <c r="P7" s="86">
        <v>200</v>
      </c>
      <c r="Q7" s="102">
        <f t="shared" si="0"/>
        <v>612</v>
      </c>
      <c r="R7" s="88">
        <v>0</v>
      </c>
      <c r="S7" s="103">
        <f>L7+IFERROR(VLOOKUP($E:$E,'（居民）工资表-4月'!$E:$S,15,0),0)</f>
        <v>137000</v>
      </c>
      <c r="T7" s="104">
        <f>5000+IFERROR(VLOOKUP($E:$E,'（居民）工资表-4月'!$E:$T,16,0),0)</f>
        <v>25000</v>
      </c>
      <c r="U7" s="104">
        <f>Q7+IFERROR(VLOOKUP($E:$E,'（居民）工资表-4月'!$E:$U,17,0),0)</f>
        <v>3190</v>
      </c>
      <c r="V7" s="88">
        <v>10000</v>
      </c>
      <c r="W7" s="88">
        <v>5000</v>
      </c>
      <c r="X7" s="88"/>
      <c r="Y7" s="88"/>
      <c r="Z7" s="88"/>
      <c r="AA7" s="88"/>
      <c r="AB7" s="103">
        <f t="shared" si="1"/>
        <v>15000</v>
      </c>
      <c r="AC7" s="103">
        <f>R7+IFERROR(VLOOKUP($E:$E,'（居民）工资表-4月'!$E:$AC,25,0),0)</f>
        <v>0</v>
      </c>
      <c r="AD7" s="105">
        <f t="shared" si="2"/>
        <v>93810</v>
      </c>
      <c r="AE7" s="106">
        <f>ROUND(MAX((AD7)*{0.03;0.1;0.2;0.25;0.3;0.35;0.45}-{0;2520;16920;31920;52920;85920;181920},0),2)</f>
        <v>6861</v>
      </c>
      <c r="AF7" s="107">
        <f>IFERROR(VLOOKUP(E:E,'（居民）工资表-4月'!E:AF,28,0)+VLOOKUP(E:E,'（居民）工资表-4月'!E:AG,29,0),0)</f>
        <v>5022.2</v>
      </c>
      <c r="AG7" s="107">
        <f t="shared" ref="AG7:AG8" si="8">IF((AE7-AF7)&lt;0,0,AE7-AF7)</f>
        <v>1838.8000000000002</v>
      </c>
      <c r="AH7" s="110">
        <f t="shared" ref="AH7:AH8" si="9">ROUND(IF((L7-Q7-AG7)&lt;0,0,(L7-Q7-AG7)),2)</f>
        <v>24549.200000000001</v>
      </c>
      <c r="AI7" s="111"/>
      <c r="AJ7" s="110">
        <f t="shared" si="5"/>
        <v>24549.200000000001</v>
      </c>
      <c r="AK7" s="112"/>
      <c r="AL7" s="110">
        <f t="shared" si="6"/>
        <v>26388</v>
      </c>
      <c r="AM7" s="112"/>
      <c r="AN7" s="112"/>
      <c r="AO7" s="112"/>
      <c r="AP7" s="112"/>
      <c r="AQ7" s="112"/>
      <c r="AR7" s="116" t="str">
        <f t="shared" si="7"/>
        <v>正确</v>
      </c>
      <c r="AS7" s="116" t="str">
        <f>IF(SUMPRODUCT(N(E$1:E$7=E7))&gt;1,"重复","不")</f>
        <v>不</v>
      </c>
      <c r="AT7" s="116" t="str">
        <f>IF(SUMPRODUCT(N(AO$1:AO$7=AO7))&gt;1,"重复","不")</f>
        <v>重复</v>
      </c>
    </row>
    <row r="8" spans="1:46" s="38" customFormat="1" ht="18" customHeight="1">
      <c r="A8" s="52">
        <v>5</v>
      </c>
      <c r="B8" s="53" t="s">
        <v>200</v>
      </c>
      <c r="C8" s="53" t="s">
        <v>107</v>
      </c>
      <c r="D8" s="53" t="s">
        <v>185</v>
      </c>
      <c r="E8" s="53" t="s">
        <v>108</v>
      </c>
      <c r="F8" s="54" t="s">
        <v>186</v>
      </c>
      <c r="G8" s="55">
        <v>13373825180</v>
      </c>
      <c r="H8" s="56"/>
      <c r="I8" s="56"/>
      <c r="J8" s="84"/>
      <c r="K8" s="56"/>
      <c r="L8" s="85">
        <v>30739</v>
      </c>
      <c r="M8" s="86">
        <v>296</v>
      </c>
      <c r="N8" s="86">
        <v>74</v>
      </c>
      <c r="O8" s="86">
        <v>11.1</v>
      </c>
      <c r="P8" s="86">
        <v>85</v>
      </c>
      <c r="Q8" s="102">
        <f t="shared" ref="Q8" si="10">ROUND(SUM(M8:P8),2)</f>
        <v>466.1</v>
      </c>
      <c r="R8" s="88">
        <v>0</v>
      </c>
      <c r="S8" s="103">
        <f>L8+IFERROR(VLOOKUP($E:$E,'（居民）工资表-4月'!$E:$S,15,0),0)</f>
        <v>143772.5</v>
      </c>
      <c r="T8" s="104">
        <f>5000+IFERROR(VLOOKUP($E:$E,'（居民）工资表-4月'!$E:$T,16,0),0)</f>
        <v>25000</v>
      </c>
      <c r="U8" s="104">
        <f>Q8+IFERROR(VLOOKUP($E:$E,'（居民）工资表-4月'!$E:$U,17,0),0)</f>
        <v>2567.4699999999998</v>
      </c>
      <c r="V8" s="88">
        <v>5000</v>
      </c>
      <c r="W8" s="88">
        <v>5000</v>
      </c>
      <c r="X8" s="88">
        <v>5000</v>
      </c>
      <c r="Y8" s="88"/>
      <c r="Z8" s="88"/>
      <c r="AA8" s="88"/>
      <c r="AB8" s="103">
        <f t="shared" ref="AB8" si="11">ROUND(SUM(V8:AA8),2)</f>
        <v>15000</v>
      </c>
      <c r="AC8" s="103">
        <f>R8+IFERROR(VLOOKUP($E:$E,'（居民）工资表-4月'!$E:$AC,25,0),0)</f>
        <v>0</v>
      </c>
      <c r="AD8" s="105">
        <f t="shared" ref="AD8" si="12">ROUND(S8-T8-U8-AB8-AC8,2)</f>
        <v>101205.03</v>
      </c>
      <c r="AE8" s="106">
        <f>ROUND(MAX((AD8)*{0.03;0.1;0.2;0.25;0.3;0.35;0.45}-{0;2520;16920;31920;52920;85920;181920},0),2)</f>
        <v>7600.5</v>
      </c>
      <c r="AF8" s="107">
        <f>IFERROR(VLOOKUP(E:E,'（居民）工资表-4月'!E:AF,28,0)+VLOOKUP(E:E,'（居民）工资表-4月'!E:AG,29,0),0)</f>
        <v>5373.21</v>
      </c>
      <c r="AG8" s="107">
        <f t="shared" si="8"/>
        <v>2227.29</v>
      </c>
      <c r="AH8" s="110">
        <f t="shared" si="9"/>
        <v>28045.61</v>
      </c>
      <c r="AI8" s="111"/>
      <c r="AJ8" s="110">
        <f t="shared" ref="AJ8" si="13">AH8+AI8</f>
        <v>28045.61</v>
      </c>
      <c r="AK8" s="112"/>
      <c r="AL8" s="110">
        <f t="shared" ref="AL8" si="14">AJ8+AG8+AK8</f>
        <v>30272.9</v>
      </c>
      <c r="AM8" s="112"/>
      <c r="AN8" s="112"/>
      <c r="AO8" s="112"/>
      <c r="AP8" s="112"/>
      <c r="AQ8" s="112"/>
      <c r="AR8" s="116" t="str">
        <f t="shared" ref="AR8"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6" t="str">
        <f t="shared" ref="AS8" si="16">IF(SUMPRODUCT(N(E$1:E$7=E8))&gt;1,"重复","不")</f>
        <v>不</v>
      </c>
      <c r="AT8" s="116" t="str">
        <f t="shared" ref="AT8" si="17">IF(SUMPRODUCT(N(AO$1:AO$7=AO8))&gt;1,"重复","不")</f>
        <v>重复</v>
      </c>
    </row>
    <row r="9" spans="1:46" s="38" customFormat="1" ht="18" customHeight="1">
      <c r="A9" s="52"/>
      <c r="B9" s="53"/>
      <c r="C9" s="53"/>
      <c r="D9" s="53"/>
      <c r="E9" s="53"/>
      <c r="F9" s="54"/>
      <c r="G9" s="61"/>
      <c r="H9" s="56"/>
      <c r="I9" s="56"/>
      <c r="J9" s="84"/>
      <c r="K9" s="56"/>
      <c r="L9" s="88"/>
      <c r="M9" s="86"/>
      <c r="N9" s="86"/>
      <c r="O9" s="86"/>
      <c r="P9" s="86"/>
      <c r="Q9" s="102"/>
      <c r="R9" s="88"/>
      <c r="S9" s="103"/>
      <c r="T9" s="104"/>
      <c r="U9" s="104"/>
      <c r="V9" s="88"/>
      <c r="W9" s="88"/>
      <c r="X9" s="88"/>
      <c r="Y9" s="88"/>
      <c r="Z9" s="88"/>
      <c r="AA9" s="88"/>
      <c r="AB9" s="103"/>
      <c r="AC9" s="103"/>
      <c r="AD9" s="105"/>
      <c r="AE9" s="106"/>
      <c r="AF9" s="107"/>
      <c r="AG9" s="107"/>
      <c r="AH9" s="110"/>
      <c r="AI9" s="111"/>
      <c r="AJ9" s="110"/>
      <c r="AK9" s="112"/>
      <c r="AL9" s="110"/>
      <c r="AM9" s="112"/>
      <c r="AN9" s="112"/>
      <c r="AO9" s="112"/>
      <c r="AP9" s="112"/>
      <c r="AQ9" s="112"/>
      <c r="AR9" s="116"/>
      <c r="AS9" s="116"/>
      <c r="AT9" s="116"/>
    </row>
    <row r="10" spans="1:46" s="39" customFormat="1" ht="18" customHeight="1">
      <c r="A10" s="62"/>
      <c r="B10" s="63" t="s">
        <v>188</v>
      </c>
      <c r="C10" s="63"/>
      <c r="D10" s="64"/>
      <c r="E10" s="65"/>
      <c r="F10" s="66"/>
      <c r="G10" s="67"/>
      <c r="H10" s="66"/>
      <c r="I10" s="89"/>
      <c r="J10" s="90"/>
      <c r="K10" s="89"/>
      <c r="L10" s="91">
        <f>SUM(L4:L8)</f>
        <v>81309</v>
      </c>
      <c r="M10" s="91">
        <f>SUM(M4:M8)</f>
        <v>1515.85</v>
      </c>
      <c r="N10" s="91">
        <f>SUM(N4:N8)</f>
        <v>427.2</v>
      </c>
      <c r="O10" s="91">
        <f>SUM(O4:O8)</f>
        <v>47.68</v>
      </c>
      <c r="P10" s="91">
        <f>SUM(P4:P8)</f>
        <v>662</v>
      </c>
      <c r="Q10" s="91">
        <f>SUM(Q4:Q8)</f>
        <v>2652.73</v>
      </c>
      <c r="R10" s="91">
        <f>SUM(R4:R8)</f>
        <v>0</v>
      </c>
      <c r="S10" s="91">
        <f>SUM(S4:S8)</f>
        <v>391922.5</v>
      </c>
      <c r="T10" s="91">
        <f>SUM(T4:T8)</f>
        <v>125000</v>
      </c>
      <c r="U10" s="91">
        <f>SUM(U4:U8)</f>
        <v>13659.9</v>
      </c>
      <c r="V10" s="91">
        <f>SUM(V4:V8)</f>
        <v>20000</v>
      </c>
      <c r="W10" s="91">
        <f>SUM(W4:W8)</f>
        <v>10000</v>
      </c>
      <c r="X10" s="91">
        <f>SUM(X4:X8)</f>
        <v>15000</v>
      </c>
      <c r="Y10" s="91">
        <f>SUM(Y4:Y8)</f>
        <v>7500</v>
      </c>
      <c r="Z10" s="91">
        <f>SUM(Z4:Z8)</f>
        <v>0</v>
      </c>
      <c r="AA10" s="91">
        <f>SUM(AA4:AA8)</f>
        <v>0</v>
      </c>
      <c r="AB10" s="91">
        <f>SUM(AB4:AB8)</f>
        <v>52500</v>
      </c>
      <c r="AC10" s="91">
        <f>SUM(AC4:AC8)</f>
        <v>0</v>
      </c>
      <c r="AD10" s="91">
        <f>SUM(AD4:AD8)</f>
        <v>200762.6</v>
      </c>
      <c r="AE10" s="91">
        <f>SUM(AE4:AE8)</f>
        <v>14848.08</v>
      </c>
      <c r="AF10" s="91">
        <f>SUM(AF4:AF8)</f>
        <v>10664.470000000001</v>
      </c>
      <c r="AG10" s="91">
        <f>SUM(AG4:AG8)</f>
        <v>4183.6100000000006</v>
      </c>
      <c r="AH10" s="91">
        <f>SUM(AH4:AH8)</f>
        <v>74472.66</v>
      </c>
      <c r="AI10" s="91">
        <f>SUM(AI4:AI8)</f>
        <v>0</v>
      </c>
      <c r="AJ10" s="91">
        <f>SUM(AJ4:AJ8)</f>
        <v>74472.66</v>
      </c>
      <c r="AK10" s="91">
        <f>SUM(AK4:AK8)</f>
        <v>0</v>
      </c>
      <c r="AL10" s="91">
        <f>SUM(AL4:AL8)</f>
        <v>78656.27</v>
      </c>
      <c r="AM10" s="113"/>
      <c r="AN10" s="113"/>
      <c r="AO10" s="113"/>
      <c r="AP10" s="113"/>
      <c r="AQ10" s="113"/>
      <c r="AR10" s="66"/>
      <c r="AS10" s="66"/>
      <c r="AT10" s="117"/>
    </row>
    <row r="13" spans="1:46">
      <c r="AD13" s="108"/>
    </row>
    <row r="14" spans="1:46" ht="18.75" customHeight="1">
      <c r="B14" s="68" t="s">
        <v>165</v>
      </c>
      <c r="C14" s="68" t="s">
        <v>189</v>
      </c>
      <c r="D14" s="68" t="s">
        <v>57</v>
      </c>
      <c r="E14" s="68" t="s">
        <v>58</v>
      </c>
      <c r="AD14" s="36"/>
      <c r="AG14" s="45"/>
    </row>
    <row r="15" spans="1:46" ht="18.75" customHeight="1">
      <c r="B15" s="69">
        <f>AJ10</f>
        <v>74472.66</v>
      </c>
      <c r="C15" s="69">
        <f>AG10</f>
        <v>4183.6100000000006</v>
      </c>
      <c r="D15" s="69">
        <f>AK10</f>
        <v>0</v>
      </c>
      <c r="E15" s="69">
        <f>B15+C15</f>
        <v>78656.27</v>
      </c>
    </row>
    <row r="16" spans="1:46">
      <c r="B16" s="70"/>
      <c r="C16" s="70"/>
      <c r="D16" s="70"/>
      <c r="E16" s="70"/>
    </row>
    <row r="17" spans="1:35" s="40" customFormat="1">
      <c r="A17" s="71" t="s">
        <v>190</v>
      </c>
      <c r="B17" s="72" t="s">
        <v>191</v>
      </c>
      <c r="C17" s="73"/>
      <c r="D17" s="73"/>
      <c r="E17" s="73"/>
      <c r="G17" s="74"/>
      <c r="J17" s="92"/>
      <c r="M17" s="93"/>
      <c r="AI17" s="114"/>
    </row>
    <row r="18" spans="1:35" s="40" customFormat="1">
      <c r="A18" s="75"/>
      <c r="B18" s="76" t="s">
        <v>192</v>
      </c>
      <c r="C18" s="73"/>
      <c r="D18" s="73"/>
      <c r="E18" s="73"/>
      <c r="G18" s="74"/>
      <c r="J18" s="92"/>
      <c r="M18" s="93"/>
      <c r="AI18" s="114"/>
    </row>
    <row r="19" spans="1:35" s="40" customFormat="1">
      <c r="A19" s="72"/>
      <c r="B19" s="76" t="s">
        <v>193</v>
      </c>
      <c r="C19" s="77"/>
      <c r="D19" s="77"/>
      <c r="E19" s="77"/>
      <c r="F19" s="77"/>
      <c r="G19" s="77"/>
      <c r="H19" s="77"/>
      <c r="I19" s="77"/>
      <c r="J19" s="94"/>
      <c r="K19" s="77"/>
      <c r="L19" s="77"/>
      <c r="M19" s="95"/>
      <c r="N19" s="77"/>
      <c r="O19" s="77"/>
      <c r="P19" s="77"/>
      <c r="AI19" s="114"/>
    </row>
    <row r="20" spans="1:35" s="40" customFormat="1" ht="13.5" customHeight="1">
      <c r="A20" s="76"/>
      <c r="B20" s="76" t="s">
        <v>194</v>
      </c>
      <c r="C20" s="78"/>
      <c r="D20" s="78"/>
      <c r="E20" s="78"/>
      <c r="F20" s="78"/>
      <c r="G20" s="78"/>
      <c r="H20" s="78"/>
      <c r="I20" s="96"/>
      <c r="J20" s="97"/>
      <c r="K20" s="96"/>
      <c r="L20" s="96"/>
      <c r="M20" s="98"/>
      <c r="N20" s="96"/>
      <c r="O20" s="96"/>
      <c r="P20" s="96"/>
      <c r="AI20" s="114"/>
    </row>
    <row r="21" spans="1:35" s="40" customFormat="1" ht="13.5" customHeight="1">
      <c r="A21" s="76"/>
      <c r="B21" s="76" t="s">
        <v>195</v>
      </c>
      <c r="C21" s="78"/>
      <c r="D21" s="78"/>
      <c r="E21" s="78"/>
      <c r="F21" s="78"/>
      <c r="G21" s="78"/>
      <c r="H21" s="78"/>
      <c r="I21" s="78"/>
      <c r="J21" s="99"/>
      <c r="K21" s="78"/>
      <c r="L21" s="96"/>
      <c r="M21" s="98"/>
      <c r="N21" s="96"/>
      <c r="O21" s="96"/>
      <c r="P21" s="96"/>
      <c r="AI21" s="114"/>
    </row>
    <row r="22" spans="1:35" s="40" customFormat="1" ht="13.5" customHeight="1">
      <c r="A22" s="76"/>
      <c r="B22" s="76" t="s">
        <v>196</v>
      </c>
      <c r="C22" s="78"/>
      <c r="D22" s="78"/>
      <c r="E22" s="78"/>
      <c r="F22" s="78"/>
      <c r="G22" s="78"/>
      <c r="H22" s="78"/>
      <c r="I22" s="96"/>
      <c r="J22" s="97"/>
      <c r="K22" s="96"/>
      <c r="L22" s="96"/>
      <c r="M22" s="98"/>
      <c r="N22" s="96"/>
      <c r="O22" s="96"/>
      <c r="P22" s="96"/>
      <c r="AI22" s="114"/>
    </row>
    <row r="24" spans="1:35" ht="11.25" customHeight="1">
      <c r="B24" s="79" t="s">
        <v>197</v>
      </c>
    </row>
    <row r="25" spans="1:35">
      <c r="B25" s="80" t="s">
        <v>198</v>
      </c>
    </row>
    <row r="26" spans="1:35">
      <c r="B26" s="80" t="s">
        <v>199</v>
      </c>
    </row>
  </sheetData>
  <autoFilter ref="A3:AT10"/>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2">
    <cfRule type="duplicateValues" dxfId="9" priority="2" stopIfTrue="1"/>
  </conditionalFormatting>
  <conditionalFormatting sqref="B17:B21">
    <cfRule type="duplicateValues" dxfId="8" priority="3" stopIfTrue="1"/>
  </conditionalFormatting>
  <conditionalFormatting sqref="B25:B26">
    <cfRule type="duplicateValues" dxfId="7" priority="1" stopIfTrue="1"/>
  </conditionalFormatting>
  <conditionalFormatting sqref="C14:C16">
    <cfRule type="duplicateValues" dxfId="6" priority="4" stopIfTrue="1"/>
    <cfRule type="expression" dxfId="5" priority="5" stopIfTrue="1">
      <formula>AND(COUNTIF($B$10:$B$65446,C14)+COUNTIF($B$1:$B$3,C14)&gt;1,NOT(ISBLANK(C14)))</formula>
    </cfRule>
    <cfRule type="expression" dxfId="4" priority="6" stopIfTrue="1">
      <formula>AND(COUNTIF($B$21:$B$65397,C14)+COUNTIF($B$1:$B$20,C14)&gt;1,NOT(ISBLANK(C14)))</formula>
    </cfRule>
    <cfRule type="expression" dxfId="3" priority="7" stopIfTrue="1">
      <formula>AND(COUNTIF($B$10:$B$65435,C14)+COUNTIF($B$1:$B$3,C14)&gt;1,NOT(ISBLANK(C14)))</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3"/>
  <sheetViews>
    <sheetView topLeftCell="J1" workbookViewId="0">
      <selection activeCell="L4" sqref="L4:L5"/>
    </sheetView>
  </sheetViews>
  <sheetFormatPr defaultColWidth="9" defaultRowHeight="13.5"/>
  <cols>
    <col min="1" max="9" width="9" hidden="1" customWidth="1"/>
    <col min="12" max="12" width="9.625"/>
    <col min="14" max="18" width="9" customWidth="1"/>
  </cols>
  <sheetData>
    <row r="1" spans="1:41" s="8" customFormat="1" ht="16.5" customHeight="1">
      <c r="A1" s="372" t="s">
        <v>18</v>
      </c>
      <c r="B1" s="372" t="s">
        <v>207</v>
      </c>
      <c r="C1" s="374" t="s">
        <v>39</v>
      </c>
      <c r="D1" s="372" t="s">
        <v>208</v>
      </c>
      <c r="E1" s="372" t="s">
        <v>209</v>
      </c>
      <c r="F1" s="375" t="s">
        <v>36</v>
      </c>
      <c r="G1" s="377" t="s">
        <v>210</v>
      </c>
      <c r="H1" s="374" t="s">
        <v>38</v>
      </c>
      <c r="I1" s="374" t="s">
        <v>211</v>
      </c>
      <c r="J1" s="371" t="s">
        <v>40</v>
      </c>
      <c r="K1" s="371" t="s">
        <v>212</v>
      </c>
      <c r="L1" s="371" t="s">
        <v>213</v>
      </c>
      <c r="M1" s="371" t="s">
        <v>214</v>
      </c>
      <c r="N1" s="371"/>
      <c r="O1" s="371"/>
      <c r="P1" s="371"/>
      <c r="Q1" s="378"/>
      <c r="R1" s="371"/>
      <c r="S1" s="371" t="s">
        <v>215</v>
      </c>
      <c r="T1" s="370" t="s">
        <v>216</v>
      </c>
      <c r="U1" s="370"/>
      <c r="V1" s="370"/>
      <c r="W1" s="370"/>
      <c r="X1" s="370"/>
      <c r="Y1" s="370"/>
      <c r="Z1" s="371" t="s">
        <v>217</v>
      </c>
      <c r="AA1" s="371" t="s">
        <v>218</v>
      </c>
      <c r="AB1" s="371"/>
      <c r="AC1" s="371"/>
      <c r="AD1" s="379" t="s">
        <v>219</v>
      </c>
      <c r="AE1" s="372" t="s">
        <v>220</v>
      </c>
      <c r="AF1" s="372" t="s">
        <v>221</v>
      </c>
      <c r="AG1" s="372" t="s">
        <v>222</v>
      </c>
      <c r="AH1" s="372" t="s">
        <v>223</v>
      </c>
      <c r="AI1" s="372" t="s">
        <v>224</v>
      </c>
      <c r="AJ1" s="372" t="s">
        <v>23</v>
      </c>
      <c r="AK1" s="381" t="s">
        <v>225</v>
      </c>
      <c r="AL1" s="382" t="s">
        <v>226</v>
      </c>
      <c r="AM1" s="382" t="s">
        <v>227</v>
      </c>
      <c r="AN1" s="383" t="s">
        <v>228</v>
      </c>
      <c r="AO1" s="383" t="s">
        <v>229</v>
      </c>
    </row>
    <row r="2" spans="1:41" s="9" customFormat="1" ht="49.5">
      <c r="A2" s="373"/>
      <c r="B2" s="373"/>
      <c r="C2" s="374"/>
      <c r="D2" s="373"/>
      <c r="E2" s="373"/>
      <c r="F2" s="376"/>
      <c r="G2" s="377"/>
      <c r="H2" s="374"/>
      <c r="I2" s="374"/>
      <c r="J2" s="371"/>
      <c r="K2" s="371"/>
      <c r="L2" s="371"/>
      <c r="M2" s="371"/>
      <c r="N2" s="371"/>
      <c r="O2" s="371"/>
      <c r="P2" s="371"/>
      <c r="Q2" s="378"/>
      <c r="R2" s="371"/>
      <c r="S2" s="371"/>
      <c r="T2" s="26" t="s">
        <v>230</v>
      </c>
      <c r="U2" s="26" t="s">
        <v>231</v>
      </c>
      <c r="V2" s="26" t="s">
        <v>232</v>
      </c>
      <c r="W2" s="26" t="s">
        <v>233</v>
      </c>
      <c r="X2" s="26" t="s">
        <v>234</v>
      </c>
      <c r="Y2" s="26" t="s">
        <v>235</v>
      </c>
      <c r="Z2" s="371"/>
      <c r="AA2" s="26" t="s">
        <v>236</v>
      </c>
      <c r="AB2" s="26" t="s">
        <v>237</v>
      </c>
      <c r="AC2" s="26" t="s">
        <v>238</v>
      </c>
      <c r="AD2" s="380"/>
      <c r="AE2" s="373"/>
      <c r="AF2" s="373"/>
      <c r="AG2" s="373"/>
      <c r="AH2" s="373"/>
      <c r="AI2" s="373"/>
      <c r="AJ2" s="373"/>
      <c r="AK2" s="381"/>
      <c r="AL2" s="382"/>
      <c r="AM2" s="382"/>
      <c r="AN2" s="383"/>
      <c r="AO2" s="384"/>
    </row>
    <row r="3" spans="1:41" s="10" customFormat="1">
      <c r="F3" s="10" t="s">
        <v>184</v>
      </c>
      <c r="J3" s="11" t="s">
        <v>128</v>
      </c>
      <c r="K3" s="12" t="s">
        <v>129</v>
      </c>
      <c r="L3" s="13">
        <v>15333903368</v>
      </c>
      <c r="M3" s="14"/>
      <c r="N3" s="10" t="s">
        <v>239</v>
      </c>
      <c r="O3" s="10" t="s">
        <v>239</v>
      </c>
      <c r="P3" s="10" t="s">
        <v>240</v>
      </c>
      <c r="R3" s="10" t="s">
        <v>113</v>
      </c>
      <c r="S3" s="10" t="s">
        <v>241</v>
      </c>
      <c r="T3" s="10">
        <v>202205</v>
      </c>
      <c r="U3" s="10">
        <v>3179</v>
      </c>
      <c r="V3" s="10">
        <v>3197</v>
      </c>
      <c r="W3" s="10">
        <v>3179</v>
      </c>
      <c r="X3" s="10">
        <v>3179</v>
      </c>
      <c r="Y3" s="10">
        <v>3179</v>
      </c>
      <c r="Z3" s="10" t="s">
        <v>241</v>
      </c>
      <c r="AA3" s="10">
        <v>202204</v>
      </c>
      <c r="AB3" s="34">
        <v>0.08</v>
      </c>
      <c r="AC3" s="10">
        <v>3179</v>
      </c>
    </row>
    <row r="4" spans="1:41" s="10" customFormat="1">
      <c r="F4" s="10" t="s">
        <v>184</v>
      </c>
      <c r="J4" s="15" t="s">
        <v>131</v>
      </c>
      <c r="K4" s="16" t="s">
        <v>132</v>
      </c>
      <c r="L4" s="17">
        <v>17795512929</v>
      </c>
      <c r="N4" s="10" t="s">
        <v>130</v>
      </c>
      <c r="O4" s="10" t="s">
        <v>130</v>
      </c>
      <c r="P4" s="18" t="s">
        <v>242</v>
      </c>
      <c r="Q4" s="27">
        <v>44665</v>
      </c>
      <c r="R4" s="10" t="s">
        <v>130</v>
      </c>
      <c r="S4" s="28" t="s">
        <v>241</v>
      </c>
      <c r="T4" s="10">
        <v>202204</v>
      </c>
      <c r="U4" s="29">
        <v>3512</v>
      </c>
      <c r="V4" s="29">
        <v>3512</v>
      </c>
      <c r="W4" s="29">
        <v>3512</v>
      </c>
      <c r="X4" s="29">
        <v>3512</v>
      </c>
      <c r="Z4" s="10" t="s">
        <v>241</v>
      </c>
      <c r="AA4" s="10">
        <v>202204</v>
      </c>
      <c r="AB4" s="35">
        <v>0.1</v>
      </c>
      <c r="AC4" s="29">
        <v>1950</v>
      </c>
    </row>
    <row r="5" spans="1:41" s="10" customFormat="1">
      <c r="F5" s="10" t="s">
        <v>184</v>
      </c>
      <c r="J5" s="15" t="s">
        <v>133</v>
      </c>
      <c r="K5" s="16" t="s">
        <v>134</v>
      </c>
      <c r="L5" s="17">
        <v>18995128068</v>
      </c>
      <c r="N5" s="10" t="s">
        <v>130</v>
      </c>
      <c r="O5" s="10" t="s">
        <v>130</v>
      </c>
      <c r="P5" s="18" t="s">
        <v>243</v>
      </c>
      <c r="Q5" s="27">
        <v>44665</v>
      </c>
      <c r="R5" s="10" t="s">
        <v>130</v>
      </c>
      <c r="S5" s="28" t="s">
        <v>241</v>
      </c>
      <c r="T5" s="10">
        <v>202204</v>
      </c>
      <c r="U5" s="29">
        <v>3512</v>
      </c>
      <c r="V5" s="29">
        <v>3512</v>
      </c>
      <c r="W5" s="29">
        <v>3512</v>
      </c>
      <c r="X5" s="29">
        <v>3512</v>
      </c>
      <c r="Z5" s="10" t="s">
        <v>241</v>
      </c>
      <c r="AA5" s="10">
        <v>202204</v>
      </c>
      <c r="AB5" s="35">
        <v>0.1</v>
      </c>
      <c r="AC5" s="29">
        <v>1950</v>
      </c>
    </row>
    <row r="6" spans="1:41">
      <c r="J6" s="15" t="s">
        <v>135</v>
      </c>
      <c r="K6" s="16" t="s">
        <v>136</v>
      </c>
      <c r="L6" s="17">
        <v>18009593554</v>
      </c>
      <c r="M6" s="10"/>
      <c r="N6" s="10" t="s">
        <v>130</v>
      </c>
      <c r="O6" s="10" t="s">
        <v>130</v>
      </c>
      <c r="P6" s="18" t="s">
        <v>242</v>
      </c>
      <c r="Q6" s="27">
        <v>44665</v>
      </c>
      <c r="R6" s="10" t="s">
        <v>130</v>
      </c>
      <c r="S6" s="28" t="s">
        <v>241</v>
      </c>
      <c r="T6" s="10">
        <v>202204</v>
      </c>
      <c r="U6" s="29">
        <v>3512</v>
      </c>
      <c r="V6" s="29">
        <v>3512</v>
      </c>
      <c r="W6" s="29">
        <v>3512</v>
      </c>
      <c r="X6" s="29">
        <v>3512</v>
      </c>
      <c r="Y6" s="10"/>
      <c r="Z6" s="10" t="s">
        <v>241</v>
      </c>
      <c r="AA6" s="10">
        <v>202204</v>
      </c>
      <c r="AB6" s="35">
        <v>0.1</v>
      </c>
      <c r="AC6" s="29">
        <v>1950</v>
      </c>
    </row>
    <row r="11" spans="1:41" ht="33">
      <c r="J11" s="19" t="s">
        <v>40</v>
      </c>
      <c r="K11" s="19" t="s">
        <v>212</v>
      </c>
      <c r="L11" s="19" t="s">
        <v>213</v>
      </c>
      <c r="M11" s="19" t="s">
        <v>214</v>
      </c>
      <c r="N11" s="19" t="s">
        <v>244</v>
      </c>
      <c r="O11" s="19" t="s">
        <v>245</v>
      </c>
      <c r="P11" s="19" t="s">
        <v>246</v>
      </c>
      <c r="Q11" s="30" t="s">
        <v>148</v>
      </c>
      <c r="R11" s="30" t="s">
        <v>247</v>
      </c>
      <c r="S11" s="30" t="s">
        <v>248</v>
      </c>
      <c r="T11" s="30" t="s">
        <v>249</v>
      </c>
    </row>
    <row r="12" spans="1:41" ht="22.5">
      <c r="J12" s="20" t="s">
        <v>103</v>
      </c>
      <c r="K12" s="21" t="s">
        <v>104</v>
      </c>
      <c r="L12" s="22" t="s">
        <v>250</v>
      </c>
      <c r="M12" s="23"/>
      <c r="N12" s="24"/>
      <c r="O12" s="24" t="s">
        <v>102</v>
      </c>
      <c r="P12" s="23" t="s">
        <v>251</v>
      </c>
      <c r="Q12" s="31">
        <v>44681</v>
      </c>
      <c r="R12" s="32">
        <v>202205</v>
      </c>
      <c r="S12" s="32">
        <v>202205</v>
      </c>
      <c r="T12" s="33" t="s">
        <v>252</v>
      </c>
    </row>
    <row r="13" spans="1:41" ht="22.5">
      <c r="J13" s="20" t="s">
        <v>107</v>
      </c>
      <c r="K13" s="21" t="s">
        <v>108</v>
      </c>
      <c r="L13" s="22" t="s">
        <v>253</v>
      </c>
      <c r="M13" s="25"/>
      <c r="N13" s="25"/>
      <c r="O13" s="24" t="s">
        <v>102</v>
      </c>
      <c r="P13" s="23" t="s">
        <v>251</v>
      </c>
      <c r="Q13" s="31">
        <v>44681</v>
      </c>
      <c r="R13" s="32">
        <v>202205</v>
      </c>
      <c r="S13" s="32">
        <v>202205</v>
      </c>
      <c r="T13" s="33" t="s">
        <v>252</v>
      </c>
    </row>
  </sheetData>
  <mergeCells count="34">
    <mergeCell ref="AM1:AM2"/>
    <mergeCell ref="AN1:AN2"/>
    <mergeCell ref="AO1:AO2"/>
    <mergeCell ref="AH1:AH2"/>
    <mergeCell ref="AI1:AI2"/>
    <mergeCell ref="AJ1:AJ2"/>
    <mergeCell ref="AK1:AK2"/>
    <mergeCell ref="AL1:AL2"/>
    <mergeCell ref="Z1:Z2"/>
    <mergeCell ref="AD1:AD2"/>
    <mergeCell ref="AE1:AE2"/>
    <mergeCell ref="AF1:AF2"/>
    <mergeCell ref="AG1:AG2"/>
    <mergeCell ref="O1:O2"/>
    <mergeCell ref="P1:P2"/>
    <mergeCell ref="Q1:Q2"/>
    <mergeCell ref="R1:R2"/>
    <mergeCell ref="S1:S2"/>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s>
  <phoneticPr fontId="13" type="noConversion"/>
  <conditionalFormatting sqref="J4:J5">
    <cfRule type="duplicateValues" dxfId="2" priority="3"/>
  </conditionalFormatting>
  <conditionalFormatting sqref="K12:K13">
    <cfRule type="duplicateValues" dxfId="1" priority="1"/>
    <cfRule type="duplicateValues" dxfId="0" priority="2"/>
  </conditionalFormatting>
  <dataValidations count="5">
    <dataValidation type="list" allowBlank="1" showInputMessage="1" showErrorMessage="1" sqref="S3 Z3 S4:S6 Z4:Z6">
      <formula1>"新参,调入"</formula1>
    </dataValidation>
    <dataValidation type="list" allowBlank="1" showInputMessage="1" showErrorMessage="1" sqref="M12">
      <formula1>"是,否"</formula1>
    </dataValidation>
    <dataValidation type="list" allowBlank="1" showInputMessage="1" showErrorMessage="1" sqref="H3:H5">
      <formula1>#REF!</formula1>
    </dataValidation>
    <dataValidation type="list" allowBlank="1" showInputMessage="1" showErrorMessage="1" sqref="P4:P6 P12:P13">
      <formula1>"本地城镇,本地农村,外地城镇,外地农村"</formula1>
    </dataValidation>
    <dataValidation type="list" allowBlank="1" showInputMessage="1" showErrorMessage="1" sqref="T12:T13">
      <formula1>"辞职,合同主动解除,合同被动解除,合同到期终止,试用期解除,死亡,其他"</formula1>
    </dataValidation>
  </dataValidations>
  <pageMargins left="0.75" right="0.75" top="1" bottom="1" header="0.5" footer="0.5"/>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workbookViewId="0">
      <selection activeCell="D4" sqref="D4"/>
    </sheetView>
  </sheetViews>
  <sheetFormatPr defaultColWidth="9" defaultRowHeight="13.5"/>
  <cols>
    <col min="3" max="3" width="32" customWidth="1"/>
    <col min="4" max="4" width="13.75" customWidth="1"/>
    <col min="5" max="5" width="16.125" customWidth="1"/>
  </cols>
  <sheetData>
    <row r="1" spans="2:5" ht="57" customHeight="1">
      <c r="B1" s="385" t="s">
        <v>254</v>
      </c>
      <c r="C1" s="385"/>
      <c r="D1" s="385"/>
      <c r="E1" s="385"/>
    </row>
    <row r="2" spans="2:5" ht="20.25">
      <c r="B2" s="1"/>
    </row>
    <row r="3" spans="2:5" ht="27.75" customHeight="1">
      <c r="B3" s="2" t="s">
        <v>255</v>
      </c>
      <c r="C3" s="3" t="s">
        <v>256</v>
      </c>
      <c r="D3" s="3" t="s">
        <v>257</v>
      </c>
      <c r="E3" s="3" t="s">
        <v>258</v>
      </c>
    </row>
    <row r="4" spans="2:5" ht="29.25" customHeight="1">
      <c r="B4" s="4">
        <v>1</v>
      </c>
      <c r="C4" s="5" t="s">
        <v>259</v>
      </c>
      <c r="D4" s="6">
        <v>0.03</v>
      </c>
      <c r="E4" s="7">
        <v>0</v>
      </c>
    </row>
    <row r="5" spans="2:5" ht="29.25" customHeight="1">
      <c r="B5" s="4">
        <v>2</v>
      </c>
      <c r="C5" s="5" t="s">
        <v>260</v>
      </c>
      <c r="D5" s="6">
        <v>0.1</v>
      </c>
      <c r="E5" s="7">
        <v>2520</v>
      </c>
    </row>
    <row r="6" spans="2:5" ht="29.25" customHeight="1">
      <c r="B6" s="4">
        <v>3</v>
      </c>
      <c r="C6" s="5" t="s">
        <v>261</v>
      </c>
      <c r="D6" s="6">
        <v>0.2</v>
      </c>
      <c r="E6" s="7">
        <v>16920</v>
      </c>
    </row>
    <row r="7" spans="2:5" ht="29.25" customHeight="1">
      <c r="B7" s="4">
        <v>4</v>
      </c>
      <c r="C7" s="5" t="s">
        <v>262</v>
      </c>
      <c r="D7" s="6">
        <v>0.25</v>
      </c>
      <c r="E7" s="7">
        <v>31920</v>
      </c>
    </row>
    <row r="8" spans="2:5" ht="29.25" customHeight="1">
      <c r="B8" s="4">
        <v>5</v>
      </c>
      <c r="C8" s="5" t="s">
        <v>263</v>
      </c>
      <c r="D8" s="6">
        <v>0.3</v>
      </c>
      <c r="E8" s="7">
        <v>52920</v>
      </c>
    </row>
    <row r="9" spans="2:5" ht="29.25" customHeight="1">
      <c r="B9" s="4">
        <v>6</v>
      </c>
      <c r="C9" s="5" t="s">
        <v>264</v>
      </c>
      <c r="D9" s="6">
        <v>0.35</v>
      </c>
      <c r="E9" s="7">
        <v>85920</v>
      </c>
    </row>
    <row r="10" spans="2:5" ht="29.25" customHeight="1">
      <c r="B10" s="4">
        <v>7</v>
      </c>
      <c r="C10" s="5" t="s">
        <v>265</v>
      </c>
      <c r="D10" s="6">
        <v>0.45</v>
      </c>
      <c r="E10" s="7">
        <v>181920</v>
      </c>
    </row>
    <row r="13" spans="2:5" ht="57" customHeight="1">
      <c r="B13" s="385" t="s">
        <v>266</v>
      </c>
      <c r="C13" s="385"/>
      <c r="D13" s="385"/>
      <c r="E13" s="385"/>
    </row>
    <row r="14" spans="2:5" ht="20.25">
      <c r="B14" s="1"/>
    </row>
    <row r="15" spans="2:5" ht="27.75" customHeight="1">
      <c r="B15" s="2" t="s">
        <v>255</v>
      </c>
      <c r="C15" s="3" t="s">
        <v>267</v>
      </c>
      <c r="D15" s="3" t="s">
        <v>257</v>
      </c>
      <c r="E15" s="3" t="s">
        <v>258</v>
      </c>
    </row>
    <row r="16" spans="2:5" ht="29.25" customHeight="1">
      <c r="B16" s="4">
        <v>1</v>
      </c>
      <c r="C16" s="5" t="s">
        <v>268</v>
      </c>
      <c r="D16" s="6">
        <v>0.2</v>
      </c>
      <c r="E16" s="7">
        <v>0</v>
      </c>
    </row>
    <row r="17" spans="2:5" ht="29.25" customHeight="1">
      <c r="B17" s="4">
        <v>2</v>
      </c>
      <c r="C17" s="5" t="s">
        <v>269</v>
      </c>
      <c r="D17" s="6">
        <v>0.3</v>
      </c>
      <c r="E17" s="7">
        <v>2000</v>
      </c>
    </row>
    <row r="18" spans="2:5" ht="29.25" customHeight="1">
      <c r="B18" s="4">
        <v>3</v>
      </c>
      <c r="C18" s="5" t="s">
        <v>270</v>
      </c>
      <c r="D18" s="6">
        <v>0.4</v>
      </c>
      <c r="E18" s="7">
        <v>7000</v>
      </c>
    </row>
    <row r="21" spans="2:5" ht="47.25" customHeight="1">
      <c r="B21" s="385" t="s">
        <v>271</v>
      </c>
      <c r="C21" s="385"/>
      <c r="D21" s="385"/>
      <c r="E21" s="385"/>
    </row>
    <row r="22" spans="2:5" ht="20.25">
      <c r="B22" s="1"/>
    </row>
    <row r="23" spans="2:5" ht="27.75" customHeight="1">
      <c r="B23" s="2" t="s">
        <v>255</v>
      </c>
      <c r="C23" s="3" t="s">
        <v>272</v>
      </c>
      <c r="D23" s="3" t="s">
        <v>257</v>
      </c>
      <c r="E23" s="3" t="s">
        <v>258</v>
      </c>
    </row>
    <row r="24" spans="2:5" ht="29.25" customHeight="1">
      <c r="B24" s="4">
        <v>1</v>
      </c>
      <c r="C24" s="5" t="s">
        <v>273</v>
      </c>
      <c r="D24" s="6">
        <v>0.03</v>
      </c>
      <c r="E24" s="7">
        <v>0</v>
      </c>
    </row>
    <row r="25" spans="2:5" ht="29.25" customHeight="1">
      <c r="B25" s="4">
        <v>2</v>
      </c>
      <c r="C25" s="5" t="s">
        <v>274</v>
      </c>
      <c r="D25" s="6">
        <v>0.1</v>
      </c>
      <c r="E25" s="7">
        <v>210</v>
      </c>
    </row>
    <row r="26" spans="2:5" ht="29.25" customHeight="1">
      <c r="B26" s="4">
        <v>3</v>
      </c>
      <c r="C26" s="5" t="s">
        <v>275</v>
      </c>
      <c r="D26" s="6">
        <v>0.2</v>
      </c>
      <c r="E26" s="7">
        <v>1410</v>
      </c>
    </row>
    <row r="27" spans="2:5" ht="29.25" customHeight="1">
      <c r="B27" s="4">
        <v>4</v>
      </c>
      <c r="C27" s="5" t="s">
        <v>276</v>
      </c>
      <c r="D27" s="6">
        <v>0.25</v>
      </c>
      <c r="E27" s="7">
        <v>2660</v>
      </c>
    </row>
    <row r="28" spans="2:5" ht="29.25" customHeight="1">
      <c r="B28" s="4">
        <v>5</v>
      </c>
      <c r="C28" s="5" t="s">
        <v>277</v>
      </c>
      <c r="D28" s="6">
        <v>0.3</v>
      </c>
      <c r="E28" s="7">
        <v>4410</v>
      </c>
    </row>
    <row r="29" spans="2:5" ht="29.25" customHeight="1">
      <c r="B29" s="4">
        <v>6</v>
      </c>
      <c r="C29" s="5" t="s">
        <v>278</v>
      </c>
      <c r="D29" s="6">
        <v>0.35</v>
      </c>
      <c r="E29" s="7">
        <v>7160</v>
      </c>
    </row>
    <row r="30" spans="2:5" ht="29.25" customHeight="1">
      <c r="B30" s="4">
        <v>7</v>
      </c>
      <c r="C30" s="5" t="s">
        <v>279</v>
      </c>
      <c r="D30" s="6">
        <v>0.45</v>
      </c>
      <c r="E30" s="7">
        <v>15160</v>
      </c>
    </row>
    <row r="35" spans="2:5" ht="57" customHeight="1">
      <c r="B35" s="386" t="s">
        <v>280</v>
      </c>
      <c r="C35" s="386"/>
      <c r="D35" s="386"/>
      <c r="E35" s="386"/>
    </row>
    <row r="37" spans="2:5" ht="21.75" customHeight="1">
      <c r="B37" s="2" t="s">
        <v>255</v>
      </c>
      <c r="C37" s="3" t="s">
        <v>281</v>
      </c>
      <c r="D37" s="3" t="s">
        <v>282</v>
      </c>
      <c r="E37" s="3" t="s">
        <v>258</v>
      </c>
    </row>
    <row r="38" spans="2:5" ht="21.75" customHeight="1">
      <c r="B38" s="4">
        <v>1</v>
      </c>
      <c r="C38" s="5" t="s">
        <v>273</v>
      </c>
      <c r="D38" s="6">
        <v>0.03</v>
      </c>
      <c r="E38" s="7">
        <v>0</v>
      </c>
    </row>
    <row r="39" spans="2:5" ht="21.75" customHeight="1">
      <c r="B39" s="4">
        <v>2</v>
      </c>
      <c r="C39" s="5" t="s">
        <v>274</v>
      </c>
      <c r="D39" s="6">
        <v>0.1</v>
      </c>
      <c r="E39" s="7">
        <v>210</v>
      </c>
    </row>
    <row r="40" spans="2:5" ht="21.75" customHeight="1">
      <c r="B40" s="4">
        <v>3</v>
      </c>
      <c r="C40" s="5" t="s">
        <v>275</v>
      </c>
      <c r="D40" s="6">
        <v>0.2</v>
      </c>
      <c r="E40" s="7">
        <v>1410</v>
      </c>
    </row>
    <row r="41" spans="2:5" ht="21.75" customHeight="1">
      <c r="B41" s="4">
        <v>4</v>
      </c>
      <c r="C41" s="5" t="s">
        <v>276</v>
      </c>
      <c r="D41" s="6">
        <v>0.25</v>
      </c>
      <c r="E41" s="7">
        <v>2660</v>
      </c>
    </row>
    <row r="42" spans="2:5" ht="21.75" customHeight="1">
      <c r="B42" s="4">
        <v>5</v>
      </c>
      <c r="C42" s="5" t="s">
        <v>277</v>
      </c>
      <c r="D42" s="6">
        <v>0.3</v>
      </c>
      <c r="E42" s="7">
        <v>4410</v>
      </c>
    </row>
    <row r="43" spans="2:5" ht="21.75" customHeight="1">
      <c r="B43" s="4">
        <v>6</v>
      </c>
      <c r="C43" s="5" t="s">
        <v>278</v>
      </c>
      <c r="D43" s="6">
        <v>0.35</v>
      </c>
      <c r="E43" s="7">
        <v>7160</v>
      </c>
    </row>
    <row r="44" spans="2:5" ht="21.75" customHeight="1">
      <c r="B44" s="4">
        <v>7</v>
      </c>
      <c r="C44" s="5" t="s">
        <v>279</v>
      </c>
      <c r="D44" s="6">
        <v>0.45</v>
      </c>
      <c r="E44" s="7">
        <v>15160</v>
      </c>
    </row>
  </sheetData>
  <mergeCells count="4">
    <mergeCell ref="B1:E1"/>
    <mergeCell ref="B13:E13"/>
    <mergeCell ref="B21:E21"/>
    <mergeCell ref="B35:E35"/>
  </mergeCells>
  <phoneticPr fontId="1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2"/>
  <sheetViews>
    <sheetView workbookViewId="0">
      <selection activeCell="C27" sqref="C27"/>
    </sheetView>
  </sheetViews>
  <sheetFormatPr defaultColWidth="9" defaultRowHeight="16.5"/>
  <cols>
    <col min="1" max="1" width="5" style="139" customWidth="1"/>
    <col min="2" max="2" width="25" style="139" customWidth="1"/>
    <col min="3" max="3" width="7.375" style="139" customWidth="1"/>
    <col min="4" max="4" width="9.5" style="139" customWidth="1"/>
    <col min="5" max="5" width="8.25" style="139" customWidth="1"/>
    <col min="6" max="6" width="11.875" style="139" customWidth="1"/>
    <col min="7" max="7" width="16.375" style="139" customWidth="1"/>
    <col min="8" max="11" width="8.5" style="139" customWidth="1"/>
    <col min="12" max="12" width="9.125" style="139" customWidth="1"/>
    <col min="13" max="14" width="9.25" style="139" customWidth="1"/>
    <col min="15" max="15" width="7.5" style="139" customWidth="1"/>
    <col min="16" max="16" width="11.25" style="139" customWidth="1"/>
    <col min="17" max="17" width="9.125" style="139" customWidth="1"/>
    <col min="18" max="21" width="9.25" style="139" customWidth="1"/>
    <col min="22" max="22" width="9.125" style="139" customWidth="1"/>
    <col min="23" max="26" width="9.25" style="139" customWidth="1"/>
    <col min="27" max="28" width="9.125" style="139" customWidth="1"/>
    <col min="29" max="29" width="9" style="139" customWidth="1"/>
    <col min="30" max="30" width="9.125" style="139" customWidth="1"/>
    <col min="31" max="31" width="9.25" style="139" customWidth="1"/>
    <col min="32" max="32" width="8.875" style="139" customWidth="1"/>
    <col min="33" max="33" width="9.125" style="139" customWidth="1"/>
    <col min="34" max="34" width="9.25" style="139" customWidth="1"/>
    <col min="35" max="35" width="11.125" style="139" customWidth="1"/>
    <col min="36" max="36" width="9.25" style="139" customWidth="1"/>
    <col min="37" max="37" width="8.5" style="139" customWidth="1"/>
    <col min="38" max="38" width="9.125" style="139" hidden="1" customWidth="1"/>
    <col min="39" max="42" width="9.25" style="139" hidden="1" customWidth="1"/>
    <col min="43" max="43" width="9.875" style="139" customWidth="1"/>
    <col min="44" max="44" width="9.375" style="139" customWidth="1"/>
    <col min="45" max="45" width="10.25" style="144" customWidth="1"/>
    <col min="46" max="46" width="10" style="144" customWidth="1"/>
    <col min="47" max="49" width="9.25" style="144" customWidth="1"/>
    <col min="50" max="50" width="9.25" style="139" customWidth="1"/>
    <col min="51" max="51" width="5.875" style="139" customWidth="1"/>
    <col min="52" max="52" width="8.375" style="139" customWidth="1"/>
    <col min="53" max="53" width="5.875" style="139" customWidth="1"/>
    <col min="54" max="54" width="8.875" style="139" customWidth="1"/>
    <col min="55" max="55" width="10.875" style="139" customWidth="1"/>
    <col min="56" max="56" width="40.25" style="145" customWidth="1"/>
    <col min="57" max="57" width="10.625" style="139" customWidth="1"/>
    <col min="58" max="16384" width="9" style="139"/>
  </cols>
  <sheetData>
    <row r="1" spans="1:60" s="138" customFormat="1" ht="22.5" customHeight="1">
      <c r="A1" s="333" t="s">
        <v>18</v>
      </c>
      <c r="B1" s="339" t="s">
        <v>36</v>
      </c>
      <c r="C1" s="339" t="s">
        <v>37</v>
      </c>
      <c r="D1" s="333" t="s">
        <v>38</v>
      </c>
      <c r="E1" s="339" t="s">
        <v>39</v>
      </c>
      <c r="F1" s="339" t="s">
        <v>40</v>
      </c>
      <c r="G1" s="339" t="s">
        <v>41</v>
      </c>
      <c r="H1" s="339" t="s">
        <v>42</v>
      </c>
      <c r="I1" s="339" t="s">
        <v>43</v>
      </c>
      <c r="J1" s="339" t="s">
        <v>44</v>
      </c>
      <c r="K1" s="339" t="s">
        <v>45</v>
      </c>
      <c r="L1" s="332" t="s">
        <v>46</v>
      </c>
      <c r="M1" s="332"/>
      <c r="N1" s="332"/>
      <c r="O1" s="332"/>
      <c r="P1" s="332"/>
      <c r="Q1" s="332" t="s">
        <v>47</v>
      </c>
      <c r="R1" s="332"/>
      <c r="S1" s="332"/>
      <c r="T1" s="332"/>
      <c r="U1" s="332"/>
      <c r="V1" s="332" t="s">
        <v>48</v>
      </c>
      <c r="W1" s="332"/>
      <c r="X1" s="332"/>
      <c r="Y1" s="332"/>
      <c r="Z1" s="332"/>
      <c r="AA1" s="333" t="s">
        <v>49</v>
      </c>
      <c r="AB1" s="333"/>
      <c r="AC1" s="333"/>
      <c r="AD1" s="333" t="s">
        <v>50</v>
      </c>
      <c r="AE1" s="333"/>
      <c r="AF1" s="333"/>
      <c r="AG1" s="332" t="s">
        <v>51</v>
      </c>
      <c r="AH1" s="332"/>
      <c r="AI1" s="332"/>
      <c r="AJ1" s="332"/>
      <c r="AK1" s="332"/>
      <c r="AL1" s="333" t="s">
        <v>52</v>
      </c>
      <c r="AM1" s="333"/>
      <c r="AN1" s="333"/>
      <c r="AO1" s="333"/>
      <c r="AP1" s="333"/>
      <c r="AQ1" s="333" t="s">
        <v>53</v>
      </c>
      <c r="AR1" s="333"/>
      <c r="AS1" s="334" t="s">
        <v>54</v>
      </c>
      <c r="AT1" s="334"/>
      <c r="AU1" s="334"/>
      <c r="AV1" s="334"/>
      <c r="AW1" s="334"/>
      <c r="AX1" s="333" t="s">
        <v>55</v>
      </c>
      <c r="AY1" s="333"/>
      <c r="AZ1" s="333" t="s">
        <v>56</v>
      </c>
      <c r="BA1" s="333"/>
      <c r="BB1" s="333" t="s">
        <v>57</v>
      </c>
      <c r="BC1" s="333" t="s">
        <v>58</v>
      </c>
      <c r="BD1" s="342" t="s">
        <v>23</v>
      </c>
    </row>
    <row r="2" spans="1:60" ht="22.5" customHeight="1">
      <c r="A2" s="333"/>
      <c r="B2" s="340"/>
      <c r="C2" s="339"/>
      <c r="D2" s="333"/>
      <c r="E2" s="339"/>
      <c r="F2" s="341"/>
      <c r="G2" s="341"/>
      <c r="H2" s="339"/>
      <c r="I2" s="339"/>
      <c r="J2" s="339"/>
      <c r="K2" s="339"/>
      <c r="L2" s="170" t="s">
        <v>59</v>
      </c>
      <c r="M2" s="170" t="s">
        <v>60</v>
      </c>
      <c r="N2" s="170" t="s">
        <v>61</v>
      </c>
      <c r="O2" s="170" t="s">
        <v>62</v>
      </c>
      <c r="P2" s="170" t="s">
        <v>63</v>
      </c>
      <c r="Q2" s="170" t="s">
        <v>59</v>
      </c>
      <c r="R2" s="170" t="s">
        <v>60</v>
      </c>
      <c r="S2" s="170" t="s">
        <v>61</v>
      </c>
      <c r="T2" s="170" t="s">
        <v>62</v>
      </c>
      <c r="U2" s="170" t="s">
        <v>63</v>
      </c>
      <c r="V2" s="170" t="s">
        <v>59</v>
      </c>
      <c r="W2" s="170" t="s">
        <v>60</v>
      </c>
      <c r="X2" s="170" t="s">
        <v>61</v>
      </c>
      <c r="Y2" s="170" t="s">
        <v>62</v>
      </c>
      <c r="Z2" s="170" t="s">
        <v>63</v>
      </c>
      <c r="AA2" s="170" t="s">
        <v>59</v>
      </c>
      <c r="AB2" s="170" t="s">
        <v>64</v>
      </c>
      <c r="AC2" s="170" t="s">
        <v>22</v>
      </c>
      <c r="AD2" s="170" t="s">
        <v>59</v>
      </c>
      <c r="AE2" s="170" t="s">
        <v>64</v>
      </c>
      <c r="AF2" s="170" t="s">
        <v>22</v>
      </c>
      <c r="AG2" s="170" t="s">
        <v>59</v>
      </c>
      <c r="AH2" s="170" t="s">
        <v>60</v>
      </c>
      <c r="AI2" s="170" t="s">
        <v>61</v>
      </c>
      <c r="AJ2" s="170" t="s">
        <v>62</v>
      </c>
      <c r="AK2" s="170" t="s">
        <v>63</v>
      </c>
      <c r="AL2" s="170" t="s">
        <v>59</v>
      </c>
      <c r="AM2" s="170" t="s">
        <v>60</v>
      </c>
      <c r="AN2" s="170" t="s">
        <v>61</v>
      </c>
      <c r="AO2" s="170" t="s">
        <v>62</v>
      </c>
      <c r="AP2" s="170" t="s">
        <v>63</v>
      </c>
      <c r="AQ2" s="170" t="s">
        <v>65</v>
      </c>
      <c r="AR2" s="170" t="s">
        <v>66</v>
      </c>
      <c r="AS2" s="178" t="s">
        <v>67</v>
      </c>
      <c r="AT2" s="178" t="s">
        <v>68</v>
      </c>
      <c r="AU2" s="178" t="s">
        <v>69</v>
      </c>
      <c r="AV2" s="178" t="s">
        <v>70</v>
      </c>
      <c r="AW2" s="178" t="s">
        <v>30</v>
      </c>
      <c r="AX2" s="333"/>
      <c r="AY2" s="333"/>
      <c r="AZ2" s="333"/>
      <c r="BA2" s="333"/>
      <c r="BB2" s="333"/>
      <c r="BC2" s="333"/>
      <c r="BD2" s="342"/>
    </row>
    <row r="3" spans="1:60" s="140" customFormat="1" ht="18" customHeight="1">
      <c r="A3" s="146">
        <v>1</v>
      </c>
      <c r="B3" s="147" t="s">
        <v>71</v>
      </c>
      <c r="C3" s="148" t="s">
        <v>72</v>
      </c>
      <c r="D3" s="149" t="s">
        <v>73</v>
      </c>
      <c r="E3" s="147" t="s">
        <v>74</v>
      </c>
      <c r="F3" s="150" t="s">
        <v>75</v>
      </c>
      <c r="G3" s="151" t="s">
        <v>76</v>
      </c>
      <c r="H3" s="149" t="s">
        <v>77</v>
      </c>
      <c r="I3" s="149" t="s">
        <v>77</v>
      </c>
      <c r="J3" s="149" t="s">
        <v>78</v>
      </c>
      <c r="K3" s="149" t="s">
        <v>78</v>
      </c>
      <c r="L3" s="146">
        <v>3300</v>
      </c>
      <c r="M3" s="146">
        <v>0.16</v>
      </c>
      <c r="N3" s="146">
        <f t="shared" ref="N3:N8" si="0">ROUND(L3*M3,2)</f>
        <v>528</v>
      </c>
      <c r="O3" s="146">
        <v>0.08</v>
      </c>
      <c r="P3" s="146">
        <f t="shared" ref="P3:P8" si="1">ROUND(L3*O3,2)</f>
        <v>264</v>
      </c>
      <c r="Q3" s="146">
        <v>3300</v>
      </c>
      <c r="R3" s="146">
        <v>0.08</v>
      </c>
      <c r="S3" s="146">
        <f t="shared" ref="S3:S8" si="2">ROUND(Q3*R3,2)</f>
        <v>264</v>
      </c>
      <c r="T3" s="146">
        <v>0.02</v>
      </c>
      <c r="U3" s="146">
        <f t="shared" ref="U3:U8" si="3">ROUND(Q3*T3,2)</f>
        <v>66</v>
      </c>
      <c r="V3" s="146">
        <v>3300</v>
      </c>
      <c r="W3" s="146">
        <v>7.0000000000000001E-3</v>
      </c>
      <c r="X3" s="146">
        <f t="shared" ref="X3:X8" si="4">ROUND(V3*W3,2)</f>
        <v>23.1</v>
      </c>
      <c r="Y3" s="146">
        <v>3.0000000000000001E-3</v>
      </c>
      <c r="Z3" s="146">
        <f t="shared" ref="Z3:Z8" si="5">ROUND(V3*Y3,2)</f>
        <v>9.9</v>
      </c>
      <c r="AA3" s="146"/>
      <c r="AB3" s="146"/>
      <c r="AC3" s="146"/>
      <c r="AD3" s="146">
        <v>3300</v>
      </c>
      <c r="AE3" s="146">
        <v>2E-3</v>
      </c>
      <c r="AF3" s="146">
        <f t="shared" ref="AF3:AF15" si="6">ROUND(AD3*AE3,2)</f>
        <v>6.6</v>
      </c>
      <c r="AG3" s="146">
        <v>3000</v>
      </c>
      <c r="AH3" s="146">
        <v>0.1</v>
      </c>
      <c r="AI3" s="146">
        <f>ROUND(AG3*AH3,2)</f>
        <v>300</v>
      </c>
      <c r="AJ3" s="146">
        <v>0.06</v>
      </c>
      <c r="AK3" s="146">
        <f>ROUND(AG3*AJ3,2)</f>
        <v>180</v>
      </c>
      <c r="AL3" s="176"/>
      <c r="AM3" s="146"/>
      <c r="AN3" s="146"/>
      <c r="AO3" s="146"/>
      <c r="AP3" s="147" t="s">
        <v>79</v>
      </c>
      <c r="AQ3" s="179">
        <v>5</v>
      </c>
      <c r="AR3" s="146"/>
      <c r="AS3" s="180">
        <f t="shared" ref="AS3:AS15" si="7">N3+S3+X3+AC3+AF3+AN3+AQ3</f>
        <v>826.7</v>
      </c>
      <c r="AT3" s="180">
        <f t="shared" ref="AT3:AT15" si="8">P3+U3+Z3</f>
        <v>339.9</v>
      </c>
      <c r="AU3" s="180">
        <f t="shared" ref="AU3:AU15" si="9">AI3</f>
        <v>300</v>
      </c>
      <c r="AV3" s="180">
        <f t="shared" ref="AV3:AV15" si="10">AK3</f>
        <v>180</v>
      </c>
      <c r="AW3" s="180">
        <f t="shared" ref="AW3:AW15" si="11">AV3+AS3+AT3+AU3</f>
        <v>1646.6</v>
      </c>
      <c r="AX3" s="335">
        <f t="shared" ref="AX3:AX15" si="12">AS3+AT3</f>
        <v>1166.5999999999999</v>
      </c>
      <c r="AY3" s="335"/>
      <c r="AZ3" s="335">
        <f t="shared" ref="AZ3:AZ8" si="13">AU3+AV3</f>
        <v>480</v>
      </c>
      <c r="BA3" s="335"/>
      <c r="BB3" s="187">
        <v>80</v>
      </c>
      <c r="BC3" s="186">
        <f t="shared" ref="BC3:BC15" si="14">AX3+AZ3+BB3</f>
        <v>1726.6</v>
      </c>
      <c r="BD3" s="189"/>
      <c r="BE3" s="219"/>
      <c r="BF3" s="202"/>
      <c r="BG3" s="202"/>
      <c r="BH3" s="203" t="s">
        <v>79</v>
      </c>
    </row>
    <row r="4" spans="1:60" s="140" customFormat="1" ht="18" customHeight="1">
      <c r="A4" s="146"/>
      <c r="B4" s="147" t="s">
        <v>71</v>
      </c>
      <c r="C4" s="148" t="s">
        <v>72</v>
      </c>
      <c r="D4" s="149" t="s">
        <v>73</v>
      </c>
      <c r="E4" s="147" t="s">
        <v>74</v>
      </c>
      <c r="F4" s="150" t="s">
        <v>75</v>
      </c>
      <c r="G4" s="151" t="s">
        <v>76</v>
      </c>
      <c r="H4" s="149" t="s">
        <v>77</v>
      </c>
      <c r="I4" s="149" t="s">
        <v>77</v>
      </c>
      <c r="J4" s="149" t="s">
        <v>80</v>
      </c>
      <c r="K4" s="149" t="s">
        <v>80</v>
      </c>
      <c r="L4" s="146">
        <v>3300</v>
      </c>
      <c r="M4" s="146">
        <v>0.16</v>
      </c>
      <c r="N4" s="146">
        <f t="shared" si="0"/>
        <v>528</v>
      </c>
      <c r="O4" s="146">
        <v>0.08</v>
      </c>
      <c r="P4" s="146">
        <f t="shared" si="1"/>
        <v>264</v>
      </c>
      <c r="Q4" s="146">
        <v>3300</v>
      </c>
      <c r="R4" s="146">
        <v>0.08</v>
      </c>
      <c r="S4" s="146">
        <f t="shared" si="2"/>
        <v>264</v>
      </c>
      <c r="T4" s="146">
        <v>0.02</v>
      </c>
      <c r="U4" s="146">
        <f t="shared" si="3"/>
        <v>66</v>
      </c>
      <c r="V4" s="146">
        <v>3300</v>
      </c>
      <c r="W4" s="146">
        <v>7.0000000000000001E-3</v>
      </c>
      <c r="X4" s="146">
        <f t="shared" si="4"/>
        <v>23.1</v>
      </c>
      <c r="Y4" s="146">
        <v>3.0000000000000001E-3</v>
      </c>
      <c r="Z4" s="146">
        <f t="shared" si="5"/>
        <v>9.9</v>
      </c>
      <c r="AA4" s="146"/>
      <c r="AB4" s="146"/>
      <c r="AC4" s="146"/>
      <c r="AD4" s="146">
        <v>3300</v>
      </c>
      <c r="AE4" s="146">
        <v>2E-3</v>
      </c>
      <c r="AF4" s="146">
        <f t="shared" si="6"/>
        <v>6.6</v>
      </c>
      <c r="AG4" s="146">
        <v>3000</v>
      </c>
      <c r="AH4" s="146">
        <v>0.1</v>
      </c>
      <c r="AI4" s="146">
        <f>ROUND(AG4*AH4,2)</f>
        <v>300</v>
      </c>
      <c r="AJ4" s="146">
        <v>0.06</v>
      </c>
      <c r="AK4" s="146">
        <f>ROUND(AG4*AJ4,2)</f>
        <v>180</v>
      </c>
      <c r="AL4" s="176"/>
      <c r="AM4" s="146"/>
      <c r="AN4" s="146"/>
      <c r="AO4" s="146"/>
      <c r="AP4" s="147" t="s">
        <v>79</v>
      </c>
      <c r="AQ4" s="179">
        <v>5</v>
      </c>
      <c r="AR4" s="146"/>
      <c r="AS4" s="180">
        <f t="shared" si="7"/>
        <v>826.7</v>
      </c>
      <c r="AT4" s="180">
        <f t="shared" si="8"/>
        <v>339.9</v>
      </c>
      <c r="AU4" s="180">
        <f t="shared" si="9"/>
        <v>300</v>
      </c>
      <c r="AV4" s="180">
        <f t="shared" si="10"/>
        <v>180</v>
      </c>
      <c r="AW4" s="180">
        <f t="shared" si="11"/>
        <v>1646.6</v>
      </c>
      <c r="AX4" s="335">
        <f t="shared" si="12"/>
        <v>1166.5999999999999</v>
      </c>
      <c r="AY4" s="335"/>
      <c r="AZ4" s="335">
        <f t="shared" si="13"/>
        <v>480</v>
      </c>
      <c r="BA4" s="335"/>
      <c r="BB4" s="187">
        <v>80</v>
      </c>
      <c r="BC4" s="186">
        <f t="shared" si="14"/>
        <v>1726.6</v>
      </c>
      <c r="BD4" s="189"/>
      <c r="BE4" s="219"/>
      <c r="BF4" s="202"/>
      <c r="BG4" s="202"/>
      <c r="BH4" s="203" t="s">
        <v>79</v>
      </c>
    </row>
    <row r="5" spans="1:60" s="140" customFormat="1" ht="18" customHeight="1">
      <c r="A5" s="146"/>
      <c r="B5" s="147" t="s">
        <v>71</v>
      </c>
      <c r="C5" s="148" t="s">
        <v>72</v>
      </c>
      <c r="D5" s="149" t="s">
        <v>73</v>
      </c>
      <c r="E5" s="147" t="s">
        <v>74</v>
      </c>
      <c r="F5" s="150" t="s">
        <v>75</v>
      </c>
      <c r="G5" s="151" t="s">
        <v>76</v>
      </c>
      <c r="H5" s="149" t="s">
        <v>77</v>
      </c>
      <c r="I5" s="149" t="s">
        <v>77</v>
      </c>
      <c r="J5" s="149" t="s">
        <v>81</v>
      </c>
      <c r="K5" s="149" t="s">
        <v>81</v>
      </c>
      <c r="L5" s="146">
        <v>3300</v>
      </c>
      <c r="M5" s="146">
        <v>0.16</v>
      </c>
      <c r="N5" s="146">
        <f t="shared" si="0"/>
        <v>528</v>
      </c>
      <c r="O5" s="146">
        <v>0.08</v>
      </c>
      <c r="P5" s="146">
        <f t="shared" si="1"/>
        <v>264</v>
      </c>
      <c r="Q5" s="146">
        <v>3300</v>
      </c>
      <c r="R5" s="146">
        <v>0.08</v>
      </c>
      <c r="S5" s="146">
        <f t="shared" si="2"/>
        <v>264</v>
      </c>
      <c r="T5" s="146">
        <v>0.02</v>
      </c>
      <c r="U5" s="146">
        <f t="shared" si="3"/>
        <v>66</v>
      </c>
      <c r="V5" s="146">
        <v>3300</v>
      </c>
      <c r="W5" s="146">
        <v>7.0000000000000001E-3</v>
      </c>
      <c r="X5" s="146">
        <f t="shared" si="4"/>
        <v>23.1</v>
      </c>
      <c r="Y5" s="146">
        <v>3.0000000000000001E-3</v>
      </c>
      <c r="Z5" s="146">
        <f t="shared" si="5"/>
        <v>9.9</v>
      </c>
      <c r="AA5" s="146"/>
      <c r="AB5" s="146"/>
      <c r="AC5" s="146"/>
      <c r="AD5" s="146">
        <v>3300</v>
      </c>
      <c r="AE5" s="146">
        <v>2E-3</v>
      </c>
      <c r="AF5" s="146">
        <f t="shared" si="6"/>
        <v>6.6</v>
      </c>
      <c r="AG5" s="146">
        <v>3000</v>
      </c>
      <c r="AH5" s="146">
        <v>0.1</v>
      </c>
      <c r="AI5" s="146">
        <f>ROUND(AG5*AH5,2)</f>
        <v>300</v>
      </c>
      <c r="AJ5" s="146">
        <v>0.06</v>
      </c>
      <c r="AK5" s="146">
        <f>ROUND(AG5*AJ5,2)</f>
        <v>180</v>
      </c>
      <c r="AL5" s="176"/>
      <c r="AM5" s="146"/>
      <c r="AN5" s="146"/>
      <c r="AO5" s="146"/>
      <c r="AP5" s="147" t="s">
        <v>79</v>
      </c>
      <c r="AQ5" s="179">
        <v>5</v>
      </c>
      <c r="AR5" s="146"/>
      <c r="AS5" s="180">
        <f t="shared" si="7"/>
        <v>826.7</v>
      </c>
      <c r="AT5" s="180">
        <f t="shared" si="8"/>
        <v>339.9</v>
      </c>
      <c r="AU5" s="180">
        <f t="shared" si="9"/>
        <v>300</v>
      </c>
      <c r="AV5" s="180">
        <f t="shared" si="10"/>
        <v>180</v>
      </c>
      <c r="AW5" s="180">
        <f t="shared" si="11"/>
        <v>1646.6</v>
      </c>
      <c r="AX5" s="335">
        <f t="shared" si="12"/>
        <v>1166.5999999999999</v>
      </c>
      <c r="AY5" s="335"/>
      <c r="AZ5" s="335">
        <f t="shared" si="13"/>
        <v>480</v>
      </c>
      <c r="BA5" s="335"/>
      <c r="BB5" s="187">
        <v>80</v>
      </c>
      <c r="BC5" s="186">
        <f t="shared" si="14"/>
        <v>1726.6</v>
      </c>
      <c r="BD5" s="189"/>
      <c r="BE5" s="219"/>
      <c r="BF5" s="202"/>
      <c r="BG5" s="202"/>
      <c r="BH5" s="203" t="s">
        <v>79</v>
      </c>
    </row>
    <row r="6" spans="1:60" s="140" customFormat="1" ht="18" customHeight="1">
      <c r="A6" s="146">
        <v>2</v>
      </c>
      <c r="B6" s="147" t="s">
        <v>71</v>
      </c>
      <c r="C6" s="148" t="s">
        <v>82</v>
      </c>
      <c r="D6" s="149" t="s">
        <v>73</v>
      </c>
      <c r="E6" s="147" t="s">
        <v>83</v>
      </c>
      <c r="F6" s="150" t="s">
        <v>84</v>
      </c>
      <c r="G6" s="280" t="s">
        <v>85</v>
      </c>
      <c r="H6" s="149" t="s">
        <v>77</v>
      </c>
      <c r="I6" s="149" t="s">
        <v>86</v>
      </c>
      <c r="J6" s="149" t="s">
        <v>78</v>
      </c>
      <c r="K6" s="149" t="s">
        <v>86</v>
      </c>
      <c r="L6" s="146">
        <v>3803</v>
      </c>
      <c r="M6" s="146">
        <v>0.14000000000000001</v>
      </c>
      <c r="N6" s="146">
        <f t="shared" si="0"/>
        <v>532.41999999999996</v>
      </c>
      <c r="O6" s="146">
        <v>0.08</v>
      </c>
      <c r="P6" s="146">
        <f t="shared" si="1"/>
        <v>304.24</v>
      </c>
      <c r="Q6" s="146">
        <v>6175</v>
      </c>
      <c r="R6" s="146">
        <v>5.5E-2</v>
      </c>
      <c r="S6" s="146">
        <f t="shared" si="2"/>
        <v>339.63</v>
      </c>
      <c r="T6" s="146">
        <v>0.02</v>
      </c>
      <c r="U6" s="146">
        <f t="shared" si="3"/>
        <v>123.5</v>
      </c>
      <c r="V6" s="146">
        <v>3803</v>
      </c>
      <c r="W6" s="146">
        <v>3.2000000000000002E-3</v>
      </c>
      <c r="X6" s="146">
        <f t="shared" si="4"/>
        <v>12.17</v>
      </c>
      <c r="Y6" s="146">
        <v>2E-3</v>
      </c>
      <c r="Z6" s="146">
        <f t="shared" si="5"/>
        <v>7.61</v>
      </c>
      <c r="AA6" s="146">
        <v>6175</v>
      </c>
      <c r="AB6" s="146">
        <v>8.5000000000000006E-3</v>
      </c>
      <c r="AC6" s="146">
        <f t="shared" ref="AC6:AC8" si="15">ROUND(AA6*AB6,2)</f>
        <v>52.49</v>
      </c>
      <c r="AD6" s="146">
        <v>3803</v>
      </c>
      <c r="AE6" s="146">
        <v>1.6000000000000001E-3</v>
      </c>
      <c r="AF6" s="146">
        <f t="shared" si="6"/>
        <v>6.08</v>
      </c>
      <c r="AG6" s="146"/>
      <c r="AH6" s="146"/>
      <c r="AI6" s="146"/>
      <c r="AJ6" s="146"/>
      <c r="AK6" s="146"/>
      <c r="AL6" s="176"/>
      <c r="AM6" s="146"/>
      <c r="AN6" s="146"/>
      <c r="AO6" s="146"/>
      <c r="AP6" s="147"/>
      <c r="AQ6" s="179">
        <v>26.76</v>
      </c>
      <c r="AR6" s="146"/>
      <c r="AS6" s="180">
        <f t="shared" si="7"/>
        <v>969.55</v>
      </c>
      <c r="AT6" s="180">
        <f t="shared" si="8"/>
        <v>435.35</v>
      </c>
      <c r="AU6" s="180">
        <f t="shared" si="9"/>
        <v>0</v>
      </c>
      <c r="AV6" s="180">
        <f t="shared" si="10"/>
        <v>0</v>
      </c>
      <c r="AW6" s="180">
        <f t="shared" si="11"/>
        <v>1404.9</v>
      </c>
      <c r="AX6" s="335">
        <f t="shared" si="12"/>
        <v>1404.9</v>
      </c>
      <c r="AY6" s="335"/>
      <c r="AZ6" s="335">
        <f t="shared" si="13"/>
        <v>0</v>
      </c>
      <c r="BA6" s="335"/>
      <c r="BB6" s="187">
        <v>80</v>
      </c>
      <c r="BC6" s="186">
        <f t="shared" si="14"/>
        <v>1484.9</v>
      </c>
      <c r="BD6" s="189"/>
      <c r="BE6" s="204"/>
      <c r="BF6" s="204"/>
      <c r="BG6" s="204"/>
      <c r="BH6" s="204"/>
    </row>
    <row r="7" spans="1:60" s="140" customFormat="1" ht="18" customHeight="1">
      <c r="A7" s="146"/>
      <c r="B7" s="147" t="s">
        <v>71</v>
      </c>
      <c r="C7" s="148" t="s">
        <v>82</v>
      </c>
      <c r="D7" s="149" t="s">
        <v>73</v>
      </c>
      <c r="E7" s="147" t="s">
        <v>83</v>
      </c>
      <c r="F7" s="150" t="s">
        <v>84</v>
      </c>
      <c r="G7" s="280" t="s">
        <v>85</v>
      </c>
      <c r="H7" s="149" t="s">
        <v>77</v>
      </c>
      <c r="I7" s="149" t="s">
        <v>86</v>
      </c>
      <c r="J7" s="149" t="s">
        <v>80</v>
      </c>
      <c r="K7" s="149" t="s">
        <v>86</v>
      </c>
      <c r="L7" s="146">
        <v>3803</v>
      </c>
      <c r="M7" s="146">
        <v>0.14000000000000001</v>
      </c>
      <c r="N7" s="146">
        <f t="shared" si="0"/>
        <v>532.41999999999996</v>
      </c>
      <c r="O7" s="146">
        <v>0.08</v>
      </c>
      <c r="P7" s="146">
        <f t="shared" si="1"/>
        <v>304.24</v>
      </c>
      <c r="Q7" s="146">
        <v>6175</v>
      </c>
      <c r="R7" s="146">
        <v>5.5E-2</v>
      </c>
      <c r="S7" s="146">
        <f t="shared" si="2"/>
        <v>339.63</v>
      </c>
      <c r="T7" s="146">
        <v>0.02</v>
      </c>
      <c r="U7" s="146">
        <f t="shared" si="3"/>
        <v>123.5</v>
      </c>
      <c r="V7" s="146">
        <v>3803</v>
      </c>
      <c r="W7" s="146">
        <v>3.2000000000000002E-3</v>
      </c>
      <c r="X7" s="146">
        <f t="shared" si="4"/>
        <v>12.17</v>
      </c>
      <c r="Y7" s="146">
        <v>2E-3</v>
      </c>
      <c r="Z7" s="146">
        <f t="shared" si="5"/>
        <v>7.61</v>
      </c>
      <c r="AA7" s="146">
        <v>6175</v>
      </c>
      <c r="AB7" s="146">
        <v>8.5000000000000006E-3</v>
      </c>
      <c r="AC7" s="146">
        <f t="shared" si="15"/>
        <v>52.49</v>
      </c>
      <c r="AD7" s="146">
        <v>3803</v>
      </c>
      <c r="AE7" s="146">
        <v>1.6000000000000001E-3</v>
      </c>
      <c r="AF7" s="146">
        <f t="shared" si="6"/>
        <v>6.08</v>
      </c>
      <c r="AG7" s="146"/>
      <c r="AH7" s="146"/>
      <c r="AI7" s="146"/>
      <c r="AJ7" s="146"/>
      <c r="AK7" s="146"/>
      <c r="AL7" s="176"/>
      <c r="AM7" s="146"/>
      <c r="AN7" s="146"/>
      <c r="AO7" s="146"/>
      <c r="AP7" s="147"/>
      <c r="AQ7" s="179">
        <v>26.76</v>
      </c>
      <c r="AR7" s="146"/>
      <c r="AS7" s="180">
        <f t="shared" si="7"/>
        <v>969.55</v>
      </c>
      <c r="AT7" s="180">
        <f t="shared" si="8"/>
        <v>435.35</v>
      </c>
      <c r="AU7" s="180">
        <f t="shared" si="9"/>
        <v>0</v>
      </c>
      <c r="AV7" s="180">
        <f t="shared" si="10"/>
        <v>0</v>
      </c>
      <c r="AW7" s="180">
        <f t="shared" si="11"/>
        <v>1404.9</v>
      </c>
      <c r="AX7" s="335">
        <f t="shared" si="12"/>
        <v>1404.9</v>
      </c>
      <c r="AY7" s="335"/>
      <c r="AZ7" s="335">
        <f t="shared" si="13"/>
        <v>0</v>
      </c>
      <c r="BA7" s="335"/>
      <c r="BB7" s="187">
        <v>80</v>
      </c>
      <c r="BC7" s="186">
        <f t="shared" si="14"/>
        <v>1484.9</v>
      </c>
      <c r="BD7" s="189"/>
      <c r="BE7" s="204"/>
      <c r="BF7" s="204"/>
      <c r="BG7" s="204"/>
      <c r="BH7" s="204"/>
    </row>
    <row r="8" spans="1:60" s="140" customFormat="1" ht="18" customHeight="1">
      <c r="A8" s="146"/>
      <c r="B8" s="147" t="s">
        <v>71</v>
      </c>
      <c r="C8" s="148" t="s">
        <v>82</v>
      </c>
      <c r="D8" s="149" t="s">
        <v>73</v>
      </c>
      <c r="E8" s="147" t="s">
        <v>83</v>
      </c>
      <c r="F8" s="150" t="s">
        <v>84</v>
      </c>
      <c r="G8" s="280" t="s">
        <v>85</v>
      </c>
      <c r="H8" s="149" t="s">
        <v>77</v>
      </c>
      <c r="I8" s="149" t="s">
        <v>86</v>
      </c>
      <c r="J8" s="149" t="s">
        <v>81</v>
      </c>
      <c r="K8" s="149" t="s">
        <v>86</v>
      </c>
      <c r="L8" s="146">
        <v>3803</v>
      </c>
      <c r="M8" s="146">
        <v>0.14000000000000001</v>
      </c>
      <c r="N8" s="146">
        <f t="shared" si="0"/>
        <v>532.41999999999996</v>
      </c>
      <c r="O8" s="146">
        <v>0.08</v>
      </c>
      <c r="P8" s="146">
        <f t="shared" si="1"/>
        <v>304.24</v>
      </c>
      <c r="Q8" s="146">
        <v>6175</v>
      </c>
      <c r="R8" s="146">
        <v>5.5E-2</v>
      </c>
      <c r="S8" s="146">
        <f t="shared" si="2"/>
        <v>339.63</v>
      </c>
      <c r="T8" s="146">
        <v>0.02</v>
      </c>
      <c r="U8" s="146">
        <f t="shared" si="3"/>
        <v>123.5</v>
      </c>
      <c r="V8" s="146">
        <v>3803</v>
      </c>
      <c r="W8" s="146">
        <v>3.2000000000000002E-3</v>
      </c>
      <c r="X8" s="146">
        <f t="shared" si="4"/>
        <v>12.17</v>
      </c>
      <c r="Y8" s="146">
        <v>2E-3</v>
      </c>
      <c r="Z8" s="146">
        <f t="shared" si="5"/>
        <v>7.61</v>
      </c>
      <c r="AA8" s="146">
        <v>6175</v>
      </c>
      <c r="AB8" s="146">
        <v>8.5000000000000006E-3</v>
      </c>
      <c r="AC8" s="146">
        <f t="shared" si="15"/>
        <v>52.49</v>
      </c>
      <c r="AD8" s="146">
        <v>3803</v>
      </c>
      <c r="AE8" s="146">
        <v>1.6000000000000001E-3</v>
      </c>
      <c r="AF8" s="146">
        <f t="shared" si="6"/>
        <v>6.08</v>
      </c>
      <c r="AG8" s="146"/>
      <c r="AH8" s="146"/>
      <c r="AI8" s="146"/>
      <c r="AJ8" s="146"/>
      <c r="AK8" s="146"/>
      <c r="AL8" s="176"/>
      <c r="AM8" s="146"/>
      <c r="AN8" s="146"/>
      <c r="AO8" s="146"/>
      <c r="AP8" s="147"/>
      <c r="AQ8" s="179">
        <v>26.76</v>
      </c>
      <c r="AR8" s="146"/>
      <c r="AS8" s="180">
        <f t="shared" si="7"/>
        <v>969.55</v>
      </c>
      <c r="AT8" s="180">
        <f t="shared" si="8"/>
        <v>435.35</v>
      </c>
      <c r="AU8" s="180">
        <f t="shared" si="9"/>
        <v>0</v>
      </c>
      <c r="AV8" s="180">
        <f t="shared" si="10"/>
        <v>0</v>
      </c>
      <c r="AW8" s="180">
        <f t="shared" si="11"/>
        <v>1404.9</v>
      </c>
      <c r="AX8" s="335">
        <f t="shared" si="12"/>
        <v>1404.9</v>
      </c>
      <c r="AY8" s="335"/>
      <c r="AZ8" s="335">
        <f t="shared" si="13"/>
        <v>0</v>
      </c>
      <c r="BA8" s="335"/>
      <c r="BB8" s="187">
        <v>80</v>
      </c>
      <c r="BC8" s="186">
        <f t="shared" si="14"/>
        <v>1484.9</v>
      </c>
      <c r="BD8" s="189"/>
      <c r="BE8" s="204"/>
      <c r="BF8" s="204"/>
      <c r="BG8" s="204"/>
      <c r="BH8" s="204"/>
    </row>
    <row r="9" spans="1:60" s="205" customFormat="1" ht="18" customHeight="1">
      <c r="A9" s="206" t="s">
        <v>87</v>
      </c>
      <c r="B9" s="207" t="s">
        <v>71</v>
      </c>
      <c r="C9" s="208" t="s">
        <v>82</v>
      </c>
      <c r="D9" s="209" t="s">
        <v>73</v>
      </c>
      <c r="E9" s="207" t="s">
        <v>83</v>
      </c>
      <c r="F9" s="210" t="s">
        <v>84</v>
      </c>
      <c r="G9" s="281" t="s">
        <v>85</v>
      </c>
      <c r="H9" s="209" t="s">
        <v>77</v>
      </c>
      <c r="I9" s="209" t="s">
        <v>86</v>
      </c>
      <c r="J9" s="209" t="s">
        <v>88</v>
      </c>
      <c r="K9" s="209" t="s">
        <v>86</v>
      </c>
      <c r="L9" s="206"/>
      <c r="M9" s="206"/>
      <c r="N9" s="206"/>
      <c r="O9" s="206"/>
      <c r="P9" s="206"/>
      <c r="Q9" s="206"/>
      <c r="R9" s="206"/>
      <c r="S9" s="206"/>
      <c r="T9" s="206"/>
      <c r="U9" s="206"/>
      <c r="V9" s="206"/>
      <c r="W9" s="206"/>
      <c r="X9" s="206"/>
      <c r="Y9" s="206"/>
      <c r="Z9" s="206"/>
      <c r="AA9" s="206"/>
      <c r="AB9" s="206"/>
      <c r="AC9" s="206"/>
      <c r="AD9" s="212">
        <f t="shared" ref="AD9:AD11" si="16">3803-3000</f>
        <v>803</v>
      </c>
      <c r="AE9" s="212">
        <v>1.6000000000000001E-3</v>
      </c>
      <c r="AF9" s="212">
        <f t="shared" si="6"/>
        <v>1.28</v>
      </c>
      <c r="AG9" s="206"/>
      <c r="AH9" s="206"/>
      <c r="AI9" s="206"/>
      <c r="AJ9" s="206"/>
      <c r="AK9" s="206"/>
      <c r="AL9" s="213"/>
      <c r="AM9" s="206"/>
      <c r="AN9" s="206"/>
      <c r="AO9" s="206"/>
      <c r="AP9" s="207"/>
      <c r="AQ9" s="214"/>
      <c r="AR9" s="206"/>
      <c r="AS9" s="215">
        <f t="shared" si="7"/>
        <v>1.28</v>
      </c>
      <c r="AT9" s="215">
        <f t="shared" si="8"/>
        <v>0</v>
      </c>
      <c r="AU9" s="215">
        <f t="shared" si="9"/>
        <v>0</v>
      </c>
      <c r="AV9" s="215">
        <f t="shared" si="10"/>
        <v>0</v>
      </c>
      <c r="AW9" s="215">
        <f t="shared" si="11"/>
        <v>1.28</v>
      </c>
      <c r="AX9" s="336">
        <f t="shared" si="12"/>
        <v>1.28</v>
      </c>
      <c r="AY9" s="336"/>
      <c r="AZ9" s="336"/>
      <c r="BA9" s="336"/>
      <c r="BB9" s="217"/>
      <c r="BC9" s="216">
        <f t="shared" si="14"/>
        <v>1.28</v>
      </c>
      <c r="BD9" s="218" t="s">
        <v>89</v>
      </c>
      <c r="BE9" s="220"/>
      <c r="BF9" s="220"/>
      <c r="BG9" s="220"/>
      <c r="BH9" s="220"/>
    </row>
    <row r="10" spans="1:60" s="205" customFormat="1" ht="18" customHeight="1">
      <c r="A10" s="206" t="s">
        <v>87</v>
      </c>
      <c r="B10" s="207" t="s">
        <v>71</v>
      </c>
      <c r="C10" s="208" t="s">
        <v>82</v>
      </c>
      <c r="D10" s="209" t="s">
        <v>73</v>
      </c>
      <c r="E10" s="207" t="s">
        <v>83</v>
      </c>
      <c r="F10" s="210" t="s">
        <v>84</v>
      </c>
      <c r="G10" s="281" t="s">
        <v>85</v>
      </c>
      <c r="H10" s="209" t="s">
        <v>77</v>
      </c>
      <c r="I10" s="209" t="s">
        <v>86</v>
      </c>
      <c r="J10" s="209" t="s">
        <v>90</v>
      </c>
      <c r="K10" s="209" t="s">
        <v>86</v>
      </c>
      <c r="L10" s="206"/>
      <c r="M10" s="206"/>
      <c r="N10" s="206"/>
      <c r="O10" s="206"/>
      <c r="P10" s="206"/>
      <c r="Q10" s="206"/>
      <c r="R10" s="206"/>
      <c r="S10" s="206"/>
      <c r="T10" s="206"/>
      <c r="U10" s="206"/>
      <c r="V10" s="206"/>
      <c r="W10" s="206"/>
      <c r="X10" s="206"/>
      <c r="Y10" s="206"/>
      <c r="Z10" s="206"/>
      <c r="AA10" s="206"/>
      <c r="AB10" s="206"/>
      <c r="AC10" s="206"/>
      <c r="AD10" s="212">
        <f t="shared" si="16"/>
        <v>803</v>
      </c>
      <c r="AE10" s="212">
        <v>1.6000000000000001E-3</v>
      </c>
      <c r="AF10" s="212">
        <f t="shared" si="6"/>
        <v>1.28</v>
      </c>
      <c r="AG10" s="206"/>
      <c r="AH10" s="206"/>
      <c r="AI10" s="206"/>
      <c r="AJ10" s="206"/>
      <c r="AK10" s="206"/>
      <c r="AL10" s="213"/>
      <c r="AM10" s="206"/>
      <c r="AN10" s="206"/>
      <c r="AO10" s="206"/>
      <c r="AP10" s="207"/>
      <c r="AQ10" s="214"/>
      <c r="AR10" s="206"/>
      <c r="AS10" s="215">
        <f t="shared" si="7"/>
        <v>1.28</v>
      </c>
      <c r="AT10" s="215">
        <f t="shared" si="8"/>
        <v>0</v>
      </c>
      <c r="AU10" s="215">
        <f t="shared" si="9"/>
        <v>0</v>
      </c>
      <c r="AV10" s="215">
        <f t="shared" si="10"/>
        <v>0</v>
      </c>
      <c r="AW10" s="215">
        <f t="shared" si="11"/>
        <v>1.28</v>
      </c>
      <c r="AX10" s="336">
        <f t="shared" si="12"/>
        <v>1.28</v>
      </c>
      <c r="AY10" s="336"/>
      <c r="AZ10" s="336"/>
      <c r="BA10" s="336"/>
      <c r="BB10" s="217"/>
      <c r="BC10" s="216">
        <f t="shared" si="14"/>
        <v>1.28</v>
      </c>
      <c r="BD10" s="218" t="s">
        <v>89</v>
      </c>
      <c r="BE10" s="220"/>
      <c r="BF10" s="220"/>
      <c r="BG10" s="220"/>
      <c r="BH10" s="220"/>
    </row>
    <row r="11" spans="1:60" s="205" customFormat="1" ht="18" customHeight="1">
      <c r="A11" s="206" t="s">
        <v>87</v>
      </c>
      <c r="B11" s="207" t="s">
        <v>71</v>
      </c>
      <c r="C11" s="208" t="s">
        <v>82</v>
      </c>
      <c r="D11" s="209" t="s">
        <v>73</v>
      </c>
      <c r="E11" s="207" t="s">
        <v>83</v>
      </c>
      <c r="F11" s="210" t="s">
        <v>84</v>
      </c>
      <c r="G11" s="281" t="s">
        <v>85</v>
      </c>
      <c r="H11" s="209" t="s">
        <v>77</v>
      </c>
      <c r="I11" s="209" t="s">
        <v>86</v>
      </c>
      <c r="J11" s="209" t="s">
        <v>91</v>
      </c>
      <c r="K11" s="209" t="s">
        <v>86</v>
      </c>
      <c r="L11" s="206"/>
      <c r="M11" s="206"/>
      <c r="N11" s="206"/>
      <c r="O11" s="206"/>
      <c r="P11" s="206"/>
      <c r="Q11" s="206"/>
      <c r="R11" s="206"/>
      <c r="S11" s="206"/>
      <c r="T11" s="206"/>
      <c r="U11" s="206"/>
      <c r="V11" s="206"/>
      <c r="W11" s="206"/>
      <c r="X11" s="206"/>
      <c r="Y11" s="206"/>
      <c r="Z11" s="206"/>
      <c r="AA11" s="206"/>
      <c r="AB11" s="206"/>
      <c r="AC11" s="206"/>
      <c r="AD11" s="212">
        <f t="shared" si="16"/>
        <v>803</v>
      </c>
      <c r="AE11" s="212">
        <v>1.6000000000000001E-3</v>
      </c>
      <c r="AF11" s="212">
        <f t="shared" si="6"/>
        <v>1.28</v>
      </c>
      <c r="AG11" s="206"/>
      <c r="AH11" s="206"/>
      <c r="AI11" s="206"/>
      <c r="AJ11" s="206"/>
      <c r="AK11" s="206"/>
      <c r="AL11" s="213"/>
      <c r="AM11" s="206"/>
      <c r="AN11" s="206"/>
      <c r="AO11" s="206"/>
      <c r="AP11" s="207"/>
      <c r="AQ11" s="214"/>
      <c r="AR11" s="206"/>
      <c r="AS11" s="215">
        <f t="shared" si="7"/>
        <v>1.28</v>
      </c>
      <c r="AT11" s="215">
        <f t="shared" si="8"/>
        <v>0</v>
      </c>
      <c r="AU11" s="215">
        <f t="shared" si="9"/>
        <v>0</v>
      </c>
      <c r="AV11" s="215">
        <f t="shared" si="10"/>
        <v>0</v>
      </c>
      <c r="AW11" s="215">
        <f t="shared" si="11"/>
        <v>1.28</v>
      </c>
      <c r="AX11" s="336">
        <f t="shared" si="12"/>
        <v>1.28</v>
      </c>
      <c r="AY11" s="336"/>
      <c r="AZ11" s="336"/>
      <c r="BA11" s="336"/>
      <c r="BB11" s="217"/>
      <c r="BC11" s="216">
        <f t="shared" si="14"/>
        <v>1.28</v>
      </c>
      <c r="BD11" s="218" t="s">
        <v>89</v>
      </c>
      <c r="BE11" s="220"/>
      <c r="BF11" s="220"/>
      <c r="BG11" s="220"/>
      <c r="BH11" s="220"/>
    </row>
    <row r="12" spans="1:60" s="140" customFormat="1" ht="18" customHeight="1">
      <c r="A12" s="146">
        <v>3</v>
      </c>
      <c r="B12" s="147" t="s">
        <v>71</v>
      </c>
      <c r="C12" s="148" t="s">
        <v>92</v>
      </c>
      <c r="D12" s="149" t="s">
        <v>73</v>
      </c>
      <c r="E12" s="147" t="s">
        <v>83</v>
      </c>
      <c r="F12" s="150" t="s">
        <v>93</v>
      </c>
      <c r="G12" s="151" t="s">
        <v>94</v>
      </c>
      <c r="H12" s="149" t="s">
        <v>95</v>
      </c>
      <c r="I12" s="149" t="s">
        <v>95</v>
      </c>
      <c r="J12" s="149" t="s">
        <v>80</v>
      </c>
      <c r="K12" s="149" t="s">
        <v>80</v>
      </c>
      <c r="L12" s="146">
        <v>3053.05</v>
      </c>
      <c r="M12" s="146">
        <v>0.16</v>
      </c>
      <c r="N12" s="146">
        <f t="shared" ref="N12:N15" si="17">ROUND(L12*M12,2)</f>
        <v>488.49</v>
      </c>
      <c r="O12" s="146">
        <v>0.08</v>
      </c>
      <c r="P12" s="146">
        <f t="shared" ref="P12:P15" si="18">ROUND(L12*O12,2)</f>
        <v>244.24</v>
      </c>
      <c r="Q12" s="146">
        <v>3053.05</v>
      </c>
      <c r="R12" s="146">
        <v>0.06</v>
      </c>
      <c r="S12" s="146">
        <f t="shared" ref="S12:S15" si="19">ROUND(Q12*R12,2)</f>
        <v>183.18</v>
      </c>
      <c r="T12" s="146">
        <v>0.02</v>
      </c>
      <c r="U12" s="146">
        <f t="shared" ref="U12:U15" si="20">ROUND(Q12*T12,2)</f>
        <v>61.06</v>
      </c>
      <c r="V12" s="146">
        <v>3053.05</v>
      </c>
      <c r="W12" s="146">
        <v>7.0000000000000001E-3</v>
      </c>
      <c r="X12" s="146">
        <f t="shared" ref="X12:X15" si="21">ROUND(V12*W12,2)</f>
        <v>21.37</v>
      </c>
      <c r="Y12" s="146">
        <v>3.0000000000000001E-3</v>
      </c>
      <c r="Z12" s="146">
        <f t="shared" ref="Z12:Z15" si="22">ROUND(V12*Y12,2)</f>
        <v>9.16</v>
      </c>
      <c r="AA12" s="146">
        <v>3053.05</v>
      </c>
      <c r="AB12" s="146">
        <v>7.0000000000000001E-3</v>
      </c>
      <c r="AC12" s="146">
        <f t="shared" ref="AC12:AC15" si="23">ROUND(AA12*AB12,2)</f>
        <v>21.37</v>
      </c>
      <c r="AD12" s="146">
        <v>3053.05</v>
      </c>
      <c r="AE12" s="146">
        <v>2E-3</v>
      </c>
      <c r="AF12" s="146">
        <f t="shared" si="6"/>
        <v>6.11</v>
      </c>
      <c r="AG12" s="146" t="s">
        <v>96</v>
      </c>
      <c r="AH12" s="146">
        <v>0.05</v>
      </c>
      <c r="AI12" s="146">
        <f t="shared" ref="AI12:AI15" si="24">ROUND(AG12*AH12,2)</f>
        <v>79</v>
      </c>
      <c r="AJ12" s="146">
        <v>0.05</v>
      </c>
      <c r="AK12" s="146">
        <f t="shared" ref="AK12:AK15" si="25">ROUND(AG12*AJ12,2)</f>
        <v>79</v>
      </c>
      <c r="AL12" s="176"/>
      <c r="AM12" s="146"/>
      <c r="AN12" s="146"/>
      <c r="AO12" s="146"/>
      <c r="AP12" s="147"/>
      <c r="AQ12" s="179"/>
      <c r="AR12" s="146">
        <v>96</v>
      </c>
      <c r="AS12" s="180">
        <f t="shared" si="7"/>
        <v>720.52</v>
      </c>
      <c r="AT12" s="180">
        <f t="shared" si="8"/>
        <v>314.45999999999998</v>
      </c>
      <c r="AU12" s="180">
        <f t="shared" si="9"/>
        <v>79</v>
      </c>
      <c r="AV12" s="180">
        <f t="shared" si="10"/>
        <v>79</v>
      </c>
      <c r="AW12" s="180">
        <f t="shared" si="11"/>
        <v>1192.98</v>
      </c>
      <c r="AX12" s="335">
        <f t="shared" si="12"/>
        <v>1034.98</v>
      </c>
      <c r="AY12" s="335"/>
      <c r="AZ12" s="335">
        <f t="shared" ref="AZ12:AZ15" si="26">AU12+AV12</f>
        <v>158</v>
      </c>
      <c r="BA12" s="335"/>
      <c r="BB12" s="187">
        <v>80</v>
      </c>
      <c r="BC12" s="186">
        <f t="shared" si="14"/>
        <v>1272.98</v>
      </c>
      <c r="BD12" s="189"/>
      <c r="BE12" s="204"/>
      <c r="BF12" s="204"/>
      <c r="BG12" s="204"/>
      <c r="BH12" s="204"/>
    </row>
    <row r="13" spans="1:60" s="140" customFormat="1" ht="18" customHeight="1">
      <c r="A13" s="146"/>
      <c r="B13" s="147" t="s">
        <v>71</v>
      </c>
      <c r="C13" s="148" t="s">
        <v>92</v>
      </c>
      <c r="D13" s="149" t="s">
        <v>73</v>
      </c>
      <c r="E13" s="147" t="s">
        <v>83</v>
      </c>
      <c r="F13" s="150" t="s">
        <v>93</v>
      </c>
      <c r="G13" s="151" t="s">
        <v>94</v>
      </c>
      <c r="H13" s="149" t="s">
        <v>95</v>
      </c>
      <c r="I13" s="149" t="s">
        <v>95</v>
      </c>
      <c r="J13" s="149" t="s">
        <v>81</v>
      </c>
      <c r="K13" s="149" t="s">
        <v>81</v>
      </c>
      <c r="L13" s="146">
        <v>3053.05</v>
      </c>
      <c r="M13" s="146">
        <v>0.16</v>
      </c>
      <c r="N13" s="146">
        <f t="shared" si="17"/>
        <v>488.49</v>
      </c>
      <c r="O13" s="146">
        <v>0.08</v>
      </c>
      <c r="P13" s="146">
        <f t="shared" si="18"/>
        <v>244.24</v>
      </c>
      <c r="Q13" s="146">
        <v>3053.05</v>
      </c>
      <c r="R13" s="146">
        <v>0.06</v>
      </c>
      <c r="S13" s="146">
        <f t="shared" si="19"/>
        <v>183.18</v>
      </c>
      <c r="T13" s="146">
        <v>0.02</v>
      </c>
      <c r="U13" s="146">
        <f t="shared" si="20"/>
        <v>61.06</v>
      </c>
      <c r="V13" s="146">
        <v>3053.05</v>
      </c>
      <c r="W13" s="146">
        <v>7.0000000000000001E-3</v>
      </c>
      <c r="X13" s="146">
        <f t="shared" si="21"/>
        <v>21.37</v>
      </c>
      <c r="Y13" s="146">
        <v>3.0000000000000001E-3</v>
      </c>
      <c r="Z13" s="146">
        <f t="shared" si="22"/>
        <v>9.16</v>
      </c>
      <c r="AA13" s="146">
        <v>3053.05</v>
      </c>
      <c r="AB13" s="146">
        <v>7.0000000000000001E-3</v>
      </c>
      <c r="AC13" s="146">
        <f t="shared" si="23"/>
        <v>21.37</v>
      </c>
      <c r="AD13" s="146">
        <v>3053.05</v>
      </c>
      <c r="AE13" s="146">
        <v>2E-3</v>
      </c>
      <c r="AF13" s="146">
        <f t="shared" si="6"/>
        <v>6.11</v>
      </c>
      <c r="AG13" s="146" t="s">
        <v>96</v>
      </c>
      <c r="AH13" s="146">
        <v>0.05</v>
      </c>
      <c r="AI13" s="146">
        <f t="shared" si="24"/>
        <v>79</v>
      </c>
      <c r="AJ13" s="146">
        <v>0.05</v>
      </c>
      <c r="AK13" s="146">
        <f t="shared" si="25"/>
        <v>79</v>
      </c>
      <c r="AL13" s="176"/>
      <c r="AM13" s="146"/>
      <c r="AN13" s="146"/>
      <c r="AO13" s="146"/>
      <c r="AP13" s="147"/>
      <c r="AQ13" s="179"/>
      <c r="AR13" s="179"/>
      <c r="AS13" s="180">
        <f t="shared" si="7"/>
        <v>720.52</v>
      </c>
      <c r="AT13" s="180">
        <f t="shared" si="8"/>
        <v>314.45999999999998</v>
      </c>
      <c r="AU13" s="180">
        <f t="shared" si="9"/>
        <v>79</v>
      </c>
      <c r="AV13" s="180">
        <f t="shared" si="10"/>
        <v>79</v>
      </c>
      <c r="AW13" s="180">
        <f t="shared" si="11"/>
        <v>1192.98</v>
      </c>
      <c r="AX13" s="335">
        <f t="shared" si="12"/>
        <v>1034.98</v>
      </c>
      <c r="AY13" s="335"/>
      <c r="AZ13" s="335">
        <f t="shared" si="26"/>
        <v>158</v>
      </c>
      <c r="BA13" s="335"/>
      <c r="BB13" s="187">
        <v>80</v>
      </c>
      <c r="BC13" s="186">
        <f t="shared" si="14"/>
        <v>1272.98</v>
      </c>
      <c r="BD13" s="189"/>
      <c r="BE13" s="204"/>
      <c r="BF13" s="204"/>
      <c r="BG13" s="204"/>
      <c r="BH13" s="204"/>
    </row>
    <row r="14" spans="1:60" s="140" customFormat="1" ht="18" customHeight="1">
      <c r="A14" s="146"/>
      <c r="B14" s="147" t="s">
        <v>71</v>
      </c>
      <c r="C14" s="148" t="s">
        <v>92</v>
      </c>
      <c r="D14" s="149" t="s">
        <v>73</v>
      </c>
      <c r="E14" s="147" t="s">
        <v>83</v>
      </c>
      <c r="F14" s="150" t="s">
        <v>93</v>
      </c>
      <c r="G14" s="151" t="s">
        <v>94</v>
      </c>
      <c r="H14" s="149" t="s">
        <v>95</v>
      </c>
      <c r="I14" s="149" t="s">
        <v>95</v>
      </c>
      <c r="J14" s="149" t="s">
        <v>97</v>
      </c>
      <c r="K14" s="149" t="s">
        <v>97</v>
      </c>
      <c r="L14" s="146">
        <v>3053.05</v>
      </c>
      <c r="M14" s="146">
        <v>0.16</v>
      </c>
      <c r="N14" s="146">
        <f t="shared" si="17"/>
        <v>488.49</v>
      </c>
      <c r="O14" s="146">
        <v>0.08</v>
      </c>
      <c r="P14" s="146">
        <f t="shared" si="18"/>
        <v>244.24</v>
      </c>
      <c r="Q14" s="146">
        <v>3053.05</v>
      </c>
      <c r="R14" s="146">
        <v>0.06</v>
      </c>
      <c r="S14" s="146">
        <f t="shared" si="19"/>
        <v>183.18</v>
      </c>
      <c r="T14" s="146">
        <v>0.02</v>
      </c>
      <c r="U14" s="146">
        <f t="shared" si="20"/>
        <v>61.06</v>
      </c>
      <c r="V14" s="146">
        <v>3053.05</v>
      </c>
      <c r="W14" s="146">
        <v>7.0000000000000001E-3</v>
      </c>
      <c r="X14" s="146">
        <f t="shared" si="21"/>
        <v>21.37</v>
      </c>
      <c r="Y14" s="146">
        <v>3.0000000000000001E-3</v>
      </c>
      <c r="Z14" s="146">
        <f t="shared" si="22"/>
        <v>9.16</v>
      </c>
      <c r="AA14" s="146">
        <v>3053.05</v>
      </c>
      <c r="AB14" s="146">
        <v>7.0000000000000001E-3</v>
      </c>
      <c r="AC14" s="146">
        <f t="shared" si="23"/>
        <v>21.37</v>
      </c>
      <c r="AD14" s="146">
        <v>3053.05</v>
      </c>
      <c r="AE14" s="146">
        <v>2E-3</v>
      </c>
      <c r="AF14" s="146">
        <f t="shared" si="6"/>
        <v>6.11</v>
      </c>
      <c r="AG14" s="146" t="s">
        <v>96</v>
      </c>
      <c r="AH14" s="146">
        <v>0.05</v>
      </c>
      <c r="AI14" s="146">
        <f t="shared" si="24"/>
        <v>79</v>
      </c>
      <c r="AJ14" s="146">
        <v>0.05</v>
      </c>
      <c r="AK14" s="146">
        <f t="shared" si="25"/>
        <v>79</v>
      </c>
      <c r="AL14" s="176"/>
      <c r="AM14" s="146"/>
      <c r="AN14" s="146"/>
      <c r="AO14" s="146"/>
      <c r="AP14" s="147"/>
      <c r="AQ14" s="179"/>
      <c r="AR14" s="179"/>
      <c r="AS14" s="180">
        <f t="shared" si="7"/>
        <v>720.52</v>
      </c>
      <c r="AT14" s="180">
        <f t="shared" si="8"/>
        <v>314.45999999999998</v>
      </c>
      <c r="AU14" s="180">
        <f t="shared" si="9"/>
        <v>79</v>
      </c>
      <c r="AV14" s="180">
        <f t="shared" si="10"/>
        <v>79</v>
      </c>
      <c r="AW14" s="180">
        <f t="shared" si="11"/>
        <v>1192.98</v>
      </c>
      <c r="AX14" s="335">
        <f t="shared" si="12"/>
        <v>1034.98</v>
      </c>
      <c r="AY14" s="335"/>
      <c r="AZ14" s="335">
        <f t="shared" si="26"/>
        <v>158</v>
      </c>
      <c r="BA14" s="335"/>
      <c r="BB14" s="187">
        <v>80</v>
      </c>
      <c r="BC14" s="186">
        <f t="shared" si="14"/>
        <v>1272.98</v>
      </c>
      <c r="BD14" s="189"/>
      <c r="BE14" s="204"/>
      <c r="BF14" s="204"/>
      <c r="BG14" s="204"/>
      <c r="BH14" s="204"/>
    </row>
    <row r="15" spans="1:60" s="205" customFormat="1" ht="18" customHeight="1">
      <c r="A15" s="206" t="s">
        <v>87</v>
      </c>
      <c r="B15" s="207" t="s">
        <v>71</v>
      </c>
      <c r="C15" s="208" t="s">
        <v>92</v>
      </c>
      <c r="D15" s="209" t="s">
        <v>73</v>
      </c>
      <c r="E15" s="207" t="s">
        <v>83</v>
      </c>
      <c r="F15" s="210" t="s">
        <v>93</v>
      </c>
      <c r="G15" s="211" t="s">
        <v>94</v>
      </c>
      <c r="H15" s="209" t="s">
        <v>95</v>
      </c>
      <c r="I15" s="209" t="s">
        <v>95</v>
      </c>
      <c r="J15" s="209" t="s">
        <v>95</v>
      </c>
      <c r="K15" s="209" t="s">
        <v>95</v>
      </c>
      <c r="L15" s="206">
        <v>3053.05</v>
      </c>
      <c r="M15" s="206">
        <v>0.16</v>
      </c>
      <c r="N15" s="206">
        <f t="shared" si="17"/>
        <v>488.49</v>
      </c>
      <c r="O15" s="206">
        <v>0.08</v>
      </c>
      <c r="P15" s="206">
        <f t="shared" si="18"/>
        <v>244.24</v>
      </c>
      <c r="Q15" s="206">
        <v>3053.05</v>
      </c>
      <c r="R15" s="206">
        <v>0.06</v>
      </c>
      <c r="S15" s="206">
        <f t="shared" si="19"/>
        <v>183.18</v>
      </c>
      <c r="T15" s="206">
        <v>0.02</v>
      </c>
      <c r="U15" s="206">
        <f t="shared" si="20"/>
        <v>61.06</v>
      </c>
      <c r="V15" s="206">
        <v>3053.05</v>
      </c>
      <c r="W15" s="206">
        <v>7.0000000000000001E-3</v>
      </c>
      <c r="X15" s="206">
        <f t="shared" si="21"/>
        <v>21.37</v>
      </c>
      <c r="Y15" s="206">
        <v>3.0000000000000001E-3</v>
      </c>
      <c r="Z15" s="206">
        <f t="shared" si="22"/>
        <v>9.16</v>
      </c>
      <c r="AA15" s="206">
        <v>3053.05</v>
      </c>
      <c r="AB15" s="206">
        <v>7.0000000000000001E-3</v>
      </c>
      <c r="AC15" s="206">
        <f t="shared" si="23"/>
        <v>21.37</v>
      </c>
      <c r="AD15" s="206">
        <v>3053.05</v>
      </c>
      <c r="AE15" s="206">
        <v>2E-3</v>
      </c>
      <c r="AF15" s="206">
        <f t="shared" si="6"/>
        <v>6.11</v>
      </c>
      <c r="AG15" s="206" t="s">
        <v>96</v>
      </c>
      <c r="AH15" s="206">
        <v>0.05</v>
      </c>
      <c r="AI15" s="206">
        <f t="shared" si="24"/>
        <v>79</v>
      </c>
      <c r="AJ15" s="206">
        <v>0.05</v>
      </c>
      <c r="AK15" s="206">
        <f t="shared" si="25"/>
        <v>79</v>
      </c>
      <c r="AL15" s="213"/>
      <c r="AM15" s="206"/>
      <c r="AN15" s="206"/>
      <c r="AO15" s="206"/>
      <c r="AP15" s="207"/>
      <c r="AQ15" s="214"/>
      <c r="AR15" s="214"/>
      <c r="AS15" s="215">
        <f t="shared" si="7"/>
        <v>720.52</v>
      </c>
      <c r="AT15" s="215">
        <f t="shared" si="8"/>
        <v>314.45999999999998</v>
      </c>
      <c r="AU15" s="215">
        <f t="shared" si="9"/>
        <v>79</v>
      </c>
      <c r="AV15" s="215">
        <f t="shared" si="10"/>
        <v>79</v>
      </c>
      <c r="AW15" s="215">
        <f t="shared" si="11"/>
        <v>1192.98</v>
      </c>
      <c r="AX15" s="336">
        <f t="shared" si="12"/>
        <v>1034.98</v>
      </c>
      <c r="AY15" s="336"/>
      <c r="AZ15" s="336">
        <f t="shared" si="26"/>
        <v>158</v>
      </c>
      <c r="BA15" s="336"/>
      <c r="BB15" s="217">
        <v>80</v>
      </c>
      <c r="BC15" s="216">
        <f t="shared" si="14"/>
        <v>1272.98</v>
      </c>
      <c r="BD15" s="218"/>
      <c r="BE15" s="220"/>
      <c r="BF15" s="220"/>
      <c r="BG15" s="220"/>
      <c r="BH15" s="220"/>
    </row>
    <row r="16" spans="1:60" s="141" customFormat="1" ht="18" customHeight="1">
      <c r="A16" s="152"/>
      <c r="B16" s="153"/>
      <c r="C16" s="154"/>
      <c r="D16" s="155"/>
      <c r="E16" s="156"/>
      <c r="F16" s="157"/>
      <c r="G16" s="158"/>
      <c r="H16" s="159"/>
      <c r="I16" s="155"/>
      <c r="J16" s="159"/>
      <c r="K16" s="159"/>
      <c r="L16" s="171"/>
      <c r="M16" s="171"/>
      <c r="N16" s="172"/>
      <c r="O16" s="171"/>
      <c r="P16" s="171"/>
      <c r="Q16" s="171"/>
      <c r="R16" s="171"/>
      <c r="S16" s="171"/>
      <c r="T16" s="171"/>
      <c r="U16" s="171"/>
      <c r="V16" s="174"/>
      <c r="W16" s="174"/>
      <c r="X16" s="175"/>
      <c r="Y16" s="174"/>
      <c r="Z16" s="171"/>
      <c r="AA16" s="171"/>
      <c r="AB16" s="171"/>
      <c r="AC16" s="171"/>
      <c r="AD16" s="171"/>
      <c r="AE16" s="171"/>
      <c r="AF16" s="172"/>
      <c r="AG16" s="171"/>
      <c r="AH16" s="171"/>
      <c r="AI16" s="171"/>
      <c r="AJ16" s="171"/>
      <c r="AK16" s="171"/>
      <c r="AL16" s="177"/>
      <c r="AM16" s="171"/>
      <c r="AN16" s="171"/>
      <c r="AO16" s="171"/>
      <c r="AP16" s="181"/>
      <c r="AQ16" s="182"/>
      <c r="AR16" s="171"/>
      <c r="AS16" s="183"/>
      <c r="AT16" s="183"/>
      <c r="AU16" s="183"/>
      <c r="AV16" s="183"/>
      <c r="AW16" s="183"/>
      <c r="AX16" s="191"/>
      <c r="AY16" s="192"/>
      <c r="AZ16" s="191"/>
      <c r="BA16" s="192"/>
      <c r="BB16" s="193"/>
      <c r="BC16" s="191"/>
      <c r="BD16" s="195"/>
      <c r="BE16" s="139"/>
      <c r="BF16" s="139"/>
      <c r="BG16" s="139"/>
      <c r="BH16" s="139"/>
    </row>
    <row r="17" spans="1:56" ht="14.25">
      <c r="A17" s="160" t="s">
        <v>98</v>
      </c>
      <c r="B17" s="161"/>
      <c r="C17" s="162"/>
      <c r="D17" s="162"/>
      <c r="E17" s="163"/>
      <c r="F17" s="162"/>
      <c r="G17" s="162"/>
      <c r="H17" s="162"/>
      <c r="I17" s="162"/>
      <c r="J17" s="162"/>
      <c r="K17" s="162"/>
      <c r="L17" s="163">
        <f t="shared" ref="L17:BC17" si="27">SUM(L3:L15)</f>
        <v>33521.199999999997</v>
      </c>
      <c r="M17" s="163">
        <f t="shared" si="27"/>
        <v>1.54</v>
      </c>
      <c r="N17" s="163">
        <f t="shared" si="27"/>
        <v>5135.22</v>
      </c>
      <c r="O17" s="163">
        <f t="shared" si="27"/>
        <v>0.8</v>
      </c>
      <c r="P17" s="163">
        <f t="shared" si="27"/>
        <v>2681.68</v>
      </c>
      <c r="Q17" s="163">
        <f t="shared" si="27"/>
        <v>40637.199999999997</v>
      </c>
      <c r="R17" s="163">
        <f t="shared" si="27"/>
        <v>0.64500000000000002</v>
      </c>
      <c r="S17" s="163">
        <f t="shared" si="27"/>
        <v>2543.61</v>
      </c>
      <c r="T17" s="163">
        <f t="shared" si="27"/>
        <v>0.2</v>
      </c>
      <c r="U17" s="163">
        <f t="shared" si="27"/>
        <v>812.74</v>
      </c>
      <c r="V17" s="163">
        <f t="shared" si="27"/>
        <v>33521.199999999997</v>
      </c>
      <c r="W17" s="163">
        <f t="shared" si="27"/>
        <v>5.8599999999999999E-2</v>
      </c>
      <c r="X17" s="163">
        <f t="shared" si="27"/>
        <v>191.29</v>
      </c>
      <c r="Y17" s="163">
        <f t="shared" si="27"/>
        <v>2.7E-2</v>
      </c>
      <c r="Z17" s="163">
        <f t="shared" si="27"/>
        <v>89.17</v>
      </c>
      <c r="AA17" s="163">
        <f t="shared" si="27"/>
        <v>30737.200000000001</v>
      </c>
      <c r="AB17" s="163">
        <f t="shared" si="27"/>
        <v>5.3499999999999999E-2</v>
      </c>
      <c r="AC17" s="163">
        <f t="shared" si="27"/>
        <v>242.95</v>
      </c>
      <c r="AD17" s="163">
        <f t="shared" si="27"/>
        <v>35930.199999999997</v>
      </c>
      <c r="AE17" s="163">
        <f t="shared" si="27"/>
        <v>2.3599999999999999E-2</v>
      </c>
      <c r="AF17" s="163">
        <f t="shared" si="27"/>
        <v>66.319999999999993</v>
      </c>
      <c r="AG17" s="163">
        <f t="shared" si="27"/>
        <v>9000</v>
      </c>
      <c r="AH17" s="163">
        <f t="shared" si="27"/>
        <v>0.5</v>
      </c>
      <c r="AI17" s="163">
        <f t="shared" si="27"/>
        <v>1216</v>
      </c>
      <c r="AJ17" s="163">
        <f t="shared" si="27"/>
        <v>0.38</v>
      </c>
      <c r="AK17" s="163">
        <f t="shared" si="27"/>
        <v>856</v>
      </c>
      <c r="AL17" s="163">
        <f t="shared" si="27"/>
        <v>0</v>
      </c>
      <c r="AM17" s="163">
        <f t="shared" si="27"/>
        <v>0</v>
      </c>
      <c r="AN17" s="163">
        <f t="shared" si="27"/>
        <v>0</v>
      </c>
      <c r="AO17" s="163">
        <f t="shared" si="27"/>
        <v>0</v>
      </c>
      <c r="AP17" s="163">
        <f t="shared" si="27"/>
        <v>0</v>
      </c>
      <c r="AQ17" s="163">
        <f t="shared" si="27"/>
        <v>95.28</v>
      </c>
      <c r="AR17" s="163">
        <f t="shared" si="27"/>
        <v>96</v>
      </c>
      <c r="AS17" s="163">
        <f t="shared" si="27"/>
        <v>8274.67</v>
      </c>
      <c r="AT17" s="163">
        <f t="shared" si="27"/>
        <v>3583.59</v>
      </c>
      <c r="AU17" s="163">
        <f t="shared" si="27"/>
        <v>1216</v>
      </c>
      <c r="AV17" s="163">
        <f t="shared" si="27"/>
        <v>856</v>
      </c>
      <c r="AW17" s="163">
        <f t="shared" si="27"/>
        <v>13930.26</v>
      </c>
      <c r="AX17" s="163">
        <f t="shared" si="27"/>
        <v>11858.26</v>
      </c>
      <c r="AY17" s="163">
        <f t="shared" si="27"/>
        <v>0</v>
      </c>
      <c r="AZ17" s="163">
        <f t="shared" si="27"/>
        <v>2072</v>
      </c>
      <c r="BA17" s="163">
        <f t="shared" si="27"/>
        <v>0</v>
      </c>
      <c r="BB17" s="163">
        <f t="shared" si="27"/>
        <v>800</v>
      </c>
      <c r="BC17" s="163">
        <f t="shared" si="27"/>
        <v>14730.26</v>
      </c>
      <c r="BD17" s="196"/>
    </row>
    <row r="18" spans="1:56" ht="14.25">
      <c r="A18" s="164" t="s">
        <v>58</v>
      </c>
      <c r="B18" s="165"/>
      <c r="C18" s="166"/>
      <c r="D18" s="166"/>
      <c r="E18" s="167"/>
      <c r="F18" s="167"/>
      <c r="G18" s="167"/>
      <c r="H18" s="167"/>
      <c r="I18" s="167"/>
      <c r="J18" s="167"/>
      <c r="K18" s="167"/>
      <c r="L18" s="173">
        <f t="shared" ref="L18:AX18" si="28">SUM(L17:L17)</f>
        <v>33521.199999999997</v>
      </c>
      <c r="M18" s="173">
        <f t="shared" si="28"/>
        <v>1.54</v>
      </c>
      <c r="N18" s="173">
        <f t="shared" si="28"/>
        <v>5135.22</v>
      </c>
      <c r="O18" s="173">
        <f t="shared" si="28"/>
        <v>0.8</v>
      </c>
      <c r="P18" s="173">
        <f t="shared" si="28"/>
        <v>2681.68</v>
      </c>
      <c r="Q18" s="173">
        <f t="shared" si="28"/>
        <v>40637.199999999997</v>
      </c>
      <c r="R18" s="173">
        <f t="shared" si="28"/>
        <v>0.64500000000000002</v>
      </c>
      <c r="S18" s="173">
        <f t="shared" si="28"/>
        <v>2543.61</v>
      </c>
      <c r="T18" s="173">
        <f t="shared" si="28"/>
        <v>0.2</v>
      </c>
      <c r="U18" s="173">
        <f t="shared" si="28"/>
        <v>812.74</v>
      </c>
      <c r="V18" s="173">
        <f t="shared" si="28"/>
        <v>33521.199999999997</v>
      </c>
      <c r="W18" s="173">
        <f t="shared" si="28"/>
        <v>5.8599999999999999E-2</v>
      </c>
      <c r="X18" s="173">
        <f t="shared" si="28"/>
        <v>191.29</v>
      </c>
      <c r="Y18" s="173">
        <f t="shared" si="28"/>
        <v>2.7E-2</v>
      </c>
      <c r="Z18" s="173">
        <f t="shared" si="28"/>
        <v>89.17</v>
      </c>
      <c r="AA18" s="173">
        <f t="shared" si="28"/>
        <v>30737.200000000001</v>
      </c>
      <c r="AB18" s="173">
        <f t="shared" si="28"/>
        <v>5.3499999999999999E-2</v>
      </c>
      <c r="AC18" s="173">
        <f t="shared" si="28"/>
        <v>242.95</v>
      </c>
      <c r="AD18" s="173">
        <f t="shared" si="28"/>
        <v>35930.199999999997</v>
      </c>
      <c r="AE18" s="173">
        <f t="shared" si="28"/>
        <v>2.3599999999999999E-2</v>
      </c>
      <c r="AF18" s="173">
        <f t="shared" si="28"/>
        <v>66.319999999999993</v>
      </c>
      <c r="AG18" s="173">
        <f t="shared" si="28"/>
        <v>9000</v>
      </c>
      <c r="AH18" s="173">
        <f t="shared" si="28"/>
        <v>0.5</v>
      </c>
      <c r="AI18" s="173">
        <f t="shared" si="28"/>
        <v>1216</v>
      </c>
      <c r="AJ18" s="173">
        <f t="shared" si="28"/>
        <v>0.38</v>
      </c>
      <c r="AK18" s="173">
        <f t="shared" si="28"/>
        <v>856</v>
      </c>
      <c r="AL18" s="173">
        <f t="shared" si="28"/>
        <v>0</v>
      </c>
      <c r="AM18" s="173">
        <f t="shared" si="28"/>
        <v>0</v>
      </c>
      <c r="AN18" s="173">
        <f t="shared" si="28"/>
        <v>0</v>
      </c>
      <c r="AO18" s="173">
        <f t="shared" si="28"/>
        <v>0</v>
      </c>
      <c r="AP18" s="173">
        <f t="shared" si="28"/>
        <v>0</v>
      </c>
      <c r="AQ18" s="173">
        <f t="shared" si="28"/>
        <v>95.28</v>
      </c>
      <c r="AR18" s="173">
        <f t="shared" si="28"/>
        <v>96</v>
      </c>
      <c r="AS18" s="184">
        <f t="shared" si="28"/>
        <v>8274.67</v>
      </c>
      <c r="AT18" s="184">
        <f t="shared" si="28"/>
        <v>3583.59</v>
      </c>
      <c r="AU18" s="184">
        <f t="shared" si="28"/>
        <v>1216</v>
      </c>
      <c r="AV18" s="184">
        <f t="shared" si="28"/>
        <v>856</v>
      </c>
      <c r="AW18" s="184">
        <f t="shared" si="28"/>
        <v>13930.26</v>
      </c>
      <c r="AX18" s="337">
        <f t="shared" si="28"/>
        <v>11858.26</v>
      </c>
      <c r="AY18" s="337"/>
      <c r="AZ18" s="337">
        <f t="shared" ref="AZ18:BC18" si="29">SUM(AZ17:AZ17)</f>
        <v>2072</v>
      </c>
      <c r="BA18" s="337"/>
      <c r="BB18" s="173">
        <f t="shared" si="29"/>
        <v>800</v>
      </c>
      <c r="BC18" s="173">
        <f t="shared" si="29"/>
        <v>14730.26</v>
      </c>
      <c r="BD18" s="197"/>
    </row>
    <row r="19" spans="1:56" s="142" customFormat="1">
      <c r="A19" s="168"/>
      <c r="B19" s="168"/>
      <c r="C19" s="168"/>
      <c r="D19" s="168"/>
      <c r="E19" s="168"/>
      <c r="F19" s="169"/>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85"/>
      <c r="AT19" s="185"/>
      <c r="AU19" s="185"/>
      <c r="AV19" s="185"/>
      <c r="AW19" s="185"/>
      <c r="AX19" s="168"/>
      <c r="AY19" s="168"/>
      <c r="AZ19" s="168"/>
      <c r="BA19" s="168"/>
      <c r="BB19" s="168"/>
      <c r="BC19" s="168"/>
      <c r="BD19" s="198"/>
    </row>
    <row r="20" spans="1:56" s="143" customFormat="1">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68"/>
      <c r="AA20" s="168"/>
      <c r="AB20" s="168"/>
      <c r="AC20" s="168"/>
      <c r="AD20" s="168"/>
      <c r="AE20" s="168"/>
      <c r="AF20" s="168"/>
      <c r="AG20" s="168"/>
      <c r="AH20" s="168"/>
      <c r="AI20" s="168"/>
      <c r="AJ20" s="139"/>
      <c r="AK20" s="139"/>
      <c r="AL20" s="139"/>
      <c r="AM20" s="139"/>
      <c r="AN20" s="139"/>
      <c r="AO20" s="139"/>
      <c r="AP20" s="139"/>
      <c r="AQ20" s="139"/>
      <c r="AR20" s="139"/>
      <c r="AS20" s="144"/>
      <c r="AT20" s="144"/>
      <c r="AU20" s="144"/>
      <c r="AV20" s="144"/>
      <c r="AW20" s="144"/>
      <c r="AX20" s="139"/>
      <c r="AY20" s="139"/>
      <c r="AZ20" s="139"/>
      <c r="BA20" s="139"/>
      <c r="BB20" s="139"/>
      <c r="BC20" s="139"/>
      <c r="BD20" s="145"/>
    </row>
    <row r="22" spans="1:56">
      <c r="AX22" s="338"/>
      <c r="AY22" s="338"/>
      <c r="BC22" s="199"/>
    </row>
  </sheetData>
  <mergeCells count="54">
    <mergeCell ref="K1:K2"/>
    <mergeCell ref="BB1:BB2"/>
    <mergeCell ref="BC1:BC2"/>
    <mergeCell ref="BD1:BD2"/>
    <mergeCell ref="AX1:AY2"/>
    <mergeCell ref="AZ1:BA2"/>
    <mergeCell ref="F1:F2"/>
    <mergeCell ref="G1:G2"/>
    <mergeCell ref="H1:H2"/>
    <mergeCell ref="I1:I2"/>
    <mergeCell ref="J1:J2"/>
    <mergeCell ref="A1:A2"/>
    <mergeCell ref="B1:B2"/>
    <mergeCell ref="C1:C2"/>
    <mergeCell ref="D1:D2"/>
    <mergeCell ref="E1:E2"/>
    <mergeCell ref="AX15:AY15"/>
    <mergeCell ref="AZ15:BA15"/>
    <mergeCell ref="AX18:AY18"/>
    <mergeCell ref="AZ18:BA18"/>
    <mergeCell ref="AX22:AY22"/>
    <mergeCell ref="AX12:AY12"/>
    <mergeCell ref="AZ12:BA12"/>
    <mergeCell ref="AX13:AY13"/>
    <mergeCell ref="AZ13:BA13"/>
    <mergeCell ref="AX14:AY14"/>
    <mergeCell ref="AZ14:BA14"/>
    <mergeCell ref="AX9:AY9"/>
    <mergeCell ref="AZ9:BA9"/>
    <mergeCell ref="AX10:AY10"/>
    <mergeCell ref="AZ10:BA10"/>
    <mergeCell ref="AX11:AY11"/>
    <mergeCell ref="AZ11:BA11"/>
    <mergeCell ref="AX6:AY6"/>
    <mergeCell ref="AZ6:BA6"/>
    <mergeCell ref="AX7:AY7"/>
    <mergeCell ref="AZ7:BA7"/>
    <mergeCell ref="AX8:AY8"/>
    <mergeCell ref="AZ8:BA8"/>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3" type="noConversion"/>
  <conditionalFormatting sqref="H1:I1">
    <cfRule type="expression" dxfId="98" priority="1" stopIfTrue="1">
      <formula>AND(COUNTIF($J$1:$J$1,H1)&gt;1,NOT(ISBLANK(H1)))</formula>
    </cfRule>
  </conditionalFormatting>
  <conditionalFormatting sqref="J1">
    <cfRule type="duplicateValues" dxfId="97" priority="2" stopIfTrue="1"/>
  </conditionalFormatting>
  <conditionalFormatting sqref="K1:L1">
    <cfRule type="duplicateValues" dxfId="96" priority="3" stopIfTrue="1"/>
  </conditionalFormatting>
  <conditionalFormatting sqref="Q1">
    <cfRule type="duplicateValues" dxfId="95" priority="4" stopIfTrue="1"/>
  </conditionalFormatting>
  <conditionalFormatting sqref="V1">
    <cfRule type="duplicateValues" dxfId="94" priority="5" stopIfTrue="1"/>
  </conditionalFormatting>
  <conditionalFormatting sqref="AG1">
    <cfRule type="duplicateValues" dxfId="93" priority="6" stopIfTrue="1"/>
  </conditionalFormatting>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4"/>
  <sheetViews>
    <sheetView tabSelected="1" workbookViewId="0">
      <pane xSplit="11" ySplit="2" topLeftCell="L3" activePane="bottomRight" state="frozen"/>
      <selection pane="topRight"/>
      <selection pane="bottomLeft"/>
      <selection pane="bottomRight" activeCell="G13" sqref="G13"/>
    </sheetView>
  </sheetViews>
  <sheetFormatPr defaultColWidth="9" defaultRowHeight="16.5"/>
  <cols>
    <col min="1" max="1" width="3.25" style="139" customWidth="1"/>
    <col min="2" max="2" width="19.25" style="139" customWidth="1"/>
    <col min="3" max="3" width="6" style="139" customWidth="1"/>
    <col min="4" max="4" width="8.5" style="139" hidden="1" customWidth="1"/>
    <col min="5" max="5" width="8.25" style="139" hidden="1" customWidth="1"/>
    <col min="6" max="6" width="11.875" style="139" customWidth="1"/>
    <col min="7" max="7" width="16.375" style="139" customWidth="1"/>
    <col min="8" max="11" width="8.5" style="139" customWidth="1"/>
    <col min="12" max="12" width="9.125" style="139" customWidth="1"/>
    <col min="13" max="14" width="9.25" style="139" customWidth="1"/>
    <col min="15" max="15" width="7.5" style="139" customWidth="1"/>
    <col min="16" max="16" width="11.25" style="139" customWidth="1"/>
    <col min="17" max="17" width="9.125" style="139" customWidth="1"/>
    <col min="18" max="21" width="9.25" style="139" customWidth="1"/>
    <col min="22" max="22" width="9.125" style="139" customWidth="1"/>
    <col min="23" max="26" width="9.25" style="139" customWidth="1"/>
    <col min="27" max="28" width="9.125" style="139" customWidth="1"/>
    <col min="29" max="29" width="9" style="139" customWidth="1"/>
    <col min="30" max="30" width="9.125" style="139" customWidth="1"/>
    <col min="31" max="31" width="9.25" style="139" customWidth="1"/>
    <col min="32" max="32" width="8.875" style="139" customWidth="1"/>
    <col min="33" max="33" width="9.125" style="139" customWidth="1"/>
    <col min="34" max="34" width="9.25" style="139" customWidth="1"/>
    <col min="35" max="35" width="11.125" style="139" customWidth="1"/>
    <col min="36" max="36" width="9.25" style="139" customWidth="1"/>
    <col min="37" max="37" width="8.25" style="139" customWidth="1"/>
    <col min="38" max="38" width="9.125" style="139" hidden="1" customWidth="1"/>
    <col min="39" max="39" width="9.25" style="139" hidden="1" customWidth="1"/>
    <col min="40" max="40" width="9.25" style="139" customWidth="1"/>
    <col min="41" max="42" width="9.25" style="139" hidden="1" customWidth="1"/>
    <col min="43" max="43" width="9.875" style="139" customWidth="1"/>
    <col min="44" max="44" width="9.375" style="139" customWidth="1"/>
    <col min="45" max="45" width="10.25" style="144" customWidth="1"/>
    <col min="46" max="46" width="10" style="144" customWidth="1"/>
    <col min="47" max="49" width="9.25" style="144" customWidth="1"/>
    <col min="50" max="50" width="9.25" style="139" customWidth="1"/>
    <col min="51" max="51" width="5.875" style="139" customWidth="1"/>
    <col min="52" max="52" width="8.375" style="139" customWidth="1"/>
    <col min="53" max="53" width="5.875" style="139" customWidth="1"/>
    <col min="54" max="54" width="8.875" style="139" customWidth="1"/>
    <col min="55" max="55" width="10.875" style="139" customWidth="1"/>
    <col min="56" max="56" width="40.25" style="145" customWidth="1"/>
    <col min="57" max="57" width="10.625" style="139" customWidth="1"/>
    <col min="58" max="16384" width="9" style="139"/>
  </cols>
  <sheetData>
    <row r="1" spans="1:60" s="138" customFormat="1" ht="22.5" customHeight="1">
      <c r="A1" s="333" t="s">
        <v>18</v>
      </c>
      <c r="B1" s="339" t="s">
        <v>36</v>
      </c>
      <c r="C1" s="339" t="s">
        <v>37</v>
      </c>
      <c r="D1" s="333" t="s">
        <v>38</v>
      </c>
      <c r="E1" s="339" t="s">
        <v>39</v>
      </c>
      <c r="F1" s="339" t="s">
        <v>40</v>
      </c>
      <c r="G1" s="339" t="s">
        <v>41</v>
      </c>
      <c r="H1" s="339" t="s">
        <v>42</v>
      </c>
      <c r="I1" s="339" t="s">
        <v>43</v>
      </c>
      <c r="J1" s="339" t="s">
        <v>44</v>
      </c>
      <c r="K1" s="339" t="s">
        <v>45</v>
      </c>
      <c r="L1" s="332" t="s">
        <v>46</v>
      </c>
      <c r="M1" s="332"/>
      <c r="N1" s="332"/>
      <c r="O1" s="332"/>
      <c r="P1" s="332"/>
      <c r="Q1" s="332" t="s">
        <v>47</v>
      </c>
      <c r="R1" s="332"/>
      <c r="S1" s="332"/>
      <c r="T1" s="332"/>
      <c r="U1" s="332"/>
      <c r="V1" s="332" t="s">
        <v>48</v>
      </c>
      <c r="W1" s="332"/>
      <c r="X1" s="332"/>
      <c r="Y1" s="332"/>
      <c r="Z1" s="332"/>
      <c r="AA1" s="333" t="s">
        <v>49</v>
      </c>
      <c r="AB1" s="333"/>
      <c r="AC1" s="333"/>
      <c r="AD1" s="333" t="s">
        <v>50</v>
      </c>
      <c r="AE1" s="333"/>
      <c r="AF1" s="333"/>
      <c r="AG1" s="332" t="s">
        <v>51</v>
      </c>
      <c r="AH1" s="332"/>
      <c r="AI1" s="332"/>
      <c r="AJ1" s="332"/>
      <c r="AK1" s="332"/>
      <c r="AL1" s="333" t="s">
        <v>52</v>
      </c>
      <c r="AM1" s="333"/>
      <c r="AN1" s="333"/>
      <c r="AO1" s="333"/>
      <c r="AP1" s="333"/>
      <c r="AQ1" s="333" t="s">
        <v>53</v>
      </c>
      <c r="AR1" s="333"/>
      <c r="AS1" s="334" t="s">
        <v>54</v>
      </c>
      <c r="AT1" s="334"/>
      <c r="AU1" s="334"/>
      <c r="AV1" s="334"/>
      <c r="AW1" s="334"/>
      <c r="AX1" s="333" t="s">
        <v>55</v>
      </c>
      <c r="AY1" s="333"/>
      <c r="AZ1" s="333" t="s">
        <v>56</v>
      </c>
      <c r="BA1" s="333"/>
      <c r="BB1" s="333" t="s">
        <v>57</v>
      </c>
      <c r="BC1" s="333" t="s">
        <v>58</v>
      </c>
      <c r="BD1" s="342" t="s">
        <v>23</v>
      </c>
    </row>
    <row r="2" spans="1:60" ht="22.5" customHeight="1">
      <c r="A2" s="333"/>
      <c r="B2" s="340"/>
      <c r="C2" s="339"/>
      <c r="D2" s="333"/>
      <c r="E2" s="339"/>
      <c r="F2" s="341"/>
      <c r="G2" s="341"/>
      <c r="H2" s="339"/>
      <c r="I2" s="339"/>
      <c r="J2" s="339"/>
      <c r="K2" s="339"/>
      <c r="L2" s="170" t="s">
        <v>59</v>
      </c>
      <c r="M2" s="170" t="s">
        <v>60</v>
      </c>
      <c r="N2" s="170" t="s">
        <v>61</v>
      </c>
      <c r="O2" s="170" t="s">
        <v>62</v>
      </c>
      <c r="P2" s="170" t="s">
        <v>63</v>
      </c>
      <c r="Q2" s="170" t="s">
        <v>59</v>
      </c>
      <c r="R2" s="170" t="s">
        <v>60</v>
      </c>
      <c r="S2" s="170" t="s">
        <v>61</v>
      </c>
      <c r="T2" s="170" t="s">
        <v>62</v>
      </c>
      <c r="U2" s="170" t="s">
        <v>63</v>
      </c>
      <c r="V2" s="170" t="s">
        <v>59</v>
      </c>
      <c r="W2" s="170" t="s">
        <v>60</v>
      </c>
      <c r="X2" s="170" t="s">
        <v>61</v>
      </c>
      <c r="Y2" s="170" t="s">
        <v>62</v>
      </c>
      <c r="Z2" s="170" t="s">
        <v>63</v>
      </c>
      <c r="AA2" s="170" t="s">
        <v>59</v>
      </c>
      <c r="AB2" s="170" t="s">
        <v>64</v>
      </c>
      <c r="AC2" s="170" t="s">
        <v>22</v>
      </c>
      <c r="AD2" s="170" t="s">
        <v>59</v>
      </c>
      <c r="AE2" s="170" t="s">
        <v>64</v>
      </c>
      <c r="AF2" s="170" t="s">
        <v>22</v>
      </c>
      <c r="AG2" s="170" t="s">
        <v>59</v>
      </c>
      <c r="AH2" s="170" t="s">
        <v>60</v>
      </c>
      <c r="AI2" s="170" t="s">
        <v>61</v>
      </c>
      <c r="AJ2" s="170" t="s">
        <v>62</v>
      </c>
      <c r="AK2" s="170" t="s">
        <v>63</v>
      </c>
      <c r="AL2" s="170" t="s">
        <v>59</v>
      </c>
      <c r="AM2" s="170" t="s">
        <v>60</v>
      </c>
      <c r="AN2" s="170" t="s">
        <v>61</v>
      </c>
      <c r="AO2" s="170" t="s">
        <v>62</v>
      </c>
      <c r="AP2" s="170" t="s">
        <v>63</v>
      </c>
      <c r="AQ2" s="170" t="s">
        <v>65</v>
      </c>
      <c r="AR2" s="170" t="s">
        <v>66</v>
      </c>
      <c r="AS2" s="178" t="s">
        <v>67</v>
      </c>
      <c r="AT2" s="178" t="s">
        <v>68</v>
      </c>
      <c r="AU2" s="178" t="s">
        <v>69</v>
      </c>
      <c r="AV2" s="178" t="s">
        <v>70</v>
      </c>
      <c r="AW2" s="178" t="s">
        <v>30</v>
      </c>
      <c r="AX2" s="333"/>
      <c r="AY2" s="333"/>
      <c r="AZ2" s="333"/>
      <c r="BA2" s="333"/>
      <c r="BB2" s="333"/>
      <c r="BC2" s="333"/>
      <c r="BD2" s="342"/>
    </row>
    <row r="3" spans="1:60" s="140" customFormat="1" ht="18" customHeight="1">
      <c r="A3" s="146">
        <v>1</v>
      </c>
      <c r="B3" s="147" t="s">
        <v>71</v>
      </c>
      <c r="C3" s="148" t="s">
        <v>72</v>
      </c>
      <c r="D3" s="149" t="s">
        <v>73</v>
      </c>
      <c r="E3" s="147" t="s">
        <v>74</v>
      </c>
      <c r="F3" s="150" t="s">
        <v>75</v>
      </c>
      <c r="G3" s="151" t="s">
        <v>76</v>
      </c>
      <c r="H3" s="149" t="s">
        <v>77</v>
      </c>
      <c r="I3" s="149" t="s">
        <v>77</v>
      </c>
      <c r="J3" s="149" t="s">
        <v>99</v>
      </c>
      <c r="K3" s="149" t="s">
        <v>99</v>
      </c>
      <c r="L3" s="146">
        <v>3300</v>
      </c>
      <c r="M3" s="146">
        <v>0.16</v>
      </c>
      <c r="N3" s="146">
        <f>ROUND(L3*M3,2)</f>
        <v>528</v>
      </c>
      <c r="O3" s="146">
        <v>0.08</v>
      </c>
      <c r="P3" s="146">
        <f>ROUND(L3*O3,2)</f>
        <v>264</v>
      </c>
      <c r="Q3" s="146">
        <v>3300</v>
      </c>
      <c r="R3" s="146">
        <v>0.08</v>
      </c>
      <c r="S3" s="146">
        <f>ROUND(Q3*R3,2)</f>
        <v>264</v>
      </c>
      <c r="T3" s="146">
        <v>0.02</v>
      </c>
      <c r="U3" s="146">
        <f>ROUND(Q3*T3,2)</f>
        <v>66</v>
      </c>
      <c r="V3" s="146">
        <v>3300</v>
      </c>
      <c r="W3" s="146">
        <v>7.0000000000000001E-3</v>
      </c>
      <c r="X3" s="146">
        <f>ROUND(V3*W3,2)</f>
        <v>23.1</v>
      </c>
      <c r="Y3" s="146">
        <v>3.0000000000000001E-3</v>
      </c>
      <c r="Z3" s="146">
        <f>ROUND(V3*Y3,2)</f>
        <v>9.9</v>
      </c>
      <c r="AA3" s="146"/>
      <c r="AB3" s="146"/>
      <c r="AC3" s="146"/>
      <c r="AD3" s="146">
        <v>3300</v>
      </c>
      <c r="AE3" s="146">
        <v>4.0000000000000001E-3</v>
      </c>
      <c r="AF3" s="146">
        <f>ROUND(AD3*AE3,2)</f>
        <v>13.2</v>
      </c>
      <c r="AG3" s="146">
        <v>3000</v>
      </c>
      <c r="AH3" s="146">
        <v>0.1</v>
      </c>
      <c r="AI3" s="146">
        <f>ROUND(AG3*AH3,2)</f>
        <v>300</v>
      </c>
      <c r="AJ3" s="146">
        <v>0.06</v>
      </c>
      <c r="AK3" s="146">
        <f>ROUND(AG3*AJ3,2)</f>
        <v>180</v>
      </c>
      <c r="AL3" s="176"/>
      <c r="AM3" s="146"/>
      <c r="AN3" s="146"/>
      <c r="AO3" s="146"/>
      <c r="AP3" s="147" t="s">
        <v>79</v>
      </c>
      <c r="AQ3" s="179">
        <v>9</v>
      </c>
      <c r="AR3" s="146"/>
      <c r="AS3" s="180">
        <f>N3+S3+X3+AC3+AF3+AN3+AQ3</f>
        <v>837.30000000000007</v>
      </c>
      <c r="AT3" s="180">
        <f>P3+U3+Z3</f>
        <v>339.9</v>
      </c>
      <c r="AU3" s="180">
        <f>AI3</f>
        <v>300</v>
      </c>
      <c r="AV3" s="180">
        <f>AK3</f>
        <v>180</v>
      </c>
      <c r="AW3" s="180">
        <f>AV3+AS3+AT3+AU3</f>
        <v>1657.2</v>
      </c>
      <c r="AX3" s="335">
        <f>AS3+AT3</f>
        <v>1177.2</v>
      </c>
      <c r="AY3" s="335"/>
      <c r="AZ3" s="335">
        <f>AU3+AV3</f>
        <v>480</v>
      </c>
      <c r="BA3" s="335"/>
      <c r="BB3" s="187">
        <v>80</v>
      </c>
      <c r="BC3" s="186">
        <f>AX3+AZ3+BB3</f>
        <v>1737.2</v>
      </c>
      <c r="BD3" s="188"/>
      <c r="BE3" s="200"/>
      <c r="BF3" s="201"/>
      <c r="BG3" s="202"/>
      <c r="BH3" s="203" t="s">
        <v>79</v>
      </c>
    </row>
    <row r="4" spans="1:60" s="140" customFormat="1" ht="18" customHeight="1">
      <c r="A4" s="146">
        <v>2</v>
      </c>
      <c r="B4" s="147" t="s">
        <v>71</v>
      </c>
      <c r="C4" s="148" t="s">
        <v>92</v>
      </c>
      <c r="D4" s="149" t="s">
        <v>73</v>
      </c>
      <c r="E4" s="147" t="s">
        <v>83</v>
      </c>
      <c r="F4" s="150" t="s">
        <v>93</v>
      </c>
      <c r="G4" s="151" t="s">
        <v>94</v>
      </c>
      <c r="H4" s="149" t="s">
        <v>95</v>
      </c>
      <c r="I4" s="149" t="s">
        <v>95</v>
      </c>
      <c r="J4" s="149" t="s">
        <v>99</v>
      </c>
      <c r="K4" s="149" t="s">
        <v>99</v>
      </c>
      <c r="L4" s="146">
        <v>3360.15</v>
      </c>
      <c r="M4" s="146">
        <v>0.16</v>
      </c>
      <c r="N4" s="146">
        <f>ROUND(L4*M4,2)</f>
        <v>537.62</v>
      </c>
      <c r="O4" s="146">
        <v>0.08</v>
      </c>
      <c r="P4" s="146">
        <f>ROUND(L4*O4,2)</f>
        <v>268.81</v>
      </c>
      <c r="Q4" s="146">
        <v>3602.85</v>
      </c>
      <c r="R4" s="146">
        <v>0.06</v>
      </c>
      <c r="S4" s="146">
        <f>ROUND(Q4*R4,2)</f>
        <v>216.17</v>
      </c>
      <c r="T4" s="146">
        <v>0.02</v>
      </c>
      <c r="U4" s="146">
        <f>ROUND(Q4*T4,2)</f>
        <v>72.06</v>
      </c>
      <c r="V4" s="146">
        <v>3360.15</v>
      </c>
      <c r="W4" s="146">
        <v>7.0000000000000001E-3</v>
      </c>
      <c r="X4" s="146">
        <f>ROUND(V4*W4,2)</f>
        <v>23.52</v>
      </c>
      <c r="Y4" s="146">
        <v>3.0000000000000001E-3</v>
      </c>
      <c r="Z4" s="146">
        <f>ROUND(V4*Y4,2)</f>
        <v>10.08</v>
      </c>
      <c r="AA4" s="146">
        <v>3602.85</v>
      </c>
      <c r="AB4" s="146">
        <v>7.0000000000000001E-3</v>
      </c>
      <c r="AC4" s="146">
        <f>ROUND(AA4*AB4,2)</f>
        <v>25.22</v>
      </c>
      <c r="AD4" s="146">
        <v>3602.85</v>
      </c>
      <c r="AE4" s="146">
        <v>2E-3</v>
      </c>
      <c r="AF4" s="146">
        <f>ROUND(AD4*AE4,2)</f>
        <v>7.21</v>
      </c>
      <c r="AG4" s="146">
        <v>1640</v>
      </c>
      <c r="AH4" s="146">
        <v>0.05</v>
      </c>
      <c r="AI4" s="146">
        <f>ROUND(AG4*AH4,2)</f>
        <v>82</v>
      </c>
      <c r="AJ4" s="146">
        <v>0.05</v>
      </c>
      <c r="AK4" s="146">
        <f>ROUND(AG4*AJ4,2)</f>
        <v>82</v>
      </c>
      <c r="AL4" s="176"/>
      <c r="AM4" s="146"/>
      <c r="AN4" s="146"/>
      <c r="AO4" s="146"/>
      <c r="AP4" s="147"/>
      <c r="AQ4" s="179"/>
      <c r="AR4" s="146"/>
      <c r="AS4" s="180">
        <f>N4+S4+X4+AC4+AF4+AN4+AQ4</f>
        <v>809.74</v>
      </c>
      <c r="AT4" s="180">
        <f>P4+U4+Z4</f>
        <v>350.95</v>
      </c>
      <c r="AU4" s="180">
        <f>AI4</f>
        <v>82</v>
      </c>
      <c r="AV4" s="180">
        <f>AK4</f>
        <v>82</v>
      </c>
      <c r="AW4" s="180">
        <f>AV4+AS4+AT4+AU4</f>
        <v>1324.69</v>
      </c>
      <c r="AX4" s="335">
        <f>AS4+AT4</f>
        <v>1160.69</v>
      </c>
      <c r="AY4" s="335"/>
      <c r="AZ4" s="335">
        <f>AU4+AV4</f>
        <v>164</v>
      </c>
      <c r="BA4" s="335"/>
      <c r="BB4" s="187">
        <v>80</v>
      </c>
      <c r="BC4" s="186">
        <f>AX4+AZ4+BB4</f>
        <v>1404.69</v>
      </c>
      <c r="BD4" s="188" t="s">
        <v>100</v>
      </c>
      <c r="BE4" s="200" t="s">
        <v>101</v>
      </c>
      <c r="BF4" s="204"/>
      <c r="BG4" s="204"/>
      <c r="BH4" s="204"/>
    </row>
    <row r="5" spans="1:60" s="140" customFormat="1" ht="18" customHeight="1">
      <c r="A5" s="146">
        <v>3</v>
      </c>
      <c r="B5" s="147" t="s">
        <v>71</v>
      </c>
      <c r="C5" s="148" t="s">
        <v>102</v>
      </c>
      <c r="D5" s="149" t="s">
        <v>73</v>
      </c>
      <c r="E5" s="147" t="s">
        <v>83</v>
      </c>
      <c r="F5" s="150" t="s">
        <v>103</v>
      </c>
      <c r="G5" s="151" t="s">
        <v>104</v>
      </c>
      <c r="H5" s="149" t="s">
        <v>105</v>
      </c>
      <c r="I5" s="149" t="s">
        <v>105</v>
      </c>
      <c r="J5" s="149" t="s">
        <v>99</v>
      </c>
      <c r="K5" s="149" t="s">
        <v>99</v>
      </c>
      <c r="L5" s="146">
        <v>4000</v>
      </c>
      <c r="M5" s="146">
        <v>0.16</v>
      </c>
      <c r="N5" s="146">
        <f t="shared" ref="N5:N7" si="0">ROUND(L5*M5,2)</f>
        <v>640</v>
      </c>
      <c r="O5" s="146">
        <v>0.08</v>
      </c>
      <c r="P5" s="146">
        <f t="shared" ref="P5:P7" si="1">ROUND(L5*O5,2)</f>
        <v>320</v>
      </c>
      <c r="Q5" s="146">
        <v>4000</v>
      </c>
      <c r="R5" s="146">
        <v>8.6999999999999994E-2</v>
      </c>
      <c r="S5" s="146">
        <f t="shared" ref="S5:S7" si="2">ROUND(Q5*R5,2)</f>
        <v>348</v>
      </c>
      <c r="T5" s="146">
        <v>0.02</v>
      </c>
      <c r="U5" s="146">
        <f t="shared" ref="U5:U7" si="3">ROUND(Q5*T5,2)</f>
        <v>80</v>
      </c>
      <c r="V5" s="146">
        <v>4000</v>
      </c>
      <c r="W5" s="146">
        <v>7.0000000000000001E-3</v>
      </c>
      <c r="X5" s="146">
        <f t="shared" ref="X5:X7" si="4">ROUND(V5*W5,2)</f>
        <v>28</v>
      </c>
      <c r="Y5" s="146">
        <v>3.0000000000000001E-3</v>
      </c>
      <c r="Z5" s="146">
        <f t="shared" ref="Z5:Z7" si="5">ROUND(V5*Y5,2)</f>
        <v>12</v>
      </c>
      <c r="AA5" s="146"/>
      <c r="AB5" s="146"/>
      <c r="AC5" s="146"/>
      <c r="AD5" s="146">
        <v>4000</v>
      </c>
      <c r="AE5" s="146">
        <v>5.5999999999999999E-3</v>
      </c>
      <c r="AF5" s="146">
        <f t="shared" ref="AF5:AF7" si="6">ROUND(AD5*AE5,2)</f>
        <v>22.4</v>
      </c>
      <c r="AG5" s="146">
        <v>4000</v>
      </c>
      <c r="AH5" s="146">
        <v>0.05</v>
      </c>
      <c r="AI5" s="146">
        <f t="shared" ref="AI5:AI7" si="7">ROUND(AG5*AH5,2)</f>
        <v>200</v>
      </c>
      <c r="AJ5" s="146">
        <v>0.05</v>
      </c>
      <c r="AK5" s="146">
        <f t="shared" ref="AK5:AK7" si="8">ROUND(AG5*AJ5,2)</f>
        <v>200</v>
      </c>
      <c r="AL5" s="176"/>
      <c r="AM5" s="146"/>
      <c r="AN5" s="146"/>
      <c r="AO5" s="146"/>
      <c r="AP5" s="147"/>
      <c r="AQ5" s="179"/>
      <c r="AR5" s="179"/>
      <c r="AS5" s="180">
        <f t="shared" ref="AS5:AS7" si="9">N5+S5+X5+AC5+AF5+AN5+AQ5</f>
        <v>1038.4000000000001</v>
      </c>
      <c r="AT5" s="180">
        <f t="shared" ref="AT5:AT7" si="10">P5+U5+Z5</f>
        <v>412</v>
      </c>
      <c r="AU5" s="180">
        <f t="shared" ref="AU5:AU7" si="11">AI5</f>
        <v>200</v>
      </c>
      <c r="AV5" s="180">
        <f t="shared" ref="AV5:AV7" si="12">AK5</f>
        <v>200</v>
      </c>
      <c r="AW5" s="180">
        <f t="shared" ref="AW5:AW7" si="13">AV5+AS5+AT5+AU5</f>
        <v>1850.4</v>
      </c>
      <c r="AX5" s="335">
        <f t="shared" ref="AX5:AX7" si="14">AS5+AT5</f>
        <v>1450.4</v>
      </c>
      <c r="AY5" s="335"/>
      <c r="AZ5" s="335">
        <f t="shared" ref="AZ5:AZ7" si="15">AU5+AV5</f>
        <v>400</v>
      </c>
      <c r="BA5" s="335"/>
      <c r="BB5" s="187">
        <v>80</v>
      </c>
      <c r="BC5" s="186">
        <f t="shared" ref="BC5:BC7" si="16">AX5+AZ5+BB5</f>
        <v>1930.4</v>
      </c>
      <c r="BD5" s="189" t="s">
        <v>106</v>
      </c>
      <c r="BE5" s="204"/>
      <c r="BF5" s="204"/>
      <c r="BG5" s="204"/>
      <c r="BH5" s="204"/>
    </row>
    <row r="6" spans="1:60" s="140" customFormat="1" ht="18" customHeight="1">
      <c r="A6" s="146">
        <v>4</v>
      </c>
      <c r="B6" s="147" t="s">
        <v>71</v>
      </c>
      <c r="C6" s="148" t="s">
        <v>102</v>
      </c>
      <c r="D6" s="149" t="s">
        <v>73</v>
      </c>
      <c r="E6" s="147" t="s">
        <v>83</v>
      </c>
      <c r="F6" s="150" t="s">
        <v>107</v>
      </c>
      <c r="G6" s="151" t="s">
        <v>108</v>
      </c>
      <c r="H6" s="149" t="s">
        <v>109</v>
      </c>
      <c r="I6" s="149" t="s">
        <v>109</v>
      </c>
      <c r="J6" s="149" t="s">
        <v>99</v>
      </c>
      <c r="K6" s="149" t="s">
        <v>99</v>
      </c>
      <c r="L6" s="146">
        <v>3700</v>
      </c>
      <c r="M6" s="146">
        <v>0.16</v>
      </c>
      <c r="N6" s="146">
        <f t="shared" si="0"/>
        <v>592</v>
      </c>
      <c r="O6" s="146">
        <v>0.08</v>
      </c>
      <c r="P6" s="146">
        <f t="shared" si="1"/>
        <v>296</v>
      </c>
      <c r="Q6" s="146">
        <v>3700</v>
      </c>
      <c r="R6" s="146">
        <v>8.6999999999999994E-2</v>
      </c>
      <c r="S6" s="146">
        <f t="shared" si="2"/>
        <v>321.89999999999998</v>
      </c>
      <c r="T6" s="146">
        <v>0.02</v>
      </c>
      <c r="U6" s="146">
        <f t="shared" si="3"/>
        <v>74</v>
      </c>
      <c r="V6" s="146">
        <v>3700</v>
      </c>
      <c r="W6" s="146">
        <v>7.0000000000000001E-3</v>
      </c>
      <c r="X6" s="146">
        <f t="shared" si="4"/>
        <v>25.9</v>
      </c>
      <c r="Y6" s="146">
        <v>3.0000000000000001E-3</v>
      </c>
      <c r="Z6" s="146">
        <f t="shared" si="5"/>
        <v>11.1</v>
      </c>
      <c r="AA6" s="146"/>
      <c r="AB6" s="146"/>
      <c r="AC6" s="146"/>
      <c r="AD6" s="146">
        <v>3700</v>
      </c>
      <c r="AE6" s="146">
        <v>5.5999999999999999E-3</v>
      </c>
      <c r="AF6" s="146">
        <f t="shared" si="6"/>
        <v>20.72</v>
      </c>
      <c r="AG6" s="146">
        <v>1700</v>
      </c>
      <c r="AH6" s="146">
        <v>0.05</v>
      </c>
      <c r="AI6" s="146">
        <f t="shared" si="7"/>
        <v>85</v>
      </c>
      <c r="AJ6" s="146">
        <v>0.05</v>
      </c>
      <c r="AK6" s="146">
        <f t="shared" si="8"/>
        <v>85</v>
      </c>
      <c r="AL6" s="176"/>
      <c r="AM6" s="146"/>
      <c r="AN6" s="146"/>
      <c r="AO6" s="146"/>
      <c r="AP6" s="147"/>
      <c r="AQ6" s="179"/>
      <c r="AR6" s="179"/>
      <c r="AS6" s="180">
        <f t="shared" si="9"/>
        <v>960.52</v>
      </c>
      <c r="AT6" s="180">
        <f t="shared" si="10"/>
        <v>381.1</v>
      </c>
      <c r="AU6" s="180">
        <f t="shared" si="11"/>
        <v>85</v>
      </c>
      <c r="AV6" s="180">
        <f t="shared" si="12"/>
        <v>85</v>
      </c>
      <c r="AW6" s="180">
        <f t="shared" si="13"/>
        <v>1511.62</v>
      </c>
      <c r="AX6" s="335">
        <f t="shared" si="14"/>
        <v>1341.62</v>
      </c>
      <c r="AY6" s="335"/>
      <c r="AZ6" s="335">
        <f t="shared" si="15"/>
        <v>170</v>
      </c>
      <c r="BA6" s="335"/>
      <c r="BB6" s="187">
        <v>80</v>
      </c>
      <c r="BC6" s="186">
        <f t="shared" si="16"/>
        <v>1591.62</v>
      </c>
      <c r="BD6" s="189" t="s">
        <v>106</v>
      </c>
      <c r="BE6" s="204"/>
      <c r="BF6" s="204"/>
      <c r="BG6" s="204"/>
      <c r="BH6" s="204"/>
    </row>
    <row r="7" spans="1:60" s="140" customFormat="1" ht="18" customHeight="1">
      <c r="A7" s="146">
        <v>5</v>
      </c>
      <c r="B7" s="147" t="s">
        <v>71</v>
      </c>
      <c r="C7" s="148" t="s">
        <v>82</v>
      </c>
      <c r="D7" s="149" t="s">
        <v>73</v>
      </c>
      <c r="E7" s="147" t="s">
        <v>83</v>
      </c>
      <c r="F7" s="150" t="s">
        <v>110</v>
      </c>
      <c r="G7" s="151" t="s">
        <v>111</v>
      </c>
      <c r="H7" s="149" t="s">
        <v>109</v>
      </c>
      <c r="I7" s="149" t="s">
        <v>109</v>
      </c>
      <c r="J7" s="149" t="s">
        <v>99</v>
      </c>
      <c r="K7" s="149" t="s">
        <v>99</v>
      </c>
      <c r="L7" s="146">
        <v>4588</v>
      </c>
      <c r="M7" s="146">
        <v>0.15</v>
      </c>
      <c r="N7" s="146">
        <f t="shared" si="0"/>
        <v>688.2</v>
      </c>
      <c r="O7" s="146">
        <v>0.08</v>
      </c>
      <c r="P7" s="146">
        <f t="shared" si="1"/>
        <v>367.04</v>
      </c>
      <c r="Q7" s="146">
        <v>6757</v>
      </c>
      <c r="R7" s="146">
        <v>5.45E-2</v>
      </c>
      <c r="S7" s="146">
        <f t="shared" si="2"/>
        <v>368.26</v>
      </c>
      <c r="T7" s="146">
        <v>0.02</v>
      </c>
      <c r="U7" s="146">
        <f t="shared" si="3"/>
        <v>135.13999999999999</v>
      </c>
      <c r="V7" s="146">
        <v>2300</v>
      </c>
      <c r="W7" s="146">
        <v>4.7999999999999996E-3</v>
      </c>
      <c r="X7" s="146">
        <f t="shared" si="4"/>
        <v>11.04</v>
      </c>
      <c r="Y7" s="146">
        <v>2E-3</v>
      </c>
      <c r="Z7" s="146">
        <f t="shared" si="5"/>
        <v>4.5999999999999996</v>
      </c>
      <c r="AA7" s="146"/>
      <c r="AB7" s="146"/>
      <c r="AC7" s="146"/>
      <c r="AD7" s="146">
        <v>2300</v>
      </c>
      <c r="AE7" s="146">
        <v>1.6000000000000001E-3</v>
      </c>
      <c r="AF7" s="146">
        <f t="shared" si="6"/>
        <v>3.68</v>
      </c>
      <c r="AG7" s="146">
        <v>2300</v>
      </c>
      <c r="AH7" s="146">
        <v>0.05</v>
      </c>
      <c r="AI7" s="146">
        <f t="shared" si="7"/>
        <v>115</v>
      </c>
      <c r="AJ7" s="146">
        <v>0.05</v>
      </c>
      <c r="AK7" s="146">
        <f t="shared" si="8"/>
        <v>115</v>
      </c>
      <c r="AL7" s="176"/>
      <c r="AM7" s="146"/>
      <c r="AN7" s="146"/>
      <c r="AO7" s="146"/>
      <c r="AP7" s="147"/>
      <c r="AQ7" s="179">
        <v>29.28</v>
      </c>
      <c r="AR7" s="179"/>
      <c r="AS7" s="180">
        <f t="shared" si="9"/>
        <v>1100.46</v>
      </c>
      <c r="AT7" s="180">
        <f t="shared" si="10"/>
        <v>506.78000000000003</v>
      </c>
      <c r="AU7" s="180">
        <f t="shared" si="11"/>
        <v>115</v>
      </c>
      <c r="AV7" s="180">
        <f t="shared" si="12"/>
        <v>115</v>
      </c>
      <c r="AW7" s="180">
        <f t="shared" si="13"/>
        <v>1837.24</v>
      </c>
      <c r="AX7" s="335">
        <f t="shared" si="14"/>
        <v>1607.24</v>
      </c>
      <c r="AY7" s="335"/>
      <c r="AZ7" s="335">
        <f t="shared" si="15"/>
        <v>230</v>
      </c>
      <c r="BA7" s="335"/>
      <c r="BB7" s="187">
        <v>80</v>
      </c>
      <c r="BC7" s="186">
        <f t="shared" si="16"/>
        <v>1917.24</v>
      </c>
      <c r="BD7" s="190" t="s">
        <v>112</v>
      </c>
      <c r="BE7" s="204"/>
      <c r="BF7" s="204"/>
      <c r="BG7" s="204"/>
      <c r="BH7" s="204"/>
    </row>
    <row r="8" spans="1:60" s="141" customFormat="1" ht="18" customHeight="1">
      <c r="A8" s="152"/>
      <c r="B8" s="153"/>
      <c r="C8" s="154"/>
      <c r="D8" s="155"/>
      <c r="E8" s="156"/>
      <c r="F8" s="157"/>
      <c r="G8" s="158"/>
      <c r="H8" s="159"/>
      <c r="I8" s="155"/>
      <c r="J8" s="159"/>
      <c r="K8" s="159"/>
      <c r="L8" s="171"/>
      <c r="M8" s="171"/>
      <c r="N8" s="172"/>
      <c r="O8" s="171"/>
      <c r="P8" s="171"/>
      <c r="Q8" s="171"/>
      <c r="R8" s="171"/>
      <c r="S8" s="171"/>
      <c r="T8" s="171"/>
      <c r="U8" s="171"/>
      <c r="V8" s="174"/>
      <c r="W8" s="174"/>
      <c r="X8" s="175"/>
      <c r="Y8" s="174"/>
      <c r="Z8" s="171"/>
      <c r="AA8" s="171"/>
      <c r="AB8" s="171"/>
      <c r="AC8" s="171"/>
      <c r="AD8" s="171"/>
      <c r="AE8" s="171"/>
      <c r="AF8" s="172"/>
      <c r="AG8" s="171"/>
      <c r="AH8" s="171"/>
      <c r="AI8" s="171"/>
      <c r="AJ8" s="171"/>
      <c r="AK8" s="171"/>
      <c r="AL8" s="177"/>
      <c r="AM8" s="171"/>
      <c r="AN8" s="171"/>
      <c r="AO8" s="171"/>
      <c r="AP8" s="181"/>
      <c r="AQ8" s="182"/>
      <c r="AR8" s="171"/>
      <c r="AS8" s="183"/>
      <c r="AT8" s="183"/>
      <c r="AU8" s="183"/>
      <c r="AV8" s="183"/>
      <c r="AW8" s="183"/>
      <c r="AX8" s="191"/>
      <c r="AY8" s="192"/>
      <c r="AZ8" s="191"/>
      <c r="BA8" s="192"/>
      <c r="BB8" s="193"/>
      <c r="BC8" s="194"/>
      <c r="BD8" s="195"/>
      <c r="BE8" s="139"/>
      <c r="BF8" s="139"/>
      <c r="BG8" s="139"/>
      <c r="BH8" s="139"/>
    </row>
    <row r="9" spans="1:60" ht="14.25">
      <c r="A9" s="160" t="s">
        <v>98</v>
      </c>
      <c r="B9" s="161"/>
      <c r="C9" s="162"/>
      <c r="D9" s="162"/>
      <c r="E9" s="163"/>
      <c r="F9" s="162"/>
      <c r="G9" s="162"/>
      <c r="H9" s="162"/>
      <c r="I9" s="162"/>
      <c r="J9" s="162"/>
      <c r="K9" s="162"/>
      <c r="L9" s="163">
        <f>SUM(L3:L8)</f>
        <v>18948.150000000001</v>
      </c>
      <c r="M9" s="163">
        <f>SUM(M3:M8)</f>
        <v>0.79</v>
      </c>
      <c r="N9" s="163">
        <f>SUM(N3:N8)</f>
        <v>2985.8199999999997</v>
      </c>
      <c r="O9" s="163">
        <f>SUM(O3:O8)</f>
        <v>0.4</v>
      </c>
      <c r="P9" s="163">
        <f>SUM(P3:P8)</f>
        <v>1515.85</v>
      </c>
      <c r="Q9" s="163">
        <f>SUM(Q3:Q8)</f>
        <v>21359.85</v>
      </c>
      <c r="R9" s="163">
        <f>SUM(R3:R8)</f>
        <v>0.36849999999999999</v>
      </c>
      <c r="S9" s="163">
        <f>SUM(S3:S8)</f>
        <v>1518.33</v>
      </c>
      <c r="T9" s="163">
        <f>SUM(T3:T8)</f>
        <v>0.1</v>
      </c>
      <c r="U9" s="163">
        <f>SUM(U3:U8)</f>
        <v>427.2</v>
      </c>
      <c r="V9" s="163">
        <f>SUM(V3:V8)</f>
        <v>16660.150000000001</v>
      </c>
      <c r="W9" s="163">
        <f>SUM(W3:W8)</f>
        <v>3.2800000000000003E-2</v>
      </c>
      <c r="X9" s="163">
        <f>SUM(X3:X8)</f>
        <v>111.56</v>
      </c>
      <c r="Y9" s="163">
        <f>SUM(Y3:Y8)</f>
        <v>1.4E-2</v>
      </c>
      <c r="Z9" s="163">
        <f>SUM(Z3:Z8)</f>
        <v>47.68</v>
      </c>
      <c r="AA9" s="163">
        <f>SUM(AA3:AA8)</f>
        <v>3602.85</v>
      </c>
      <c r="AB9" s="163">
        <f>SUM(AB3:AB8)</f>
        <v>7.0000000000000001E-3</v>
      </c>
      <c r="AC9" s="163">
        <f>SUM(AC3:AC8)</f>
        <v>25.22</v>
      </c>
      <c r="AD9" s="163">
        <f>SUM(AD3:AD8)</f>
        <v>16902.849999999999</v>
      </c>
      <c r="AE9" s="163">
        <f>SUM(AE3:AE8)</f>
        <v>1.8800000000000001E-2</v>
      </c>
      <c r="AF9" s="163">
        <f>SUM(AF3:AF8)</f>
        <v>67.210000000000008</v>
      </c>
      <c r="AG9" s="163">
        <f>SUM(AG3:AG8)</f>
        <v>12640</v>
      </c>
      <c r="AH9" s="163">
        <f>SUM(AH3:AH8)</f>
        <v>0.3</v>
      </c>
      <c r="AI9" s="163">
        <f>SUM(AI3:AI8)</f>
        <v>782</v>
      </c>
      <c r="AJ9" s="163">
        <f>SUM(AJ3:AJ8)</f>
        <v>0.26</v>
      </c>
      <c r="AK9" s="163">
        <f>SUM(AK3:AK8)</f>
        <v>662</v>
      </c>
      <c r="AL9" s="163">
        <f>SUM(AL3:AL8)</f>
        <v>0</v>
      </c>
      <c r="AM9" s="163">
        <f>SUM(AM3:AM8)</f>
        <v>0</v>
      </c>
      <c r="AN9" s="163">
        <f>SUM(AN3:AN8)</f>
        <v>0</v>
      </c>
      <c r="AO9" s="163">
        <f>SUM(AO3:AO8)</f>
        <v>0</v>
      </c>
      <c r="AP9" s="163">
        <f>SUM(AP3:AP8)</f>
        <v>0</v>
      </c>
      <c r="AQ9" s="163">
        <f>SUM(AQ3:AQ8)</f>
        <v>38.28</v>
      </c>
      <c r="AR9" s="163">
        <f>SUM(AR3:AR8)</f>
        <v>0</v>
      </c>
      <c r="AS9" s="163">
        <f>SUM(AS3:AS8)</f>
        <v>4746.42</v>
      </c>
      <c r="AT9" s="163">
        <f>SUM(AT3:AT8)</f>
        <v>1990.7299999999998</v>
      </c>
      <c r="AU9" s="163">
        <f>SUM(AU3:AU8)</f>
        <v>782</v>
      </c>
      <c r="AV9" s="163">
        <f>SUM(AV3:AV8)</f>
        <v>662</v>
      </c>
      <c r="AW9" s="163">
        <f>SUM(AW3:AW8)</f>
        <v>8181.1500000000005</v>
      </c>
      <c r="AX9" s="163">
        <f>SUM(AX3:AX8)</f>
        <v>6737.15</v>
      </c>
      <c r="AY9" s="163">
        <f>SUM(AY3:AY8)</f>
        <v>0</v>
      </c>
      <c r="AZ9" s="163">
        <f>SUM(AZ3:AZ8)</f>
        <v>1444</v>
      </c>
      <c r="BA9" s="163">
        <f>SUM(BA3:BA8)</f>
        <v>0</v>
      </c>
      <c r="BB9" s="163">
        <f>SUM(BB3:BB8)</f>
        <v>400</v>
      </c>
      <c r="BC9" s="163">
        <f>SUM(BC3:BC8)</f>
        <v>8581.1500000000015</v>
      </c>
      <c r="BD9" s="196"/>
    </row>
    <row r="10" spans="1:60" ht="14.25">
      <c r="A10" s="164" t="s">
        <v>58</v>
      </c>
      <c r="B10" s="165"/>
      <c r="C10" s="166"/>
      <c r="D10" s="166"/>
      <c r="E10" s="167"/>
      <c r="F10" s="167"/>
      <c r="G10" s="167"/>
      <c r="H10" s="167"/>
      <c r="I10" s="167"/>
      <c r="J10" s="167"/>
      <c r="K10" s="167"/>
      <c r="L10" s="173">
        <f t="shared" ref="L10:AX10" si="17">SUM(L9:L9)</f>
        <v>18948.150000000001</v>
      </c>
      <c r="M10" s="173">
        <f t="shared" si="17"/>
        <v>0.79</v>
      </c>
      <c r="N10" s="173">
        <f t="shared" si="17"/>
        <v>2985.8199999999997</v>
      </c>
      <c r="O10" s="173">
        <f t="shared" si="17"/>
        <v>0.4</v>
      </c>
      <c r="P10" s="173">
        <f t="shared" si="17"/>
        <v>1515.85</v>
      </c>
      <c r="Q10" s="173">
        <f t="shared" si="17"/>
        <v>21359.85</v>
      </c>
      <c r="R10" s="173">
        <f t="shared" si="17"/>
        <v>0.36849999999999999</v>
      </c>
      <c r="S10" s="173">
        <f t="shared" si="17"/>
        <v>1518.33</v>
      </c>
      <c r="T10" s="173">
        <f t="shared" si="17"/>
        <v>0.1</v>
      </c>
      <c r="U10" s="173">
        <f t="shared" si="17"/>
        <v>427.2</v>
      </c>
      <c r="V10" s="173">
        <f t="shared" si="17"/>
        <v>16660.150000000001</v>
      </c>
      <c r="W10" s="173">
        <f t="shared" si="17"/>
        <v>3.2800000000000003E-2</v>
      </c>
      <c r="X10" s="173">
        <f t="shared" si="17"/>
        <v>111.56</v>
      </c>
      <c r="Y10" s="173">
        <f t="shared" si="17"/>
        <v>1.4E-2</v>
      </c>
      <c r="Z10" s="173">
        <f t="shared" si="17"/>
        <v>47.68</v>
      </c>
      <c r="AA10" s="173">
        <f t="shared" si="17"/>
        <v>3602.85</v>
      </c>
      <c r="AB10" s="173">
        <f t="shared" si="17"/>
        <v>7.0000000000000001E-3</v>
      </c>
      <c r="AC10" s="173">
        <f t="shared" si="17"/>
        <v>25.22</v>
      </c>
      <c r="AD10" s="173">
        <f t="shared" si="17"/>
        <v>16902.849999999999</v>
      </c>
      <c r="AE10" s="173">
        <f t="shared" si="17"/>
        <v>1.8800000000000001E-2</v>
      </c>
      <c r="AF10" s="173">
        <f t="shared" si="17"/>
        <v>67.210000000000008</v>
      </c>
      <c r="AG10" s="173">
        <f t="shared" si="17"/>
        <v>12640</v>
      </c>
      <c r="AH10" s="173">
        <f t="shared" si="17"/>
        <v>0.3</v>
      </c>
      <c r="AI10" s="173">
        <f t="shared" si="17"/>
        <v>782</v>
      </c>
      <c r="AJ10" s="173">
        <f t="shared" si="17"/>
        <v>0.26</v>
      </c>
      <c r="AK10" s="173">
        <f t="shared" si="17"/>
        <v>662</v>
      </c>
      <c r="AL10" s="173">
        <f t="shared" si="17"/>
        <v>0</v>
      </c>
      <c r="AM10" s="173">
        <f t="shared" si="17"/>
        <v>0</v>
      </c>
      <c r="AN10" s="173">
        <f t="shared" si="17"/>
        <v>0</v>
      </c>
      <c r="AO10" s="173">
        <f t="shared" si="17"/>
        <v>0</v>
      </c>
      <c r="AP10" s="173">
        <f t="shared" si="17"/>
        <v>0</v>
      </c>
      <c r="AQ10" s="173">
        <f t="shared" si="17"/>
        <v>38.28</v>
      </c>
      <c r="AR10" s="173">
        <f t="shared" si="17"/>
        <v>0</v>
      </c>
      <c r="AS10" s="184">
        <f t="shared" si="17"/>
        <v>4746.42</v>
      </c>
      <c r="AT10" s="184">
        <f t="shared" si="17"/>
        <v>1990.7299999999998</v>
      </c>
      <c r="AU10" s="184">
        <f t="shared" si="17"/>
        <v>782</v>
      </c>
      <c r="AV10" s="184">
        <f t="shared" si="17"/>
        <v>662</v>
      </c>
      <c r="AW10" s="184">
        <f t="shared" si="17"/>
        <v>8181.1500000000005</v>
      </c>
      <c r="AX10" s="337">
        <f t="shared" si="17"/>
        <v>6737.15</v>
      </c>
      <c r="AY10" s="337"/>
      <c r="AZ10" s="337">
        <f t="shared" ref="AZ10:BC10" si="18">SUM(AZ9:AZ9)</f>
        <v>1444</v>
      </c>
      <c r="BA10" s="337"/>
      <c r="BB10" s="173">
        <f t="shared" si="18"/>
        <v>400</v>
      </c>
      <c r="BC10" s="173">
        <f t="shared" si="18"/>
        <v>8581.1500000000015</v>
      </c>
      <c r="BD10" s="197"/>
    </row>
    <row r="11" spans="1:60" s="142" customFormat="1">
      <c r="A11" s="168"/>
      <c r="B11" s="168"/>
      <c r="C11" s="168"/>
      <c r="D11" s="168"/>
      <c r="E11" s="168"/>
      <c r="F11" s="169"/>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85"/>
      <c r="AT11" s="185"/>
      <c r="AU11" s="185"/>
      <c r="AV11" s="185"/>
      <c r="AW11" s="185"/>
      <c r="AX11" s="168"/>
      <c r="AY11" s="168"/>
      <c r="AZ11" s="168"/>
      <c r="BA11" s="168"/>
      <c r="BB11" s="168"/>
      <c r="BC11" s="168">
        <f>'（居民）工资表-2月'!E18</f>
        <v>124775.78</v>
      </c>
      <c r="BD11" s="198"/>
    </row>
    <row r="12" spans="1:60" s="143" customFormat="1">
      <c r="A12" s="139"/>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68"/>
      <c r="AA12" s="168"/>
      <c r="AB12" s="168"/>
      <c r="AC12" s="168"/>
      <c r="AD12" s="168"/>
      <c r="AE12" s="168"/>
      <c r="AF12" s="168"/>
      <c r="AG12" s="168"/>
      <c r="AH12" s="168"/>
      <c r="AI12" s="168"/>
      <c r="AJ12" s="139"/>
      <c r="AK12" s="139"/>
      <c r="AL12" s="139"/>
      <c r="AM12" s="139"/>
      <c r="AN12" s="139"/>
      <c r="AO12" s="139"/>
      <c r="AP12" s="139"/>
      <c r="AQ12" s="139"/>
      <c r="AR12" s="139"/>
      <c r="AS12" s="144"/>
      <c r="AT12" s="144"/>
      <c r="AU12" s="144"/>
      <c r="AV12" s="144"/>
      <c r="AW12" s="144"/>
      <c r="AX12" s="139"/>
      <c r="AY12" s="139"/>
      <c r="AZ12" s="139"/>
      <c r="BA12" s="139"/>
      <c r="BB12" s="139"/>
      <c r="BC12" s="139"/>
      <c r="BD12" s="145"/>
    </row>
    <row r="14" spans="1:60">
      <c r="AX14" s="338"/>
      <c r="AY14" s="338"/>
      <c r="BC14" s="199"/>
    </row>
  </sheetData>
  <mergeCells count="38">
    <mergeCell ref="BB1:BB2"/>
    <mergeCell ref="BC1:BC2"/>
    <mergeCell ref="BD1:BD2"/>
    <mergeCell ref="AX1:AY2"/>
    <mergeCell ref="AZ1:BA2"/>
    <mergeCell ref="AX10:AY10"/>
    <mergeCell ref="AZ10:BA10"/>
    <mergeCell ref="AX14:AY14"/>
    <mergeCell ref="A1:A2"/>
    <mergeCell ref="B1:B2"/>
    <mergeCell ref="C1:C2"/>
    <mergeCell ref="D1:D2"/>
    <mergeCell ref="E1:E2"/>
    <mergeCell ref="F1:F2"/>
    <mergeCell ref="G1:G2"/>
    <mergeCell ref="H1:H2"/>
    <mergeCell ref="I1:I2"/>
    <mergeCell ref="J1:J2"/>
    <mergeCell ref="K1:K2"/>
    <mergeCell ref="AX6:AY6"/>
    <mergeCell ref="AZ6:BA6"/>
    <mergeCell ref="AX7:AY7"/>
    <mergeCell ref="AZ7:BA7"/>
    <mergeCell ref="AZ3:BA3"/>
    <mergeCell ref="AX4:AY4"/>
    <mergeCell ref="AZ4:BA4"/>
    <mergeCell ref="AX5:AY5"/>
    <mergeCell ref="AZ5:BA5"/>
    <mergeCell ref="AG1:AK1"/>
    <mergeCell ref="AL1:AP1"/>
    <mergeCell ref="AQ1:AR1"/>
    <mergeCell ref="AS1:AW1"/>
    <mergeCell ref="AX3:AY3"/>
    <mergeCell ref="L1:P1"/>
    <mergeCell ref="Q1:U1"/>
    <mergeCell ref="V1:Z1"/>
    <mergeCell ref="AA1:AC1"/>
    <mergeCell ref="AD1:AF1"/>
  </mergeCells>
  <phoneticPr fontId="13" type="noConversion"/>
  <conditionalFormatting sqref="H1:I1">
    <cfRule type="expression" dxfId="92" priority="1" stopIfTrue="1">
      <formula>AND(COUNTIF($J$1:$J$1,H1)&gt;1,NOT(ISBLANK(H1)))</formula>
    </cfRule>
  </conditionalFormatting>
  <conditionalFormatting sqref="J1">
    <cfRule type="duplicateValues" dxfId="91" priority="2" stopIfTrue="1"/>
  </conditionalFormatting>
  <conditionalFormatting sqref="K1:L1">
    <cfRule type="duplicateValues" dxfId="90" priority="3" stopIfTrue="1"/>
  </conditionalFormatting>
  <conditionalFormatting sqref="Q1">
    <cfRule type="duplicateValues" dxfId="89" priority="4" stopIfTrue="1"/>
  </conditionalFormatting>
  <conditionalFormatting sqref="V1">
    <cfRule type="duplicateValues" dxfId="88" priority="5" stopIfTrue="1"/>
  </conditionalFormatting>
  <conditionalFormatting sqref="AG1">
    <cfRule type="duplicateValues" dxfId="87" priority="6" stopIfTrue="1"/>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T4" activePane="bottomRight" state="frozen"/>
      <selection pane="topRight"/>
      <selection pane="bottomLeft"/>
      <selection pane="bottomRight" activeCell="M7" sqref="M7"/>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8980</v>
      </c>
      <c r="M4" s="86">
        <v>264</v>
      </c>
      <c r="N4" s="86">
        <v>66</v>
      </c>
      <c r="O4" s="86">
        <v>9.9</v>
      </c>
      <c r="P4" s="86">
        <v>180</v>
      </c>
      <c r="Q4" s="102">
        <f>ROUND(SUM(M4:P4),2)</f>
        <v>519.9</v>
      </c>
      <c r="R4" s="88">
        <v>0</v>
      </c>
      <c r="S4" s="103">
        <f>L4+IFERROR(VLOOKUP($E:$E,'（居民）工资表-5月'!$E:$S,15,0),0)</f>
        <v>56630</v>
      </c>
      <c r="T4" s="104">
        <f>5000+IFERROR(VLOOKUP($E:$E,'（居民）工资表-5月'!$E:$T,16,0),0)</f>
        <v>30000</v>
      </c>
      <c r="U4" s="104">
        <f>Q4+IFERROR(VLOOKUP($E:$E,'（居民）工资表-5月'!$E:$U,17,0),0)</f>
        <v>3119.4</v>
      </c>
      <c r="V4" s="88"/>
      <c r="W4" s="88"/>
      <c r="X4" s="88">
        <v>6000</v>
      </c>
      <c r="Y4" s="88"/>
      <c r="Z4" s="88"/>
      <c r="AA4" s="88"/>
      <c r="AB4" s="103">
        <f>ROUND(SUM(V4:AA4),2)</f>
        <v>6000</v>
      </c>
      <c r="AC4" s="103">
        <f>R4+IFERROR(VLOOKUP($E:$E,'（居民）工资表-5月'!$E:$AC,25,0),0)</f>
        <v>0</v>
      </c>
      <c r="AD4" s="105">
        <f>ROUND(S4-T4-U4-AB4-AC4,2)</f>
        <v>17510.599999999999</v>
      </c>
      <c r="AE4" s="106">
        <f>ROUND(MAX((AD4)*{0.03;0.1;0.2;0.25;0.3;0.35;0.45}-{0;2520;16920;31920;52920;85920;181920},0),2)</f>
        <v>525.32000000000005</v>
      </c>
      <c r="AF4" s="107">
        <f>IFERROR(VLOOKUP(E:E,'（居民）工资表-5月'!E:AF,28,0)+VLOOKUP(E:E,'（居民）工资表-5月'!E:AG,29,0),0)</f>
        <v>301.52</v>
      </c>
      <c r="AG4" s="107">
        <f>IF((AE4-AF4)&lt;0,0,AE4-AF4)</f>
        <v>223.80000000000007</v>
      </c>
      <c r="AH4" s="110">
        <f>ROUND(IF((L4-Q4-AG4)&lt;0,0,(L4-Q4-AG4)),2)</f>
        <v>8236.2999999999993</v>
      </c>
      <c r="AI4" s="111"/>
      <c r="AJ4" s="110">
        <f>AH4+AI4</f>
        <v>8236.2999999999993</v>
      </c>
      <c r="AK4" s="112"/>
      <c r="AL4" s="110">
        <f>AJ4+AG4+AK4</f>
        <v>8460.0999999999985</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IF(SUMPRODUCT(N(E$1:E$7=E4))&gt;1,"重复","不")</f>
        <v>不</v>
      </c>
      <c r="AT4" s="116" t="str">
        <f>IF(SUMPRODUCT(N(AO$1:AO$7=AO4))&gt;1,"重复","不")</f>
        <v>重复</v>
      </c>
    </row>
    <row r="5" spans="1:46" s="38" customFormat="1" ht="18" customHeight="1">
      <c r="A5" s="52">
        <v>2</v>
      </c>
      <c r="B5" s="53" t="s">
        <v>184</v>
      </c>
      <c r="C5" s="53" t="s">
        <v>84</v>
      </c>
      <c r="D5" s="53" t="s">
        <v>185</v>
      </c>
      <c r="E5" s="282" t="s">
        <v>85</v>
      </c>
      <c r="F5" s="54" t="s">
        <v>187</v>
      </c>
      <c r="G5" s="61">
        <v>13926009696</v>
      </c>
      <c r="H5" s="56"/>
      <c r="I5" s="56"/>
      <c r="J5" s="84"/>
      <c r="K5" s="56"/>
      <c r="L5" s="88">
        <v>5800</v>
      </c>
      <c r="M5" s="86">
        <v>304.24</v>
      </c>
      <c r="N5" s="86">
        <v>123.5</v>
      </c>
      <c r="O5" s="86">
        <v>7.61</v>
      </c>
      <c r="P5" s="86">
        <v>0</v>
      </c>
      <c r="Q5" s="102">
        <f>ROUND(SUM(M5:P5),2)</f>
        <v>435.35</v>
      </c>
      <c r="R5" s="88">
        <v>0</v>
      </c>
      <c r="S5" s="103">
        <f>L5+IFERROR(VLOOKUP($E:$E,'（居民）工资表-5月'!$E:$S,15,0),0)</f>
        <v>5800</v>
      </c>
      <c r="T5" s="104">
        <f>5000+IFERROR(VLOOKUP($E:$E,'（居民）工资表-5月'!$E:$T,16,0),0)</f>
        <v>5000</v>
      </c>
      <c r="U5" s="104">
        <f>Q5+IFERROR(VLOOKUP($E:$E,'（居民）工资表-5月'!$E:$U,17,0),0)</f>
        <v>435.35</v>
      </c>
      <c r="V5" s="88"/>
      <c r="W5" s="88"/>
      <c r="X5" s="88"/>
      <c r="Y5" s="88"/>
      <c r="Z5" s="88"/>
      <c r="AA5" s="88"/>
      <c r="AB5" s="103">
        <f>ROUND(SUM(V5:AA5),2)</f>
        <v>0</v>
      </c>
      <c r="AC5" s="103">
        <f>R5+IFERROR(VLOOKUP($E:$E,'（居民）工资表-5月'!$E:$AC,25,0),0)</f>
        <v>0</v>
      </c>
      <c r="AD5" s="105">
        <f>ROUND(S5-T5-U5-AB5-AC5,2)</f>
        <v>364.65</v>
      </c>
      <c r="AE5" s="106">
        <f>ROUND(MAX((AD5)*{0.03;0.1;0.2;0.25;0.3;0.35;0.45}-{0;2520;16920;31920;52920;85920;181920},0),2)</f>
        <v>10.94</v>
      </c>
      <c r="AF5" s="107">
        <f>IFERROR(VLOOKUP(E:E,'（居民）工资表-5月'!E:AF,28,0)+VLOOKUP(E:E,'（居民）工资表-5月'!E:AG,29,0),0)</f>
        <v>0</v>
      </c>
      <c r="AG5" s="107">
        <f>IF((AE5-AF5)&lt;0,0,AE5-AF5)</f>
        <v>10.94</v>
      </c>
      <c r="AH5" s="110">
        <f>ROUND(IF((L5-Q5-AG5)&lt;0,0,(L5-Q5-AG5)),2)</f>
        <v>5353.71</v>
      </c>
      <c r="AI5" s="111"/>
      <c r="AJ5" s="110">
        <f>AH5+AI5</f>
        <v>5353.71</v>
      </c>
      <c r="AK5" s="112"/>
      <c r="AL5" s="110">
        <f>AJ5+AG5+AK5</f>
        <v>5364.65</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IF(SUMPRODUCT(N(E$1:E$7=E5))&gt;1,"重复","不")</f>
        <v>不</v>
      </c>
      <c r="AT5" s="116" t="str">
        <f>IF(SUMPRODUCT(N(AO$1:AO$7=AO5))&gt;1,"重复","不")</f>
        <v>重复</v>
      </c>
    </row>
    <row r="6" spans="1:46" s="38" customFormat="1" ht="18" customHeight="1">
      <c r="A6" s="52">
        <v>3</v>
      </c>
      <c r="B6" s="53" t="s">
        <v>184</v>
      </c>
      <c r="C6" s="53" t="s">
        <v>93</v>
      </c>
      <c r="D6" s="53" t="s">
        <v>185</v>
      </c>
      <c r="E6" s="53" t="s">
        <v>94</v>
      </c>
      <c r="F6" s="54" t="s">
        <v>186</v>
      </c>
      <c r="G6" s="61">
        <v>13944441728</v>
      </c>
      <c r="H6" s="56"/>
      <c r="I6" s="56"/>
      <c r="J6" s="84"/>
      <c r="K6" s="56"/>
      <c r="L6" s="88">
        <v>8120</v>
      </c>
      <c r="M6" s="86">
        <v>488.48</v>
      </c>
      <c r="N6" s="86">
        <v>122.12</v>
      </c>
      <c r="O6" s="86">
        <v>18.32</v>
      </c>
      <c r="P6" s="86">
        <v>158</v>
      </c>
      <c r="Q6" s="102">
        <f>ROUND(SUM(M6:P6),2)</f>
        <v>786.92</v>
      </c>
      <c r="R6" s="88">
        <v>0</v>
      </c>
      <c r="S6" s="103">
        <f>L6+IFERROR(VLOOKUP($E:$E,'（居民）工资表-5月'!$E:$S,15,0),0)</f>
        <v>43120</v>
      </c>
      <c r="T6" s="104">
        <f>5000+IFERROR(VLOOKUP($E:$E,'（居民）工资表-5月'!$E:$T,16,0),0)</f>
        <v>30000</v>
      </c>
      <c r="U6" s="104">
        <f>Q6+IFERROR(VLOOKUP($E:$E,'（居民）工资表-5月'!$E:$U,17,0),0)</f>
        <v>2951.67</v>
      </c>
      <c r="V6" s="88"/>
      <c r="W6" s="88"/>
      <c r="X6" s="88"/>
      <c r="Y6" s="88"/>
      <c r="Z6" s="88"/>
      <c r="AA6" s="88"/>
      <c r="AB6" s="103">
        <f>ROUND(SUM(V6:AA6),2)</f>
        <v>0</v>
      </c>
      <c r="AC6" s="103">
        <f>R6+IFERROR(VLOOKUP($E:$E,'（居民）工资表-5月'!$E:$AC,25,0),0)</f>
        <v>0</v>
      </c>
      <c r="AD6" s="105">
        <f>ROUND(S6-T6-U6-AB6-AC6,2)</f>
        <v>10168.33</v>
      </c>
      <c r="AE6" s="106">
        <f>ROUND(MAX((AD6)*{0.03;0.1;0.2;0.25;0.3;0.35;0.45}-{0;2520;16920;31920;52920;85920;181920},0),2)</f>
        <v>305.05</v>
      </c>
      <c r="AF6" s="107">
        <f>IFERROR(VLOOKUP(E:E,'（居民）工资表-5月'!E:AF,28,0)+VLOOKUP(E:E,'（居民）工资表-5月'!E:AG,29,0),0)</f>
        <v>85.06</v>
      </c>
      <c r="AG6" s="107">
        <f>IF((AE6-AF6)&lt;0,0,AE6-AF6)</f>
        <v>219.99</v>
      </c>
      <c r="AH6" s="110">
        <f>ROUND(IF((L6-Q6-AG6)&lt;0,0,(L6-Q6-AG6)),2)</f>
        <v>7113.09</v>
      </c>
      <c r="AI6" s="111"/>
      <c r="AJ6" s="110">
        <f>AH6+AI6</f>
        <v>7113.09</v>
      </c>
      <c r="AK6" s="112"/>
      <c r="AL6" s="110">
        <f>AJ6+AG6+AK6</f>
        <v>7333.08</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IF(SUMPRODUCT(N(E$1:E$7=E6))&gt;1,"重复","不")</f>
        <v>不</v>
      </c>
      <c r="AT6" s="116" t="str">
        <f>IF(SUMPRODUCT(N(AO$1:AO$7=AO6))&gt;1,"重复","不")</f>
        <v>重复</v>
      </c>
    </row>
    <row r="7" spans="1:46" s="38" customFormat="1" ht="18" customHeight="1">
      <c r="A7" s="52">
        <v>4</v>
      </c>
      <c r="B7" s="53" t="s">
        <v>184</v>
      </c>
      <c r="C7" s="53" t="s">
        <v>103</v>
      </c>
      <c r="D7" s="53" t="s">
        <v>185</v>
      </c>
      <c r="E7" s="282" t="s">
        <v>104</v>
      </c>
      <c r="F7" s="54" t="s">
        <v>186</v>
      </c>
      <c r="G7" s="61"/>
      <c r="H7" s="56"/>
      <c r="I7" s="56"/>
      <c r="J7" s="84"/>
      <c r="K7" s="56"/>
      <c r="L7" s="88">
        <v>25000</v>
      </c>
      <c r="M7" s="86">
        <f>320*2</f>
        <v>640</v>
      </c>
      <c r="N7" s="86">
        <f>80*2+86.67</f>
        <v>246.67</v>
      </c>
      <c r="O7" s="86">
        <f>12*2</f>
        <v>24</v>
      </c>
      <c r="P7" s="86">
        <v>400</v>
      </c>
      <c r="Q7" s="102">
        <f>ROUND(SUM(M7:P7),2)</f>
        <v>1310.67</v>
      </c>
      <c r="R7" s="88">
        <v>0</v>
      </c>
      <c r="S7" s="103">
        <f>L7+IFERROR(VLOOKUP($E:$E,'（居民）工资表-5月'!$E:$S,15,0),0)</f>
        <v>162000</v>
      </c>
      <c r="T7" s="104">
        <f>5000+IFERROR(VLOOKUP($E:$E,'（居民）工资表-5月'!$E:$T,16,0),0)</f>
        <v>30000</v>
      </c>
      <c r="U7" s="104">
        <f>Q7+IFERROR(VLOOKUP($E:$E,'（居民）工资表-5月'!$E:$U,17,0),0)</f>
        <v>4500.67</v>
      </c>
      <c r="V7" s="88"/>
      <c r="W7" s="88"/>
      <c r="X7" s="88"/>
      <c r="Y7" s="88"/>
      <c r="Z7" s="88"/>
      <c r="AA7" s="88"/>
      <c r="AB7" s="103">
        <f>ROUND(SUM(V7:AA7),2)</f>
        <v>0</v>
      </c>
      <c r="AC7" s="103">
        <f>R7+IFERROR(VLOOKUP($E:$E,'（居民）工资表-5月'!$E:$AC,25,0),0)</f>
        <v>0</v>
      </c>
      <c r="AD7" s="105">
        <f>ROUND(S7-T7-U7-AB7-AC7,2)</f>
        <v>127499.33</v>
      </c>
      <c r="AE7" s="106">
        <f>ROUND(MAX((AD7)*{0.03;0.1;0.2;0.25;0.3;0.35;0.45}-{0;2520;16920;31920;52920;85920;181920},0),2)</f>
        <v>10229.93</v>
      </c>
      <c r="AF7" s="107">
        <f>IFERROR(VLOOKUP(E:E,'（居民）工资表-5月'!E:AF,28,0)+VLOOKUP(E:E,'（居民）工资表-5月'!E:AG,29,0),0)</f>
        <v>6861</v>
      </c>
      <c r="AG7" s="107">
        <f>IF((AE7-AF7)&lt;0,0,AE7-AF7)</f>
        <v>3368.9300000000003</v>
      </c>
      <c r="AH7" s="110">
        <f>ROUND(IF((L7-Q7-AG7)&lt;0,0,(L7-Q7-AG7)),2)</f>
        <v>20320.400000000001</v>
      </c>
      <c r="AI7" s="111"/>
      <c r="AJ7" s="110">
        <f>AH7+AI7</f>
        <v>20320.400000000001</v>
      </c>
      <c r="AK7" s="112"/>
      <c r="AL7" s="110">
        <f>AJ7+AG7+AK7</f>
        <v>23689.33</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IF(SUMPRODUCT(N(E$1:E$7=E7))&gt;1,"重复","不")</f>
        <v>不</v>
      </c>
      <c r="AT7" s="116" t="str">
        <f>IF(SUMPRODUCT(N(AO$1:AO$7=AO7))&gt;1,"重复","不")</f>
        <v>重复</v>
      </c>
    </row>
    <row r="8" spans="1:46" s="39" customFormat="1" ht="18" customHeight="1">
      <c r="A8" s="62"/>
      <c r="B8" s="63" t="s">
        <v>188</v>
      </c>
      <c r="C8" s="63"/>
      <c r="D8" s="64"/>
      <c r="E8" s="65"/>
      <c r="F8" s="66"/>
      <c r="G8" s="67"/>
      <c r="H8" s="66"/>
      <c r="I8" s="89"/>
      <c r="J8" s="90"/>
      <c r="K8" s="89"/>
      <c r="L8" s="91">
        <f t="shared" ref="L8:AL8" si="0">SUM(L4:L7)</f>
        <v>47900</v>
      </c>
      <c r="M8" s="91">
        <f t="shared" si="0"/>
        <v>1696.72</v>
      </c>
      <c r="N8" s="91">
        <f t="shared" si="0"/>
        <v>558.29</v>
      </c>
      <c r="O8" s="91">
        <f t="shared" si="0"/>
        <v>59.83</v>
      </c>
      <c r="P8" s="91">
        <f t="shared" si="0"/>
        <v>738</v>
      </c>
      <c r="Q8" s="91">
        <f t="shared" si="0"/>
        <v>3052.84</v>
      </c>
      <c r="R8" s="91">
        <f t="shared" si="0"/>
        <v>0</v>
      </c>
      <c r="S8" s="91">
        <f t="shared" si="0"/>
        <v>267550</v>
      </c>
      <c r="T8" s="91">
        <f t="shared" si="0"/>
        <v>95000</v>
      </c>
      <c r="U8" s="91">
        <f t="shared" si="0"/>
        <v>11007.09</v>
      </c>
      <c r="V8" s="91">
        <f t="shared" si="0"/>
        <v>0</v>
      </c>
      <c r="W8" s="91">
        <f t="shared" si="0"/>
        <v>0</v>
      </c>
      <c r="X8" s="91">
        <f t="shared" si="0"/>
        <v>6000</v>
      </c>
      <c r="Y8" s="91">
        <f t="shared" si="0"/>
        <v>0</v>
      </c>
      <c r="Z8" s="91">
        <f t="shared" si="0"/>
        <v>0</v>
      </c>
      <c r="AA8" s="91">
        <f t="shared" si="0"/>
        <v>0</v>
      </c>
      <c r="AB8" s="91">
        <f t="shared" si="0"/>
        <v>6000</v>
      </c>
      <c r="AC8" s="91">
        <f t="shared" si="0"/>
        <v>0</v>
      </c>
      <c r="AD8" s="91">
        <f t="shared" si="0"/>
        <v>155542.91</v>
      </c>
      <c r="AE8" s="91">
        <f t="shared" si="0"/>
        <v>11071.24</v>
      </c>
      <c r="AF8" s="91">
        <f t="shared" si="0"/>
        <v>7247.58</v>
      </c>
      <c r="AG8" s="91">
        <f t="shared" si="0"/>
        <v>3823.6600000000003</v>
      </c>
      <c r="AH8" s="91">
        <f t="shared" si="0"/>
        <v>41023.5</v>
      </c>
      <c r="AI8" s="137">
        <f t="shared" si="0"/>
        <v>0</v>
      </c>
      <c r="AJ8" s="91">
        <f t="shared" si="0"/>
        <v>41023.5</v>
      </c>
      <c r="AK8" s="91">
        <f t="shared" si="0"/>
        <v>0</v>
      </c>
      <c r="AL8" s="91">
        <f t="shared" si="0"/>
        <v>44847.16</v>
      </c>
      <c r="AM8" s="113"/>
      <c r="AN8" s="113"/>
      <c r="AO8" s="113"/>
      <c r="AP8" s="113"/>
      <c r="AQ8" s="113"/>
      <c r="AR8" s="66"/>
      <c r="AS8" s="66"/>
      <c r="AT8" s="117"/>
    </row>
    <row r="11" spans="1:46">
      <c r="AD11" s="108"/>
    </row>
    <row r="12" spans="1:46" ht="18.75" customHeight="1">
      <c r="B12" s="68" t="s">
        <v>165</v>
      </c>
      <c r="C12" s="68" t="s">
        <v>189</v>
      </c>
      <c r="D12" s="68" t="s">
        <v>57</v>
      </c>
      <c r="E12" s="68" t="s">
        <v>58</v>
      </c>
      <c r="AD12" s="36"/>
    </row>
    <row r="13" spans="1:46" ht="18.75" customHeight="1">
      <c r="B13" s="69">
        <f>AJ8</f>
        <v>41023.5</v>
      </c>
      <c r="C13" s="69">
        <f>AG8</f>
        <v>3823.6600000000003</v>
      </c>
      <c r="D13" s="69">
        <f>AK8</f>
        <v>0</v>
      </c>
      <c r="E13" s="69">
        <f>B13+C13+D13</f>
        <v>44847.16</v>
      </c>
    </row>
    <row r="14" spans="1:46">
      <c r="B14" s="70"/>
      <c r="C14" s="70"/>
      <c r="D14" s="70"/>
      <c r="E14" s="70"/>
    </row>
    <row r="15" spans="1:46" s="40" customFormat="1">
      <c r="A15" s="71" t="s">
        <v>190</v>
      </c>
      <c r="B15" s="72" t="s">
        <v>191</v>
      </c>
      <c r="C15" s="73"/>
      <c r="D15" s="73"/>
      <c r="E15" s="73"/>
      <c r="G15" s="74"/>
      <c r="J15" s="92"/>
      <c r="M15" s="93"/>
      <c r="AI15" s="114"/>
    </row>
    <row r="16" spans="1:46" s="40" customFormat="1">
      <c r="A16" s="75"/>
      <c r="B16" s="76" t="s">
        <v>192</v>
      </c>
      <c r="C16" s="73"/>
      <c r="D16" s="73"/>
      <c r="E16" s="73"/>
      <c r="G16" s="74"/>
      <c r="J16" s="92"/>
      <c r="M16" s="93"/>
      <c r="AI16" s="114"/>
    </row>
    <row r="17" spans="1:35" s="40" customFormat="1">
      <c r="A17" s="72"/>
      <c r="B17" s="76" t="s">
        <v>193</v>
      </c>
      <c r="C17" s="77"/>
      <c r="D17" s="77"/>
      <c r="E17" s="77"/>
      <c r="F17" s="77"/>
      <c r="G17" s="77"/>
      <c r="H17" s="77"/>
      <c r="I17" s="77"/>
      <c r="J17" s="94"/>
      <c r="K17" s="77"/>
      <c r="L17" s="77"/>
      <c r="M17" s="95"/>
      <c r="N17" s="77"/>
      <c r="O17" s="77"/>
      <c r="P17" s="77"/>
      <c r="AI17" s="114"/>
    </row>
    <row r="18" spans="1:35" s="40" customFormat="1" ht="13.5" customHeight="1">
      <c r="A18" s="76"/>
      <c r="B18" s="76" t="s">
        <v>194</v>
      </c>
      <c r="C18" s="78"/>
      <c r="D18" s="78"/>
      <c r="E18" s="78"/>
      <c r="F18" s="78"/>
      <c r="G18" s="78"/>
      <c r="H18" s="78"/>
      <c r="I18" s="96"/>
      <c r="J18" s="97"/>
      <c r="K18" s="96"/>
      <c r="L18" s="96"/>
      <c r="M18" s="98"/>
      <c r="N18" s="96"/>
      <c r="O18" s="96"/>
      <c r="P18" s="96"/>
      <c r="AI18" s="114"/>
    </row>
    <row r="19" spans="1:35" s="40" customFormat="1" ht="13.5" customHeight="1">
      <c r="A19" s="76"/>
      <c r="B19" s="76" t="s">
        <v>195</v>
      </c>
      <c r="C19" s="78"/>
      <c r="D19" s="78"/>
      <c r="E19" s="78"/>
      <c r="F19" s="78"/>
      <c r="G19" s="78"/>
      <c r="H19" s="78"/>
      <c r="I19" s="78"/>
      <c r="J19" s="99"/>
      <c r="K19" s="78"/>
      <c r="L19" s="96"/>
      <c r="M19" s="98"/>
      <c r="N19" s="96"/>
      <c r="O19" s="96"/>
      <c r="P19" s="96"/>
      <c r="AI19" s="114"/>
    </row>
    <row r="20" spans="1:35" s="40" customFormat="1" ht="13.5" customHeight="1">
      <c r="A20" s="76"/>
      <c r="B20" s="76" t="s">
        <v>196</v>
      </c>
      <c r="C20" s="78"/>
      <c r="D20" s="78"/>
      <c r="E20" s="78"/>
      <c r="F20" s="78"/>
      <c r="G20" s="78"/>
      <c r="H20" s="78"/>
      <c r="I20" s="96"/>
      <c r="J20" s="97"/>
      <c r="K20" s="96"/>
      <c r="L20" s="96"/>
      <c r="M20" s="98"/>
      <c r="N20" s="96"/>
      <c r="O20" s="96"/>
      <c r="P20" s="96"/>
      <c r="AI20" s="114"/>
    </row>
    <row r="22" spans="1:35" ht="11.25" customHeight="1">
      <c r="B22" s="79" t="s">
        <v>197</v>
      </c>
    </row>
    <row r="23" spans="1:35">
      <c r="B23" s="80" t="s">
        <v>198</v>
      </c>
    </row>
    <row r="24" spans="1:35">
      <c r="B24" s="80" t="s">
        <v>199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0">
    <cfRule type="duplicateValues" dxfId="86" priority="2" stopIfTrue="1"/>
  </conditionalFormatting>
  <conditionalFormatting sqref="B15:B19">
    <cfRule type="duplicateValues" dxfId="85" priority="3" stopIfTrue="1"/>
  </conditionalFormatting>
  <conditionalFormatting sqref="B23:B24">
    <cfRule type="duplicateValues" dxfId="84" priority="1" stopIfTrue="1"/>
  </conditionalFormatting>
  <conditionalFormatting sqref="C12:C14">
    <cfRule type="duplicateValues" dxfId="83" priority="4" stopIfTrue="1"/>
    <cfRule type="expression" dxfId="82" priority="5" stopIfTrue="1">
      <formula>AND(COUNTIF($B$8:$B$65444,C12)+COUNTIF($B$1:$B$3,C12)&gt;1,NOT(ISBLANK(C12)))</formula>
    </cfRule>
    <cfRule type="expression" dxfId="81" priority="6" stopIfTrue="1">
      <formula>AND(COUNTIF($B$19:$B$65395,C12)+COUNTIF($B$1:$B$18,C12)&gt;1,NOT(ISBLANK(C12)))</formula>
    </cfRule>
    <cfRule type="expression" dxfId="80"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4"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7700</v>
      </c>
      <c r="M4" s="86">
        <v>264</v>
      </c>
      <c r="N4" s="86">
        <v>66</v>
      </c>
      <c r="O4" s="86">
        <v>9.9</v>
      </c>
      <c r="P4" s="86">
        <v>180</v>
      </c>
      <c r="Q4" s="102">
        <f>ROUND(SUM(M4:P4),2)</f>
        <v>519.9</v>
      </c>
      <c r="R4" s="88">
        <v>0</v>
      </c>
      <c r="S4" s="103">
        <f>L4+IFERROR(VLOOKUP($E:$E,'（居民）工资表-6月'!$E:$S,15,0),0)</f>
        <v>64330</v>
      </c>
      <c r="T4" s="104">
        <f>5000+IFERROR(VLOOKUP($E:$E,'（居民）工资表-6月'!$E:$T,16,0),0)</f>
        <v>35000</v>
      </c>
      <c r="U4" s="104">
        <f>Q4+IFERROR(VLOOKUP($E:$E,'（居民）工资表-6月'!$E:$U,17,0),0)</f>
        <v>3639.3</v>
      </c>
      <c r="V4" s="88"/>
      <c r="W4" s="88"/>
      <c r="X4" s="88">
        <v>7000</v>
      </c>
      <c r="Y4" s="88"/>
      <c r="Z4" s="88"/>
      <c r="AA4" s="88"/>
      <c r="AB4" s="103">
        <f>ROUND(SUM(V4:AA4),2)</f>
        <v>7000</v>
      </c>
      <c r="AC4" s="103">
        <f>R4+IFERROR(VLOOKUP($E:$E,'（居民）工资表-6月'!$E:$AC,25,0),0)</f>
        <v>0</v>
      </c>
      <c r="AD4" s="105">
        <f>ROUND(S4-T4-U4-AB4-AC4,2)</f>
        <v>18690.7</v>
      </c>
      <c r="AE4" s="106">
        <f>ROUND(MAX((AD4)*{0.03;0.1;0.2;0.25;0.3;0.35;0.45}-{0;2520;16920;31920;52920;85920;181920},0),2)</f>
        <v>560.72</v>
      </c>
      <c r="AF4" s="107">
        <f>IFERROR(VLOOKUP(E:E,'（居民）工资表-6月'!E:AF,28,0)+VLOOKUP(E:E,'（居民）工资表-6月'!E:AG,29,0),0)</f>
        <v>525.32000000000005</v>
      </c>
      <c r="AG4" s="107">
        <f>IF((AE4-AF4)&lt;0,0,AE4-AF4)</f>
        <v>35.399999999999977</v>
      </c>
      <c r="AH4" s="110">
        <f>ROUND(IF((L4-Q4-AG4)&lt;0,0,(L4-Q4-AG4)),2)</f>
        <v>7144.7</v>
      </c>
      <c r="AI4" s="111"/>
      <c r="AJ4" s="110">
        <f>AH4+AI4</f>
        <v>7144.7</v>
      </c>
      <c r="AK4" s="112"/>
      <c r="AL4" s="110">
        <f>AJ4+AG4+AK4</f>
        <v>7180.0999999999995</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IF(SUMPRODUCT(N(E$1:E$8=E4))&gt;1,"重复","不")</f>
        <v>不</v>
      </c>
      <c r="AT4" s="116" t="str">
        <f>IF(SUMPRODUCT(N(AO$1:AO$8=AO4))&gt;1,"重复","不")</f>
        <v>重复</v>
      </c>
    </row>
    <row r="5" spans="1:46" s="38" customFormat="1" ht="18" customHeight="1">
      <c r="A5" s="52">
        <v>2</v>
      </c>
      <c r="B5" s="53" t="s">
        <v>184</v>
      </c>
      <c r="C5" s="53" t="s">
        <v>84</v>
      </c>
      <c r="D5" s="53" t="s">
        <v>185</v>
      </c>
      <c r="E5" s="282" t="s">
        <v>85</v>
      </c>
      <c r="F5" s="54" t="s">
        <v>187</v>
      </c>
      <c r="G5" s="61">
        <v>13926009696</v>
      </c>
      <c r="H5" s="56"/>
      <c r="I5" s="56"/>
      <c r="J5" s="84"/>
      <c r="K5" s="56"/>
      <c r="L5" s="88">
        <v>4745.4545454545496</v>
      </c>
      <c r="M5" s="86">
        <v>304.24</v>
      </c>
      <c r="N5" s="86">
        <v>123.5</v>
      </c>
      <c r="O5" s="86">
        <v>7.61</v>
      </c>
      <c r="P5" s="86">
        <v>0</v>
      </c>
      <c r="Q5" s="102">
        <f>ROUND(SUM(M5:P5),2)</f>
        <v>435.35</v>
      </c>
      <c r="R5" s="88">
        <v>0</v>
      </c>
      <c r="S5" s="103">
        <f>L5+IFERROR(VLOOKUP($E:$E,'（居民）工资表-6月'!$E:$S,15,0),0)</f>
        <v>10545.45454545455</v>
      </c>
      <c r="T5" s="104">
        <f>5000+IFERROR(VLOOKUP($E:$E,'（居民）工资表-6月'!$E:$T,16,0),0)</f>
        <v>10000</v>
      </c>
      <c r="U5" s="104">
        <f>Q5+IFERROR(VLOOKUP($E:$E,'（居民）工资表-6月'!$E:$U,17,0),0)</f>
        <v>870.7</v>
      </c>
      <c r="V5" s="88"/>
      <c r="W5" s="88"/>
      <c r="X5" s="88"/>
      <c r="Y5" s="88"/>
      <c r="Z5" s="88"/>
      <c r="AA5" s="88"/>
      <c r="AB5" s="103">
        <f>ROUND(SUM(V5:AA5),2)</f>
        <v>0</v>
      </c>
      <c r="AC5" s="103">
        <f>R5+IFERROR(VLOOKUP($E:$E,'（居民）工资表-6月'!$E:$AC,25,0),0)</f>
        <v>0</v>
      </c>
      <c r="AD5" s="105">
        <f>ROUND(S5-T5-U5-AB5-AC5,2)</f>
        <v>-325.25</v>
      </c>
      <c r="AE5" s="106">
        <f>ROUND(MAX((AD5)*{0.03;0.1;0.2;0.25;0.3;0.35;0.45}-{0;2520;16920;31920;52920;85920;181920},0),2)</f>
        <v>0</v>
      </c>
      <c r="AF5" s="107">
        <f>IFERROR(VLOOKUP(E:E,'（居民）工资表-6月'!E:AF,28,0)+VLOOKUP(E:E,'（居民）工资表-6月'!E:AG,29,0),0)</f>
        <v>10.94</v>
      </c>
      <c r="AG5" s="107">
        <f>IF((AE5-AF5)&lt;0,0,AE5-AF5)</f>
        <v>0</v>
      </c>
      <c r="AH5" s="110">
        <f>ROUND(IF((L5-Q5-AG5)&lt;0,0,(L5-Q5-AG5)),2)</f>
        <v>4310.1000000000004</v>
      </c>
      <c r="AI5" s="111"/>
      <c r="AJ5" s="110">
        <f>AH5+AI5</f>
        <v>4310.1000000000004</v>
      </c>
      <c r="AK5" s="112"/>
      <c r="AL5" s="110">
        <f>AJ5+AG5+AK5</f>
        <v>4310.1000000000004</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IF(SUMPRODUCT(N(E$1:E$8=E5))&gt;1,"重复","不")</f>
        <v>不</v>
      </c>
      <c r="AT5" s="116" t="str">
        <f>IF(SUMPRODUCT(N(AO$1:AO$8=AO5))&gt;1,"重复","不")</f>
        <v>重复</v>
      </c>
    </row>
    <row r="6" spans="1:46" s="38" customFormat="1" ht="18" customHeight="1">
      <c r="A6" s="52">
        <v>3</v>
      </c>
      <c r="B6" s="53" t="s">
        <v>184</v>
      </c>
      <c r="C6" s="53" t="s">
        <v>93</v>
      </c>
      <c r="D6" s="53" t="s">
        <v>185</v>
      </c>
      <c r="E6" s="53" t="s">
        <v>94</v>
      </c>
      <c r="F6" s="54" t="s">
        <v>186</v>
      </c>
      <c r="G6" s="61">
        <v>13944441728</v>
      </c>
      <c r="H6" s="56"/>
      <c r="I6" s="56"/>
      <c r="J6" s="84"/>
      <c r="K6" s="56"/>
      <c r="L6" s="88">
        <v>7000</v>
      </c>
      <c r="M6" s="86">
        <v>244.24</v>
      </c>
      <c r="N6" s="86">
        <v>61.06</v>
      </c>
      <c r="O6" s="86">
        <v>9.16</v>
      </c>
      <c r="P6" s="86">
        <v>79</v>
      </c>
      <c r="Q6" s="102">
        <f>ROUND(SUM(M6:P6),2)</f>
        <v>393.46</v>
      </c>
      <c r="R6" s="88">
        <v>0</v>
      </c>
      <c r="S6" s="103">
        <f>L6+IFERROR(VLOOKUP($E:$E,'（居民）工资表-6月'!$E:$S,15,0),0)</f>
        <v>50120</v>
      </c>
      <c r="T6" s="104">
        <f>5000+IFERROR(VLOOKUP($E:$E,'（居民）工资表-6月'!$E:$T,16,0),0)</f>
        <v>35000</v>
      </c>
      <c r="U6" s="104">
        <f>Q6+IFERROR(VLOOKUP($E:$E,'（居民）工资表-6月'!$E:$U,17,0),0)</f>
        <v>3345.13</v>
      </c>
      <c r="V6" s="88"/>
      <c r="W6" s="88"/>
      <c r="X6" s="88"/>
      <c r="Y6" s="88"/>
      <c r="Z6" s="88"/>
      <c r="AA6" s="88"/>
      <c r="AB6" s="103">
        <f>ROUND(SUM(V6:AA6),2)</f>
        <v>0</v>
      </c>
      <c r="AC6" s="103">
        <f>R6+IFERROR(VLOOKUP($E:$E,'（居民）工资表-6月'!$E:$AC,25,0),0)</f>
        <v>0</v>
      </c>
      <c r="AD6" s="105">
        <f>ROUND(S6-T6-U6-AB6-AC6,2)</f>
        <v>11774.87</v>
      </c>
      <c r="AE6" s="106">
        <f>ROUND(MAX((AD6)*{0.03;0.1;0.2;0.25;0.3;0.35;0.45}-{0;2520;16920;31920;52920;85920;181920},0),2)</f>
        <v>353.25</v>
      </c>
      <c r="AF6" s="107">
        <f>IFERROR(VLOOKUP(E:E,'（居民）工资表-6月'!E:AF,28,0)+VLOOKUP(E:E,'（居民）工资表-6月'!E:AG,29,0),0)</f>
        <v>305.05</v>
      </c>
      <c r="AG6" s="107">
        <f>IF((AE6-AF6)&lt;0,0,AE6-AF6)</f>
        <v>48.199999999999989</v>
      </c>
      <c r="AH6" s="110">
        <f>ROUND(IF((L6-Q6-AG6)&lt;0,0,(L6-Q6-AG6)),2)</f>
        <v>6558.34</v>
      </c>
      <c r="AI6" s="111"/>
      <c r="AJ6" s="110">
        <f>AH6+AI6</f>
        <v>6558.34</v>
      </c>
      <c r="AK6" s="112"/>
      <c r="AL6" s="110">
        <f>AJ6+AG6+AK6</f>
        <v>6606.54</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IF(SUMPRODUCT(N(E$1:E$8=E6))&gt;1,"重复","不")</f>
        <v>不</v>
      </c>
      <c r="AT6" s="116" t="str">
        <f>IF(SUMPRODUCT(N(AO$1:AO$8=AO6))&gt;1,"重复","不")</f>
        <v>重复</v>
      </c>
    </row>
    <row r="7" spans="1:46" s="38" customFormat="1" ht="18" customHeight="1">
      <c r="A7" s="52">
        <v>4</v>
      </c>
      <c r="B7" s="53" t="s">
        <v>184</v>
      </c>
      <c r="C7" s="53" t="s">
        <v>103</v>
      </c>
      <c r="D7" s="53" t="s">
        <v>185</v>
      </c>
      <c r="E7" s="282" t="s">
        <v>104</v>
      </c>
      <c r="F7" s="54" t="s">
        <v>186</v>
      </c>
      <c r="G7" s="61">
        <v>18607383005</v>
      </c>
      <c r="H7" s="56"/>
      <c r="I7" s="56"/>
      <c r="J7" s="84"/>
      <c r="K7" s="56"/>
      <c r="L7" s="88">
        <v>24800</v>
      </c>
      <c r="M7" s="86">
        <f>320</f>
        <v>320</v>
      </c>
      <c r="N7" s="86">
        <f>80</f>
        <v>80</v>
      </c>
      <c r="O7" s="86">
        <f>12</f>
        <v>12</v>
      </c>
      <c r="P7" s="86">
        <v>200</v>
      </c>
      <c r="Q7" s="102">
        <f>ROUND(SUM(M7:P7),2)</f>
        <v>612</v>
      </c>
      <c r="R7" s="88">
        <v>0</v>
      </c>
      <c r="S7" s="103">
        <f>L7+IFERROR(VLOOKUP($E:$E,'（居民）工资表-6月'!$E:$S,15,0),0)</f>
        <v>186800</v>
      </c>
      <c r="T7" s="104">
        <f>5000+IFERROR(VLOOKUP($E:$E,'（居民）工资表-6月'!$E:$T,16,0),0)</f>
        <v>35000</v>
      </c>
      <c r="U7" s="104">
        <f>Q7+IFERROR(VLOOKUP($E:$E,'（居民）工资表-6月'!$E:$U,17,0),0)</f>
        <v>5112.67</v>
      </c>
      <c r="V7" s="88"/>
      <c r="W7" s="88"/>
      <c r="X7" s="88"/>
      <c r="Y7" s="88"/>
      <c r="Z7" s="88"/>
      <c r="AA7" s="88"/>
      <c r="AB7" s="103">
        <f>ROUND(SUM(V7:AA7),2)</f>
        <v>0</v>
      </c>
      <c r="AC7" s="103">
        <f>R7+IFERROR(VLOOKUP($E:$E,'（居民）工资表-6月'!$E:$AC,25,0),0)</f>
        <v>0</v>
      </c>
      <c r="AD7" s="105">
        <f>ROUND(S7-T7-U7-AB7-AC7,2)</f>
        <v>146687.32999999999</v>
      </c>
      <c r="AE7" s="106">
        <f>ROUND(MAX((AD7)*{0.03;0.1;0.2;0.25;0.3;0.35;0.45}-{0;2520;16920;31920;52920;85920;181920},0),2)</f>
        <v>12417.47</v>
      </c>
      <c r="AF7" s="107">
        <f>IFERROR(VLOOKUP(E:E,'（居民）工资表-6月'!E:AF,28,0)+VLOOKUP(E:E,'（居民）工资表-6月'!E:AG,29,0),0)</f>
        <v>10229.93</v>
      </c>
      <c r="AG7" s="107">
        <f>IF((AE7-AF7)&lt;0,0,AE7-AF7)</f>
        <v>2187.5399999999991</v>
      </c>
      <c r="AH7" s="110">
        <f>ROUND(IF((L7-Q7-AG7)&lt;0,0,(L7-Q7-AG7)),2)</f>
        <v>22000.46</v>
      </c>
      <c r="AI7" s="111"/>
      <c r="AJ7" s="110">
        <f>AH7+AI7</f>
        <v>22000.46</v>
      </c>
      <c r="AK7" s="112"/>
      <c r="AL7" s="110">
        <f>AJ7+AG7+AK7</f>
        <v>24188</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IF(SUMPRODUCT(N(E$1:E$8=E7))&gt;1,"重复","不")</f>
        <v>不</v>
      </c>
      <c r="AT7" s="116" t="str">
        <f>IF(SUMPRODUCT(N(AO$1:AO$8=AO7))&gt;1,"重复","不")</f>
        <v>重复</v>
      </c>
    </row>
    <row r="8" spans="1:46" s="38" customFormat="1" ht="18" customHeight="1">
      <c r="A8" s="52">
        <v>5</v>
      </c>
      <c r="B8" s="53" t="s">
        <v>184</v>
      </c>
      <c r="C8" s="53" t="s">
        <v>110</v>
      </c>
      <c r="D8" s="53" t="s">
        <v>185</v>
      </c>
      <c r="E8" s="282" t="s">
        <v>111</v>
      </c>
      <c r="F8" s="54" t="str">
        <f>IF(MOD(MID(E8,17,1),2)=1,"男","女")</f>
        <v>女</v>
      </c>
      <c r="G8" s="61">
        <v>15360550807</v>
      </c>
      <c r="H8" s="56"/>
      <c r="I8" s="56"/>
      <c r="J8" s="84"/>
      <c r="K8" s="56"/>
      <c r="L8" s="88">
        <v>3523.6363636363599</v>
      </c>
      <c r="M8" s="86"/>
      <c r="N8" s="86"/>
      <c r="O8" s="86"/>
      <c r="P8" s="86"/>
      <c r="Q8" s="102">
        <f>ROUND(SUM(M8:P8),2)</f>
        <v>0</v>
      </c>
      <c r="R8" s="88">
        <v>0</v>
      </c>
      <c r="S8" s="103">
        <f>L8+IFERROR(VLOOKUP($E:$E,'（居民）工资表-6月'!$E:$S,15,0),0)</f>
        <v>3523.6363636363599</v>
      </c>
      <c r="T8" s="104">
        <f>5000+IFERROR(VLOOKUP($E:$E,'（居民）工资表-6月'!$E:$T,16,0),0)</f>
        <v>5000</v>
      </c>
      <c r="U8" s="104">
        <f>Q8+IFERROR(VLOOKUP($E:$E,'（居民）工资表-6月'!$E:$U,17,0),0)</f>
        <v>0</v>
      </c>
      <c r="V8" s="88"/>
      <c r="W8" s="88"/>
      <c r="X8" s="88"/>
      <c r="Y8" s="88"/>
      <c r="Z8" s="88"/>
      <c r="AA8" s="88"/>
      <c r="AB8" s="103">
        <f>ROUND(SUM(V8:AA8),2)</f>
        <v>0</v>
      </c>
      <c r="AC8" s="103">
        <f>R8+IFERROR(VLOOKUP($E:$E,'（居民）工资表-6月'!$E:$AC,25,0),0)</f>
        <v>0</v>
      </c>
      <c r="AD8" s="105">
        <f>ROUND(S8-T8-U8-AB8-AC8,2)</f>
        <v>-1476.36</v>
      </c>
      <c r="AE8" s="106">
        <f>ROUND(MAX((AD8)*{0.03;0.1;0.2;0.25;0.3;0.35;0.45}-{0;2520;16920;31920;52920;85920;181920},0),2)</f>
        <v>0</v>
      </c>
      <c r="AF8" s="107">
        <f>IFERROR(VLOOKUP(E:E,'（居民）工资表-6月'!E:AF,28,0)+VLOOKUP(E:E,'（居民）工资表-6月'!E:AG,29,0),0)</f>
        <v>0</v>
      </c>
      <c r="AG8" s="107">
        <f>IF((AE8-AF8)&lt;0,0,AE8-AF8)</f>
        <v>0</v>
      </c>
      <c r="AH8" s="110">
        <f>ROUND(IF((L8-Q8-AG8)&lt;0,0,(L8-Q8-AG8)),2)</f>
        <v>3523.64</v>
      </c>
      <c r="AI8" s="111"/>
      <c r="AJ8" s="110">
        <f>AH8+AI8</f>
        <v>3523.64</v>
      </c>
      <c r="AK8" s="112"/>
      <c r="AL8" s="110">
        <f>AJ8+AG8+AK8</f>
        <v>3523.64</v>
      </c>
      <c r="AM8" s="112"/>
      <c r="AN8" s="112"/>
      <c r="AO8" s="112"/>
      <c r="AP8" s="112"/>
      <c r="AQ8" s="112"/>
      <c r="AR8" s="116"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6" t="str">
        <f>IF(SUMPRODUCT(N(E$1:E$8=E8))&gt;1,"重复","不")</f>
        <v>不</v>
      </c>
      <c r="AT8" s="116" t="str">
        <f>IF(SUMPRODUCT(N(AO$1:AO$8=AO8))&gt;1,"重复","不")</f>
        <v>重复</v>
      </c>
    </row>
    <row r="9" spans="1:46" s="39" customFormat="1" ht="18" customHeight="1">
      <c r="A9" s="62"/>
      <c r="B9" s="63" t="s">
        <v>188</v>
      </c>
      <c r="C9" s="63"/>
      <c r="D9" s="64"/>
      <c r="E9" s="65"/>
      <c r="F9" s="66"/>
      <c r="G9" s="67"/>
      <c r="H9" s="66"/>
      <c r="I9" s="89"/>
      <c r="J9" s="90"/>
      <c r="K9" s="89"/>
      <c r="L9" s="91">
        <f t="shared" ref="L9:AL9" si="0">SUM(L4:L8)</f>
        <v>47769.090909090897</v>
      </c>
      <c r="M9" s="91">
        <f t="shared" si="0"/>
        <v>1132.48</v>
      </c>
      <c r="N9" s="91">
        <f t="shared" si="0"/>
        <v>330.56</v>
      </c>
      <c r="O9" s="91">
        <f t="shared" si="0"/>
        <v>38.67</v>
      </c>
      <c r="P9" s="91">
        <f t="shared" si="0"/>
        <v>459</v>
      </c>
      <c r="Q9" s="91">
        <f t="shared" si="0"/>
        <v>1960.71</v>
      </c>
      <c r="R9" s="91">
        <f t="shared" si="0"/>
        <v>0</v>
      </c>
      <c r="S9" s="91">
        <f t="shared" si="0"/>
        <v>315319.09090909088</v>
      </c>
      <c r="T9" s="91">
        <f t="shared" si="0"/>
        <v>120000</v>
      </c>
      <c r="U9" s="91">
        <f t="shared" si="0"/>
        <v>12967.8</v>
      </c>
      <c r="V9" s="91">
        <f t="shared" si="0"/>
        <v>0</v>
      </c>
      <c r="W9" s="91">
        <f t="shared" si="0"/>
        <v>0</v>
      </c>
      <c r="X9" s="91">
        <f t="shared" si="0"/>
        <v>7000</v>
      </c>
      <c r="Y9" s="91">
        <f t="shared" si="0"/>
        <v>0</v>
      </c>
      <c r="Z9" s="91">
        <f t="shared" si="0"/>
        <v>0</v>
      </c>
      <c r="AA9" s="91">
        <f t="shared" si="0"/>
        <v>0</v>
      </c>
      <c r="AB9" s="91">
        <f t="shared" si="0"/>
        <v>7000</v>
      </c>
      <c r="AC9" s="91">
        <f t="shared" si="0"/>
        <v>0</v>
      </c>
      <c r="AD9" s="91">
        <f t="shared" si="0"/>
        <v>175351.29</v>
      </c>
      <c r="AE9" s="91">
        <f t="shared" si="0"/>
        <v>13331.439999999999</v>
      </c>
      <c r="AF9" s="91">
        <f t="shared" si="0"/>
        <v>11071.24</v>
      </c>
      <c r="AG9" s="91">
        <f t="shared" si="0"/>
        <v>2271.139999999999</v>
      </c>
      <c r="AH9" s="91">
        <f t="shared" si="0"/>
        <v>43537.24</v>
      </c>
      <c r="AI9" s="137">
        <f t="shared" si="0"/>
        <v>0</v>
      </c>
      <c r="AJ9" s="91">
        <f t="shared" si="0"/>
        <v>43537.24</v>
      </c>
      <c r="AK9" s="91">
        <f t="shared" si="0"/>
        <v>0</v>
      </c>
      <c r="AL9" s="91">
        <f t="shared" si="0"/>
        <v>45808.380000000005</v>
      </c>
      <c r="AM9" s="113"/>
      <c r="AN9" s="113"/>
      <c r="AO9" s="113"/>
      <c r="AP9" s="113"/>
      <c r="AQ9" s="113"/>
      <c r="AR9" s="66"/>
      <c r="AS9" s="66"/>
      <c r="AT9" s="117"/>
    </row>
    <row r="12" spans="1:46">
      <c r="AD12" s="108"/>
    </row>
    <row r="13" spans="1:46" ht="18.75" customHeight="1">
      <c r="B13" s="68" t="s">
        <v>165</v>
      </c>
      <c r="C13" s="68" t="s">
        <v>189</v>
      </c>
      <c r="D13" s="68" t="s">
        <v>57</v>
      </c>
      <c r="E13" s="68" t="s">
        <v>58</v>
      </c>
      <c r="AD13" s="36"/>
    </row>
    <row r="14" spans="1:46" ht="18.75" customHeight="1">
      <c r="B14" s="69">
        <f>AJ9</f>
        <v>43537.24</v>
      </c>
      <c r="C14" s="69">
        <f>AG9</f>
        <v>2271.139999999999</v>
      </c>
      <c r="D14" s="69">
        <f>AK9</f>
        <v>0</v>
      </c>
      <c r="E14" s="69">
        <f>B14+C14+D14</f>
        <v>45808.38</v>
      </c>
    </row>
    <row r="15" spans="1:46">
      <c r="B15" s="70"/>
      <c r="C15" s="70"/>
      <c r="D15" s="70"/>
      <c r="E15" s="70">
        <f>社保1!BC10</f>
        <v>8581.1500000000015</v>
      </c>
    </row>
    <row r="16" spans="1:46" s="40" customFormat="1">
      <c r="A16" s="71" t="s">
        <v>190</v>
      </c>
      <c r="B16" s="72" t="s">
        <v>191</v>
      </c>
      <c r="C16" s="73"/>
      <c r="D16" s="73"/>
      <c r="E16" s="73"/>
      <c r="G16" s="74"/>
      <c r="J16" s="92"/>
      <c r="M16" s="93"/>
      <c r="AI16" s="114"/>
    </row>
    <row r="17" spans="1:35" s="40" customFormat="1">
      <c r="A17" s="75"/>
      <c r="B17" s="76" t="s">
        <v>192</v>
      </c>
      <c r="C17" s="73"/>
      <c r="D17" s="73"/>
      <c r="E17" s="73"/>
      <c r="G17" s="74"/>
      <c r="J17" s="92"/>
      <c r="M17" s="93"/>
      <c r="AI17" s="114"/>
    </row>
    <row r="18" spans="1:35" s="40" customFormat="1">
      <c r="A18" s="72"/>
      <c r="B18" s="76" t="s">
        <v>193</v>
      </c>
      <c r="C18" s="77"/>
      <c r="D18" s="77"/>
      <c r="E18" s="77"/>
      <c r="F18" s="77"/>
      <c r="G18" s="77"/>
      <c r="H18" s="77"/>
      <c r="I18" s="77"/>
      <c r="J18" s="94"/>
      <c r="K18" s="77"/>
      <c r="L18" s="77"/>
      <c r="M18" s="95"/>
      <c r="N18" s="77"/>
      <c r="O18" s="77"/>
      <c r="P18" s="77"/>
      <c r="AI18" s="114"/>
    </row>
    <row r="19" spans="1:35" s="40" customFormat="1" ht="13.5" customHeight="1">
      <c r="A19" s="76"/>
      <c r="B19" s="76" t="s">
        <v>194</v>
      </c>
      <c r="C19" s="78"/>
      <c r="D19" s="78"/>
      <c r="E19" s="78"/>
      <c r="F19" s="78"/>
      <c r="G19" s="78"/>
      <c r="H19" s="78"/>
      <c r="I19" s="96"/>
      <c r="J19" s="97"/>
      <c r="K19" s="96"/>
      <c r="L19" s="96"/>
      <c r="M19" s="98"/>
      <c r="N19" s="96"/>
      <c r="O19" s="96"/>
      <c r="P19" s="96"/>
      <c r="AI19" s="114"/>
    </row>
    <row r="20" spans="1:35" s="40" customFormat="1" ht="13.5" customHeight="1">
      <c r="A20" s="76"/>
      <c r="B20" s="76" t="s">
        <v>195</v>
      </c>
      <c r="C20" s="78"/>
      <c r="D20" s="78"/>
      <c r="E20" s="78"/>
      <c r="F20" s="78"/>
      <c r="G20" s="78"/>
      <c r="H20" s="78"/>
      <c r="I20" s="78"/>
      <c r="J20" s="99"/>
      <c r="K20" s="78"/>
      <c r="L20" s="96"/>
      <c r="M20" s="98"/>
      <c r="N20" s="96"/>
      <c r="O20" s="96"/>
      <c r="P20" s="96"/>
      <c r="AI20" s="114"/>
    </row>
    <row r="21" spans="1:35" s="40" customFormat="1" ht="13.5" customHeight="1">
      <c r="A21" s="76"/>
      <c r="B21" s="76" t="s">
        <v>196</v>
      </c>
      <c r="C21" s="78"/>
      <c r="D21" s="78"/>
      <c r="E21" s="78"/>
      <c r="F21" s="78"/>
      <c r="G21" s="78"/>
      <c r="H21" s="78"/>
      <c r="I21" s="96"/>
      <c r="J21" s="97"/>
      <c r="K21" s="96"/>
      <c r="L21" s="96"/>
      <c r="M21" s="98"/>
      <c r="N21" s="96"/>
      <c r="O21" s="96"/>
      <c r="P21" s="96"/>
      <c r="AI21" s="114"/>
    </row>
    <row r="23" spans="1:35" ht="11.25" customHeight="1">
      <c r="B23" s="79" t="s">
        <v>197</v>
      </c>
    </row>
    <row r="24" spans="1:35">
      <c r="B24" s="80" t="s">
        <v>198</v>
      </c>
    </row>
    <row r="25" spans="1:35">
      <c r="B25" s="80" t="s">
        <v>199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1">
    <cfRule type="duplicateValues" dxfId="79" priority="2" stopIfTrue="1"/>
  </conditionalFormatting>
  <conditionalFormatting sqref="B16:B20">
    <cfRule type="duplicateValues" dxfId="78" priority="3" stopIfTrue="1"/>
  </conditionalFormatting>
  <conditionalFormatting sqref="B24:B25">
    <cfRule type="duplicateValues" dxfId="77" priority="1" stopIfTrue="1"/>
  </conditionalFormatting>
  <conditionalFormatting sqref="C13:C15">
    <cfRule type="duplicateValues" dxfId="76" priority="4" stopIfTrue="1"/>
    <cfRule type="expression" dxfId="75" priority="5" stopIfTrue="1">
      <formula>AND(COUNTIF($B$9:$B$65445,C13)+COUNTIF($B$1:$B$3,C13)&gt;1,NOT(ISBLANK(C13)))</formula>
    </cfRule>
    <cfRule type="expression" dxfId="74" priority="6" stopIfTrue="1">
      <formula>AND(COUNTIF($B$20:$B$65396,C13)+COUNTIF($B$1:$B$19,C13)&gt;1,NOT(ISBLANK(C13)))</formula>
    </cfRule>
    <cfRule type="expression" dxfId="73"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3.375"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8660</v>
      </c>
      <c r="M4" s="86">
        <v>264</v>
      </c>
      <c r="N4" s="86">
        <v>66</v>
      </c>
      <c r="O4" s="86">
        <v>9.9</v>
      </c>
      <c r="P4" s="86">
        <v>180</v>
      </c>
      <c r="Q4" s="102">
        <f>ROUND(SUM(M4:P4),2)</f>
        <v>519.9</v>
      </c>
      <c r="R4" s="88">
        <v>0</v>
      </c>
      <c r="S4" s="103">
        <f>L4+IFERROR(VLOOKUP($E:$E,'（居民）工资表-7月'!$E:$S,15,0),0)</f>
        <v>72990</v>
      </c>
      <c r="T4" s="104">
        <f>5000+IFERROR(VLOOKUP($E:$E,'（居民）工资表-7月'!$E:$T,16,0),0)</f>
        <v>40000</v>
      </c>
      <c r="U4" s="104">
        <f>Q4+IFERROR(VLOOKUP($E:$E,'（居民）工资表-7月'!$E:$U,17,0),0)</f>
        <v>4159.2</v>
      </c>
      <c r="V4" s="88"/>
      <c r="W4" s="88"/>
      <c r="X4" s="88">
        <v>8000</v>
      </c>
      <c r="Y4" s="88"/>
      <c r="Z4" s="88"/>
      <c r="AA4" s="88"/>
      <c r="AB4" s="103">
        <f>ROUND(SUM(V4:AA4),2)</f>
        <v>8000</v>
      </c>
      <c r="AC4" s="103">
        <f>R4+IFERROR(VLOOKUP($E:$E,'（居民）工资表-7月'!$E:$AC,25,0),0)</f>
        <v>0</v>
      </c>
      <c r="AD4" s="105">
        <f>ROUND(S4-T4-U4-AB4-AC4,2)</f>
        <v>20830.8</v>
      </c>
      <c r="AE4" s="106">
        <f>ROUND(MAX((AD4)*{0.03;0.1;0.2;0.25;0.3;0.35;0.45}-{0;2520;16920;31920;52920;85920;181920},0),2)</f>
        <v>624.91999999999996</v>
      </c>
      <c r="AF4" s="107">
        <f>IFERROR(VLOOKUP(E:E,'（居民）工资表-7月'!E:AF,28,0)+VLOOKUP(E:E,'（居民）工资表-7月'!E:AG,29,0),0)</f>
        <v>560.72</v>
      </c>
      <c r="AG4" s="107">
        <f>IF((AE4-AF4)&lt;0,0,AE4-AF4)</f>
        <v>64.199999999999932</v>
      </c>
      <c r="AH4" s="110">
        <f>ROUND(IF((L4-Q4-AG4)&lt;0,0,(L4-Q4-AG4)),2)</f>
        <v>8075.9</v>
      </c>
      <c r="AI4" s="111"/>
      <c r="AJ4" s="110">
        <f>AH4+AI4</f>
        <v>8075.9</v>
      </c>
      <c r="AK4" s="112"/>
      <c r="AL4" s="110">
        <f>AJ4+AG4+AK4</f>
        <v>8140.0999999999995</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IF(SUMPRODUCT(N(E$1:E$7=E4))&gt;1,"重复","不")</f>
        <v>不</v>
      </c>
      <c r="AT4" s="116" t="str">
        <f>IF(SUMPRODUCT(N(AO$1:AO$7=AO4))&gt;1,"重复","不")</f>
        <v>重复</v>
      </c>
    </row>
    <row r="5" spans="1:46" s="38" customFormat="1" ht="18" customHeight="1">
      <c r="A5" s="52">
        <v>2</v>
      </c>
      <c r="B5" s="53" t="s">
        <v>184</v>
      </c>
      <c r="C5" s="53" t="s">
        <v>93</v>
      </c>
      <c r="D5" s="53" t="s">
        <v>185</v>
      </c>
      <c r="E5" s="53" t="s">
        <v>94</v>
      </c>
      <c r="F5" s="54" t="s">
        <v>186</v>
      </c>
      <c r="G5" s="61">
        <v>13944441728</v>
      </c>
      <c r="H5" s="56"/>
      <c r="I5" s="56"/>
      <c r="J5" s="84"/>
      <c r="K5" s="56"/>
      <c r="L5" s="88">
        <v>6921</v>
      </c>
      <c r="M5" s="86">
        <v>244.24</v>
      </c>
      <c r="N5" s="86">
        <v>61.06</v>
      </c>
      <c r="O5" s="86">
        <v>9.16</v>
      </c>
      <c r="P5" s="86">
        <v>79</v>
      </c>
      <c r="Q5" s="102">
        <f>ROUND(SUM(M5:P5),2)</f>
        <v>393.46</v>
      </c>
      <c r="R5" s="88">
        <v>0</v>
      </c>
      <c r="S5" s="103">
        <f>L5+IFERROR(VLOOKUP($E:$E,'（居民）工资表-7月'!$E:$S,15,0),0)</f>
        <v>57041</v>
      </c>
      <c r="T5" s="104">
        <f>5000+IFERROR(VLOOKUP($E:$E,'（居民）工资表-7月'!$E:$T,16,0),0)</f>
        <v>40000</v>
      </c>
      <c r="U5" s="104">
        <f>Q5+IFERROR(VLOOKUP($E:$E,'（居民）工资表-7月'!$E:$U,17,0),0)</f>
        <v>3738.59</v>
      </c>
      <c r="V5" s="88"/>
      <c r="W5" s="88"/>
      <c r="X5" s="88"/>
      <c r="Y5" s="88"/>
      <c r="Z5" s="88"/>
      <c r="AA5" s="88"/>
      <c r="AB5" s="103">
        <f>ROUND(SUM(V5:AA5),2)</f>
        <v>0</v>
      </c>
      <c r="AC5" s="103">
        <f>R5+IFERROR(VLOOKUP($E:$E,'（居民）工资表-7月'!$E:$AC,25,0),0)</f>
        <v>0</v>
      </c>
      <c r="AD5" s="105">
        <f>ROUND(S5-T5-U5-AB5-AC5,2)</f>
        <v>13302.41</v>
      </c>
      <c r="AE5" s="106">
        <f>ROUND(MAX((AD5)*{0.03;0.1;0.2;0.25;0.3;0.35;0.45}-{0;2520;16920;31920;52920;85920;181920},0),2)</f>
        <v>399.07</v>
      </c>
      <c r="AF5" s="107">
        <f>IFERROR(VLOOKUP(E:E,'（居民）工资表-7月'!E:AF,28,0)+VLOOKUP(E:E,'（居民）工资表-7月'!E:AG,29,0),0)</f>
        <v>353.25</v>
      </c>
      <c r="AG5" s="107">
        <f>IF((AE5-AF5)&lt;0,0,AE5-AF5)</f>
        <v>45.819999999999993</v>
      </c>
      <c r="AH5" s="110">
        <f>ROUND(IF((L5-Q5-AG5)&lt;0,0,(L5-Q5-AG5)),2)</f>
        <v>6481.72</v>
      </c>
      <c r="AI5" s="111"/>
      <c r="AJ5" s="110">
        <f>AH5+AI5</f>
        <v>6481.72</v>
      </c>
      <c r="AK5" s="112"/>
      <c r="AL5" s="110">
        <f>AJ5+AG5+AK5</f>
        <v>6527.54</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IF(SUMPRODUCT(N(E$1:E$7=E5))&gt;1,"重复","不")</f>
        <v>不</v>
      </c>
      <c r="AT5" s="116" t="str">
        <f>IF(SUMPRODUCT(N(AO$1:AO$7=AO5))&gt;1,"重复","不")</f>
        <v>重复</v>
      </c>
    </row>
    <row r="6" spans="1:46" s="38" customFormat="1" ht="18" customHeight="1">
      <c r="A6" s="52">
        <v>3</v>
      </c>
      <c r="B6" s="53" t="s">
        <v>184</v>
      </c>
      <c r="C6" s="53" t="s">
        <v>103</v>
      </c>
      <c r="D6" s="53" t="s">
        <v>185</v>
      </c>
      <c r="E6" s="282" t="s">
        <v>104</v>
      </c>
      <c r="F6" s="54" t="s">
        <v>186</v>
      </c>
      <c r="G6" s="61">
        <v>18607383005</v>
      </c>
      <c r="H6" s="56"/>
      <c r="I6" s="56"/>
      <c r="J6" s="84"/>
      <c r="K6" s="56"/>
      <c r="L6" s="88">
        <v>24800</v>
      </c>
      <c r="M6" s="86">
        <f>320</f>
        <v>320</v>
      </c>
      <c r="N6" s="86">
        <f>80</f>
        <v>80</v>
      </c>
      <c r="O6" s="86">
        <f>12</f>
        <v>12</v>
      </c>
      <c r="P6" s="86">
        <v>200</v>
      </c>
      <c r="Q6" s="102">
        <f>ROUND(SUM(M6:P6),2)</f>
        <v>612</v>
      </c>
      <c r="R6" s="88">
        <v>0</v>
      </c>
      <c r="S6" s="103">
        <f>L6+IFERROR(VLOOKUP($E:$E,'（居民）工资表-7月'!$E:$S,15,0),0)</f>
        <v>211600</v>
      </c>
      <c r="T6" s="104">
        <f>5000+IFERROR(VLOOKUP($E:$E,'（居民）工资表-7月'!$E:$T,16,0),0)</f>
        <v>40000</v>
      </c>
      <c r="U6" s="104">
        <f>Q6+IFERROR(VLOOKUP($E:$E,'（居民）工资表-7月'!$E:$U,17,0),0)</f>
        <v>5724.67</v>
      </c>
      <c r="V6" s="88"/>
      <c r="W6" s="88"/>
      <c r="X6" s="88"/>
      <c r="Y6" s="88"/>
      <c r="Z6" s="88"/>
      <c r="AA6" s="88"/>
      <c r="AB6" s="103">
        <f>ROUND(SUM(V6:AA6),2)</f>
        <v>0</v>
      </c>
      <c r="AC6" s="103">
        <f>R6+IFERROR(VLOOKUP($E:$E,'（居民）工资表-7月'!$E:$AC,25,0),0)</f>
        <v>0</v>
      </c>
      <c r="AD6" s="105">
        <f>ROUND(S6-T6-U6-AB6-AC6,2)</f>
        <v>165875.32999999999</v>
      </c>
      <c r="AE6" s="106">
        <f>ROUND(MAX((AD6)*{0.03;0.1;0.2;0.25;0.3;0.35;0.45}-{0;2520;16920;31920;52920;85920;181920},0),2)</f>
        <v>16255.07</v>
      </c>
      <c r="AF6" s="107">
        <f>IFERROR(VLOOKUP(E:E,'（居民）工资表-7月'!E:AF,28,0)+VLOOKUP(E:E,'（居民）工资表-7月'!E:AG,29,0),0)</f>
        <v>12417.47</v>
      </c>
      <c r="AG6" s="107">
        <f>IF((AE6-AF6)&lt;0,0,AE6-AF6)</f>
        <v>3837.6000000000004</v>
      </c>
      <c r="AH6" s="110">
        <f>ROUND(IF((L6-Q6-AG6)&lt;0,0,(L6-Q6-AG6)),2)</f>
        <v>20350.400000000001</v>
      </c>
      <c r="AI6" s="111"/>
      <c r="AJ6" s="110">
        <f>AH6+AI6</f>
        <v>20350.400000000001</v>
      </c>
      <c r="AK6" s="112"/>
      <c r="AL6" s="110">
        <f>AJ6+AG6+AK6</f>
        <v>24188</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IF(SUMPRODUCT(N(E$1:E$7=E6))&gt;1,"重复","不")</f>
        <v>不</v>
      </c>
      <c r="AT6" s="116" t="str">
        <f>IF(SUMPRODUCT(N(AO$1:AO$7=AO6))&gt;1,"重复","不")</f>
        <v>重复</v>
      </c>
    </row>
    <row r="7" spans="1:46" s="38" customFormat="1" ht="18" customHeight="1">
      <c r="A7" s="52">
        <v>4</v>
      </c>
      <c r="B7" s="53" t="s">
        <v>184</v>
      </c>
      <c r="C7" s="53" t="s">
        <v>110</v>
      </c>
      <c r="D7" s="53" t="s">
        <v>185</v>
      </c>
      <c r="E7" s="282" t="s">
        <v>111</v>
      </c>
      <c r="F7" s="54" t="str">
        <f>IF(MOD(MID(E7,17,1),2)=1,"男","女")</f>
        <v>女</v>
      </c>
      <c r="G7" s="61">
        <v>15360550807</v>
      </c>
      <c r="H7" s="56"/>
      <c r="I7" s="56"/>
      <c r="J7" s="84"/>
      <c r="K7" s="56"/>
      <c r="L7" s="88">
        <v>4560</v>
      </c>
      <c r="M7" s="86"/>
      <c r="N7" s="86"/>
      <c r="O7" s="86"/>
      <c r="P7" s="86"/>
      <c r="Q7" s="102">
        <f>ROUND(SUM(M7:P7),2)</f>
        <v>0</v>
      </c>
      <c r="R7" s="88">
        <v>0</v>
      </c>
      <c r="S7" s="103">
        <f>L7+IFERROR(VLOOKUP($E:$E,'（居民）工资表-7月'!$E:$S,15,0),0)</f>
        <v>8083.6363636363603</v>
      </c>
      <c r="T7" s="104">
        <f>5000+IFERROR(VLOOKUP($E:$E,'（居民）工资表-7月'!$E:$T,16,0),0)</f>
        <v>10000</v>
      </c>
      <c r="U7" s="104">
        <f>Q7+IFERROR(VLOOKUP($E:$E,'（居民）工资表-7月'!$E:$U,17,0),0)</f>
        <v>0</v>
      </c>
      <c r="V7" s="88"/>
      <c r="W7" s="88"/>
      <c r="X7" s="88"/>
      <c r="Y7" s="88"/>
      <c r="Z7" s="88"/>
      <c r="AA7" s="88"/>
      <c r="AB7" s="103">
        <f>ROUND(SUM(V7:AA7),2)</f>
        <v>0</v>
      </c>
      <c r="AC7" s="103">
        <f>R7+IFERROR(VLOOKUP($E:$E,'（居民）工资表-7月'!$E:$AC,25,0),0)</f>
        <v>0</v>
      </c>
      <c r="AD7" s="105">
        <f>ROUND(S7-T7-U7-AB7-AC7,2)</f>
        <v>-1916.36</v>
      </c>
      <c r="AE7" s="106">
        <f>ROUND(MAX((AD7)*{0.03;0.1;0.2;0.25;0.3;0.35;0.45}-{0;2520;16920;31920;52920;85920;181920},0),2)</f>
        <v>0</v>
      </c>
      <c r="AF7" s="107">
        <f>IFERROR(VLOOKUP(E:E,'（居民）工资表-7月'!E:AF,28,0)+VLOOKUP(E:E,'（居民）工资表-7月'!E:AG,29,0),0)</f>
        <v>0</v>
      </c>
      <c r="AG7" s="107">
        <f>IF((AE7-AF7)&lt;0,0,AE7-AF7)</f>
        <v>0</v>
      </c>
      <c r="AH7" s="110">
        <f>ROUND(IF((L7-Q7-AG7)&lt;0,0,(L7-Q7-AG7)),2)</f>
        <v>4560</v>
      </c>
      <c r="AI7" s="111"/>
      <c r="AJ7" s="110">
        <f>AH7+AI7</f>
        <v>4560</v>
      </c>
      <c r="AK7" s="112"/>
      <c r="AL7" s="110">
        <f>AJ7+AG7+AK7</f>
        <v>4560</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IF(SUMPRODUCT(N(E$1:E$7=E7))&gt;1,"重复","不")</f>
        <v>不</v>
      </c>
      <c r="AT7" s="116" t="str">
        <f>IF(SUMPRODUCT(N(AO$1:AO$7=AO7))&gt;1,"重复","不")</f>
        <v>重复</v>
      </c>
    </row>
    <row r="8" spans="1:46" s="39" customFormat="1" ht="18" customHeight="1">
      <c r="A8" s="62"/>
      <c r="B8" s="63" t="s">
        <v>188</v>
      </c>
      <c r="C8" s="63"/>
      <c r="D8" s="64"/>
      <c r="E8" s="65"/>
      <c r="F8" s="66"/>
      <c r="G8" s="67"/>
      <c r="H8" s="66"/>
      <c r="I8" s="89"/>
      <c r="J8" s="90"/>
      <c r="K8" s="89"/>
      <c r="L8" s="91">
        <f t="shared" ref="L8:AL8" si="0">SUM(L4:L7)</f>
        <v>44941</v>
      </c>
      <c r="M8" s="91">
        <f t="shared" si="0"/>
        <v>828.24</v>
      </c>
      <c r="N8" s="91">
        <f t="shared" si="0"/>
        <v>207.06</v>
      </c>
      <c r="O8" s="91">
        <f t="shared" si="0"/>
        <v>31.06</v>
      </c>
      <c r="P8" s="91">
        <f t="shared" si="0"/>
        <v>459</v>
      </c>
      <c r="Q8" s="91">
        <f t="shared" si="0"/>
        <v>1525.36</v>
      </c>
      <c r="R8" s="91">
        <f t="shared" si="0"/>
        <v>0</v>
      </c>
      <c r="S8" s="91">
        <f t="shared" si="0"/>
        <v>349714.63636363635</v>
      </c>
      <c r="T8" s="91">
        <f t="shared" si="0"/>
        <v>130000</v>
      </c>
      <c r="U8" s="91">
        <f t="shared" si="0"/>
        <v>13622.46</v>
      </c>
      <c r="V8" s="91">
        <f t="shared" si="0"/>
        <v>0</v>
      </c>
      <c r="W8" s="91">
        <f t="shared" si="0"/>
        <v>0</v>
      </c>
      <c r="X8" s="91">
        <f t="shared" si="0"/>
        <v>8000</v>
      </c>
      <c r="Y8" s="91">
        <f t="shared" si="0"/>
        <v>0</v>
      </c>
      <c r="Z8" s="91">
        <f t="shared" si="0"/>
        <v>0</v>
      </c>
      <c r="AA8" s="91">
        <f t="shared" si="0"/>
        <v>0</v>
      </c>
      <c r="AB8" s="91">
        <f t="shared" si="0"/>
        <v>8000</v>
      </c>
      <c r="AC8" s="91">
        <f t="shared" si="0"/>
        <v>0</v>
      </c>
      <c r="AD8" s="91">
        <f t="shared" si="0"/>
        <v>198092.18</v>
      </c>
      <c r="AE8" s="91">
        <f t="shared" si="0"/>
        <v>17279.060000000001</v>
      </c>
      <c r="AF8" s="91">
        <f t="shared" si="0"/>
        <v>13331.439999999999</v>
      </c>
      <c r="AG8" s="91">
        <f t="shared" si="0"/>
        <v>3947.6200000000003</v>
      </c>
      <c r="AH8" s="91">
        <f t="shared" si="0"/>
        <v>39468.020000000004</v>
      </c>
      <c r="AI8" s="137">
        <f t="shared" si="0"/>
        <v>0</v>
      </c>
      <c r="AJ8" s="91">
        <f t="shared" si="0"/>
        <v>39468.020000000004</v>
      </c>
      <c r="AK8" s="91">
        <f t="shared" si="0"/>
        <v>0</v>
      </c>
      <c r="AL8" s="91">
        <f t="shared" si="0"/>
        <v>43415.64</v>
      </c>
      <c r="AM8" s="113"/>
      <c r="AN8" s="113"/>
      <c r="AO8" s="113"/>
      <c r="AP8" s="113"/>
      <c r="AQ8" s="113"/>
      <c r="AR8" s="66"/>
      <c r="AS8" s="66"/>
      <c r="AT8" s="117"/>
    </row>
    <row r="11" spans="1:46">
      <c r="AD11" s="108"/>
    </row>
    <row r="12" spans="1:46" ht="18.75" customHeight="1">
      <c r="B12" s="68" t="s">
        <v>165</v>
      </c>
      <c r="C12" s="68" t="s">
        <v>189</v>
      </c>
      <c r="D12" s="68" t="s">
        <v>57</v>
      </c>
      <c r="E12" s="68" t="s">
        <v>58</v>
      </c>
      <c r="AD12" s="36"/>
    </row>
    <row r="13" spans="1:46" ht="18.75" customHeight="1">
      <c r="B13" s="69">
        <f>AJ8</f>
        <v>39468.020000000004</v>
      </c>
      <c r="C13" s="69">
        <f>AG8</f>
        <v>3947.6200000000003</v>
      </c>
      <c r="D13" s="69">
        <f>AK8</f>
        <v>0</v>
      </c>
      <c r="E13" s="69">
        <f>B13+C13+D13</f>
        <v>43415.640000000007</v>
      </c>
    </row>
    <row r="14" spans="1:46">
      <c r="B14" s="70"/>
      <c r="C14" s="70"/>
      <c r="D14" s="70"/>
      <c r="E14" s="70"/>
    </row>
    <row r="15" spans="1:46" s="40" customFormat="1">
      <c r="A15" s="71" t="s">
        <v>190</v>
      </c>
      <c r="B15" s="72" t="s">
        <v>191</v>
      </c>
      <c r="C15" s="73"/>
      <c r="D15" s="73"/>
      <c r="E15" s="73"/>
      <c r="G15" s="74"/>
      <c r="J15" s="92"/>
      <c r="M15" s="93"/>
      <c r="AI15" s="114"/>
    </row>
    <row r="16" spans="1:46" s="40" customFormat="1">
      <c r="A16" s="75"/>
      <c r="B16" s="76" t="s">
        <v>192</v>
      </c>
      <c r="C16" s="73"/>
      <c r="D16" s="73"/>
      <c r="E16" s="73"/>
      <c r="G16" s="74"/>
      <c r="J16" s="92"/>
      <c r="M16" s="93"/>
      <c r="AI16" s="114"/>
    </row>
    <row r="17" spans="1:35" s="40" customFormat="1">
      <c r="A17" s="72"/>
      <c r="B17" s="76" t="s">
        <v>193</v>
      </c>
      <c r="C17" s="77"/>
      <c r="D17" s="77"/>
      <c r="E17" s="77"/>
      <c r="F17" s="77"/>
      <c r="G17" s="77"/>
      <c r="H17" s="77"/>
      <c r="I17" s="77"/>
      <c r="J17" s="94"/>
      <c r="K17" s="77"/>
      <c r="L17" s="77"/>
      <c r="M17" s="95"/>
      <c r="N17" s="77"/>
      <c r="O17" s="77"/>
      <c r="P17" s="77"/>
      <c r="AI17" s="114"/>
    </row>
    <row r="18" spans="1:35" s="40" customFormat="1" ht="13.5" customHeight="1">
      <c r="A18" s="76"/>
      <c r="B18" s="76" t="s">
        <v>194</v>
      </c>
      <c r="C18" s="78"/>
      <c r="D18" s="78"/>
      <c r="E18" s="78"/>
      <c r="F18" s="78"/>
      <c r="G18" s="78"/>
      <c r="H18" s="78"/>
      <c r="I18" s="96"/>
      <c r="J18" s="97"/>
      <c r="K18" s="96"/>
      <c r="L18" s="96"/>
      <c r="M18" s="98"/>
      <c r="N18" s="96"/>
      <c r="O18" s="96"/>
      <c r="P18" s="96"/>
      <c r="AI18" s="114"/>
    </row>
    <row r="19" spans="1:35" s="40" customFormat="1" ht="13.5" customHeight="1">
      <c r="A19" s="76"/>
      <c r="B19" s="76" t="s">
        <v>195</v>
      </c>
      <c r="C19" s="78"/>
      <c r="D19" s="78"/>
      <c r="E19" s="78"/>
      <c r="F19" s="78"/>
      <c r="G19" s="78"/>
      <c r="H19" s="78"/>
      <c r="I19" s="78"/>
      <c r="J19" s="99"/>
      <c r="K19" s="78"/>
      <c r="L19" s="96"/>
      <c r="M19" s="98"/>
      <c r="N19" s="96"/>
      <c r="O19" s="96"/>
      <c r="P19" s="96"/>
      <c r="AI19" s="114"/>
    </row>
    <row r="20" spans="1:35" s="40" customFormat="1" ht="13.5" customHeight="1">
      <c r="A20" s="76"/>
      <c r="B20" s="76" t="s">
        <v>196</v>
      </c>
      <c r="C20" s="78"/>
      <c r="D20" s="78"/>
      <c r="E20" s="78"/>
      <c r="F20" s="78"/>
      <c r="G20" s="78"/>
      <c r="H20" s="78"/>
      <c r="I20" s="96"/>
      <c r="J20" s="97"/>
      <c r="K20" s="96"/>
      <c r="L20" s="96"/>
      <c r="M20" s="98"/>
      <c r="N20" s="96"/>
      <c r="O20" s="96"/>
      <c r="P20" s="96"/>
      <c r="AI20" s="114"/>
    </row>
    <row r="22" spans="1:35" ht="11.25" customHeight="1">
      <c r="B22" s="79" t="s">
        <v>197</v>
      </c>
    </row>
    <row r="23" spans="1:35">
      <c r="B23" s="80" t="s">
        <v>198</v>
      </c>
    </row>
    <row r="24" spans="1:35">
      <c r="B24" s="80" t="s">
        <v>199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0">
    <cfRule type="duplicateValues" dxfId="72" priority="2" stopIfTrue="1"/>
  </conditionalFormatting>
  <conditionalFormatting sqref="B15:B19">
    <cfRule type="duplicateValues" dxfId="71" priority="3" stopIfTrue="1"/>
  </conditionalFormatting>
  <conditionalFormatting sqref="B23:B24">
    <cfRule type="duplicateValues" dxfId="70" priority="1" stopIfTrue="1"/>
  </conditionalFormatting>
  <conditionalFormatting sqref="C12:C14">
    <cfRule type="duplicateValues" dxfId="69" priority="4" stopIfTrue="1"/>
    <cfRule type="expression" dxfId="68" priority="5" stopIfTrue="1">
      <formula>AND(COUNTIF($B$8:$B$65444,C12)+COUNTIF($B$1:$B$3,C12)&gt;1,NOT(ISBLANK(C12)))</formula>
    </cfRule>
    <cfRule type="expression" dxfId="67" priority="6" stopIfTrue="1">
      <formula>AND(COUNTIF($B$19:$B$65395,C12)+COUNTIF($B$1:$B$18,C12)&gt;1,NOT(ISBLANK(C12)))</formula>
    </cfRule>
    <cfRule type="expression" dxfId="66"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3.375"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9780</v>
      </c>
      <c r="M4" s="86">
        <v>264</v>
      </c>
      <c r="N4" s="86">
        <v>66</v>
      </c>
      <c r="O4" s="86">
        <v>9.9</v>
      </c>
      <c r="P4" s="86">
        <v>180</v>
      </c>
      <c r="Q4" s="102">
        <f>ROUND(SUM(M4:P4),2)</f>
        <v>519.9</v>
      </c>
      <c r="R4" s="88">
        <v>0</v>
      </c>
      <c r="S4" s="103">
        <f>L4+IFERROR(VLOOKUP($E:$E,'（居民）工资表-8月'!$E:$S,15,0),0)</f>
        <v>82770</v>
      </c>
      <c r="T4" s="104">
        <f>5000+IFERROR(VLOOKUP($E:$E,'（居民）工资表-8月'!$E:$T,16,0),0)</f>
        <v>45000</v>
      </c>
      <c r="U4" s="104">
        <f>Q4+IFERROR(VLOOKUP($E:$E,'（居民）工资表-8月'!$E:$U,17,0),0)</f>
        <v>4679.0999999999995</v>
      </c>
      <c r="V4" s="88"/>
      <c r="W4" s="88"/>
      <c r="X4" s="88">
        <v>9000</v>
      </c>
      <c r="Y4" s="88"/>
      <c r="Z4" s="88"/>
      <c r="AA4" s="88"/>
      <c r="AB4" s="103">
        <f>ROUND(SUM(V4:AA4),2)</f>
        <v>9000</v>
      </c>
      <c r="AC4" s="103">
        <f>R4+IFERROR(VLOOKUP($E:$E,'（居民）工资表-8月'!$E:$AC,25,0),0)</f>
        <v>0</v>
      </c>
      <c r="AD4" s="105">
        <f>ROUND(S4-T4-U4-AB4-AC4,2)</f>
        <v>24090.9</v>
      </c>
      <c r="AE4" s="106">
        <f>ROUND(MAX((AD4)*{0.03;0.1;0.2;0.25;0.3;0.35;0.45}-{0;2520;16920;31920;52920;85920;181920},0),2)</f>
        <v>722.73</v>
      </c>
      <c r="AF4" s="107">
        <f>IFERROR(VLOOKUP(E:E,'（居民）工资表-8月'!E:AF,28,0)+VLOOKUP(E:E,'（居民）工资表-8月'!E:AG,29,0),0)</f>
        <v>624.91999999999996</v>
      </c>
      <c r="AG4" s="107">
        <f>IF((AE4-AF4)&lt;0,0,AE4-AF4)</f>
        <v>97.810000000000059</v>
      </c>
      <c r="AH4" s="110">
        <f>ROUND(IF((L4-Q4-AG4)&lt;0,0,(L4-Q4-AG4)),2)</f>
        <v>9162.2900000000009</v>
      </c>
      <c r="AI4" s="111"/>
      <c r="AJ4" s="110">
        <f>AH4+AI4</f>
        <v>9162.2900000000009</v>
      </c>
      <c r="AK4" s="112"/>
      <c r="AL4" s="110">
        <f>AJ4+AG4+AK4</f>
        <v>9260.1</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IF(SUMPRODUCT(N(E$1:E$7=E4))&gt;1,"重复","不")</f>
        <v>不</v>
      </c>
      <c r="AT4" s="116" t="str">
        <f>IF(SUMPRODUCT(N(AO$1:AO$7=AO4))&gt;1,"重复","不")</f>
        <v>重复</v>
      </c>
    </row>
    <row r="5" spans="1:46" s="38" customFormat="1" ht="18" customHeight="1">
      <c r="A5" s="52">
        <v>2</v>
      </c>
      <c r="B5" s="53" t="s">
        <v>184</v>
      </c>
      <c r="C5" s="53" t="s">
        <v>93</v>
      </c>
      <c r="D5" s="53" t="s">
        <v>185</v>
      </c>
      <c r="E5" s="53" t="s">
        <v>94</v>
      </c>
      <c r="F5" s="54" t="s">
        <v>186</v>
      </c>
      <c r="G5" s="61">
        <v>13944441728</v>
      </c>
      <c r="H5" s="56"/>
      <c r="I5" s="56"/>
      <c r="J5" s="84"/>
      <c r="K5" s="56"/>
      <c r="L5" s="88">
        <v>6921</v>
      </c>
      <c r="M5" s="86">
        <v>244.24</v>
      </c>
      <c r="N5" s="86">
        <v>61.06</v>
      </c>
      <c r="O5" s="86">
        <v>9.16</v>
      </c>
      <c r="P5" s="86">
        <v>79</v>
      </c>
      <c r="Q5" s="102">
        <f>ROUND(SUM(M5:P5),2)</f>
        <v>393.46</v>
      </c>
      <c r="R5" s="88">
        <v>0</v>
      </c>
      <c r="S5" s="103">
        <f>L5+IFERROR(VLOOKUP($E:$E,'（居民）工资表-8月'!$E:$S,15,0),0)</f>
        <v>63962</v>
      </c>
      <c r="T5" s="104">
        <f>5000+IFERROR(VLOOKUP($E:$E,'（居民）工资表-8月'!$E:$T,16,0),0)</f>
        <v>45000</v>
      </c>
      <c r="U5" s="104">
        <f>Q5+IFERROR(VLOOKUP($E:$E,'（居民）工资表-8月'!$E:$U,17,0),0)</f>
        <v>4132.05</v>
      </c>
      <c r="V5" s="88"/>
      <c r="W5" s="88"/>
      <c r="X5" s="88"/>
      <c r="Y5" s="88"/>
      <c r="Z5" s="88"/>
      <c r="AA5" s="88"/>
      <c r="AB5" s="103">
        <f>ROUND(SUM(V5:AA5),2)</f>
        <v>0</v>
      </c>
      <c r="AC5" s="103">
        <f>R5+IFERROR(VLOOKUP($E:$E,'（居民）工资表-8月'!$E:$AC,25,0),0)</f>
        <v>0</v>
      </c>
      <c r="AD5" s="105">
        <f>ROUND(S5-T5-U5-AB5-AC5,2)</f>
        <v>14829.95</v>
      </c>
      <c r="AE5" s="106">
        <f>ROUND(MAX((AD5)*{0.03;0.1;0.2;0.25;0.3;0.35;0.45}-{0;2520;16920;31920;52920;85920;181920},0),2)</f>
        <v>444.9</v>
      </c>
      <c r="AF5" s="107">
        <f>IFERROR(VLOOKUP(E:E,'（居民）工资表-8月'!E:AF,28,0)+VLOOKUP(E:E,'（居民）工资表-8月'!E:AG,29,0),0)</f>
        <v>399.07</v>
      </c>
      <c r="AG5" s="107">
        <f>IF((AE5-AF5)&lt;0,0,AE5-AF5)</f>
        <v>45.829999999999984</v>
      </c>
      <c r="AH5" s="110">
        <f>ROUND(IF((L5-Q5-AG5)&lt;0,0,(L5-Q5-AG5)),2)</f>
        <v>6481.71</v>
      </c>
      <c r="AI5" s="111"/>
      <c r="AJ5" s="110">
        <f>AH5+AI5</f>
        <v>6481.71</v>
      </c>
      <c r="AK5" s="112"/>
      <c r="AL5" s="110">
        <f>AJ5+AG5+AK5</f>
        <v>6527.54</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IF(SUMPRODUCT(N(E$1:E$7=E5))&gt;1,"重复","不")</f>
        <v>不</v>
      </c>
      <c r="AT5" s="116" t="str">
        <f>IF(SUMPRODUCT(N(AO$1:AO$7=AO5))&gt;1,"重复","不")</f>
        <v>重复</v>
      </c>
    </row>
    <row r="6" spans="1:46" s="38" customFormat="1" ht="18" customHeight="1">
      <c r="A6" s="52">
        <v>3</v>
      </c>
      <c r="B6" s="53" t="s">
        <v>184</v>
      </c>
      <c r="C6" s="53" t="s">
        <v>103</v>
      </c>
      <c r="D6" s="53" t="s">
        <v>185</v>
      </c>
      <c r="E6" s="282" t="s">
        <v>104</v>
      </c>
      <c r="F6" s="54" t="s">
        <v>186</v>
      </c>
      <c r="G6" s="61">
        <v>18607383005</v>
      </c>
      <c r="H6" s="56"/>
      <c r="I6" s="56"/>
      <c r="J6" s="84"/>
      <c r="K6" s="56"/>
      <c r="L6" s="88">
        <v>22800</v>
      </c>
      <c r="M6" s="86">
        <f>320</f>
        <v>320</v>
      </c>
      <c r="N6" s="86">
        <f>80</f>
        <v>80</v>
      </c>
      <c r="O6" s="86">
        <f>12</f>
        <v>12</v>
      </c>
      <c r="P6" s="86">
        <v>200</v>
      </c>
      <c r="Q6" s="102">
        <f>ROUND(SUM(M6:P6),2)</f>
        <v>612</v>
      </c>
      <c r="R6" s="88">
        <v>0</v>
      </c>
      <c r="S6" s="103">
        <f>L6+IFERROR(VLOOKUP($E:$E,'（居民）工资表-8月'!$E:$S,15,0),0)</f>
        <v>234400</v>
      </c>
      <c r="T6" s="104">
        <f>5000+IFERROR(VLOOKUP($E:$E,'（居民）工资表-8月'!$E:$T,16,0),0)</f>
        <v>45000</v>
      </c>
      <c r="U6" s="104">
        <f>Q6+IFERROR(VLOOKUP($E:$E,'（居民）工资表-8月'!$E:$U,17,0),0)</f>
        <v>6336.67</v>
      </c>
      <c r="V6" s="88"/>
      <c r="W6" s="88"/>
      <c r="X6" s="88"/>
      <c r="Y6" s="88"/>
      <c r="Z6" s="88"/>
      <c r="AA6" s="88"/>
      <c r="AB6" s="103">
        <f>ROUND(SUM(V6:AA6),2)</f>
        <v>0</v>
      </c>
      <c r="AC6" s="103">
        <f>R6+IFERROR(VLOOKUP($E:$E,'（居民）工资表-8月'!$E:$AC,25,0),0)</f>
        <v>0</v>
      </c>
      <c r="AD6" s="105">
        <f>ROUND(S6-T6-U6-AB6-AC6,2)</f>
        <v>183063.33</v>
      </c>
      <c r="AE6" s="106">
        <f>ROUND(MAX((AD6)*{0.03;0.1;0.2;0.25;0.3;0.35;0.45}-{0;2520;16920;31920;52920;85920;181920},0),2)</f>
        <v>19692.669999999998</v>
      </c>
      <c r="AF6" s="107">
        <f>IFERROR(VLOOKUP(E:E,'（居民）工资表-8月'!E:AF,28,0)+VLOOKUP(E:E,'（居民）工资表-8月'!E:AG,29,0),0)</f>
        <v>16255.07</v>
      </c>
      <c r="AG6" s="107">
        <f>IF((AE6-AF6)&lt;0,0,AE6-AF6)</f>
        <v>3437.5999999999985</v>
      </c>
      <c r="AH6" s="110">
        <f>ROUND(IF((L6-Q6-AG6)&lt;0,0,(L6-Q6-AG6)),2)</f>
        <v>18750.400000000001</v>
      </c>
      <c r="AI6" s="111"/>
      <c r="AJ6" s="110">
        <f>AH6+AI6</f>
        <v>18750.400000000001</v>
      </c>
      <c r="AK6" s="112"/>
      <c r="AL6" s="110">
        <f>AJ6+AG6+AK6</f>
        <v>22188</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IF(SUMPRODUCT(N(E$1:E$7=E6))&gt;1,"重复","不")</f>
        <v>不</v>
      </c>
      <c r="AT6" s="116" t="str">
        <f>IF(SUMPRODUCT(N(AO$1:AO$7=AO6))&gt;1,"重复","不")</f>
        <v>重复</v>
      </c>
    </row>
    <row r="7" spans="1:46" s="38" customFormat="1" ht="18" customHeight="1">
      <c r="A7" s="52">
        <v>4</v>
      </c>
      <c r="B7" s="53" t="s">
        <v>184</v>
      </c>
      <c r="C7" s="53" t="s">
        <v>110</v>
      </c>
      <c r="D7" s="53" t="s">
        <v>185</v>
      </c>
      <c r="E7" s="282" t="s">
        <v>111</v>
      </c>
      <c r="F7" s="54" t="str">
        <f>IF(MOD(MID(E7,17,1),2)=1,"男","女")</f>
        <v>女</v>
      </c>
      <c r="G7" s="61">
        <v>15360550807</v>
      </c>
      <c r="H7" s="56"/>
      <c r="I7" s="56"/>
      <c r="J7" s="84"/>
      <c r="K7" s="56"/>
      <c r="L7" s="88">
        <v>4560</v>
      </c>
      <c r="M7" s="86"/>
      <c r="N7" s="86"/>
      <c r="O7" s="86"/>
      <c r="P7" s="86"/>
      <c r="Q7" s="102">
        <f>ROUND(SUM(M7:P7),2)</f>
        <v>0</v>
      </c>
      <c r="R7" s="88">
        <v>0</v>
      </c>
      <c r="S7" s="103">
        <f>L7+IFERROR(VLOOKUP($E:$E,'（居民）工资表-8月'!$E:$S,15,0),0)</f>
        <v>12643.63636363636</v>
      </c>
      <c r="T7" s="104">
        <f>5000+IFERROR(VLOOKUP($E:$E,'（居民）工资表-8月'!$E:$T,16,0),0)</f>
        <v>15000</v>
      </c>
      <c r="U7" s="104">
        <f>Q7+IFERROR(VLOOKUP($E:$E,'（居民）工资表-8月'!$E:$U,17,0),0)</f>
        <v>0</v>
      </c>
      <c r="V7" s="88"/>
      <c r="W7" s="88"/>
      <c r="X7" s="88"/>
      <c r="Y7" s="88"/>
      <c r="Z7" s="88"/>
      <c r="AA7" s="88"/>
      <c r="AB7" s="103">
        <f>ROUND(SUM(V7:AA7),2)</f>
        <v>0</v>
      </c>
      <c r="AC7" s="103">
        <f>R7+IFERROR(VLOOKUP($E:$E,'（居民）工资表-8月'!$E:$AC,25,0),0)</f>
        <v>0</v>
      </c>
      <c r="AD7" s="105">
        <f>ROUND(S7-T7-U7-AB7-AC7,2)</f>
        <v>-2356.36</v>
      </c>
      <c r="AE7" s="106">
        <f>ROUND(MAX((AD7)*{0.03;0.1;0.2;0.25;0.3;0.35;0.45}-{0;2520;16920;31920;52920;85920;181920},0),2)</f>
        <v>0</v>
      </c>
      <c r="AF7" s="107">
        <f>IFERROR(VLOOKUP(E:E,'（居民）工资表-8月'!E:AF,28,0)+VLOOKUP(E:E,'（居民）工资表-8月'!E:AG,29,0),0)</f>
        <v>0</v>
      </c>
      <c r="AG7" s="107">
        <f>IF((AE7-AF7)&lt;0,0,AE7-AF7)</f>
        <v>0</v>
      </c>
      <c r="AH7" s="110">
        <f>ROUND(IF((L7-Q7-AG7)&lt;0,0,(L7-Q7-AG7)),2)</f>
        <v>4560</v>
      </c>
      <c r="AI7" s="111"/>
      <c r="AJ7" s="110">
        <f>AH7+AI7</f>
        <v>4560</v>
      </c>
      <c r="AK7" s="112"/>
      <c r="AL7" s="110">
        <f>AJ7+AG7+AK7</f>
        <v>4560</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IF(SUMPRODUCT(N(E$1:E$7=E7))&gt;1,"重复","不")</f>
        <v>不</v>
      </c>
      <c r="AT7" s="116" t="str">
        <f>IF(SUMPRODUCT(N(AO$1:AO$7=AO7))&gt;1,"重复","不")</f>
        <v>重复</v>
      </c>
    </row>
    <row r="8" spans="1:46" s="39" customFormat="1" ht="18" customHeight="1">
      <c r="A8" s="62"/>
      <c r="B8" s="63" t="s">
        <v>188</v>
      </c>
      <c r="C8" s="63"/>
      <c r="D8" s="64"/>
      <c r="E8" s="65"/>
      <c r="F8" s="66"/>
      <c r="G8" s="67"/>
      <c r="H8" s="66"/>
      <c r="I8" s="89"/>
      <c r="J8" s="90"/>
      <c r="K8" s="89"/>
      <c r="L8" s="91">
        <f t="shared" ref="L8:AL8" si="0">SUM(L4:L7)</f>
        <v>44061</v>
      </c>
      <c r="M8" s="91">
        <f t="shared" si="0"/>
        <v>828.24</v>
      </c>
      <c r="N8" s="91">
        <f t="shared" si="0"/>
        <v>207.06</v>
      </c>
      <c r="O8" s="91">
        <f t="shared" si="0"/>
        <v>31.06</v>
      </c>
      <c r="P8" s="91">
        <f t="shared" si="0"/>
        <v>459</v>
      </c>
      <c r="Q8" s="91">
        <f t="shared" si="0"/>
        <v>1525.36</v>
      </c>
      <c r="R8" s="91">
        <f t="shared" si="0"/>
        <v>0</v>
      </c>
      <c r="S8" s="91">
        <f t="shared" si="0"/>
        <v>393775.63636363635</v>
      </c>
      <c r="T8" s="91">
        <f t="shared" si="0"/>
        <v>150000</v>
      </c>
      <c r="U8" s="91">
        <f t="shared" si="0"/>
        <v>15147.82</v>
      </c>
      <c r="V8" s="91">
        <f t="shared" si="0"/>
        <v>0</v>
      </c>
      <c r="W8" s="91">
        <f t="shared" si="0"/>
        <v>0</v>
      </c>
      <c r="X8" s="91">
        <f t="shared" si="0"/>
        <v>9000</v>
      </c>
      <c r="Y8" s="91">
        <f t="shared" si="0"/>
        <v>0</v>
      </c>
      <c r="Z8" s="91">
        <f t="shared" si="0"/>
        <v>0</v>
      </c>
      <c r="AA8" s="91">
        <f t="shared" si="0"/>
        <v>0</v>
      </c>
      <c r="AB8" s="91">
        <f t="shared" si="0"/>
        <v>9000</v>
      </c>
      <c r="AC8" s="91">
        <f t="shared" si="0"/>
        <v>0</v>
      </c>
      <c r="AD8" s="91">
        <f t="shared" si="0"/>
        <v>219627.82</v>
      </c>
      <c r="AE8" s="91">
        <f t="shared" si="0"/>
        <v>20860.3</v>
      </c>
      <c r="AF8" s="91">
        <f t="shared" si="0"/>
        <v>17279.060000000001</v>
      </c>
      <c r="AG8" s="91">
        <f t="shared" si="0"/>
        <v>3581.2399999999984</v>
      </c>
      <c r="AH8" s="91">
        <f t="shared" si="0"/>
        <v>38954.400000000001</v>
      </c>
      <c r="AI8" s="137">
        <f t="shared" si="0"/>
        <v>0</v>
      </c>
      <c r="AJ8" s="91">
        <f t="shared" si="0"/>
        <v>38954.400000000001</v>
      </c>
      <c r="AK8" s="91">
        <f t="shared" si="0"/>
        <v>0</v>
      </c>
      <c r="AL8" s="91">
        <f t="shared" si="0"/>
        <v>42535.64</v>
      </c>
      <c r="AM8" s="113"/>
      <c r="AN8" s="113"/>
      <c r="AO8" s="113"/>
      <c r="AP8" s="113"/>
      <c r="AQ8" s="113"/>
      <c r="AR8" s="66"/>
      <c r="AS8" s="66"/>
      <c r="AT8" s="117"/>
    </row>
    <row r="11" spans="1:46">
      <c r="AD11" s="108"/>
    </row>
    <row r="12" spans="1:46" ht="18.75" customHeight="1">
      <c r="B12" s="68" t="s">
        <v>165</v>
      </c>
      <c r="C12" s="68" t="s">
        <v>189</v>
      </c>
      <c r="D12" s="68" t="s">
        <v>57</v>
      </c>
      <c r="E12" s="68" t="s">
        <v>58</v>
      </c>
      <c r="AD12" s="36"/>
    </row>
    <row r="13" spans="1:46" ht="18.75" customHeight="1">
      <c r="B13" s="69">
        <f>AJ8</f>
        <v>38954.400000000001</v>
      </c>
      <c r="C13" s="69">
        <f>AG8</f>
        <v>3581.2399999999984</v>
      </c>
      <c r="D13" s="69">
        <f>AK8</f>
        <v>0</v>
      </c>
      <c r="E13" s="69">
        <f>B13+C13+D13</f>
        <v>42535.64</v>
      </c>
    </row>
    <row r="14" spans="1:46">
      <c r="B14" s="70"/>
      <c r="C14" s="70"/>
      <c r="D14" s="70"/>
      <c r="E14" s="70"/>
    </row>
    <row r="15" spans="1:46" s="40" customFormat="1">
      <c r="A15" s="71" t="s">
        <v>190</v>
      </c>
      <c r="B15" s="72" t="s">
        <v>191</v>
      </c>
      <c r="C15" s="73"/>
      <c r="D15" s="73"/>
      <c r="E15" s="73"/>
      <c r="G15" s="74"/>
      <c r="J15" s="92"/>
      <c r="M15" s="93"/>
      <c r="AI15" s="114"/>
    </row>
    <row r="16" spans="1:46" s="40" customFormat="1">
      <c r="A16" s="75"/>
      <c r="B16" s="76" t="s">
        <v>192</v>
      </c>
      <c r="C16" s="73"/>
      <c r="D16" s="73"/>
      <c r="E16" s="73"/>
      <c r="G16" s="74"/>
      <c r="J16" s="92"/>
      <c r="M16" s="93"/>
      <c r="AI16" s="114"/>
    </row>
    <row r="17" spans="1:35" s="40" customFormat="1">
      <c r="A17" s="72"/>
      <c r="B17" s="76" t="s">
        <v>193</v>
      </c>
      <c r="C17" s="77"/>
      <c r="D17" s="77"/>
      <c r="E17" s="77"/>
      <c r="F17" s="77"/>
      <c r="G17" s="77"/>
      <c r="H17" s="77"/>
      <c r="I17" s="77"/>
      <c r="J17" s="94"/>
      <c r="K17" s="77"/>
      <c r="L17" s="77"/>
      <c r="M17" s="95"/>
      <c r="N17" s="77"/>
      <c r="O17" s="77"/>
      <c r="P17" s="77"/>
      <c r="AI17" s="114"/>
    </row>
    <row r="18" spans="1:35" s="40" customFormat="1" ht="13.5" customHeight="1">
      <c r="A18" s="76"/>
      <c r="B18" s="76" t="s">
        <v>194</v>
      </c>
      <c r="C18" s="78"/>
      <c r="D18" s="78"/>
      <c r="E18" s="78"/>
      <c r="F18" s="78"/>
      <c r="G18" s="78"/>
      <c r="H18" s="78"/>
      <c r="I18" s="96"/>
      <c r="J18" s="97"/>
      <c r="K18" s="96"/>
      <c r="L18" s="96"/>
      <c r="M18" s="98"/>
      <c r="N18" s="96"/>
      <c r="O18" s="96"/>
      <c r="P18" s="96"/>
      <c r="AI18" s="114"/>
    </row>
    <row r="19" spans="1:35" s="40" customFormat="1" ht="13.5" customHeight="1">
      <c r="A19" s="76"/>
      <c r="B19" s="76" t="s">
        <v>195</v>
      </c>
      <c r="C19" s="78"/>
      <c r="D19" s="78"/>
      <c r="E19" s="78"/>
      <c r="F19" s="78"/>
      <c r="G19" s="78"/>
      <c r="H19" s="78"/>
      <c r="I19" s="78"/>
      <c r="J19" s="99"/>
      <c r="K19" s="78"/>
      <c r="L19" s="96"/>
      <c r="M19" s="98"/>
      <c r="N19" s="96"/>
      <c r="O19" s="96"/>
      <c r="P19" s="96"/>
      <c r="AI19" s="114"/>
    </row>
    <row r="20" spans="1:35" s="40" customFormat="1" ht="13.5" customHeight="1">
      <c r="A20" s="76"/>
      <c r="B20" s="76" t="s">
        <v>196</v>
      </c>
      <c r="C20" s="78"/>
      <c r="D20" s="78"/>
      <c r="E20" s="78"/>
      <c r="F20" s="78"/>
      <c r="G20" s="78"/>
      <c r="H20" s="78"/>
      <c r="I20" s="96"/>
      <c r="J20" s="97"/>
      <c r="K20" s="96"/>
      <c r="L20" s="96"/>
      <c r="M20" s="98"/>
      <c r="N20" s="96"/>
      <c r="O20" s="96"/>
      <c r="P20" s="96"/>
      <c r="AI20" s="114"/>
    </row>
    <row r="22" spans="1:35" ht="11.25" customHeight="1">
      <c r="B22" s="79" t="s">
        <v>197</v>
      </c>
    </row>
    <row r="23" spans="1:35">
      <c r="B23" s="80" t="s">
        <v>198</v>
      </c>
    </row>
    <row r="24" spans="1:35">
      <c r="B24" s="80" t="s">
        <v>199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0">
    <cfRule type="duplicateValues" dxfId="65" priority="2" stopIfTrue="1"/>
  </conditionalFormatting>
  <conditionalFormatting sqref="B15:B19">
    <cfRule type="duplicateValues" dxfId="64" priority="3" stopIfTrue="1"/>
  </conditionalFormatting>
  <conditionalFormatting sqref="B23:B24">
    <cfRule type="duplicateValues" dxfId="63" priority="1" stopIfTrue="1"/>
  </conditionalFormatting>
  <conditionalFormatting sqref="C12:C14">
    <cfRule type="duplicateValues" dxfId="62" priority="4" stopIfTrue="1"/>
    <cfRule type="expression" dxfId="61" priority="5" stopIfTrue="1">
      <formula>AND(COUNTIF($B$8:$B$65444,C12)+COUNTIF($B$1:$B$3,C12)&gt;1,NOT(ISBLANK(C12)))</formula>
    </cfRule>
    <cfRule type="expression" dxfId="60" priority="6" stopIfTrue="1">
      <formula>AND(COUNTIF($B$19:$B$65395,C12)+COUNTIF($B$1:$B$18,C12)&gt;1,NOT(ISBLANK(C12)))</formula>
    </cfRule>
    <cfRule type="expression" dxfId="59"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4"/>
  <sheetViews>
    <sheetView workbookViewId="0">
      <pane xSplit="6" ySplit="3" topLeftCell="G4" activePane="bottomRight" state="frozen"/>
      <selection pane="topRight"/>
      <selection pane="bottomLeft"/>
      <selection pane="bottomRight" activeCell="B4" sqref="B4:P7"/>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3.375"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9070</v>
      </c>
      <c r="M4" s="86">
        <v>264</v>
      </c>
      <c r="N4" s="86">
        <v>66</v>
      </c>
      <c r="O4" s="86">
        <v>9.9</v>
      </c>
      <c r="P4" s="86">
        <v>180</v>
      </c>
      <c r="Q4" s="102">
        <f>ROUND(SUM(M4:P4),2)</f>
        <v>519.9</v>
      </c>
      <c r="R4" s="88">
        <v>0</v>
      </c>
      <c r="S4" s="103">
        <f>L4+IFERROR(VLOOKUP($E:$E,'（居民）工资表-9月'!$E:$S,15,0),0)</f>
        <v>91840</v>
      </c>
      <c r="T4" s="104">
        <f>5000+IFERROR(VLOOKUP($E:$E,'（居民）工资表-9月'!$E:$T,16,0),0)</f>
        <v>50000</v>
      </c>
      <c r="U4" s="104">
        <f>Q4+IFERROR(VLOOKUP($E:$E,'（居民）工资表-9月'!$E:$U,17,0),0)</f>
        <v>5198.9999999999991</v>
      </c>
      <c r="V4" s="88"/>
      <c r="W4" s="88"/>
      <c r="X4" s="88">
        <v>10000</v>
      </c>
      <c r="Y4" s="88"/>
      <c r="Z4" s="88"/>
      <c r="AA4" s="88"/>
      <c r="AB4" s="103">
        <f>ROUND(SUM(V4:AA4),2)</f>
        <v>10000</v>
      </c>
      <c r="AC4" s="103">
        <f>R4+IFERROR(VLOOKUP($E:$E,'（居民）工资表-9月'!$E:$AC,25,0),0)</f>
        <v>0</v>
      </c>
      <c r="AD4" s="105">
        <f>ROUND(S4-T4-U4-AB4-AC4,2)</f>
        <v>26641</v>
      </c>
      <c r="AE4" s="106">
        <f>ROUND(MAX((AD4)*{0.03;0.1;0.2;0.25;0.3;0.35;0.45}-{0;2520;16920;31920;52920;85920;181920},0),2)</f>
        <v>799.23</v>
      </c>
      <c r="AF4" s="107">
        <f>IFERROR(VLOOKUP(E:E,'（居民）工资表-9月'!E:AF,28,0)+VLOOKUP(E:E,'（居民）工资表-9月'!E:AG,29,0),0)</f>
        <v>722.73</v>
      </c>
      <c r="AG4" s="107">
        <f>IF((AE4-AF4)&lt;0,0,AE4-AF4)</f>
        <v>76.5</v>
      </c>
      <c r="AH4" s="110">
        <f>ROUND(IF((L4-Q4-AG4)&lt;0,0,(L4-Q4-AG4)),2)</f>
        <v>8473.6</v>
      </c>
      <c r="AI4" s="111"/>
      <c r="AJ4" s="110">
        <f>AH4+AI4</f>
        <v>8473.6</v>
      </c>
      <c r="AK4" s="112"/>
      <c r="AL4" s="110">
        <f>AJ4+AG4+AK4</f>
        <v>8550.1</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IF(SUMPRODUCT(N(E$1:E$7=E4))&gt;1,"重复","不")</f>
        <v>不</v>
      </c>
      <c r="AT4" s="116" t="str">
        <f>IF(SUMPRODUCT(N(AO$1:AO$7=AO4))&gt;1,"重复","不")</f>
        <v>重复</v>
      </c>
    </row>
    <row r="5" spans="1:46" s="38" customFormat="1" ht="18" customHeight="1">
      <c r="A5" s="52">
        <v>2</v>
      </c>
      <c r="B5" s="53" t="s">
        <v>184</v>
      </c>
      <c r="C5" s="53" t="s">
        <v>93</v>
      </c>
      <c r="D5" s="53" t="s">
        <v>185</v>
      </c>
      <c r="E5" s="53" t="s">
        <v>94</v>
      </c>
      <c r="F5" s="54" t="s">
        <v>186</v>
      </c>
      <c r="G5" s="61">
        <v>13944441728</v>
      </c>
      <c r="H5" s="56"/>
      <c r="I5" s="56"/>
      <c r="J5" s="84"/>
      <c r="K5" s="56"/>
      <c r="L5" s="88">
        <v>6889.4</v>
      </c>
      <c r="M5" s="86">
        <v>244.24</v>
      </c>
      <c r="N5" s="86">
        <v>61.06</v>
      </c>
      <c r="O5" s="86">
        <v>9.16</v>
      </c>
      <c r="P5" s="86">
        <v>79</v>
      </c>
      <c r="Q5" s="102">
        <f>ROUND(SUM(M5:P5),2)</f>
        <v>393.46</v>
      </c>
      <c r="R5" s="88">
        <v>0</v>
      </c>
      <c r="S5" s="103">
        <f>L5+IFERROR(VLOOKUP($E:$E,'（居民）工资表-9月'!$E:$S,15,0),0)</f>
        <v>70851.399999999994</v>
      </c>
      <c r="T5" s="104">
        <f>5000+IFERROR(VLOOKUP($E:$E,'（居民）工资表-9月'!$E:$T,16,0),0)</f>
        <v>50000</v>
      </c>
      <c r="U5" s="104">
        <f>Q5+IFERROR(VLOOKUP($E:$E,'（居民）工资表-9月'!$E:$U,17,0),0)</f>
        <v>4525.51</v>
      </c>
      <c r="V5" s="88"/>
      <c r="W5" s="88"/>
      <c r="X5" s="88"/>
      <c r="Y5" s="88"/>
      <c r="Z5" s="88"/>
      <c r="AA5" s="88"/>
      <c r="AB5" s="103">
        <f>ROUND(SUM(V5:AA5),2)</f>
        <v>0</v>
      </c>
      <c r="AC5" s="103">
        <f>R5+IFERROR(VLOOKUP($E:$E,'（居民）工资表-9月'!$E:$AC,25,0),0)</f>
        <v>0</v>
      </c>
      <c r="AD5" s="105">
        <f>ROUND(S5-T5-U5-AB5-AC5,2)</f>
        <v>16325.89</v>
      </c>
      <c r="AE5" s="106">
        <f>ROUND(MAX((AD5)*{0.03;0.1;0.2;0.25;0.3;0.35;0.45}-{0;2520;16920;31920;52920;85920;181920},0),2)</f>
        <v>489.78</v>
      </c>
      <c r="AF5" s="107">
        <f>IFERROR(VLOOKUP(E:E,'（居民）工资表-9月'!E:AF,28,0)+VLOOKUP(E:E,'（居民）工资表-9月'!E:AG,29,0),0)</f>
        <v>444.9</v>
      </c>
      <c r="AG5" s="107">
        <f>IF((AE5-AF5)&lt;0,0,AE5-AF5)</f>
        <v>44.879999999999995</v>
      </c>
      <c r="AH5" s="110">
        <f>ROUND(IF((L5-Q5-AG5)&lt;0,0,(L5-Q5-AG5)),2)</f>
        <v>6451.06</v>
      </c>
      <c r="AI5" s="111"/>
      <c r="AJ5" s="110">
        <f>AH5+AI5</f>
        <v>6451.06</v>
      </c>
      <c r="AK5" s="112"/>
      <c r="AL5" s="110">
        <f>AJ5+AG5+AK5</f>
        <v>6495.9400000000005</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IF(SUMPRODUCT(N(E$1:E$7=E5))&gt;1,"重复","不")</f>
        <v>不</v>
      </c>
      <c r="AT5" s="116" t="str">
        <f>IF(SUMPRODUCT(N(AO$1:AO$7=AO5))&gt;1,"重复","不")</f>
        <v>重复</v>
      </c>
    </row>
    <row r="6" spans="1:46" s="38" customFormat="1" ht="18" customHeight="1">
      <c r="A6" s="52">
        <v>3</v>
      </c>
      <c r="B6" s="53" t="s">
        <v>184</v>
      </c>
      <c r="C6" s="53" t="s">
        <v>103</v>
      </c>
      <c r="D6" s="53" t="s">
        <v>185</v>
      </c>
      <c r="E6" s="282" t="s">
        <v>104</v>
      </c>
      <c r="F6" s="54" t="s">
        <v>186</v>
      </c>
      <c r="G6" s="61">
        <v>18607383005</v>
      </c>
      <c r="H6" s="56"/>
      <c r="I6" s="56"/>
      <c r="J6" s="84"/>
      <c r="K6" s="56"/>
      <c r="L6" s="88">
        <v>20720</v>
      </c>
      <c r="M6" s="86">
        <f>320</f>
        <v>320</v>
      </c>
      <c r="N6" s="86">
        <f>80</f>
        <v>80</v>
      </c>
      <c r="O6" s="86">
        <f>12</f>
        <v>12</v>
      </c>
      <c r="P6" s="86">
        <v>200</v>
      </c>
      <c r="Q6" s="102">
        <f>ROUND(SUM(M6:P6),2)</f>
        <v>612</v>
      </c>
      <c r="R6" s="88">
        <v>0</v>
      </c>
      <c r="S6" s="103">
        <f>L6+IFERROR(VLOOKUP($E:$E,'（居民）工资表-9月'!$E:$S,15,0),0)</f>
        <v>255120</v>
      </c>
      <c r="T6" s="104">
        <f>5000+IFERROR(VLOOKUP($E:$E,'（居民）工资表-9月'!$E:$T,16,0),0)</f>
        <v>50000</v>
      </c>
      <c r="U6" s="104">
        <f>Q6+IFERROR(VLOOKUP($E:$E,'（居民）工资表-9月'!$E:$U,17,0),0)</f>
        <v>6948.67</v>
      </c>
      <c r="V6" s="88"/>
      <c r="W6" s="88"/>
      <c r="X6" s="88"/>
      <c r="Y6" s="88"/>
      <c r="Z6" s="88"/>
      <c r="AA6" s="88"/>
      <c r="AB6" s="103">
        <f>ROUND(SUM(V6:AA6),2)</f>
        <v>0</v>
      </c>
      <c r="AC6" s="103">
        <f>R6+IFERROR(VLOOKUP($E:$E,'（居民）工资表-9月'!$E:$AC,25,0),0)</f>
        <v>0</v>
      </c>
      <c r="AD6" s="105">
        <f>ROUND(S6-T6-U6-AB6-AC6,2)</f>
        <v>198171.33</v>
      </c>
      <c r="AE6" s="106">
        <f>ROUND(MAX((AD6)*{0.03;0.1;0.2;0.25;0.3;0.35;0.45}-{0;2520;16920;31920;52920;85920;181920},0),2)</f>
        <v>22714.27</v>
      </c>
      <c r="AF6" s="107">
        <f>IFERROR(VLOOKUP(E:E,'（居民）工资表-9月'!E:AF,28,0)+VLOOKUP(E:E,'（居民）工资表-9月'!E:AG,29,0),0)</f>
        <v>19692.669999999998</v>
      </c>
      <c r="AG6" s="107">
        <f>IF((AE6-AF6)&lt;0,0,AE6-AF6)</f>
        <v>3021.6000000000022</v>
      </c>
      <c r="AH6" s="110">
        <f>ROUND(IF((L6-Q6-AG6)&lt;0,0,(L6-Q6-AG6)),2)</f>
        <v>17086.400000000001</v>
      </c>
      <c r="AI6" s="111"/>
      <c r="AJ6" s="110">
        <f>AH6+AI6</f>
        <v>17086.400000000001</v>
      </c>
      <c r="AK6" s="112"/>
      <c r="AL6" s="110">
        <f>AJ6+AG6+AK6</f>
        <v>20108.000000000004</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IF(SUMPRODUCT(N(E$1:E$7=E6))&gt;1,"重复","不")</f>
        <v>不</v>
      </c>
      <c r="AT6" s="116" t="str">
        <f>IF(SUMPRODUCT(N(AO$1:AO$7=AO6))&gt;1,"重复","不")</f>
        <v>重复</v>
      </c>
    </row>
    <row r="7" spans="1:46" s="38" customFormat="1" ht="18" customHeight="1">
      <c r="A7" s="52">
        <v>4</v>
      </c>
      <c r="B7" s="53" t="s">
        <v>184</v>
      </c>
      <c r="C7" s="53" t="s">
        <v>110</v>
      </c>
      <c r="D7" s="53" t="s">
        <v>185</v>
      </c>
      <c r="E7" s="282" t="s">
        <v>111</v>
      </c>
      <c r="F7" s="54" t="str">
        <f>IF(MOD(MID(E7,17,1),2)=1,"男","女")</f>
        <v>女</v>
      </c>
      <c r="G7" s="61">
        <v>15360550807</v>
      </c>
      <c r="H7" s="56"/>
      <c r="I7" s="56"/>
      <c r="J7" s="84"/>
      <c r="K7" s="56"/>
      <c r="L7" s="88">
        <v>5700</v>
      </c>
      <c r="M7" s="86"/>
      <c r="N7" s="86"/>
      <c r="O7" s="86"/>
      <c r="P7" s="86"/>
      <c r="Q7" s="102">
        <f>ROUND(SUM(M7:P7),2)</f>
        <v>0</v>
      </c>
      <c r="R7" s="88">
        <v>0</v>
      </c>
      <c r="S7" s="103">
        <f>L7+IFERROR(VLOOKUP($E:$E,'（居民）工资表-9月'!$E:$S,15,0),0)</f>
        <v>18343.63636363636</v>
      </c>
      <c r="T7" s="104">
        <f>5000+IFERROR(VLOOKUP($E:$E,'（居民）工资表-9月'!$E:$T,16,0),0)</f>
        <v>20000</v>
      </c>
      <c r="U7" s="104">
        <f>Q7+IFERROR(VLOOKUP($E:$E,'（居民）工资表-9月'!$E:$U,17,0),0)</f>
        <v>0</v>
      </c>
      <c r="V7" s="88"/>
      <c r="W7" s="88"/>
      <c r="X7" s="88"/>
      <c r="Y7" s="88"/>
      <c r="Z7" s="88"/>
      <c r="AA7" s="88"/>
      <c r="AB7" s="103">
        <f>ROUND(SUM(V7:AA7),2)</f>
        <v>0</v>
      </c>
      <c r="AC7" s="103">
        <f>R7+IFERROR(VLOOKUP($E:$E,'（居民）工资表-9月'!$E:$AC,25,0),0)</f>
        <v>0</v>
      </c>
      <c r="AD7" s="105">
        <f>ROUND(S7-T7-U7-AB7-AC7,2)</f>
        <v>-1656.36</v>
      </c>
      <c r="AE7" s="106">
        <f>ROUND(MAX((AD7)*{0.03;0.1;0.2;0.25;0.3;0.35;0.45}-{0;2520;16920;31920;52920;85920;181920},0),2)</f>
        <v>0</v>
      </c>
      <c r="AF7" s="107">
        <f>IFERROR(VLOOKUP(E:E,'（居民）工资表-9月'!E:AF,28,0)+VLOOKUP(E:E,'（居民）工资表-9月'!E:AG,29,0),0)</f>
        <v>0</v>
      </c>
      <c r="AG7" s="107">
        <f>IF((AE7-AF7)&lt;0,0,AE7-AF7)</f>
        <v>0</v>
      </c>
      <c r="AH7" s="110">
        <f>ROUND(IF((L7-Q7-AG7)&lt;0,0,(L7-Q7-AG7)),2)</f>
        <v>5700</v>
      </c>
      <c r="AI7" s="111"/>
      <c r="AJ7" s="110">
        <f>AH7+AI7</f>
        <v>5700</v>
      </c>
      <c r="AK7" s="112"/>
      <c r="AL7" s="110">
        <f>AJ7+AG7+AK7</f>
        <v>5700</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IF(SUMPRODUCT(N(E$1:E$7=E7))&gt;1,"重复","不")</f>
        <v>不</v>
      </c>
      <c r="AT7" s="116" t="str">
        <f>IF(SUMPRODUCT(N(AO$1:AO$7=AO7))&gt;1,"重复","不")</f>
        <v>重复</v>
      </c>
    </row>
    <row r="8" spans="1:46" s="39" customFormat="1" ht="18" customHeight="1">
      <c r="A8" s="62"/>
      <c r="B8" s="63" t="s">
        <v>188</v>
      </c>
      <c r="C8" s="63"/>
      <c r="D8" s="64"/>
      <c r="E8" s="65"/>
      <c r="F8" s="66"/>
      <c r="G8" s="67"/>
      <c r="H8" s="66"/>
      <c r="I8" s="89"/>
      <c r="J8" s="90"/>
      <c r="K8" s="89"/>
      <c r="L8" s="91">
        <f t="shared" ref="L8:AL8" si="0">SUM(L4:L7)</f>
        <v>42379.4</v>
      </c>
      <c r="M8" s="91">
        <f t="shared" si="0"/>
        <v>828.24</v>
      </c>
      <c r="N8" s="91">
        <f t="shared" si="0"/>
        <v>207.06</v>
      </c>
      <c r="O8" s="91">
        <f t="shared" si="0"/>
        <v>31.06</v>
      </c>
      <c r="P8" s="91">
        <f t="shared" si="0"/>
        <v>459</v>
      </c>
      <c r="Q8" s="91">
        <f t="shared" si="0"/>
        <v>1525.36</v>
      </c>
      <c r="R8" s="91">
        <f t="shared" si="0"/>
        <v>0</v>
      </c>
      <c r="S8" s="91">
        <f t="shared" si="0"/>
        <v>436155.03636363638</v>
      </c>
      <c r="T8" s="91">
        <f t="shared" si="0"/>
        <v>170000</v>
      </c>
      <c r="U8" s="91">
        <f t="shared" si="0"/>
        <v>16673.18</v>
      </c>
      <c r="V8" s="91">
        <f t="shared" si="0"/>
        <v>0</v>
      </c>
      <c r="W8" s="91">
        <f t="shared" si="0"/>
        <v>0</v>
      </c>
      <c r="X8" s="91">
        <f t="shared" si="0"/>
        <v>10000</v>
      </c>
      <c r="Y8" s="91">
        <f t="shared" si="0"/>
        <v>0</v>
      </c>
      <c r="Z8" s="91">
        <f t="shared" si="0"/>
        <v>0</v>
      </c>
      <c r="AA8" s="91">
        <f t="shared" si="0"/>
        <v>0</v>
      </c>
      <c r="AB8" s="91">
        <f t="shared" si="0"/>
        <v>10000</v>
      </c>
      <c r="AC8" s="91">
        <f t="shared" si="0"/>
        <v>0</v>
      </c>
      <c r="AD8" s="91">
        <f t="shared" si="0"/>
        <v>239481.86</v>
      </c>
      <c r="AE8" s="91">
        <f t="shared" si="0"/>
        <v>24003.279999999999</v>
      </c>
      <c r="AF8" s="91">
        <f t="shared" si="0"/>
        <v>20860.3</v>
      </c>
      <c r="AG8" s="91">
        <f t="shared" si="0"/>
        <v>3142.9800000000023</v>
      </c>
      <c r="AH8" s="91">
        <f t="shared" si="0"/>
        <v>37711.06</v>
      </c>
      <c r="AI8" s="137">
        <f t="shared" si="0"/>
        <v>0</v>
      </c>
      <c r="AJ8" s="91">
        <f t="shared" si="0"/>
        <v>37711.06</v>
      </c>
      <c r="AK8" s="91">
        <f t="shared" si="0"/>
        <v>0</v>
      </c>
      <c r="AL8" s="91">
        <f t="shared" si="0"/>
        <v>40854.040000000008</v>
      </c>
      <c r="AM8" s="113"/>
      <c r="AN8" s="113"/>
      <c r="AO8" s="113"/>
      <c r="AP8" s="113"/>
      <c r="AQ8" s="113"/>
      <c r="AR8" s="66"/>
      <c r="AS8" s="66"/>
      <c r="AT8" s="117"/>
    </row>
    <row r="11" spans="1:46">
      <c r="AD11" s="108"/>
    </row>
    <row r="12" spans="1:46" ht="18.75" customHeight="1">
      <c r="B12" s="68" t="s">
        <v>165</v>
      </c>
      <c r="C12" s="68" t="s">
        <v>189</v>
      </c>
      <c r="D12" s="68" t="s">
        <v>57</v>
      </c>
      <c r="E12" s="68" t="s">
        <v>58</v>
      </c>
      <c r="AD12" s="36"/>
    </row>
    <row r="13" spans="1:46" ht="18.75" customHeight="1">
      <c r="B13" s="69">
        <f>AJ8</f>
        <v>37711.06</v>
      </c>
      <c r="C13" s="69">
        <f>AG8</f>
        <v>3142.9800000000023</v>
      </c>
      <c r="D13" s="69">
        <f>AK8</f>
        <v>0</v>
      </c>
      <c r="E13" s="69">
        <f>B13+C13+D13</f>
        <v>40854.04</v>
      </c>
    </row>
    <row r="14" spans="1:46">
      <c r="B14" s="70"/>
      <c r="C14" s="70"/>
      <c r="D14" s="70"/>
      <c r="E14" s="70"/>
    </row>
    <row r="15" spans="1:46" s="40" customFormat="1">
      <c r="A15" s="71" t="s">
        <v>190</v>
      </c>
      <c r="B15" s="72" t="s">
        <v>191</v>
      </c>
      <c r="C15" s="73"/>
      <c r="D15" s="73"/>
      <c r="E15" s="73"/>
      <c r="G15" s="74"/>
      <c r="J15" s="92"/>
      <c r="M15" s="93"/>
      <c r="AI15" s="114"/>
    </row>
    <row r="16" spans="1:46" s="40" customFormat="1">
      <c r="A16" s="75"/>
      <c r="B16" s="76" t="s">
        <v>192</v>
      </c>
      <c r="C16" s="73"/>
      <c r="D16" s="73"/>
      <c r="E16" s="73"/>
      <c r="G16" s="74"/>
      <c r="J16" s="92"/>
      <c r="M16" s="93"/>
      <c r="AI16" s="114"/>
    </row>
    <row r="17" spans="1:35" s="40" customFormat="1">
      <c r="A17" s="72"/>
      <c r="B17" s="76" t="s">
        <v>193</v>
      </c>
      <c r="C17" s="77"/>
      <c r="D17" s="77"/>
      <c r="E17" s="77"/>
      <c r="F17" s="77"/>
      <c r="G17" s="77"/>
      <c r="H17" s="77"/>
      <c r="I17" s="77"/>
      <c r="J17" s="94"/>
      <c r="K17" s="77"/>
      <c r="L17" s="77"/>
      <c r="M17" s="95"/>
      <c r="N17" s="77"/>
      <c r="O17" s="77"/>
      <c r="P17" s="77"/>
      <c r="AI17" s="114"/>
    </row>
    <row r="18" spans="1:35" s="40" customFormat="1" ht="13.5" customHeight="1">
      <c r="A18" s="76"/>
      <c r="B18" s="76" t="s">
        <v>194</v>
      </c>
      <c r="C18" s="78"/>
      <c r="D18" s="78"/>
      <c r="E18" s="78"/>
      <c r="F18" s="78"/>
      <c r="G18" s="78"/>
      <c r="H18" s="78"/>
      <c r="I18" s="96"/>
      <c r="J18" s="97"/>
      <c r="K18" s="96"/>
      <c r="L18" s="96"/>
      <c r="M18" s="98"/>
      <c r="N18" s="96"/>
      <c r="O18" s="96"/>
      <c r="P18" s="96"/>
      <c r="AI18" s="114"/>
    </row>
    <row r="19" spans="1:35" s="40" customFormat="1" ht="13.5" customHeight="1">
      <c r="A19" s="76"/>
      <c r="B19" s="76" t="s">
        <v>195</v>
      </c>
      <c r="C19" s="78"/>
      <c r="D19" s="78"/>
      <c r="E19" s="78"/>
      <c r="F19" s="78"/>
      <c r="G19" s="78"/>
      <c r="H19" s="78"/>
      <c r="I19" s="78"/>
      <c r="J19" s="99"/>
      <c r="K19" s="78"/>
      <c r="L19" s="96"/>
      <c r="M19" s="98"/>
      <c r="N19" s="96"/>
      <c r="O19" s="96"/>
      <c r="P19" s="96"/>
      <c r="AI19" s="114"/>
    </row>
    <row r="20" spans="1:35" s="40" customFormat="1" ht="13.5" customHeight="1">
      <c r="A20" s="76"/>
      <c r="B20" s="76" t="s">
        <v>196</v>
      </c>
      <c r="C20" s="78"/>
      <c r="D20" s="78"/>
      <c r="E20" s="78"/>
      <c r="F20" s="78"/>
      <c r="G20" s="78"/>
      <c r="H20" s="78"/>
      <c r="I20" s="96"/>
      <c r="J20" s="97"/>
      <c r="K20" s="96"/>
      <c r="L20" s="96"/>
      <c r="M20" s="98"/>
      <c r="N20" s="96"/>
      <c r="O20" s="96"/>
      <c r="P20" s="96"/>
      <c r="AI20" s="114"/>
    </row>
    <row r="22" spans="1:35" ht="11.25" customHeight="1">
      <c r="B22" s="79" t="s">
        <v>197</v>
      </c>
    </row>
    <row r="23" spans="1:35">
      <c r="B23" s="80" t="s">
        <v>198</v>
      </c>
    </row>
    <row r="24" spans="1:35">
      <c r="B24" s="80" t="s">
        <v>199</v>
      </c>
    </row>
  </sheetData>
  <autoFilter ref="A3:AT8"/>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0">
    <cfRule type="duplicateValues" dxfId="58" priority="2" stopIfTrue="1"/>
  </conditionalFormatting>
  <conditionalFormatting sqref="B15:B19">
    <cfRule type="duplicateValues" dxfId="57" priority="3" stopIfTrue="1"/>
  </conditionalFormatting>
  <conditionalFormatting sqref="B23:B24">
    <cfRule type="duplicateValues" dxfId="56" priority="1" stopIfTrue="1"/>
  </conditionalFormatting>
  <conditionalFormatting sqref="C12:C14">
    <cfRule type="duplicateValues" dxfId="55" priority="4" stopIfTrue="1"/>
    <cfRule type="expression" dxfId="54" priority="5" stopIfTrue="1">
      <formula>AND(COUNTIF($B$8:$B$65444,C12)+COUNTIF($B$1:$B$3,C12)&gt;1,NOT(ISBLANK(C12)))</formula>
    </cfRule>
    <cfRule type="expression" dxfId="53" priority="6" stopIfTrue="1">
      <formula>AND(COUNTIF($B$19:$B$65395,C12)+COUNTIF($B$1:$B$18,C12)&gt;1,NOT(ISBLANK(C12)))</formula>
    </cfRule>
    <cfRule type="expression" dxfId="52" priority="7" stopIfTrue="1">
      <formula>AND(COUNTIF($B$8:$B$65433,C12)+COUNTIF($B$1:$B$3,C12)&gt;1,NOT(ISBLANK(C12)))</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25"/>
  <sheetViews>
    <sheetView workbookViewId="0">
      <pane xSplit="6" ySplit="3" topLeftCell="S4" activePane="bottomRight" state="frozen"/>
      <selection pane="topRight"/>
      <selection pane="bottomLeft"/>
      <selection pane="bottomRight" activeCell="B4" sqref="B4:P8"/>
    </sheetView>
  </sheetViews>
  <sheetFormatPr defaultColWidth="9" defaultRowHeight="13.5" outlineLevelCol="1"/>
  <cols>
    <col min="1" max="1" width="4.5" style="41" customWidth="1"/>
    <col min="2" max="2" width="12.625" style="41" customWidth="1"/>
    <col min="3" max="3" width="10.5" style="41" customWidth="1"/>
    <col min="4" max="4" width="8.75" style="41" customWidth="1"/>
    <col min="5" max="5" width="19.5" style="42" customWidth="1"/>
    <col min="6" max="6" width="9" style="41"/>
    <col min="7" max="7" width="11.875" style="43" customWidth="1"/>
    <col min="8" max="8" width="4.625" style="41" hidden="1" customWidth="1"/>
    <col min="9" max="9" width="5.25" style="41" hidden="1" customWidth="1"/>
    <col min="10" max="10" width="11.75" style="44" customWidth="1"/>
    <col min="11" max="11" width="5.25" style="41" customWidth="1"/>
    <col min="12" max="12" width="11.75" style="41" customWidth="1"/>
    <col min="13" max="13" width="12.5" style="41" customWidth="1" outlineLevel="1"/>
    <col min="14" max="15" width="9" style="41" customWidth="1" outlineLevel="1"/>
    <col min="16" max="16" width="11.125" style="41" customWidth="1" outlineLevel="1"/>
    <col min="17" max="17" width="9.75" style="41" customWidth="1"/>
    <col min="18" max="18" width="9.5" style="41" customWidth="1"/>
    <col min="19" max="19" width="13.375" style="41" customWidth="1"/>
    <col min="20" max="21" width="12.25" style="41" customWidth="1"/>
    <col min="22" max="27" width="9" style="41" customWidth="1" outlineLevel="1"/>
    <col min="28" max="28" width="11.25" style="41" customWidth="1"/>
    <col min="29" max="29" width="8.5" style="41" customWidth="1"/>
    <col min="30" max="30" width="15.25" style="41" customWidth="1"/>
    <col min="31" max="31" width="13.375" style="41" customWidth="1"/>
    <col min="32" max="32" width="10.75" style="41" customWidth="1"/>
    <col min="33" max="33" width="12.25" style="41" customWidth="1"/>
    <col min="34" max="34" width="11.5" style="41" customWidth="1"/>
    <col min="35" max="35" width="7.875" style="45" customWidth="1"/>
    <col min="36" max="36" width="11.5" style="41" customWidth="1"/>
    <col min="37" max="37" width="9" style="41"/>
    <col min="38" max="38" width="11.5" style="41" customWidth="1"/>
    <col min="39" max="40" width="9" style="41" customWidth="1"/>
    <col min="41" max="41" width="19" style="41" customWidth="1"/>
    <col min="42" max="42" width="12.25" style="41" customWidth="1"/>
    <col min="43" max="43" width="9" style="41"/>
    <col min="44" max="44" width="7" style="41" customWidth="1"/>
    <col min="45" max="45" width="6.75" style="41" customWidth="1"/>
    <col min="46" max="46" width="6.125" style="41" customWidth="1"/>
    <col min="47" max="16384" width="9" style="41"/>
  </cols>
  <sheetData>
    <row r="1" spans="1:46" s="36" customFormat="1" ht="29.25" customHeight="1">
      <c r="A1" s="46" t="s">
        <v>137</v>
      </c>
      <c r="B1" s="47"/>
      <c r="C1" s="48"/>
      <c r="D1" s="49"/>
      <c r="E1" s="50"/>
      <c r="F1" s="50"/>
      <c r="G1" s="51"/>
      <c r="J1" s="81"/>
      <c r="L1" s="82"/>
      <c r="M1" s="343" t="s">
        <v>138</v>
      </c>
      <c r="N1" s="343"/>
      <c r="O1" s="343"/>
      <c r="P1" s="343"/>
      <c r="Q1" s="100"/>
      <c r="R1" s="100"/>
      <c r="S1" s="100"/>
      <c r="T1" s="100"/>
      <c r="U1" s="100"/>
      <c r="V1" s="100"/>
      <c r="W1" s="100"/>
      <c r="X1" s="100"/>
      <c r="Y1" s="100"/>
      <c r="Z1" s="100"/>
      <c r="AA1" s="100"/>
      <c r="AB1" s="100"/>
      <c r="AC1" s="100"/>
      <c r="AD1" s="82"/>
      <c r="AE1" s="82"/>
      <c r="AF1" s="82"/>
      <c r="AG1" s="82"/>
      <c r="AH1" s="82"/>
      <c r="AI1" s="109"/>
      <c r="AJ1" s="82"/>
      <c r="AK1" s="82"/>
      <c r="AL1" s="82"/>
      <c r="AM1" s="50"/>
      <c r="AN1" s="50"/>
      <c r="AO1" s="115"/>
      <c r="AP1" s="50"/>
      <c r="AQ1" s="50"/>
      <c r="AR1" s="50"/>
      <c r="AS1" s="50"/>
    </row>
    <row r="2" spans="1:46" s="37" customFormat="1" ht="20.100000000000001" customHeight="1">
      <c r="A2" s="350" t="s">
        <v>18</v>
      </c>
      <c r="B2" s="352" t="s">
        <v>139</v>
      </c>
      <c r="C2" s="354" t="s">
        <v>140</v>
      </c>
      <c r="D2" s="354" t="s">
        <v>141</v>
      </c>
      <c r="E2" s="356" t="s">
        <v>142</v>
      </c>
      <c r="F2" s="358" t="s">
        <v>143</v>
      </c>
      <c r="G2" s="356" t="s">
        <v>144</v>
      </c>
      <c r="H2" s="356" t="s">
        <v>145</v>
      </c>
      <c r="I2" s="356" t="s">
        <v>146</v>
      </c>
      <c r="J2" s="360" t="s">
        <v>147</v>
      </c>
      <c r="K2" s="356" t="s">
        <v>148</v>
      </c>
      <c r="L2" s="356" t="s">
        <v>149</v>
      </c>
      <c r="M2" s="344" t="s">
        <v>150</v>
      </c>
      <c r="N2" s="345"/>
      <c r="O2" s="345"/>
      <c r="P2" s="346"/>
      <c r="Q2" s="358" t="s">
        <v>151</v>
      </c>
      <c r="R2" s="356" t="s">
        <v>152</v>
      </c>
      <c r="S2" s="358" t="s">
        <v>153</v>
      </c>
      <c r="T2" s="362" t="s">
        <v>154</v>
      </c>
      <c r="U2" s="358" t="s">
        <v>155</v>
      </c>
      <c r="V2" s="347" t="s">
        <v>156</v>
      </c>
      <c r="W2" s="348"/>
      <c r="X2" s="348"/>
      <c r="Y2" s="348"/>
      <c r="Z2" s="348"/>
      <c r="AA2" s="349"/>
      <c r="AB2" s="358" t="s">
        <v>157</v>
      </c>
      <c r="AC2" s="358" t="s">
        <v>158</v>
      </c>
      <c r="AD2" s="362" t="s">
        <v>159</v>
      </c>
      <c r="AE2" s="362" t="s">
        <v>160</v>
      </c>
      <c r="AF2" s="362" t="s">
        <v>161</v>
      </c>
      <c r="AG2" s="362" t="s">
        <v>162</v>
      </c>
      <c r="AH2" s="364" t="s">
        <v>163</v>
      </c>
      <c r="AI2" s="366" t="s">
        <v>164</v>
      </c>
      <c r="AJ2" s="364" t="s">
        <v>165</v>
      </c>
      <c r="AK2" s="354" t="s">
        <v>57</v>
      </c>
      <c r="AL2" s="364" t="s">
        <v>166</v>
      </c>
      <c r="AM2" s="356" t="s">
        <v>167</v>
      </c>
      <c r="AN2" s="356" t="s">
        <v>168</v>
      </c>
      <c r="AO2" s="368" t="s">
        <v>169</v>
      </c>
      <c r="AP2" s="356" t="s">
        <v>170</v>
      </c>
      <c r="AQ2" s="356" t="s">
        <v>171</v>
      </c>
      <c r="AR2" s="358" t="s">
        <v>172</v>
      </c>
      <c r="AS2" s="358" t="s">
        <v>173</v>
      </c>
      <c r="AT2" s="358" t="s">
        <v>174</v>
      </c>
    </row>
    <row r="3" spans="1:46" s="37" customFormat="1" ht="27" customHeight="1">
      <c r="A3" s="351"/>
      <c r="B3" s="353"/>
      <c r="C3" s="355"/>
      <c r="D3" s="355"/>
      <c r="E3" s="357"/>
      <c r="F3" s="359"/>
      <c r="G3" s="357"/>
      <c r="H3" s="357"/>
      <c r="I3" s="357"/>
      <c r="J3" s="361"/>
      <c r="K3" s="357"/>
      <c r="L3" s="357"/>
      <c r="M3" s="83" t="s">
        <v>175</v>
      </c>
      <c r="N3" s="83" t="s">
        <v>176</v>
      </c>
      <c r="O3" s="83" t="s">
        <v>177</v>
      </c>
      <c r="P3" s="83" t="s">
        <v>70</v>
      </c>
      <c r="Q3" s="359"/>
      <c r="R3" s="357"/>
      <c r="S3" s="359"/>
      <c r="T3" s="363"/>
      <c r="U3" s="359"/>
      <c r="V3" s="101" t="s">
        <v>178</v>
      </c>
      <c r="W3" s="101" t="s">
        <v>179</v>
      </c>
      <c r="X3" s="101" t="s">
        <v>180</v>
      </c>
      <c r="Y3" s="101" t="s">
        <v>181</v>
      </c>
      <c r="Z3" s="101" t="s">
        <v>182</v>
      </c>
      <c r="AA3" s="101" t="s">
        <v>183</v>
      </c>
      <c r="AB3" s="359"/>
      <c r="AC3" s="359"/>
      <c r="AD3" s="363"/>
      <c r="AE3" s="363"/>
      <c r="AF3" s="363"/>
      <c r="AG3" s="363"/>
      <c r="AH3" s="365"/>
      <c r="AI3" s="367"/>
      <c r="AJ3" s="365"/>
      <c r="AK3" s="355"/>
      <c r="AL3" s="365"/>
      <c r="AM3" s="357"/>
      <c r="AN3" s="357"/>
      <c r="AO3" s="369"/>
      <c r="AP3" s="357"/>
      <c r="AQ3" s="357"/>
      <c r="AR3" s="359"/>
      <c r="AS3" s="359"/>
      <c r="AT3" s="359"/>
    </row>
    <row r="4" spans="1:46" s="38" customFormat="1" ht="18" customHeight="1">
      <c r="A4" s="52">
        <v>1</v>
      </c>
      <c r="B4" s="53" t="s">
        <v>184</v>
      </c>
      <c r="C4" s="53" t="s">
        <v>75</v>
      </c>
      <c r="D4" s="53" t="s">
        <v>185</v>
      </c>
      <c r="E4" s="53" t="s">
        <v>76</v>
      </c>
      <c r="F4" s="54" t="s">
        <v>186</v>
      </c>
      <c r="G4" s="61">
        <v>18035163638</v>
      </c>
      <c r="H4" s="56"/>
      <c r="I4" s="56"/>
      <c r="J4" s="84"/>
      <c r="K4" s="56"/>
      <c r="L4" s="88">
        <v>10400</v>
      </c>
      <c r="M4" s="86">
        <v>264</v>
      </c>
      <c r="N4" s="86">
        <v>66</v>
      </c>
      <c r="O4" s="86">
        <v>9.9</v>
      </c>
      <c r="P4" s="86">
        <v>180</v>
      </c>
      <c r="Q4" s="102">
        <f>ROUND(SUM(M4:P4),2)</f>
        <v>519.9</v>
      </c>
      <c r="R4" s="88">
        <v>0</v>
      </c>
      <c r="S4" s="103">
        <f>L4+IFERROR(VLOOKUP($E:$E,'（居民）工资表-10月'!$E:$S,15,0),0)</f>
        <v>102240</v>
      </c>
      <c r="T4" s="104">
        <f>5000+IFERROR(VLOOKUP($E:$E,'（居民）工资表-10月'!$E:$T,16,0),0)</f>
        <v>55000</v>
      </c>
      <c r="U4" s="104">
        <f>Q4+IFERROR(VLOOKUP($E:$E,'（居民）工资表-10月'!$E:$U,17,0),0)</f>
        <v>5718.8999999999987</v>
      </c>
      <c r="V4" s="88"/>
      <c r="W4" s="88"/>
      <c r="X4" s="88">
        <v>11000</v>
      </c>
      <c r="Y4" s="88"/>
      <c r="Z4" s="88"/>
      <c r="AA4" s="88"/>
      <c r="AB4" s="103">
        <f>ROUND(SUM(V4:AA4),2)</f>
        <v>11000</v>
      </c>
      <c r="AC4" s="103">
        <f>R4+IFERROR(VLOOKUP($E:$E,'（居民）工资表-10月'!$E:$AC,25,0),0)</f>
        <v>0</v>
      </c>
      <c r="AD4" s="105">
        <f>ROUND(S4-T4-U4-AB4-AC4,2)</f>
        <v>30521.1</v>
      </c>
      <c r="AE4" s="106">
        <f>ROUND(MAX((AD4)*{0.03;0.1;0.2;0.25;0.3;0.35;0.45}-{0;2520;16920;31920;52920;85920;181920},0),2)</f>
        <v>915.63</v>
      </c>
      <c r="AF4" s="107">
        <f>IFERROR(VLOOKUP(E:E,'（居民）工资表-10月'!E:AF,28,0)+VLOOKUP(E:E,'（居民）工资表-10月'!E:AG,29,0),0)</f>
        <v>799.23</v>
      </c>
      <c r="AG4" s="107">
        <f>IF((AE4-AF4)&lt;0,0,AE4-AF4)</f>
        <v>116.39999999999998</v>
      </c>
      <c r="AH4" s="110">
        <f>ROUND(IF((L4-Q4-AG4)&lt;0,0,(L4-Q4-AG4)),2)</f>
        <v>9763.7000000000007</v>
      </c>
      <c r="AI4" s="111"/>
      <c r="AJ4" s="110">
        <f>AH4+AI4</f>
        <v>9763.7000000000007</v>
      </c>
      <c r="AK4" s="112"/>
      <c r="AL4" s="110">
        <f>AJ4+AG4+AK4</f>
        <v>9880.1</v>
      </c>
      <c r="AM4" s="112"/>
      <c r="AN4" s="112"/>
      <c r="AO4" s="112"/>
      <c r="AP4" s="112"/>
      <c r="AQ4" s="112"/>
      <c r="AR4" s="116"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6" t="str">
        <f>IF(SUMPRODUCT(N(E$1:E$6=E4))&gt;1,"重复","不")</f>
        <v>不</v>
      </c>
      <c r="AT4" s="116" t="str">
        <f>IF(SUMPRODUCT(N(AO$1:AO$6=AO4))&gt;1,"重复","不")</f>
        <v>重复</v>
      </c>
    </row>
    <row r="5" spans="1:46" s="38" customFormat="1" ht="18" customHeight="1">
      <c r="A5" s="52">
        <v>2</v>
      </c>
      <c r="B5" s="53" t="s">
        <v>184</v>
      </c>
      <c r="C5" s="53" t="s">
        <v>93</v>
      </c>
      <c r="D5" s="53" t="s">
        <v>185</v>
      </c>
      <c r="E5" s="53" t="s">
        <v>94</v>
      </c>
      <c r="F5" s="54" t="s">
        <v>186</v>
      </c>
      <c r="G5" s="61">
        <v>13944441728</v>
      </c>
      <c r="H5" s="56"/>
      <c r="I5" s="56"/>
      <c r="J5" s="84"/>
      <c r="K5" s="56"/>
      <c r="L5" s="88">
        <v>7000</v>
      </c>
      <c r="M5" s="86">
        <f>268.81+24.57*4</f>
        <v>367.09</v>
      </c>
      <c r="N5" s="86">
        <v>61.06</v>
      </c>
      <c r="O5" s="86">
        <f>10.08+0.92*4</f>
        <v>13.76</v>
      </c>
      <c r="P5" s="86">
        <v>79</v>
      </c>
      <c r="Q5" s="102">
        <f>ROUND(SUM(M5:P5),2)</f>
        <v>520.91</v>
      </c>
      <c r="R5" s="88">
        <v>0</v>
      </c>
      <c r="S5" s="103">
        <f>L5+IFERROR(VLOOKUP($E:$E,'（居民）工资表-10月'!$E:$S,15,0),0)</f>
        <v>77851.399999999994</v>
      </c>
      <c r="T5" s="104">
        <f>5000+IFERROR(VLOOKUP($E:$E,'（居民）工资表-10月'!$E:$T,16,0),0)</f>
        <v>55000</v>
      </c>
      <c r="U5" s="104">
        <f>Q5+IFERROR(VLOOKUP($E:$E,'（居民）工资表-10月'!$E:$U,17,0),0)</f>
        <v>5046.42</v>
      </c>
      <c r="V5" s="88"/>
      <c r="W5" s="88"/>
      <c r="X5" s="88"/>
      <c r="Y5" s="88"/>
      <c r="Z5" s="88"/>
      <c r="AA5" s="88"/>
      <c r="AB5" s="103">
        <f>ROUND(SUM(V5:AA5),2)</f>
        <v>0</v>
      </c>
      <c r="AC5" s="103">
        <f>R5+IFERROR(VLOOKUP($E:$E,'（居民）工资表-10月'!$E:$AC,25,0),0)</f>
        <v>0</v>
      </c>
      <c r="AD5" s="105">
        <f>ROUND(S5-T5-U5-AB5-AC5,2)</f>
        <v>17804.98</v>
      </c>
      <c r="AE5" s="106">
        <f>ROUND(MAX((AD5)*{0.03;0.1;0.2;0.25;0.3;0.35;0.45}-{0;2520;16920;31920;52920;85920;181920},0),2)</f>
        <v>534.15</v>
      </c>
      <c r="AF5" s="107">
        <f>IFERROR(VLOOKUP(E:E,'（居民）工资表-10月'!E:AF,28,0)+VLOOKUP(E:E,'（居民）工资表-10月'!E:AG,29,0),0)</f>
        <v>489.78</v>
      </c>
      <c r="AG5" s="107">
        <f>IF((AE5-AF5)&lt;0,0,AE5-AF5)</f>
        <v>44.370000000000005</v>
      </c>
      <c r="AH5" s="110">
        <f>ROUND(IF((L5-Q5-AG5)&lt;0,0,(L5-Q5-AG5)),2)</f>
        <v>6434.72</v>
      </c>
      <c r="AI5" s="111"/>
      <c r="AJ5" s="110">
        <f>AH5+AI5</f>
        <v>6434.72</v>
      </c>
      <c r="AK5" s="112"/>
      <c r="AL5" s="110">
        <f>AJ5+AG5+AK5</f>
        <v>6479.09</v>
      </c>
      <c r="AM5" s="112"/>
      <c r="AN5" s="112"/>
      <c r="AO5" s="112"/>
      <c r="AP5" s="112"/>
      <c r="AQ5" s="112"/>
      <c r="AR5" s="116"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6" t="str">
        <f>IF(SUMPRODUCT(N(E$1:E$6=E5))&gt;1,"重复","不")</f>
        <v>不</v>
      </c>
      <c r="AT5" s="116" t="str">
        <f>IF(SUMPRODUCT(N(AO$1:AO$6=AO5))&gt;1,"重复","不")</f>
        <v>重复</v>
      </c>
    </row>
    <row r="6" spans="1:46" s="38" customFormat="1" ht="18" customHeight="1">
      <c r="A6" s="52">
        <v>3</v>
      </c>
      <c r="B6" s="53" t="s">
        <v>184</v>
      </c>
      <c r="C6" s="53" t="s">
        <v>110</v>
      </c>
      <c r="D6" s="53" t="s">
        <v>185</v>
      </c>
      <c r="E6" s="282" t="s">
        <v>111</v>
      </c>
      <c r="F6" s="54" t="str">
        <f>IF(MOD(MID(E6,17,1),2)=1,"男","女")</f>
        <v>女</v>
      </c>
      <c r="G6" s="61">
        <v>15360550807</v>
      </c>
      <c r="H6" s="56"/>
      <c r="I6" s="56"/>
      <c r="J6" s="84"/>
      <c r="K6" s="56"/>
      <c r="L6" s="88">
        <v>5700</v>
      </c>
      <c r="M6" s="86">
        <v>367.04</v>
      </c>
      <c r="N6" s="86">
        <v>123.5</v>
      </c>
      <c r="O6" s="86">
        <v>4.2</v>
      </c>
      <c r="P6" s="86">
        <v>105</v>
      </c>
      <c r="Q6" s="102">
        <f>ROUND(SUM(M6:P6),2)</f>
        <v>599.74</v>
      </c>
      <c r="R6" s="88">
        <v>0</v>
      </c>
      <c r="S6" s="103">
        <f>L6+IFERROR(VLOOKUP($E:$E,'（居民）工资表-10月'!$E:$S,15,0),0)</f>
        <v>24043.63636363636</v>
      </c>
      <c r="T6" s="104">
        <f>5000+IFERROR(VLOOKUP($E:$E,'（居民）工资表-10月'!$E:$T,16,0),0)</f>
        <v>25000</v>
      </c>
      <c r="U6" s="104">
        <f>Q6+IFERROR(VLOOKUP($E:$E,'（居民）工资表-10月'!$E:$U,17,0),0)</f>
        <v>599.74</v>
      </c>
      <c r="V6" s="88"/>
      <c r="W6" s="88"/>
      <c r="X6" s="88"/>
      <c r="Y6" s="88"/>
      <c r="Z6" s="88"/>
      <c r="AA6" s="88"/>
      <c r="AB6" s="103">
        <f>ROUND(SUM(V6:AA6),2)</f>
        <v>0</v>
      </c>
      <c r="AC6" s="103">
        <f>R6+IFERROR(VLOOKUP($E:$E,'（居民）工资表-10月'!$E:$AC,25,0),0)</f>
        <v>0</v>
      </c>
      <c r="AD6" s="105">
        <f>ROUND(S6-T6-U6-AB6-AC6,2)</f>
        <v>-1556.1</v>
      </c>
      <c r="AE6" s="106">
        <f>ROUND(MAX((AD6)*{0.03;0.1;0.2;0.25;0.3;0.35;0.45}-{0;2520;16920;31920;52920;85920;181920},0),2)</f>
        <v>0</v>
      </c>
      <c r="AF6" s="107">
        <f>IFERROR(VLOOKUP(E:E,'（居民）工资表-10月'!E:AF,28,0)+VLOOKUP(E:E,'（居民）工资表-10月'!E:AG,29,0),0)</f>
        <v>0</v>
      </c>
      <c r="AG6" s="107">
        <f>IF((AE6-AF6)&lt;0,0,AE6-AF6)</f>
        <v>0</v>
      </c>
      <c r="AH6" s="110">
        <f>ROUND(IF((L6-Q6-AG6)&lt;0,0,(L6-Q6-AG6)),2)</f>
        <v>5100.26</v>
      </c>
      <c r="AI6" s="111"/>
      <c r="AJ6" s="110">
        <f>AH6+AI6</f>
        <v>5100.26</v>
      </c>
      <c r="AK6" s="112"/>
      <c r="AL6" s="110">
        <f>AJ6+AG6+AK6</f>
        <v>5100.26</v>
      </c>
      <c r="AM6" s="112"/>
      <c r="AN6" s="112"/>
      <c r="AO6" s="112"/>
      <c r="AP6" s="112"/>
      <c r="AQ6" s="112"/>
      <c r="AR6" s="116"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6" t="str">
        <f>IF(SUMPRODUCT(N(E$1:E$6=E6))&gt;1,"重复","不")</f>
        <v>不</v>
      </c>
      <c r="AT6" s="116" t="str">
        <f>IF(SUMPRODUCT(N(AO$1:AO$6=AO6))&gt;1,"重复","不")</f>
        <v>重复</v>
      </c>
    </row>
    <row r="7" spans="1:46" s="38" customFormat="1" ht="18" customHeight="1">
      <c r="A7" s="52">
        <v>4</v>
      </c>
      <c r="B7" s="53" t="s">
        <v>184</v>
      </c>
      <c r="C7" s="53" t="s">
        <v>103</v>
      </c>
      <c r="D7" s="53" t="s">
        <v>185</v>
      </c>
      <c r="E7" s="282" t="s">
        <v>104</v>
      </c>
      <c r="F7" s="54" t="s">
        <v>186</v>
      </c>
      <c r="G7" s="61">
        <v>18607383005</v>
      </c>
      <c r="H7" s="56"/>
      <c r="I7" s="56"/>
      <c r="J7" s="84"/>
      <c r="K7" s="56"/>
      <c r="L7" s="88">
        <v>25000</v>
      </c>
      <c r="M7" s="86">
        <f>320</f>
        <v>320</v>
      </c>
      <c r="N7" s="86">
        <f>80</f>
        <v>80</v>
      </c>
      <c r="O7" s="86">
        <f>12</f>
        <v>12</v>
      </c>
      <c r="P7" s="86">
        <v>200</v>
      </c>
      <c r="Q7" s="102">
        <f>ROUND(SUM(M7:P7),2)</f>
        <v>612</v>
      </c>
      <c r="R7" s="88">
        <v>0</v>
      </c>
      <c r="S7" s="103">
        <f>L7+IFERROR(VLOOKUP($E:$E,'（居民）工资表-10月'!$E:$S,15,0),0)</f>
        <v>280120</v>
      </c>
      <c r="T7" s="104">
        <f>5000+IFERROR(VLOOKUP($E:$E,'（居民）工资表-10月'!$E:$T,16,0),0)</f>
        <v>55000</v>
      </c>
      <c r="U7" s="104">
        <f>Q7+IFERROR(VLOOKUP($E:$E,'（居民）工资表-10月'!$E:$U,17,0),0)</f>
        <v>7560.67</v>
      </c>
      <c r="V7" s="88"/>
      <c r="W7" s="88"/>
      <c r="X7" s="88"/>
      <c r="Y7" s="88"/>
      <c r="Z7" s="88"/>
      <c r="AA7" s="88"/>
      <c r="AB7" s="103">
        <f>ROUND(SUM(V7:AA7),2)</f>
        <v>0</v>
      </c>
      <c r="AC7" s="103">
        <f>R7+IFERROR(VLOOKUP($E:$E,'（居民）工资表-10月'!$E:$AC,25,0),0)</f>
        <v>0</v>
      </c>
      <c r="AD7" s="105">
        <f>ROUND(S7-T7-U7-AB7-AC7,2)</f>
        <v>217559.33</v>
      </c>
      <c r="AE7" s="106">
        <f>ROUND(MAX((AD7)*{0.03;0.1;0.2;0.25;0.3;0.35;0.45}-{0;2520;16920;31920;52920;85920;181920},0),2)</f>
        <v>26591.87</v>
      </c>
      <c r="AF7" s="107">
        <f>IFERROR(VLOOKUP(E:E,'（居民）工资表-10月'!E:AF,28,0)+VLOOKUP(E:E,'（居民）工资表-10月'!E:AG,29,0),0)</f>
        <v>22714.27</v>
      </c>
      <c r="AG7" s="107">
        <f>IF((AE7-AF7)&lt;0,0,AE7-AF7)</f>
        <v>3877.5999999999985</v>
      </c>
      <c r="AH7" s="110">
        <f>ROUND(IF((L7-Q7-AG7)&lt;0,0,(L7-Q7-AG7)),2)</f>
        <v>20510.400000000001</v>
      </c>
      <c r="AI7" s="111"/>
      <c r="AJ7" s="110">
        <f>AH7+AI7</f>
        <v>20510.400000000001</v>
      </c>
      <c r="AK7" s="112"/>
      <c r="AL7" s="110">
        <f>AJ7+AG7+AK7</f>
        <v>24388</v>
      </c>
      <c r="AM7" s="112"/>
      <c r="AN7" s="112"/>
      <c r="AO7" s="112"/>
      <c r="AP7" s="112"/>
      <c r="AQ7" s="112"/>
      <c r="AR7" s="116"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6" t="str">
        <f>IF(SUMPRODUCT(N(E$1:E$6=E7))&gt;1,"重复","不")</f>
        <v>不</v>
      </c>
      <c r="AT7" s="116" t="str">
        <f>IF(SUMPRODUCT(N(AO$1:AO$6=AO7))&gt;1,"重复","不")</f>
        <v>重复</v>
      </c>
    </row>
    <row r="8" spans="1:46" s="38" customFormat="1" ht="18" customHeight="1">
      <c r="A8" s="52">
        <v>5</v>
      </c>
      <c r="B8" s="53" t="s">
        <v>184</v>
      </c>
      <c r="C8" s="53" t="s">
        <v>107</v>
      </c>
      <c r="D8" s="53" t="s">
        <v>185</v>
      </c>
      <c r="E8" s="53" t="s">
        <v>108</v>
      </c>
      <c r="F8" s="54" t="s">
        <v>186</v>
      </c>
      <c r="G8" s="61">
        <v>13373825180</v>
      </c>
      <c r="H8" s="56"/>
      <c r="I8" s="56"/>
      <c r="J8" s="84"/>
      <c r="K8" s="56"/>
      <c r="L8" s="88">
        <v>25000</v>
      </c>
      <c r="M8" s="86">
        <f>261.04*2</f>
        <v>522.08000000000004</v>
      </c>
      <c r="N8" s="86">
        <f>57.18*2+32.5</f>
        <v>146.86000000000001</v>
      </c>
      <c r="O8" s="86">
        <f>9.1*2</f>
        <v>18.2</v>
      </c>
      <c r="P8" s="86">
        <f>85*2</f>
        <v>170</v>
      </c>
      <c r="Q8" s="102">
        <f>ROUND(SUM(M8:P8),2)</f>
        <v>857.14</v>
      </c>
      <c r="R8" s="88">
        <v>0</v>
      </c>
      <c r="S8" s="103">
        <f>L8+IFERROR(VLOOKUP($E:$E,'（居民）工资表-10月'!$E:$S,15,0),0)</f>
        <v>25000</v>
      </c>
      <c r="T8" s="104">
        <f>5000+IFERROR(VLOOKUP($E:$E,'（居民）工资表-10月'!$E:$T,16,0),0)</f>
        <v>5000</v>
      </c>
      <c r="U8" s="104">
        <f>Q8+IFERROR(VLOOKUP($E:$E,'（居民）工资表-10月'!$E:$U,17,0),0)</f>
        <v>857.14</v>
      </c>
      <c r="V8" s="88"/>
      <c r="W8" s="88"/>
      <c r="X8" s="88"/>
      <c r="Y8" s="88"/>
      <c r="Z8" s="88"/>
      <c r="AA8" s="88"/>
      <c r="AB8" s="103">
        <f>ROUND(SUM(V8:AA8),2)</f>
        <v>0</v>
      </c>
      <c r="AC8" s="103">
        <f>R8+IFERROR(VLOOKUP($E:$E,'（居民）工资表-10月'!$E:$AC,25,0),0)</f>
        <v>0</v>
      </c>
      <c r="AD8" s="105">
        <f>ROUND(S8-T8-U8-AB8-AC8,2)</f>
        <v>19142.86</v>
      </c>
      <c r="AE8" s="106">
        <f>ROUND(MAX((AD8)*{0.03;0.1;0.2;0.25;0.3;0.35;0.45}-{0;2520;16920;31920;52920;85920;181920},0),2)</f>
        <v>574.29</v>
      </c>
      <c r="AF8" s="107">
        <f>IFERROR(VLOOKUP(E:E,'（居民）工资表-10月'!E:AF,28,0)+VLOOKUP(E:E,'（居民）工资表-10月'!E:AG,29,0),0)</f>
        <v>0</v>
      </c>
      <c r="AG8" s="107">
        <f>IF((AE8-AF8)&lt;0,0,AE8-AF8)</f>
        <v>574.29</v>
      </c>
      <c r="AH8" s="110">
        <f>ROUND(IF((L8-Q8-AG8)&lt;0,0,(L8-Q8-AG8)),2)</f>
        <v>23568.57</v>
      </c>
      <c r="AI8" s="111"/>
      <c r="AJ8" s="110">
        <f>AH8+AI8</f>
        <v>23568.57</v>
      </c>
      <c r="AK8" s="112"/>
      <c r="AL8" s="110">
        <f>AJ8+AG8+AK8</f>
        <v>24142.86</v>
      </c>
      <c r="AM8" s="112"/>
      <c r="AN8" s="112"/>
      <c r="AO8" s="112"/>
      <c r="AP8" s="112"/>
      <c r="AQ8" s="112"/>
      <c r="AR8" s="116"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6" t="str">
        <f>IF(SUMPRODUCT(N(E$1:E$6=E8))&gt;1,"重复","不")</f>
        <v>不</v>
      </c>
      <c r="AT8" s="116" t="str">
        <f>IF(SUMPRODUCT(N(AO$1:AO$6=AO8))&gt;1,"重复","不")</f>
        <v>重复</v>
      </c>
    </row>
    <row r="9" spans="1:46" s="39" customFormat="1" ht="18" customHeight="1">
      <c r="A9" s="62"/>
      <c r="B9" s="63" t="s">
        <v>188</v>
      </c>
      <c r="C9" s="63"/>
      <c r="D9" s="64"/>
      <c r="E9" s="65"/>
      <c r="F9" s="66"/>
      <c r="G9" s="67"/>
      <c r="H9" s="66"/>
      <c r="I9" s="89"/>
      <c r="J9" s="90"/>
      <c r="K9" s="89"/>
      <c r="L9" s="91">
        <f>SUM(L4:L8)</f>
        <v>73100</v>
      </c>
      <c r="M9" s="91">
        <f t="shared" ref="M9:AL9" si="0">SUM(M4:M8)</f>
        <v>1840.21</v>
      </c>
      <c r="N9" s="91">
        <f t="shared" si="0"/>
        <v>477.42</v>
      </c>
      <c r="O9" s="91">
        <f t="shared" si="0"/>
        <v>58.06</v>
      </c>
      <c r="P9" s="91">
        <f t="shared" si="0"/>
        <v>734</v>
      </c>
      <c r="Q9" s="91">
        <f t="shared" si="0"/>
        <v>3109.69</v>
      </c>
      <c r="R9" s="91">
        <f t="shared" si="0"/>
        <v>0</v>
      </c>
      <c r="S9" s="91">
        <f t="shared" si="0"/>
        <v>509255.03636363638</v>
      </c>
      <c r="T9" s="91">
        <f t="shared" si="0"/>
        <v>195000</v>
      </c>
      <c r="U9" s="91">
        <f t="shared" si="0"/>
        <v>19782.87</v>
      </c>
      <c r="V9" s="91">
        <f t="shared" si="0"/>
        <v>0</v>
      </c>
      <c r="W9" s="91">
        <f t="shared" si="0"/>
        <v>0</v>
      </c>
      <c r="X9" s="91">
        <f t="shared" si="0"/>
        <v>11000</v>
      </c>
      <c r="Y9" s="91">
        <f t="shared" si="0"/>
        <v>0</v>
      </c>
      <c r="Z9" s="91">
        <f t="shared" si="0"/>
        <v>0</v>
      </c>
      <c r="AA9" s="91">
        <f t="shared" si="0"/>
        <v>0</v>
      </c>
      <c r="AB9" s="91">
        <f t="shared" si="0"/>
        <v>11000</v>
      </c>
      <c r="AC9" s="91">
        <f t="shared" si="0"/>
        <v>0</v>
      </c>
      <c r="AD9" s="91">
        <f t="shared" si="0"/>
        <v>283472.17</v>
      </c>
      <c r="AE9" s="91">
        <f t="shared" si="0"/>
        <v>28615.94</v>
      </c>
      <c r="AF9" s="91">
        <f t="shared" si="0"/>
        <v>24003.279999999999</v>
      </c>
      <c r="AG9" s="91">
        <f t="shared" si="0"/>
        <v>4612.659999999998</v>
      </c>
      <c r="AH9" s="91">
        <f t="shared" si="0"/>
        <v>65377.65</v>
      </c>
      <c r="AI9" s="91">
        <f t="shared" si="0"/>
        <v>0</v>
      </c>
      <c r="AJ9" s="91">
        <f t="shared" si="0"/>
        <v>65377.65</v>
      </c>
      <c r="AK9" s="91">
        <f t="shared" si="0"/>
        <v>0</v>
      </c>
      <c r="AL9" s="91">
        <f t="shared" si="0"/>
        <v>69990.31</v>
      </c>
      <c r="AM9" s="113"/>
      <c r="AN9" s="113"/>
      <c r="AO9" s="113"/>
      <c r="AP9" s="113"/>
      <c r="AQ9" s="113"/>
      <c r="AR9" s="66"/>
      <c r="AS9" s="66"/>
      <c r="AT9" s="117"/>
    </row>
    <row r="12" spans="1:46">
      <c r="AD12" s="108"/>
    </row>
    <row r="13" spans="1:46" ht="18.75" customHeight="1">
      <c r="B13" s="68" t="s">
        <v>165</v>
      </c>
      <c r="C13" s="68" t="s">
        <v>189</v>
      </c>
      <c r="D13" s="68" t="s">
        <v>57</v>
      </c>
      <c r="E13" s="68" t="s">
        <v>58</v>
      </c>
      <c r="AD13" s="36"/>
    </row>
    <row r="14" spans="1:46" ht="18.75" customHeight="1">
      <c r="B14" s="69">
        <f>AJ9</f>
        <v>65377.65</v>
      </c>
      <c r="C14" s="69">
        <f>AG9</f>
        <v>4612.659999999998</v>
      </c>
      <c r="D14" s="69">
        <f>AK9</f>
        <v>0</v>
      </c>
      <c r="E14" s="69">
        <f>B14+C14+D14</f>
        <v>69990.31</v>
      </c>
    </row>
    <row r="15" spans="1:46">
      <c r="B15" s="70"/>
      <c r="C15" s="70"/>
      <c r="D15" s="70"/>
      <c r="E15" s="70"/>
    </row>
    <row r="16" spans="1:46" s="40" customFormat="1">
      <c r="A16" s="71" t="s">
        <v>190</v>
      </c>
      <c r="B16" s="72" t="s">
        <v>191</v>
      </c>
      <c r="C16" s="73"/>
      <c r="D16" s="73"/>
      <c r="E16" s="73"/>
      <c r="G16" s="74"/>
      <c r="J16" s="92"/>
      <c r="M16" s="93"/>
      <c r="AI16" s="114"/>
    </row>
    <row r="17" spans="1:35" s="40" customFormat="1">
      <c r="A17" s="75"/>
      <c r="B17" s="76" t="s">
        <v>192</v>
      </c>
      <c r="C17" s="73"/>
      <c r="D17" s="73"/>
      <c r="E17" s="73"/>
      <c r="G17" s="74"/>
      <c r="J17" s="92"/>
      <c r="M17" s="93"/>
      <c r="AI17" s="114"/>
    </row>
    <row r="18" spans="1:35" s="40" customFormat="1">
      <c r="A18" s="72"/>
      <c r="B18" s="76" t="s">
        <v>193</v>
      </c>
      <c r="C18" s="77"/>
      <c r="D18" s="77"/>
      <c r="E18" s="77"/>
      <c r="F18" s="77"/>
      <c r="G18" s="77"/>
      <c r="H18" s="77"/>
      <c r="I18" s="77"/>
      <c r="J18" s="94"/>
      <c r="K18" s="77"/>
      <c r="L18" s="77"/>
      <c r="M18" s="95"/>
      <c r="N18" s="77"/>
      <c r="O18" s="77"/>
      <c r="P18" s="77"/>
      <c r="AI18" s="114"/>
    </row>
    <row r="19" spans="1:35" s="40" customFormat="1" ht="13.5" customHeight="1">
      <c r="A19" s="76"/>
      <c r="B19" s="76" t="s">
        <v>194</v>
      </c>
      <c r="C19" s="78"/>
      <c r="D19" s="78"/>
      <c r="E19" s="78"/>
      <c r="F19" s="78"/>
      <c r="G19" s="78"/>
      <c r="H19" s="78"/>
      <c r="I19" s="96"/>
      <c r="J19" s="97"/>
      <c r="K19" s="96"/>
      <c r="L19" s="96"/>
      <c r="M19" s="98"/>
      <c r="N19" s="96"/>
      <c r="O19" s="96"/>
      <c r="P19" s="96"/>
      <c r="AI19" s="114"/>
    </row>
    <row r="20" spans="1:35" s="40" customFormat="1" ht="13.5" customHeight="1">
      <c r="A20" s="76"/>
      <c r="B20" s="76" t="s">
        <v>195</v>
      </c>
      <c r="C20" s="78"/>
      <c r="D20" s="78"/>
      <c r="E20" s="78"/>
      <c r="F20" s="78"/>
      <c r="G20" s="78"/>
      <c r="H20" s="78"/>
      <c r="I20" s="78"/>
      <c r="J20" s="99"/>
      <c r="K20" s="78"/>
      <c r="L20" s="96"/>
      <c r="M20" s="98"/>
      <c r="N20" s="96"/>
      <c r="O20" s="96"/>
      <c r="P20" s="96"/>
      <c r="AI20" s="114"/>
    </row>
    <row r="21" spans="1:35" s="40" customFormat="1" ht="13.5" customHeight="1">
      <c r="A21" s="76"/>
      <c r="B21" s="76" t="s">
        <v>196</v>
      </c>
      <c r="C21" s="78"/>
      <c r="D21" s="78"/>
      <c r="E21" s="78"/>
      <c r="F21" s="78"/>
      <c r="G21" s="78"/>
      <c r="H21" s="78"/>
      <c r="I21" s="96"/>
      <c r="J21" s="97"/>
      <c r="K21" s="96"/>
      <c r="L21" s="96"/>
      <c r="M21" s="98"/>
      <c r="N21" s="96"/>
      <c r="O21" s="96"/>
      <c r="P21" s="96"/>
      <c r="AI21" s="114"/>
    </row>
    <row r="23" spans="1:35" ht="11.25" customHeight="1">
      <c r="B23" s="79" t="s">
        <v>197</v>
      </c>
    </row>
    <row r="24" spans="1:35">
      <c r="B24" s="80" t="s">
        <v>198</v>
      </c>
    </row>
    <row r="25" spans="1:35">
      <c r="B25" s="80" t="s">
        <v>199</v>
      </c>
    </row>
  </sheetData>
  <autoFilter ref="A3:AT9"/>
  <mergeCells count="39">
    <mergeCell ref="AR2:AR3"/>
    <mergeCell ref="AS2:AS3"/>
    <mergeCell ref="AT2:AT3"/>
    <mergeCell ref="AM2:AM3"/>
    <mergeCell ref="AN2:AN3"/>
    <mergeCell ref="AO2:AO3"/>
    <mergeCell ref="AP2:AP3"/>
    <mergeCell ref="AQ2:AQ3"/>
    <mergeCell ref="AH2:AH3"/>
    <mergeCell ref="AI2:AI3"/>
    <mergeCell ref="AJ2:AJ3"/>
    <mergeCell ref="AK2:AK3"/>
    <mergeCell ref="AL2:AL3"/>
    <mergeCell ref="AC2:AC3"/>
    <mergeCell ref="AD2:AD3"/>
    <mergeCell ref="AE2:AE3"/>
    <mergeCell ref="AF2:AF3"/>
    <mergeCell ref="AG2:AG3"/>
    <mergeCell ref="R2:R3"/>
    <mergeCell ref="S2:S3"/>
    <mergeCell ref="T2:T3"/>
    <mergeCell ref="U2:U3"/>
    <mergeCell ref="AB2:AB3"/>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s>
  <phoneticPr fontId="13" type="noConversion"/>
  <conditionalFormatting sqref="B21">
    <cfRule type="duplicateValues" dxfId="51" priority="2" stopIfTrue="1"/>
  </conditionalFormatting>
  <conditionalFormatting sqref="B16:B20">
    <cfRule type="duplicateValues" dxfId="50" priority="3" stopIfTrue="1"/>
  </conditionalFormatting>
  <conditionalFormatting sqref="B24:B25">
    <cfRule type="duplicateValues" dxfId="49" priority="1" stopIfTrue="1"/>
  </conditionalFormatting>
  <conditionalFormatting sqref="C13:C15">
    <cfRule type="duplicateValues" dxfId="48" priority="4" stopIfTrue="1"/>
    <cfRule type="expression" dxfId="47" priority="5" stopIfTrue="1">
      <formula>AND(COUNTIF($B$9:$B$65445,C13)+COUNTIF($B$1:$B$3,C13)&gt;1,NOT(ISBLANK(C13)))</formula>
    </cfRule>
    <cfRule type="expression" dxfId="46" priority="6" stopIfTrue="1">
      <formula>AND(COUNTIF($B$20:$B$65396,C13)+COUNTIF($B$1:$B$19,C13)&gt;1,NOT(ISBLANK(C13)))</formula>
    </cfRule>
    <cfRule type="expression" dxfId="45" priority="7" stopIfTrue="1">
      <formula>AND(COUNTIF($B$9:$B$65434,C13)+COUNTIF($B$1:$B$3,C13)&gt;1,NOT(ISBLANK(C13)))</formula>
    </cfRule>
  </conditionalFormatting>
  <pageMargins left="0.235416666666667" right="0.235416666666667" top="0.74791666666666701" bottom="0.74791666666666701" header="0.31388888888888899" footer="0.31388888888888899"/>
  <pageSetup paperSize="9" scale="56" fitToWidth="2"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0">
    <comment s:ref="O11" rgbClr="D3C8CC"/>
    <comment s:ref="P11" rgbClr="D3C8CC"/>
    <comment s:ref="Q11" rgbClr="D3C8CC"/>
    <comment s:ref="T11" rgbClr="D3C8CC"/>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12</vt:i4>
      </vt:variant>
    </vt:vector>
  </HeadingPairs>
  <TitlesOfParts>
    <vt:vector size="29" baseType="lpstr">
      <vt:lpstr>付款通知</vt:lpstr>
      <vt:lpstr>社保</vt:lpstr>
      <vt:lpstr>社保1</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（居民）工资表-5月</vt:lpstr>
      <vt:lpstr>增减1</vt:lpstr>
      <vt:lpstr>Sheet1</vt:lpstr>
      <vt:lpstr>'（居民）工资表-10月'!Print_Area</vt:lpstr>
      <vt:lpstr>'（居民）工资表-11月'!Print_Area</vt:lpstr>
      <vt:lpstr>'（居民）工资表-12月'!Print_Area</vt:lpstr>
      <vt:lpstr>'（居民）工资表-1月'!Print_Area</vt:lpstr>
      <vt:lpstr>'（居民）工资表-2月'!Print_Area</vt:lpstr>
      <vt:lpstr>'（居民）工资表-3月'!Print_Area</vt:lpstr>
      <vt:lpstr>'（居民）工资表-4月'!Print_Area</vt:lpstr>
      <vt:lpstr>'（居民）工资表-5月'!Print_Area</vt:lpstr>
      <vt:lpstr>'（居民）工资表-6月'!Print_Area</vt:lpstr>
      <vt:lpstr>'（居民）工资表-7月'!Print_Area</vt:lpstr>
      <vt:lpstr>'（居民）工资表-8月'!Print_Area</vt:lpstr>
      <vt:lpstr>'（居民）工资表-9月'!Print_Area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lastPrinted>2019-02-02T09:30:00Z</cp:lastPrinted>
  <dcterms:created xsi:type="dcterms:W3CDTF">2018-08-01T08:19:00Z</dcterms:created>
  <dcterms:modified xsi:type="dcterms:W3CDTF">2022-05-09T07:35:26Z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2052-10.1.0.7400</vt:lpwstr>
  </property>
  <property fmtid="{D5CDD505-2E9C-101B-9397-08002B2CF9AE}" pid="4" name="ICV">
    <vt:lpwstr>B7285D0D0A38435CAAB761B1757CCEF9</vt:lpwstr>
  </property>
  <property fmtid="{D5CDD505-2E9C-101B-9397-08002B2CF9AE}" pid="5" name="KSOReadingLayout">
    <vt:bool>true</vt:bool>
  </property>
</Properties>
</file>