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（居民）工资表-3月" sheetId="16" state="hidden" r:id="rId2"/>
    <sheet name="社保" sheetId="27" state="hidden" r:id="rId3"/>
    <sheet name="（居民）工资表-4月" sheetId="17" state="hidden" r:id="rId4"/>
    <sheet name="（居民）工资表-5月" sheetId="18" state="hidden" r:id="rId5"/>
    <sheet name="社保1" sheetId="28" r:id="rId6"/>
    <sheet name="增" sheetId="30" r:id="rId7"/>
    <sheet name="（居民）工资表-6月" sheetId="19" state="hidden" r:id="rId8"/>
    <sheet name="（居民）工资表-7月" sheetId="20" state="hidden" r:id="rId9"/>
    <sheet name="增减" sheetId="29" state="hidden" r:id="rId10"/>
    <sheet name="（居民）工资表-8月" sheetId="21" state="hidden" r:id="rId11"/>
    <sheet name="（居民）工资表-9月" sheetId="22" state="hidden" r:id="rId12"/>
    <sheet name="（居民）工资表-10月" sheetId="23" state="hidden" r:id="rId13"/>
    <sheet name="（居民）工资表-11月" sheetId="24" state="hidden" r:id="rId14"/>
    <sheet name="（居民）工资表-1月" sheetId="1" state="hidden" r:id="rId15"/>
    <sheet name="（居民）工资表-12月" sheetId="25" state="hidden" r:id="rId16"/>
    <sheet name="（居民）工资表-2月" sheetId="15" state="hidden" r:id="rId17"/>
    <sheet name="Sheet1" sheetId="14" state="hidden" r:id="rId18"/>
  </sheets>
  <definedNames>
    <definedName name="_xlnm._FilterDatabase" localSheetId="1" hidden="1">'（居民）工资表-3月'!$A$3:$AT$6</definedName>
    <definedName name="_xlnm._FilterDatabase" localSheetId="3" hidden="1">'（居民）工资表-4月'!$A$3:$AT$7</definedName>
    <definedName name="_xlnm._FilterDatabase" localSheetId="4" hidden="1">'（居民）工资表-5月'!$A$3:$AT$8</definedName>
    <definedName name="_xlnm._FilterDatabase" localSheetId="7" hidden="1">'（居民）工资表-6月'!$A$3:$AT$8</definedName>
    <definedName name="_xlnm._FilterDatabase" localSheetId="8" hidden="1">'（居民）工资表-7月'!$A$3:$AT$9</definedName>
    <definedName name="_xlnm._FilterDatabase" localSheetId="10" hidden="1">'（居民）工资表-8月'!$A$3:$AT$8</definedName>
    <definedName name="_xlnm._FilterDatabase" localSheetId="11" hidden="1">'（居民）工资表-9月'!$A$3:$AT$8</definedName>
    <definedName name="_xlnm._FilterDatabase" localSheetId="12" hidden="1">'（居民）工资表-10月'!$A$3:$AT$8</definedName>
    <definedName name="_xlnm._FilterDatabase" localSheetId="13" hidden="1">'（居民）工资表-11月'!$A$3:$AT$9</definedName>
    <definedName name="_xlnm._FilterDatabase" localSheetId="14" hidden="1">'（居民）工资表-1月'!$A$3:$AT$9</definedName>
    <definedName name="_xlnm._FilterDatabase" localSheetId="15" hidden="1">'（居民）工资表-12月'!$A$3:$AT$9</definedName>
    <definedName name="_xlnm._FilterDatabase" localSheetId="16" hidden="1">'（居民）工资表-2月'!$A$3:$AT$9</definedName>
    <definedName name="_xlnm.Print_Area" localSheetId="12">'（居民）工资表-10月'!$A$1:$AT$14</definedName>
    <definedName name="_xlnm.Print_Area" localSheetId="13">'（居民）工资表-11月'!$A$1:$AT$15</definedName>
    <definedName name="_xlnm.Print_Area" localSheetId="15">'（居民）工资表-12月'!$A$1:$AT$15</definedName>
    <definedName name="_xlnm.Print_Area" localSheetId="14">'（居民）工资表-1月'!$A$1:$AT$15</definedName>
    <definedName name="_xlnm.Print_Area" localSheetId="16">'（居民）工资表-2月'!$A$1:$AT$15</definedName>
    <definedName name="_xlnm.Print_Area" localSheetId="1">'（居民）工资表-3月'!$A$1:$AT$12</definedName>
    <definedName name="_xlnm.Print_Area" localSheetId="3">'（居民）工资表-4月'!$A$1:$AT$13</definedName>
    <definedName name="_xlnm.Print_Area" localSheetId="4">'（居民）工资表-5月'!$A$1:$AT$14</definedName>
    <definedName name="_xlnm.Print_Area" localSheetId="7">'（居民）工资表-6月'!$A$1:$AT$14</definedName>
    <definedName name="_xlnm.Print_Area" localSheetId="8">'（居民）工资表-7月'!$A$1:$AT$15</definedName>
    <definedName name="_xlnm.Print_Area" localSheetId="10">'（居民）工资表-8月'!$A$1:$AT$14</definedName>
    <definedName name="_xlnm.Print_Area" localSheetId="11">'（居民）工资表-9月'!$A$1:$AT$14</definedName>
    <definedName name="_xlnm._FilterDatabase" localSheetId="5" hidden="1">社保1!$A$2:$BH$25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7.xml><?xml version="1.0" encoding="utf-8"?>
<comments xmlns="http://schemas.openxmlformats.org/spreadsheetml/2006/main">
  <authors>
    <author>kk</author>
  </authors>
  <commentList>
    <comment ref="C1" authorId="0">
      <text>
        <r>
          <rPr>
            <sz val="9"/>
            <rFont val="宋体"/>
            <charset val="134"/>
          </rPr>
          <t>请填写客户全称</t>
        </r>
      </text>
    </comment>
    <comment ref="H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I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L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S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M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D6" authorId="0">
      <text>
        <r>
          <rPr>
            <sz val="9"/>
            <rFont val="宋体"/>
            <charset val="134"/>
          </rPr>
          <t>请填写客户全称</t>
        </r>
      </text>
    </comment>
    <comment ref="J6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K6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L6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O6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
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<sst xmlns="http://schemas.openxmlformats.org/spreadsheetml/2006/main" count="1750" uniqueCount="311">
  <si>
    <t>付款通知书</t>
  </si>
  <si>
    <t>尊敬的客户：北京创联致信科技有限公司海淀分公司</t>
  </si>
  <si>
    <t>根据贵公司与我公司所签订的服务协议，请贵公司在2022年5月13日之前按照下列表格内容支付相关款项.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</si>
  <si>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</si>
  <si>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</si>
  <si>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</si>
  <si>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</si>
  <si>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</si>
  <si>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</si>
  <si>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</si>
  <si>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</si>
  <si>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</si>
  <si>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</si>
  <si>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</si>
  <si>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</si>
  <si>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</si>
  <si>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</si>
  <si>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</si>
  <si>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</si>
  <si>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</si>
  <si>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</si>
  <si>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</si>
  <si>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</si>
  <si>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</si>
  <si>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</si>
  <si>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</si>
  <si>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</si>
  <si>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</si>
  <si>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</si>
  <si>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</si>
  <si>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</si>
  <si>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</si>
  <si>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</si>
  <si>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</si>
  <si>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</si>
  <si>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</si>
  <si>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</si>
  <si>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</si>
  <si>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</si>
  <si>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</si>
  <si>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</si>
  <si>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</si>
  <si>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</si>
  <si>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</si>
  <si>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</si>
  <si>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</si>
  <si>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</si>
  <si>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</si>
  <si>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</si>
  <si>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</si>
  <si>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</si>
  <si>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</si>
  <si>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</si>
  <si>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</si>
  <si>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</si>
  <si>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</si>
  <si>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</si>
  <si>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</si>
  <si>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</si>
  <si>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</si>
  <si>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</si>
  <si>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</si>
  <si>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</si>
  <si>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</si>
  <si>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</si>
  <si>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</si>
  <si>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</si>
  <si>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</si>
  <si>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</si>
  <si>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</si>
  <si>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</si>
  <si>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</si>
  <si>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</si>
  <si>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</si>
  <si>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</si>
  <si>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</si>
  <si>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</si>
  <si>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</si>
  <si>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</si>
  <si>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</si>
  <si>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</si>
  <si>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</si>
  <si>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</si>
  <si>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</si>
  <si>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</si>
  <si>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</si>
  <si>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</si>
  <si>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</si>
  <si>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</si>
  <si>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</si>
  <si>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</si>
  <si>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</si>
  <si>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</si>
  <si>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</si>
  <si>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</si>
  <si>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</si>
  <si>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</si>
  <si>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</si>
  <si>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</si>
  <si>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</si>
  <si>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</si>
  <si>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</si>
  <si>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</si>
  <si>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</si>
  <si>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</si>
  <si>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</si>
  <si>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</si>
  <si>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</si>
  <si>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</si>
  <si>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</si>
  <si>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</si>
  <si>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</si>
  <si>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</si>
  <si>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</si>
  <si>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</si>
  <si>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</si>
  <si>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</si>
  <si>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</si>
  <si>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</si>
  <si>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</si>
  <si>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</si>
  <si>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</si>
  <si>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</si>
  <si>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</si>
  <si>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</si>
  <si>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</si>
  <si>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</si>
  <si>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</si>
  <si>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</si>
  <si>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</si>
  <si>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</si>
  <si>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</si>
  <si>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</si>
  <si>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</si>
  <si>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</si>
  <si>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</si>
  <si>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</si>
  <si>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</si>
  <si>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</si>
  <si>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</si>
  <si>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</si>
  <si>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</si>
  <si>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</si>
  <si>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</si>
  <si>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</si>
  <si>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</si>
  <si>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</si>
  <si>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</si>
  <si>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</si>
  <si>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</si>
  <si>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</si>
  <si>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</si>
  <si>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</si>
  <si>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</si>
  <si>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</si>
  <si>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</si>
  <si>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</si>
  <si>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</si>
  <si>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</si>
  <si>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</si>
  <si>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</si>
  <si>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</si>
  <si>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北京创联致信科技有限公司海淀分公司</t>
  </si>
  <si>
    <t>福州</t>
  </si>
  <si>
    <t>周江</t>
  </si>
  <si>
    <t>421222200004074811</t>
  </si>
  <si>
    <t>202203</t>
  </si>
  <si>
    <t>202206</t>
  </si>
  <si>
    <t>合肥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</si>
  <si>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</si>
  <si>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</si>
  <si>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</si>
  <si>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</si>
  <si>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</si>
  <si>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</si>
  <si>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</si>
  <si>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</si>
  <si>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</si>
  <si>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</si>
  <si>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</si>
  <si>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</si>
  <si>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</si>
  <si>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</si>
  <si>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</si>
  <si>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</si>
  <si>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</si>
  <si>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</si>
  <si>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赵云峰</t>
  </si>
  <si>
    <t>342601199310204632</t>
  </si>
  <si>
    <t>郭正荣</t>
  </si>
  <si>
    <t>340825199510124311</t>
  </si>
  <si>
    <t>王润</t>
  </si>
  <si>
    <t>342427198605132216</t>
  </si>
  <si>
    <t>伍申</t>
  </si>
  <si>
    <t>342623199602135016</t>
  </si>
  <si>
    <t>202204</t>
  </si>
  <si>
    <t>汪积烊</t>
  </si>
  <si>
    <t>340123199109103150</t>
  </si>
  <si>
    <t>闫驰</t>
  </si>
  <si>
    <t>340121198905029134</t>
  </si>
  <si>
    <t>202205</t>
  </si>
  <si>
    <t>黄震</t>
  </si>
  <si>
    <t>340402199709200215</t>
  </si>
  <si>
    <t>章柏顺</t>
  </si>
  <si>
    <t>340123199310161096</t>
  </si>
  <si>
    <t>杨大帅</t>
  </si>
  <si>
    <t>341126199411113210</t>
  </si>
  <si>
    <t>罗志远</t>
  </si>
  <si>
    <t>342401199211201873</t>
  </si>
  <si>
    <t>吴其峰</t>
  </si>
  <si>
    <t>340823199507302532</t>
  </si>
  <si>
    <t>田志民</t>
  </si>
  <si>
    <t>341203199512023119</t>
  </si>
  <si>
    <t>潘浪</t>
  </si>
  <si>
    <t>34010319911128301X</t>
  </si>
  <si>
    <t>李硕</t>
  </si>
  <si>
    <t>34112619950926691X</t>
  </si>
  <si>
    <t>202205起缴</t>
  </si>
  <si>
    <t>报送时间</t>
  </si>
  <si>
    <t>身份证号</t>
  </si>
  <si>
    <t>手机号码</t>
  </si>
  <si>
    <t>月薪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</si>
  <si>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</si>
  <si>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</si>
  <si>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</si>
  <si>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</si>
  <si>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</si>
  <si>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</si>
  <si>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</si>
  <si>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</si>
  <si>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合同工资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</si>
  <si>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</si>
  <si>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</si>
  <si>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</si>
  <si>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</si>
  <si>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</si>
  <si>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</si>
  <si>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</si>
  <si>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</si>
  <si>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</si>
  <si>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15055107235</t>
  </si>
  <si>
    <t>本地农村</t>
  </si>
  <si>
    <t>调入</t>
  </si>
  <si>
    <t>5月</t>
  </si>
  <si>
    <t>是否需要外呼</t>
  </si>
  <si>
    <t>工作地点</t>
  </si>
  <si>
    <t>社保最后缴费月</t>
  </si>
  <si>
    <t>公积金最后缴费月</t>
  </si>
  <si>
    <t>减员原因</t>
  </si>
  <si>
    <t>男</t>
  </si>
  <si>
    <t>女</t>
  </si>
  <si>
    <t>梁敏霞</t>
  </si>
  <si>
    <t>440883199611084547</t>
  </si>
  <si>
    <t>所属公司</t>
  </si>
  <si>
    <t>使用供应商</t>
  </si>
  <si>
    <t>项目编号</t>
  </si>
  <si>
    <t>员工工号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</si>
  <si>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</si>
  <si>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</si>
  <si>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</si>
  <si>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</si>
  <si>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</si>
  <si>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</si>
  <si>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</si>
  <si>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</si>
  <si>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</si>
  <si>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</si>
  <si>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北京易才博普奥</t>
  </si>
  <si>
    <t>湖南长沙</t>
  </si>
  <si>
    <t>长沙</t>
  </si>
  <si>
    <t>长春</t>
  </si>
  <si>
    <t>2021.05</t>
  </si>
  <si>
    <t>5%</t>
  </si>
  <si>
    <t>4000</t>
  </si>
  <si>
    <t>是</t>
  </si>
  <si>
    <t>减</t>
  </si>
  <si>
    <t>谢锋明</t>
  </si>
  <si>
    <t>43022319780815051X</t>
  </si>
  <si>
    <t>创联致信（上月工资上月社保账单费用）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</si>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</sst>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\(0.00\)"/>
    <numFmt numFmtId="41" formatCode="_ * #,##0_ ;_ * \-#,##0_ ;_ * &quot;-&quot;_ ;_ @_ "/>
    <numFmt numFmtId="178" formatCode="[DBNum2][$-804]General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[$-10432]yyyy/mm/dd;@"/>
    <numFmt numFmtId="184" formatCode="0.00;[Red]0.00"/>
    <numFmt numFmtId="185" formatCode="&quot;$&quot;0_ "/>
    <numFmt numFmtId="186" formatCode="&quot;$&quot;#,##0_ ;[Red]\-&quot;$&quot;#,##0_ "/>
    <numFmt numFmtId="187" formatCode="General\ &quot;年&quot;"/>
  </numFmts>
  <fonts count="1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10"/>
      <color rgb="FF171A1D"/>
      <name val="Segoe UI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0"/>
      <color indexed="10"/>
      <name val="宋体"/>
      <charset val="134"/>
    </font>
    <font>
      <sz val="11"/>
      <color rgb="FF000000"/>
      <name val="宋体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Verdana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4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79" fillId="0" borderId="0">
      <alignment vertical="center"/>
    </xf>
    <xf numFmtId="0" fontId="97" fillId="25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0" fontId="111" fillId="30" borderId="57" applyNumberFormat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7" fillId="39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0" fillId="0" borderId="0"/>
    <xf numFmtId="0" fontId="114" fillId="3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2" borderId="50" applyNumberFormat="0" applyFont="0" applyAlignment="0" applyProtection="0">
      <alignment vertical="center"/>
    </xf>
    <xf numFmtId="0" fontId="6" fillId="0" borderId="0">
      <alignment vertical="center"/>
    </xf>
    <xf numFmtId="0" fontId="10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2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3" fillId="0" borderId="58" applyNumberFormat="0" applyFill="0" applyAlignment="0" applyProtection="0">
      <alignment vertical="center"/>
    </xf>
    <xf numFmtId="0" fontId="115" fillId="0" borderId="0"/>
    <xf numFmtId="0" fontId="112" fillId="0" borderId="58" applyNumberFormat="0" applyFill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09" fillId="0" borderId="60" applyNumberFormat="0" applyFill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8" fillId="28" borderId="55" applyNumberFormat="0" applyAlignment="0" applyProtection="0">
      <alignment vertical="center"/>
    </xf>
    <xf numFmtId="0" fontId="117" fillId="28" borderId="57" applyNumberFormat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6" fillId="37" borderId="59" applyNumberFormat="0" applyAlignment="0" applyProtection="0">
      <alignment vertical="center"/>
    </xf>
    <xf numFmtId="0" fontId="100" fillId="0" borderId="0">
      <alignment vertical="center"/>
    </xf>
    <xf numFmtId="0" fontId="97" fillId="38" borderId="0" applyNumberFormat="0" applyBorder="0" applyAlignment="0" applyProtection="0">
      <alignment vertical="center"/>
    </xf>
    <xf numFmtId="0" fontId="95" fillId="26" borderId="0" applyNumberFormat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02" fillId="0" borderId="52" applyNumberFormat="0" applyFill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1" fillId="0" borderId="51" applyNumberFormat="0" applyFill="0" applyAlignment="0" applyProtection="0">
      <alignment vertical="center"/>
    </xf>
    <xf numFmtId="0" fontId="119" fillId="42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3" fillId="46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0" fillId="0" borderId="0">
      <alignment vertical="center"/>
    </xf>
    <xf numFmtId="0" fontId="97" fillId="47" borderId="0" applyNumberFormat="0" applyBorder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100" fillId="0" borderId="0"/>
    <xf numFmtId="0" fontId="95" fillId="49" borderId="0" applyNumberFormat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0" fontId="97" fillId="50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9" fillId="0" borderId="0"/>
    <xf numFmtId="0" fontId="97" fillId="34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95" fillId="54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95" fillId="5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9" fillId="0" borderId="0"/>
    <xf numFmtId="0" fontId="9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9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100" fillId="0" borderId="0">
      <alignment vertical="center"/>
    </xf>
    <xf numFmtId="0" fontId="79" fillId="0" borderId="0"/>
    <xf numFmtId="0" fontId="6" fillId="3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0" fillId="0" borderId="0"/>
    <xf numFmtId="0" fontId="6" fillId="0" borderId="0"/>
    <xf numFmtId="0" fontId="6" fillId="31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10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178" fontId="100" fillId="0" borderId="0"/>
    <xf numFmtId="0" fontId="92" fillId="16" borderId="48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92" fillId="16" borderId="4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104" fillId="24" borderId="0" applyNumberFormat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0" borderId="0">
      <alignment vertical="center"/>
    </xf>
    <xf numFmtId="0" fontId="10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04" fillId="24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4" fillId="43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4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93" fillId="17" borderId="0" applyNumberFormat="0" applyBorder="0" applyAlignment="0" applyProtection="0">
      <alignment vertical="center"/>
    </xf>
    <xf numFmtId="9" fontId="6" fillId="0" borderId="0">
      <alignment vertical="center"/>
    </xf>
    <xf numFmtId="9" fontId="100" fillId="0" borderId="0" applyFont="0" applyFill="0" applyBorder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128" fillId="0" borderId="64" applyNumberFormat="0" applyFill="0" applyAlignment="0" applyProtection="0">
      <alignment vertical="center"/>
    </xf>
    <xf numFmtId="0" fontId="122" fillId="0" borderId="62" applyNumberFormat="0" applyFill="0" applyAlignment="0" applyProtection="0">
      <alignment vertical="center"/>
    </xf>
    <xf numFmtId="0" fontId="122" fillId="0" borderId="62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22" fillId="0" borderId="62" applyNumberFormat="0" applyFill="0" applyAlignment="0" applyProtection="0">
      <alignment vertical="center"/>
    </xf>
    <xf numFmtId="0" fontId="122" fillId="0" borderId="62" applyNumberFormat="0" applyFill="0" applyAlignment="0" applyProtection="0">
      <alignment vertical="center"/>
    </xf>
    <xf numFmtId="0" fontId="6" fillId="0" borderId="0">
      <alignment vertical="center"/>
    </xf>
    <xf numFmtId="0" fontId="122" fillId="0" borderId="62" applyNumberFormat="0" applyFill="0" applyAlignment="0" applyProtection="0">
      <alignment vertical="center"/>
    </xf>
    <xf numFmtId="0" fontId="122" fillId="0" borderId="62" applyNumberFormat="0" applyFill="0" applyAlignment="0" applyProtection="0">
      <alignment vertical="center"/>
    </xf>
    <xf numFmtId="0" fontId="122" fillId="0" borderId="62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9" fillId="0" borderId="0"/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0" fontId="121" fillId="0" borderId="61" applyNumberFormat="0" applyFill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0" borderId="0">
      <alignment vertical="center"/>
    </xf>
    <xf numFmtId="0" fontId="6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6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9" fillId="20" borderId="48" applyNumberFormat="0" applyAlignment="0" applyProtection="0">
      <alignment vertical="center"/>
    </xf>
    <xf numFmtId="0" fontId="14" fillId="0" borderId="0">
      <alignment vertical="center"/>
    </xf>
    <xf numFmtId="0" fontId="129" fillId="0" borderId="0"/>
    <xf numFmtId="0" fontId="99" fillId="20" borderId="48" applyNumberFormat="0" applyAlignment="0" applyProtection="0">
      <alignment vertical="center"/>
    </xf>
    <xf numFmtId="0" fontId="100" fillId="0" borderId="0">
      <alignment vertical="center"/>
    </xf>
    <xf numFmtId="0" fontId="15" fillId="0" borderId="0">
      <alignment vertical="center"/>
    </xf>
    <xf numFmtId="0" fontId="6" fillId="0" borderId="0"/>
    <xf numFmtId="0" fontId="99" fillId="20" borderId="48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04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04" fillId="43" borderId="0" applyNumberFormat="0" applyBorder="0" applyAlignment="0" applyProtection="0">
      <alignment vertical="center"/>
    </xf>
    <xf numFmtId="0" fontId="6" fillId="0" borderId="0"/>
    <xf numFmtId="0" fontId="104" fillId="43" borderId="0" applyNumberFormat="0" applyBorder="0" applyAlignment="0" applyProtection="0">
      <alignment vertical="center"/>
    </xf>
    <xf numFmtId="0" fontId="100" fillId="0" borderId="0"/>
    <xf numFmtId="0" fontId="104" fillId="43" borderId="0" applyNumberFormat="0" applyBorder="0" applyAlignment="0" applyProtection="0">
      <alignment vertical="center"/>
    </xf>
    <xf numFmtId="0" fontId="100" fillId="0" borderId="0"/>
    <xf numFmtId="0" fontId="100" fillId="0" borderId="0"/>
    <xf numFmtId="0" fontId="6" fillId="0" borderId="0">
      <alignment vertical="center"/>
    </xf>
    <xf numFmtId="0" fontId="10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0"/>
    <xf numFmtId="0" fontId="100" fillId="0" borderId="0"/>
    <xf numFmtId="0" fontId="99" fillId="20" borderId="48" applyNumberFormat="0" applyAlignment="0" applyProtection="0">
      <alignment vertical="center"/>
    </xf>
    <xf numFmtId="0" fontId="6" fillId="0" borderId="0">
      <alignment vertical="center"/>
    </xf>
    <xf numFmtId="0" fontId="100" fillId="0" borderId="0"/>
    <xf numFmtId="0" fontId="104" fillId="63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6" fillId="21" borderId="4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9" fillId="0" borderId="0"/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79" fillId="0" borderId="0"/>
    <xf numFmtId="0" fontId="104" fillId="40" borderId="0" applyNumberFormat="0" applyBorder="0" applyAlignment="0" applyProtection="0">
      <alignment vertical="center"/>
    </xf>
    <xf numFmtId="0" fontId="88" fillId="0" borderId="53" applyNumberFormat="0" applyFill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125" fillId="6" borderId="63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104" fillId="44" borderId="0" applyNumberFormat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06" fillId="16" borderId="54" applyNumberFormat="0" applyAlignment="0" applyProtection="0">
      <alignment vertical="center"/>
    </xf>
    <xf numFmtId="0" fontId="115" fillId="0" borderId="0"/>
    <xf numFmtId="0" fontId="99" fillId="20" borderId="48" applyNumberFormat="0" applyAlignment="0" applyProtection="0">
      <alignment vertical="center"/>
    </xf>
    <xf numFmtId="0" fontId="115" fillId="0" borderId="0"/>
    <xf numFmtId="0" fontId="99" fillId="20" borderId="48" applyNumberFormat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99" fillId="20" borderId="48" applyNumberFormat="0" applyAlignment="0" applyProtection="0">
      <alignment vertical="center"/>
    </xf>
    <xf numFmtId="0" fontId="131" fillId="0" borderId="0"/>
    <xf numFmtId="0" fontId="79" fillId="0" borderId="0"/>
    <xf numFmtId="0" fontId="115" fillId="0" borderId="0"/>
    <xf numFmtId="0" fontId="115" fillId="0" borderId="0"/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6" fillId="21" borderId="49" applyNumberFormat="0" applyFont="0" applyAlignment="0" applyProtection="0">
      <alignment vertical="center"/>
    </xf>
    <xf numFmtId="0" fontId="100" fillId="0" borderId="0"/>
    <xf numFmtId="0" fontId="130" fillId="0" borderId="0" applyNumberFormat="0" applyFill="0" applyBorder="0" applyAlignment="0" applyProtection="0">
      <alignment vertical="center"/>
    </xf>
    <xf numFmtId="38" fontId="100" fillId="0" borderId="0" applyFont="0" applyFill="0" applyBorder="0" applyAlignment="0" applyProtection="0">
      <alignment vertical="center"/>
    </xf>
    <xf numFmtId="0" fontId="56" fillId="0" borderId="0">
      <alignment vertical="center"/>
    </xf>
  </cellStyleXfs>
  <cellXfs count="4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79" fontId="6" fillId="0" borderId="0" xfId="309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2" applyNumberFormat="1" applyFont="1" applyFill="1" applyBorder="1" applyAlignment="1" applyProtection="1">
      <alignment horizontal="center" vertical="center" wrapText="1"/>
    </xf>
    <xf numFmtId="0" fontId="13" fillId="3" borderId="5" xfId="402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2" applyNumberFormat="1" applyFont="1" applyFill="1" applyBorder="1" applyAlignment="1" applyProtection="1">
      <alignment horizontal="center" vertical="center" wrapText="1"/>
    </xf>
    <xf numFmtId="0" fontId="13" fillId="3" borderId="6" xfId="402" applyNumberFormat="1" applyFont="1" applyFill="1" applyBorder="1" applyAlignment="1" applyProtection="1">
      <alignment horizontal="center" vertical="center" wrapText="1"/>
    </xf>
    <xf numFmtId="180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0" fontId="14" fillId="4" borderId="6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79" fontId="6" fillId="4" borderId="7" xfId="309" applyNumberFormat="1" applyFont="1" applyFill="1" applyBorder="1" applyAlignment="1">
      <alignment horizontal="center" vertical="center"/>
    </xf>
    <xf numFmtId="181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9" applyNumberFormat="1" applyFont="1" applyFill="1" applyBorder="1" applyAlignment="1">
      <alignment horizontal="center" vertical="center"/>
    </xf>
    <xf numFmtId="14" fontId="12" fillId="3" borderId="5" xfId="402" applyNumberFormat="1" applyFont="1" applyFill="1" applyBorder="1" applyAlignment="1" applyProtection="1">
      <alignment horizontal="center" vertical="center" wrapText="1"/>
    </xf>
    <xf numFmtId="0" fontId="12" fillId="3" borderId="8" xfId="402" applyNumberFormat="1" applyFont="1" applyFill="1" applyBorder="1" applyAlignment="1" applyProtection="1">
      <alignment horizontal="center" vertical="center" wrapText="1"/>
    </xf>
    <xf numFmtId="0" fontId="12" fillId="3" borderId="9" xfId="402" applyNumberFormat="1" applyFont="1" applyFill="1" applyBorder="1" applyAlignment="1" applyProtection="1">
      <alignment horizontal="center" vertical="center" wrapText="1"/>
    </xf>
    <xf numFmtId="0" fontId="12" fillId="3" borderId="10" xfId="402" applyNumberFormat="1" applyFont="1" applyFill="1" applyBorder="1" applyAlignment="1" applyProtection="1">
      <alignment horizontal="center" vertical="center" wrapText="1"/>
    </xf>
    <xf numFmtId="14" fontId="12" fillId="3" borderId="6" xfId="402" applyNumberFormat="1" applyFont="1" applyFill="1" applyBorder="1" applyAlignment="1" applyProtection="1">
      <alignment horizontal="center" vertical="center" wrapText="1"/>
    </xf>
    <xf numFmtId="0" fontId="12" fillId="3" borderId="7" xfId="402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6" fontId="14" fillId="0" borderId="7" xfId="309" applyNumberFormat="1" applyFont="1" applyFill="1" applyBorder="1">
      <alignment vertical="center"/>
    </xf>
    <xf numFmtId="176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81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9" applyNumberFormat="1" applyFont="1" applyFill="1" applyBorder="1" applyAlignment="1">
      <alignment horizontal="left" vertical="center"/>
    </xf>
    <xf numFmtId="179" fontId="13" fillId="3" borderId="5" xfId="402" applyNumberFormat="1" applyFont="1" applyFill="1" applyBorder="1" applyAlignment="1" applyProtection="1">
      <alignment horizontal="center" vertical="center" wrapText="1"/>
    </xf>
    <xf numFmtId="0" fontId="13" fillId="3" borderId="8" xfId="402" applyNumberFormat="1" applyFont="1" applyFill="1" applyBorder="1" applyAlignment="1" applyProtection="1">
      <alignment horizontal="center" vertical="center" wrapText="1"/>
    </xf>
    <xf numFmtId="0" fontId="13" fillId="3" borderId="9" xfId="402" applyNumberFormat="1" applyFont="1" applyFill="1" applyBorder="1" applyAlignment="1" applyProtection="1">
      <alignment horizontal="center" vertical="center" wrapText="1"/>
    </xf>
    <xf numFmtId="179" fontId="13" fillId="3" borderId="6" xfId="402" applyNumberFormat="1" applyFont="1" applyFill="1" applyBorder="1" applyAlignment="1" applyProtection="1">
      <alignment horizontal="center" vertical="center" wrapText="1"/>
    </xf>
    <xf numFmtId="0" fontId="13" fillId="3" borderId="7" xfId="402" applyNumberFormat="1" applyFont="1" applyFill="1" applyBorder="1" applyAlignment="1" applyProtection="1">
      <alignment horizontal="center" vertical="center" wrapText="1"/>
    </xf>
    <xf numFmtId="176" fontId="14" fillId="4" borderId="7" xfId="309" applyNumberFormat="1" applyFont="1" applyFill="1" applyBorder="1">
      <alignment vertical="center"/>
    </xf>
    <xf numFmtId="176" fontId="14" fillId="4" borderId="10" xfId="309" applyNumberFormat="1" applyFont="1" applyFill="1" applyBorder="1" applyAlignment="1">
      <alignment horizontal="center" vertical="center"/>
    </xf>
    <xf numFmtId="176" fontId="14" fillId="4" borderId="10" xfId="309" applyNumberFormat="1" applyFont="1" applyFill="1" applyBorder="1">
      <alignment vertical="center"/>
    </xf>
    <xf numFmtId="0" fontId="13" fillId="3" borderId="10" xfId="402" applyNumberFormat="1" applyFont="1" applyFill="1" applyBorder="1" applyAlignment="1" applyProtection="1">
      <alignment horizontal="center" vertical="center" wrapText="1"/>
    </xf>
    <xf numFmtId="181" fontId="14" fillId="4" borderId="10" xfId="309" applyNumberFormat="1" applyFont="1" applyFill="1" applyBorder="1" applyAlignment="1" applyProtection="1">
      <alignment horizontal="center" vertical="center"/>
    </xf>
    <xf numFmtId="179" fontId="20" fillId="4" borderId="7" xfId="292" applyNumberFormat="1" applyFont="1" applyFill="1" applyBorder="1" applyAlignment="1" applyProtection="1">
      <alignment horizontal="center" vertical="center"/>
    </xf>
    <xf numFmtId="179" fontId="25" fillId="4" borderId="7" xfId="402" applyNumberFormat="1" applyFont="1" applyFill="1" applyBorder="1" applyAlignment="1" applyProtection="1">
      <alignment horizontal="center" vertical="center"/>
    </xf>
    <xf numFmtId="181" fontId="14" fillId="0" borderId="0" xfId="309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9" applyNumberFormat="1" applyFont="1" applyFill="1" applyBorder="1" applyAlignment="1" applyProtection="1">
      <alignment horizontal="center" vertical="center"/>
    </xf>
    <xf numFmtId="179" fontId="16" fillId="0" borderId="7" xfId="309" applyNumberFormat="1" applyFont="1" applyFill="1" applyBorder="1" applyAlignment="1">
      <alignment horizontal="center" vertical="center" wrapText="1"/>
    </xf>
    <xf numFmtId="181" fontId="14" fillId="0" borderId="7" xfId="309" applyNumberFormat="1" applyFont="1" applyFill="1" applyBorder="1" applyAlignment="1" applyProtection="1">
      <alignment horizontal="center" vertical="center"/>
    </xf>
    <xf numFmtId="179" fontId="17" fillId="4" borderId="7" xfId="309" applyNumberFormat="1" applyFont="1" applyFill="1" applyBorder="1" applyAlignment="1" applyProtection="1">
      <alignment horizontal="center" vertical="center" shrinkToFit="1"/>
    </xf>
    <xf numFmtId="181" fontId="14" fillId="4" borderId="7" xfId="309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402" applyNumberFormat="1" applyFont="1" applyFill="1" applyBorder="1" applyAlignment="1" applyProtection="1">
      <alignment horizontal="center" vertical="center" wrapText="1"/>
    </xf>
    <xf numFmtId="49" fontId="12" fillId="3" borderId="6" xfId="402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182" fontId="14" fillId="0" borderId="0" xfId="0" applyNumberFormat="1" applyFont="1" applyFill="1" applyBorder="1" applyAlignment="1" applyProtection="1">
      <alignment horizontal="left" vertical="center"/>
      <protection locked="0"/>
    </xf>
    <xf numFmtId="183" fontId="14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49" fontId="29" fillId="6" borderId="7" xfId="411" applyNumberFormat="1" applyFont="1" applyFill="1" applyBorder="1" applyAlignment="1" applyProtection="1">
      <alignment horizontal="center" vertical="center" wrapText="1"/>
    </xf>
    <xf numFmtId="49" fontId="24" fillId="6" borderId="7" xfId="411" applyNumberFormat="1" applyFont="1" applyFill="1" applyBorder="1" applyAlignment="1" applyProtection="1">
      <alignment horizontal="center" vertical="center" wrapText="1"/>
    </xf>
    <xf numFmtId="182" fontId="29" fillId="6" borderId="7" xfId="411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14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7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14" fontId="28" fillId="0" borderId="7" xfId="0" applyNumberFormat="1" applyFont="1" applyFill="1" applyBorder="1" applyAlignment="1" applyProtection="1">
      <alignment horizontal="center" vertical="center"/>
      <protection locked="0"/>
    </xf>
    <xf numFmtId="182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183" fontId="24" fillId="6" borderId="7" xfId="411" applyNumberFormat="1" applyFont="1" applyFill="1" applyBorder="1" applyAlignment="1" applyProtection="1">
      <alignment horizontal="center" vertical="center" wrapText="1"/>
    </xf>
    <xf numFmtId="49" fontId="36" fillId="6" borderId="7" xfId="411" applyNumberFormat="1" applyFont="1" applyFill="1" applyBorder="1" applyAlignment="1" applyProtection="1">
      <alignment horizontal="center" vertical="center" wrapText="1"/>
    </xf>
    <xf numFmtId="49" fontId="24" fillId="6" borderId="7" xfId="364" applyNumberFormat="1" applyFont="1" applyFill="1" applyBorder="1" applyAlignment="1" applyProtection="1">
      <alignment horizontal="center" vertical="center" wrapText="1"/>
    </xf>
    <xf numFmtId="176" fontId="27" fillId="0" borderId="7" xfId="0" applyNumberFormat="1" applyFont="1" applyFill="1" applyBorder="1" applyAlignment="1" applyProtection="1">
      <alignment horizontal="center" vertical="center"/>
      <protection locked="0"/>
    </xf>
    <xf numFmtId="176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Fill="1" applyBorder="1" applyAlignment="1" applyProtection="1">
      <alignment horizontal="center" vertical="center"/>
      <protection locked="0"/>
    </xf>
    <xf numFmtId="49" fontId="29" fillId="8" borderId="7" xfId="364" applyNumberFormat="1" applyFont="1" applyFill="1" applyBorder="1" applyAlignment="1" applyProtection="1">
      <alignment horizontal="center" vertical="center" wrapText="1"/>
    </xf>
    <xf numFmtId="0" fontId="37" fillId="3" borderId="7" xfId="364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14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83" fontId="14" fillId="0" borderId="0" xfId="0" applyNumberFormat="1" applyFont="1" applyBorder="1" applyAlignment="1" applyProtection="1">
      <alignment horizontal="left" vertical="center"/>
      <protection locked="0"/>
    </xf>
    <xf numFmtId="49" fontId="37" fillId="6" borderId="5" xfId="411" applyNumberFormat="1" applyFont="1" applyFill="1" applyBorder="1" applyAlignment="1" applyProtection="1">
      <alignment horizontal="center" vertical="center" wrapText="1"/>
    </xf>
    <xf numFmtId="49" fontId="37" fillId="9" borderId="5" xfId="411" applyNumberFormat="1" applyFont="1" applyFill="1" applyBorder="1" applyAlignment="1" applyProtection="1">
      <alignment horizontal="center" vertical="center" wrapText="1"/>
    </xf>
    <xf numFmtId="49" fontId="37" fillId="6" borderId="11" xfId="411" applyNumberFormat="1" applyFont="1" applyFill="1" applyBorder="1" applyAlignment="1" applyProtection="1">
      <alignment horizontal="center" vertical="center" wrapText="1"/>
    </xf>
    <xf numFmtId="49" fontId="37" fillId="9" borderId="11" xfId="411" applyNumberFormat="1" applyFont="1" applyFill="1" applyBorder="1" applyAlignment="1" applyProtection="1">
      <alignment horizontal="center" vertical="center" wrapText="1"/>
    </xf>
    <xf numFmtId="49" fontId="37" fillId="9" borderId="12" xfId="411" applyNumberFormat="1" applyFont="1" applyFill="1" applyBorder="1" applyAlignment="1" applyProtection="1">
      <alignment horizontal="center" vertical="center" wrapText="1"/>
    </xf>
    <xf numFmtId="49" fontId="37" fillId="9" borderId="6" xfId="411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>
      <alignment vertical="center"/>
    </xf>
    <xf numFmtId="49" fontId="38" fillId="0" borderId="7" xfId="0" applyNumberFormat="1" applyFont="1" applyFill="1" applyBorder="1" applyAlignment="1">
      <alignment vertical="center"/>
    </xf>
    <xf numFmtId="0" fontId="39" fillId="0" borderId="0" xfId="0" applyNumberFormat="1" applyFont="1" applyFill="1" applyBorder="1" applyAlignment="1" applyProtection="1">
      <alignment horizontal="left" vertical="center"/>
      <protection locked="0"/>
    </xf>
    <xf numFmtId="0" fontId="37" fillId="2" borderId="5" xfId="411" applyFont="1" applyFill="1" applyBorder="1" applyAlignment="1" applyProtection="1">
      <alignment horizontal="center" vertical="center" wrapText="1"/>
    </xf>
    <xf numFmtId="183" fontId="37" fillId="9" borderId="5" xfId="411" applyNumberFormat="1" applyFont="1" applyFill="1" applyBorder="1" applyAlignment="1" applyProtection="1">
      <alignment horizontal="center" vertical="center" wrapText="1"/>
    </xf>
    <xf numFmtId="49" fontId="40" fillId="9" borderId="5" xfId="411" applyNumberFormat="1" applyFont="1" applyFill="1" applyBorder="1" applyAlignment="1" applyProtection="1">
      <alignment horizontal="center" vertical="center" wrapText="1"/>
    </xf>
    <xf numFmtId="49" fontId="41" fillId="9" borderId="7" xfId="364" applyNumberFormat="1" applyFont="1" applyFill="1" applyBorder="1" applyAlignment="1" applyProtection="1">
      <alignment horizontal="center" vertical="center" wrapText="1"/>
    </xf>
    <xf numFmtId="183" fontId="37" fillId="9" borderId="12" xfId="411" applyNumberFormat="1" applyFont="1" applyFill="1" applyBorder="1" applyAlignment="1" applyProtection="1">
      <alignment horizontal="center" vertical="center" wrapText="1"/>
    </xf>
    <xf numFmtId="49" fontId="40" fillId="9" borderId="12" xfId="411" applyNumberFormat="1" applyFont="1" applyFill="1" applyBorder="1" applyAlignment="1" applyProtection="1">
      <alignment horizontal="center" vertical="center" wrapText="1"/>
    </xf>
    <xf numFmtId="49" fontId="42" fillId="0" borderId="7" xfId="0" applyNumberFormat="1" applyFont="1" applyFill="1" applyBorder="1" applyAlignment="1">
      <alignment horizontal="left" vertical="center"/>
    </xf>
    <xf numFmtId="14" fontId="43" fillId="10" borderId="7" xfId="0" applyNumberFormat="1" applyFont="1" applyFill="1" applyBorder="1" applyAlignment="1">
      <alignment vertical="center"/>
    </xf>
    <xf numFmtId="14" fontId="39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7" xfId="0" applyNumberFormat="1" applyFont="1" applyFill="1" applyBorder="1" applyAlignment="1">
      <alignment horizontal="center" vertical="center"/>
    </xf>
    <xf numFmtId="0" fontId="37" fillId="2" borderId="5" xfId="411" applyFont="1" applyFill="1" applyBorder="1" applyAlignment="1" applyProtection="1">
      <alignment vertical="center" wrapText="1"/>
    </xf>
    <xf numFmtId="49" fontId="41" fillId="9" borderId="7" xfId="411" applyNumberFormat="1" applyFont="1" applyFill="1" applyBorder="1" applyAlignment="1" applyProtection="1">
      <alignment horizontal="center" vertical="center" wrapText="1"/>
    </xf>
    <xf numFmtId="49" fontId="37" fillId="6" borderId="12" xfId="411" applyNumberFormat="1" applyFont="1" applyFill="1" applyBorder="1" applyAlignment="1" applyProtection="1">
      <alignment horizontal="center" vertical="center" wrapText="1"/>
    </xf>
    <xf numFmtId="0" fontId="42" fillId="0" borderId="7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11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19" fillId="12" borderId="7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/>
    <xf numFmtId="0" fontId="21" fillId="12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left" vertical="center"/>
    </xf>
    <xf numFmtId="49" fontId="32" fillId="0" borderId="7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/>
    </xf>
    <xf numFmtId="49" fontId="32" fillId="11" borderId="7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49" fontId="32" fillId="11" borderId="7" xfId="0" applyNumberFormat="1" applyFont="1" applyFill="1" applyBorder="1" applyAlignment="1">
      <alignment horizontal="center"/>
    </xf>
    <xf numFmtId="0" fontId="33" fillId="11" borderId="7" xfId="0" applyFont="1" applyFill="1" applyBorder="1" applyAlignment="1">
      <alignment horizontal="center" vertical="center"/>
    </xf>
    <xf numFmtId="49" fontId="34" fillId="11" borderId="7" xfId="0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/>
    </xf>
    <xf numFmtId="49" fontId="49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9" fillId="0" borderId="6" xfId="0" applyNumberFormat="1" applyFont="1" applyFill="1" applyBorder="1" applyAlignment="1">
      <alignment horizontal="center"/>
    </xf>
    <xf numFmtId="49" fontId="50" fillId="0" borderId="15" xfId="0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49" fontId="52" fillId="0" borderId="6" xfId="0" applyNumberFormat="1" applyFont="1" applyFill="1" applyBorder="1" applyAlignment="1">
      <alignment horizontal="center" vertical="center"/>
    </xf>
    <xf numFmtId="49" fontId="50" fillId="0" borderId="6" xfId="0" applyNumberFormat="1" applyFont="1" applyFill="1" applyBorder="1" applyAlignment="1">
      <alignment horizontal="center"/>
    </xf>
    <xf numFmtId="0" fontId="19" fillId="12" borderId="16" xfId="0" applyFont="1" applyFill="1" applyBorder="1" applyAlignment="1">
      <alignment horizontal="left" vertical="center"/>
    </xf>
    <xf numFmtId="4" fontId="19" fillId="12" borderId="17" xfId="0" applyNumberFormat="1" applyFont="1" applyFill="1" applyBorder="1" applyAlignment="1">
      <alignment horizontal="right" vertical="center"/>
    </xf>
    <xf numFmtId="4" fontId="19" fillId="12" borderId="6" xfId="0" applyNumberFormat="1" applyFont="1" applyFill="1" applyBorder="1" applyAlignment="1">
      <alignment horizontal="right" vertical="center"/>
    </xf>
    <xf numFmtId="4" fontId="19" fillId="12" borderId="15" xfId="0" applyNumberFormat="1" applyFont="1" applyFill="1" applyBorder="1" applyAlignment="1">
      <alignment horizontal="right" vertical="center"/>
    </xf>
    <xf numFmtId="0" fontId="19" fillId="12" borderId="18" xfId="0" applyFont="1" applyFill="1" applyBorder="1" applyAlignment="1">
      <alignment horizontal="left" vertical="center"/>
    </xf>
    <xf numFmtId="4" fontId="19" fillId="12" borderId="19" xfId="0" applyNumberFormat="1" applyFont="1" applyFill="1" applyBorder="1" applyAlignment="1">
      <alignment horizontal="right" vertical="center"/>
    </xf>
    <xf numFmtId="4" fontId="19" fillId="12" borderId="20" xfId="0" applyNumberFormat="1" applyFont="1" applyFill="1" applyBorder="1" applyAlignment="1">
      <alignment horizontal="right" vertical="center"/>
    </xf>
    <xf numFmtId="4" fontId="19" fillId="12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1" fillId="0" borderId="0" xfId="0" applyFont="1" applyFill="1" applyAlignment="1">
      <alignment vertical="center"/>
    </xf>
    <xf numFmtId="0" fontId="22" fillId="1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4" fontId="19" fillId="12" borderId="22" xfId="0" applyNumberFormat="1" applyFont="1" applyFill="1" applyBorder="1" applyAlignment="1">
      <alignment horizontal="right" vertical="center"/>
    </xf>
    <xf numFmtId="0" fontId="49" fillId="3" borderId="15" xfId="0" applyFont="1" applyFill="1" applyBorder="1" applyAlignment="1">
      <alignment horizontal="center"/>
    </xf>
    <xf numFmtId="0" fontId="50" fillId="3" borderId="15" xfId="0" applyFont="1" applyFill="1" applyBorder="1" applyAlignment="1">
      <alignment horizontal="center"/>
    </xf>
    <xf numFmtId="0" fontId="44" fillId="0" borderId="7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11" borderId="7" xfId="0" applyFont="1" applyFill="1" applyBorder="1" applyAlignment="1">
      <alignment vertical="center"/>
    </xf>
    <xf numFmtId="0" fontId="45" fillId="0" borderId="15" xfId="0" applyFont="1" applyFill="1" applyBorder="1" applyAlignment="1">
      <alignment vertical="center"/>
    </xf>
    <xf numFmtId="0" fontId="19" fillId="12" borderId="7" xfId="0" applyNumberFormat="1" applyFont="1" applyFill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184" fontId="53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4" fontId="53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4" fontId="53" fillId="11" borderId="7" xfId="0" applyNumberFormat="1" applyFont="1" applyFill="1" applyBorder="1" applyAlignment="1">
      <alignment horizontal="left" vertical="center"/>
    </xf>
    <xf numFmtId="0" fontId="32" fillId="11" borderId="7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184" fontId="54" fillId="0" borderId="15" xfId="0" applyNumberFormat="1" applyFont="1" applyFill="1" applyBorder="1" applyAlignment="1">
      <alignment horizontal="left" vertical="center"/>
    </xf>
    <xf numFmtId="0" fontId="49" fillId="0" borderId="15" xfId="0" applyNumberFormat="1" applyFont="1" applyFill="1" applyBorder="1" applyAlignment="1">
      <alignment horizontal="center"/>
    </xf>
    <xf numFmtId="0" fontId="19" fillId="12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2" borderId="10" xfId="0" applyFont="1" applyFill="1" applyBorder="1" applyAlignment="1">
      <alignment horizontal="center" vertical="center" wrapText="1"/>
    </xf>
    <xf numFmtId="4" fontId="56" fillId="0" borderId="7" xfId="0" applyNumberFormat="1" applyFont="1" applyFill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0" fontId="57" fillId="0" borderId="10" xfId="0" applyNumberFormat="1" applyFont="1" applyFill="1" applyBorder="1" applyAlignment="1">
      <alignment horizontal="center"/>
    </xf>
    <xf numFmtId="4" fontId="56" fillId="0" borderId="7" xfId="0" applyNumberFormat="1" applyFont="1" applyFill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0" fontId="57" fillId="0" borderId="10" xfId="0" applyNumberFormat="1" applyFont="1" applyFill="1" applyBorder="1" applyAlignment="1">
      <alignment horizontal="center"/>
    </xf>
    <xf numFmtId="4" fontId="56" fillId="11" borderId="7" xfId="0" applyNumberFormat="1" applyFont="1" applyFill="1" applyBorder="1" applyAlignment="1">
      <alignment horizontal="center" vertical="center" wrapText="1"/>
    </xf>
    <xf numFmtId="0" fontId="56" fillId="11" borderId="7" xfId="0" applyNumberFormat="1" applyFont="1" applyFill="1" applyBorder="1" applyAlignment="1">
      <alignment horizontal="center" vertical="center" wrapText="1"/>
    </xf>
    <xf numFmtId="0" fontId="57" fillId="11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55" fillId="12" borderId="7" xfId="0" applyNumberFormat="1" applyFont="1" applyFill="1" applyBorder="1" applyAlignment="1">
      <alignment horizontal="right" vertical="center"/>
    </xf>
    <xf numFmtId="4" fontId="19" fillId="12" borderId="15" xfId="0" applyNumberFormat="1" applyFont="1" applyFill="1" applyBorder="1" applyAlignment="1">
      <alignment horizontal="center" vertical="center"/>
    </xf>
    <xf numFmtId="4" fontId="55" fillId="12" borderId="4" xfId="0" applyNumberFormat="1" applyFont="1" applyFill="1" applyBorder="1" applyAlignment="1">
      <alignment horizontal="right" vertical="center"/>
    </xf>
    <xf numFmtId="0" fontId="48" fillId="0" borderId="0" xfId="0" applyFont="1" applyFill="1" applyAlignment="1"/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59" fillId="11" borderId="0" xfId="0" applyFont="1" applyFill="1" applyAlignment="1">
      <alignment vertical="center"/>
    </xf>
    <xf numFmtId="0" fontId="56" fillId="7" borderId="8" xfId="357" applyFont="1" applyFill="1" applyBorder="1" applyAlignment="1">
      <alignment horizontal="left" vertical="center"/>
    </xf>
    <xf numFmtId="49" fontId="56" fillId="0" borderId="7" xfId="273" applyNumberFormat="1" applyFont="1" applyBorder="1" applyAlignment="1" applyProtection="1">
      <protection locked="0"/>
    </xf>
    <xf numFmtId="0" fontId="6" fillId="0" borderId="7" xfId="309" applyNumberFormat="1" applyFont="1" applyFill="1" applyBorder="1" applyAlignment="1">
      <alignment horizontal="center" vertical="center"/>
    </xf>
    <xf numFmtId="0" fontId="6" fillId="0" borderId="8" xfId="309" applyFont="1" applyFill="1" applyBorder="1" applyAlignment="1">
      <alignment vertical="center"/>
    </xf>
    <xf numFmtId="0" fontId="56" fillId="7" borderId="7" xfId="273" applyFont="1" applyFill="1" applyBorder="1" applyAlignment="1">
      <alignment horizontal="left" vertical="center"/>
    </xf>
    <xf numFmtId="14" fontId="6" fillId="0" borderId="8" xfId="309" applyNumberFormat="1" applyFont="1" applyFill="1" applyBorder="1" applyAlignment="1">
      <alignment vertical="center"/>
    </xf>
    <xf numFmtId="176" fontId="14" fillId="0" borderId="7" xfId="309" applyNumberFormat="1" applyFont="1" applyFill="1" applyBorder="1" applyAlignment="1">
      <alignment vertical="center"/>
    </xf>
    <xf numFmtId="181" fontId="6" fillId="0" borderId="0" xfId="309" applyNumberFormat="1">
      <alignment vertical="center"/>
    </xf>
    <xf numFmtId="0" fontId="60" fillId="0" borderId="0" xfId="0" applyFont="1" applyFill="1" applyAlignment="1">
      <alignment vertical="center"/>
    </xf>
    <xf numFmtId="0" fontId="61" fillId="0" borderId="7" xfId="0" applyFont="1" applyFill="1" applyBorder="1" applyAlignment="1">
      <alignment horizontal="center"/>
    </xf>
    <xf numFmtId="49" fontId="61" fillId="0" borderId="7" xfId="0" applyNumberFormat="1" applyFont="1" applyFill="1" applyBorder="1" applyAlignment="1">
      <alignment horizontal="center" vertical="center"/>
    </xf>
    <xf numFmtId="49" fontId="61" fillId="0" borderId="7" xfId="0" applyNumberFormat="1" applyFont="1" applyFill="1" applyBorder="1" applyAlignment="1">
      <alignment horizontal="center"/>
    </xf>
    <xf numFmtId="0" fontId="62" fillId="0" borderId="7" xfId="0" applyFont="1" applyFill="1" applyBorder="1" applyAlignment="1">
      <alignment horizontal="center" vertical="center"/>
    </xf>
    <xf numFmtId="49" fontId="63" fillId="0" borderId="7" xfId="0" applyNumberFormat="1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/>
    </xf>
    <xf numFmtId="0" fontId="60" fillId="0" borderId="7" xfId="0" applyFont="1" applyFill="1" applyBorder="1" applyAlignment="1">
      <alignment vertical="center"/>
    </xf>
    <xf numFmtId="184" fontId="64" fillId="0" borderId="7" xfId="0" applyNumberFormat="1" applyFont="1" applyFill="1" applyBorder="1" applyAlignment="1">
      <alignment horizontal="left" vertical="center"/>
    </xf>
    <xf numFmtId="0" fontId="61" fillId="0" borderId="7" xfId="0" applyNumberFormat="1" applyFont="1" applyFill="1" applyBorder="1" applyAlignment="1">
      <alignment horizontal="center"/>
    </xf>
    <xf numFmtId="49" fontId="57" fillId="0" borderId="10" xfId="0" applyNumberFormat="1" applyFont="1" applyFill="1" applyBorder="1" applyAlignment="1">
      <alignment horizontal="center"/>
    </xf>
    <xf numFmtId="4" fontId="65" fillId="0" borderId="7" xfId="0" applyNumberFormat="1" applyFont="1" applyFill="1" applyBorder="1" applyAlignment="1">
      <alignment horizontal="center" vertical="center" wrapText="1"/>
    </xf>
    <xf numFmtId="0" fontId="65" fillId="0" borderId="7" xfId="0" applyNumberFormat="1" applyFont="1" applyFill="1" applyBorder="1" applyAlignment="1">
      <alignment horizontal="center" vertical="center" wrapText="1"/>
    </xf>
    <xf numFmtId="49" fontId="66" fillId="0" borderId="10" xfId="0" applyNumberFormat="1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49" fontId="32" fillId="0" borderId="24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8" fillId="13" borderId="0" xfId="490" applyFont="1" applyFill="1" applyBorder="1" applyAlignment="1">
      <alignment horizontal="center" vertical="center"/>
    </xf>
    <xf numFmtId="0" fontId="69" fillId="13" borderId="0" xfId="490" applyNumberFormat="1" applyFont="1" applyFill="1" applyBorder="1" applyAlignment="1" applyProtection="1">
      <alignment horizontal="center" vertical="center"/>
      <protection locked="0"/>
    </xf>
    <xf numFmtId="0" fontId="69" fillId="13" borderId="0" xfId="490" applyNumberFormat="1" applyFont="1" applyFill="1" applyBorder="1" applyAlignment="1" applyProtection="1">
      <alignment horizontal="left" vertical="center"/>
      <protection locked="0"/>
    </xf>
    <xf numFmtId="0" fontId="70" fillId="13" borderId="0" xfId="490" applyNumberFormat="1" applyFont="1" applyFill="1" applyBorder="1" applyAlignment="1" applyProtection="1">
      <alignment horizontal="center" vertical="center"/>
      <protection locked="0"/>
    </xf>
    <xf numFmtId="0" fontId="71" fillId="13" borderId="0" xfId="490" applyNumberFormat="1" applyFont="1" applyFill="1" applyBorder="1" applyAlignment="1" applyProtection="1">
      <alignment horizontal="left" vertical="center"/>
      <protection locked="0"/>
    </xf>
    <xf numFmtId="0" fontId="56" fillId="13" borderId="0" xfId="0" applyFont="1" applyFill="1" applyBorder="1" applyAlignment="1" applyProtection="1">
      <alignment horizontal="right" vertical="center"/>
      <protection locked="0"/>
    </xf>
    <xf numFmtId="49" fontId="72" fillId="13" borderId="0" xfId="489" applyNumberFormat="1" applyFont="1" applyFill="1" applyBorder="1" applyAlignment="1" applyProtection="1">
      <alignment horizontal="left" vertical="center"/>
      <protection locked="0"/>
    </xf>
    <xf numFmtId="0" fontId="59" fillId="13" borderId="0" xfId="0" applyFont="1" applyFill="1" applyBorder="1" applyAlignment="1" applyProtection="1">
      <alignment horizontal="left" vertical="center"/>
      <protection locked="0"/>
    </xf>
    <xf numFmtId="0" fontId="73" fillId="13" borderId="0" xfId="490" applyFont="1" applyFill="1" applyBorder="1" applyAlignment="1">
      <alignment horizontal="right" vertical="center"/>
    </xf>
    <xf numFmtId="14" fontId="74" fillId="13" borderId="0" xfId="0" applyNumberFormat="1" applyFont="1" applyFill="1" applyBorder="1" applyAlignment="1" applyProtection="1">
      <alignment horizontal="left" vertical="center"/>
      <protection locked="0"/>
    </xf>
    <xf numFmtId="0" fontId="74" fillId="13" borderId="0" xfId="0" applyFont="1" applyFill="1" applyBorder="1" applyAlignment="1" applyProtection="1">
      <alignment horizontal="right" vertical="center"/>
      <protection locked="0"/>
    </xf>
    <xf numFmtId="0" fontId="75" fillId="13" borderId="0" xfId="0" applyFont="1" applyFill="1" applyBorder="1" applyAlignment="1">
      <alignment horizontal="left" vertical="center"/>
    </xf>
    <xf numFmtId="0" fontId="75" fillId="13" borderId="0" xfId="0" applyFont="1" applyFill="1" applyAlignment="1">
      <alignment horizontal="left" vertical="center"/>
    </xf>
    <xf numFmtId="0" fontId="71" fillId="13" borderId="0" xfId="490" applyNumberFormat="1" applyFont="1" applyFill="1" applyBorder="1" applyAlignment="1" applyProtection="1">
      <alignment horizontal="center" vertical="center"/>
      <protection locked="0"/>
    </xf>
    <xf numFmtId="0" fontId="75" fillId="13" borderId="0" xfId="0" applyFont="1" applyFill="1" applyBorder="1" applyAlignment="1" applyProtection="1">
      <alignment horizontal="left" vertical="center"/>
      <protection locked="0"/>
    </xf>
    <xf numFmtId="0" fontId="76" fillId="13" borderId="0" xfId="490" applyNumberFormat="1" applyFont="1" applyFill="1" applyBorder="1" applyAlignment="1" applyProtection="1">
      <alignment horizontal="center" vertical="center"/>
      <protection locked="0"/>
    </xf>
    <xf numFmtId="185" fontId="74" fillId="13" borderId="0" xfId="489" applyNumberFormat="1" applyFont="1" applyFill="1" applyBorder="1" applyAlignment="1" applyProtection="1">
      <alignment horizontal="left" vertical="center"/>
      <protection locked="0"/>
    </xf>
    <xf numFmtId="0" fontId="77" fillId="13" borderId="25" xfId="0" applyFont="1" applyFill="1" applyBorder="1" applyAlignment="1" applyProtection="1">
      <alignment horizontal="center" vertical="center"/>
      <protection locked="0"/>
    </xf>
    <xf numFmtId="0" fontId="77" fillId="13" borderId="26" xfId="0" applyFont="1" applyFill="1" applyBorder="1" applyAlignment="1" applyProtection="1">
      <alignment horizontal="center" vertical="center"/>
      <protection locked="0"/>
    </xf>
    <xf numFmtId="0" fontId="13" fillId="13" borderId="27" xfId="488" applyNumberFormat="1" applyFont="1" applyFill="1" applyBorder="1" applyAlignment="1" applyProtection="1">
      <alignment horizontal="left" vertical="center"/>
      <protection locked="0"/>
    </xf>
    <xf numFmtId="0" fontId="13" fillId="13" borderId="6" xfId="488" applyNumberFormat="1" applyFont="1" applyFill="1" applyBorder="1" applyAlignment="1" applyProtection="1">
      <alignment horizontal="left" vertical="center"/>
      <protection locked="0"/>
    </xf>
    <xf numFmtId="43" fontId="78" fillId="13" borderId="8" xfId="0" applyNumberFormat="1" applyFont="1" applyFill="1" applyBorder="1" applyAlignment="1" applyProtection="1">
      <alignment horizontal="left" vertical="center" shrinkToFit="1"/>
    </xf>
    <xf numFmtId="43" fontId="78" fillId="13" borderId="9" xfId="0" applyNumberFormat="1" applyFont="1" applyFill="1" applyBorder="1" applyAlignment="1" applyProtection="1">
      <alignment horizontal="left" vertical="center" shrinkToFit="1"/>
    </xf>
    <xf numFmtId="43" fontId="78" fillId="13" borderId="28" xfId="0" applyNumberFormat="1" applyFont="1" applyFill="1" applyBorder="1" applyAlignment="1" applyProtection="1">
      <alignment horizontal="left" vertical="center" shrinkToFit="1"/>
    </xf>
    <xf numFmtId="0" fontId="13" fillId="13" borderId="29" xfId="488" applyNumberFormat="1" applyFont="1" applyFill="1" applyBorder="1" applyAlignment="1" applyProtection="1">
      <alignment horizontal="left" vertical="center"/>
      <protection locked="0"/>
    </xf>
    <xf numFmtId="0" fontId="13" fillId="13" borderId="30" xfId="488" applyNumberFormat="1" applyFont="1" applyFill="1" applyBorder="1" applyAlignment="1" applyProtection="1">
      <alignment horizontal="left" vertical="center"/>
      <protection locked="0"/>
    </xf>
    <xf numFmtId="178" fontId="78" fillId="13" borderId="31" xfId="0" applyNumberFormat="1" applyFont="1" applyFill="1" applyBorder="1" applyAlignment="1" applyProtection="1">
      <alignment horizontal="right" vertical="center" shrinkToFit="1"/>
    </xf>
    <xf numFmtId="178" fontId="78" fillId="13" borderId="32" xfId="0" applyNumberFormat="1" applyFont="1" applyFill="1" applyBorder="1" applyAlignment="1" applyProtection="1">
      <alignment horizontal="right" vertical="center" shrinkToFit="1"/>
    </xf>
    <xf numFmtId="178" fontId="78" fillId="13" borderId="33" xfId="0" applyNumberFormat="1" applyFont="1" applyFill="1" applyBorder="1" applyAlignment="1" applyProtection="1">
      <alignment horizontal="right" vertical="center" shrinkToFit="1"/>
    </xf>
    <xf numFmtId="0" fontId="25" fillId="13" borderId="27" xfId="489" applyNumberFormat="1" applyFont="1" applyFill="1" applyBorder="1" applyAlignment="1" applyProtection="1">
      <alignment horizontal="left" vertical="center"/>
      <protection locked="0"/>
    </xf>
    <xf numFmtId="0" fontId="25" fillId="13" borderId="6" xfId="489" applyNumberFormat="1" applyFont="1" applyFill="1" applyBorder="1" applyAlignment="1" applyProtection="1">
      <alignment horizontal="left" vertical="center"/>
      <protection locked="0"/>
    </xf>
    <xf numFmtId="43" fontId="79" fillId="13" borderId="6" xfId="0" applyNumberFormat="1" applyFont="1" applyFill="1" applyBorder="1" applyAlignment="1" applyProtection="1">
      <alignment horizontal="left" vertical="center" shrinkToFit="1"/>
    </xf>
    <xf numFmtId="0" fontId="25" fillId="13" borderId="34" xfId="489" applyNumberFormat="1" applyFont="1" applyFill="1" applyBorder="1" applyAlignment="1" applyProtection="1">
      <alignment horizontal="left" vertical="center"/>
      <protection locked="0"/>
    </xf>
    <xf numFmtId="0" fontId="25" fillId="13" borderId="35" xfId="489" applyNumberFormat="1" applyFont="1" applyFill="1" applyBorder="1" applyAlignment="1" applyProtection="1">
      <alignment horizontal="left" vertical="center"/>
      <protection locked="0"/>
    </xf>
    <xf numFmtId="0" fontId="25" fillId="13" borderId="36" xfId="489" applyNumberFormat="1" applyFont="1" applyFill="1" applyBorder="1" applyAlignment="1" applyProtection="1">
      <alignment horizontal="left" vertical="center"/>
      <protection locked="0"/>
    </xf>
    <xf numFmtId="43" fontId="79" fillId="13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3" borderId="38" xfId="163" applyFont="1" applyFill="1" applyBorder="1" applyAlignment="1">
      <alignment vertical="center"/>
    </xf>
    <xf numFmtId="0" fontId="14" fillId="13" borderId="7" xfId="163" applyFont="1" applyFill="1" applyBorder="1" applyAlignment="1">
      <alignment vertical="center"/>
    </xf>
    <xf numFmtId="43" fontId="79" fillId="13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3" borderId="8" xfId="163" applyFont="1" applyFill="1" applyBorder="1" applyAlignment="1">
      <alignment horizontal="left" vertical="center"/>
    </xf>
    <xf numFmtId="0" fontId="14" fillId="13" borderId="9" xfId="163" applyFont="1" applyFill="1" applyBorder="1" applyAlignment="1">
      <alignment horizontal="left" vertical="center"/>
    </xf>
    <xf numFmtId="0" fontId="14" fillId="13" borderId="10" xfId="163" applyFont="1" applyFill="1" applyBorder="1" applyAlignment="1">
      <alignment horizontal="left" vertical="center"/>
    </xf>
    <xf numFmtId="43" fontId="79" fillId="13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3" borderId="40" xfId="163" applyFont="1" applyFill="1" applyBorder="1" applyAlignment="1">
      <alignment vertical="center"/>
    </xf>
    <xf numFmtId="0" fontId="14" fillId="13" borderId="41" xfId="163" applyFont="1" applyFill="1" applyBorder="1" applyAlignment="1">
      <alignment vertical="center"/>
    </xf>
    <xf numFmtId="43" fontId="79" fillId="13" borderId="41" xfId="489" applyNumberFormat="1" applyFont="1" applyFill="1" applyBorder="1" applyAlignment="1" applyProtection="1">
      <alignment horizontal="left" vertical="center" shrinkToFit="1"/>
      <protection locked="0"/>
    </xf>
    <xf numFmtId="186" fontId="25" fillId="13" borderId="42" xfId="489" applyNumberFormat="1" applyFont="1" applyFill="1" applyBorder="1" applyAlignment="1" applyProtection="1">
      <alignment horizontal="left" vertical="center"/>
      <protection locked="0"/>
    </xf>
    <xf numFmtId="186" fontId="25" fillId="13" borderId="43" xfId="489" applyNumberFormat="1" applyFont="1" applyFill="1" applyBorder="1" applyAlignment="1" applyProtection="1">
      <alignment horizontal="left" vertical="center"/>
      <protection locked="0"/>
    </xf>
    <xf numFmtId="186" fontId="25" fillId="13" borderId="44" xfId="489" applyNumberFormat="1" applyFont="1" applyFill="1" applyBorder="1" applyAlignment="1" applyProtection="1">
      <alignment horizontal="left" vertical="center"/>
      <protection locked="0"/>
    </xf>
    <xf numFmtId="43" fontId="79" fillId="13" borderId="45" xfId="489" applyNumberFormat="1" applyFont="1" applyFill="1" applyBorder="1" applyAlignment="1" applyProtection="1">
      <alignment horizontal="left" vertical="center" shrinkToFit="1"/>
      <protection locked="0"/>
    </xf>
    <xf numFmtId="187" fontId="80" fillId="13" borderId="0" xfId="489" applyNumberFormat="1" applyFont="1" applyFill="1" applyBorder="1" applyAlignment="1" applyProtection="1">
      <alignment horizontal="left" vertical="center"/>
      <protection locked="0"/>
    </xf>
    <xf numFmtId="0" fontId="81" fillId="0" borderId="25" xfId="487" applyFont="1" applyFill="1" applyBorder="1" applyAlignment="1">
      <alignment horizontal="center" vertical="center" wrapText="1"/>
    </xf>
    <xf numFmtId="0" fontId="81" fillId="0" borderId="46" xfId="487" applyFont="1" applyFill="1" applyBorder="1" applyAlignment="1">
      <alignment horizontal="center" vertical="center" wrapText="1"/>
    </xf>
    <xf numFmtId="182" fontId="81" fillId="0" borderId="46" xfId="487" applyNumberFormat="1" applyFont="1" applyFill="1" applyBorder="1" applyAlignment="1">
      <alignment horizontal="center" vertical="center" wrapText="1"/>
    </xf>
    <xf numFmtId="177" fontId="81" fillId="0" borderId="46" xfId="487" applyNumberFormat="1" applyFont="1" applyFill="1" applyBorder="1" applyAlignment="1">
      <alignment horizontal="center" vertical="center" wrapText="1"/>
    </xf>
    <xf numFmtId="0" fontId="81" fillId="0" borderId="47" xfId="487" applyFont="1" applyFill="1" applyBorder="1" applyAlignment="1">
      <alignment horizontal="center" vertical="center" wrapText="1"/>
    </xf>
    <xf numFmtId="0" fontId="57" fillId="0" borderId="38" xfId="487" applyFont="1" applyFill="1" applyBorder="1" applyAlignment="1">
      <alignment horizontal="center" vertical="center"/>
    </xf>
    <xf numFmtId="0" fontId="57" fillId="0" borderId="7" xfId="487" applyFont="1" applyFill="1" applyBorder="1" applyAlignment="1">
      <alignment horizontal="center" vertical="center"/>
    </xf>
    <xf numFmtId="43" fontId="57" fillId="0" borderId="7" xfId="487" applyNumberFormat="1" applyFont="1" applyFill="1" applyBorder="1" applyAlignment="1">
      <alignment horizontal="left" vertical="center"/>
    </xf>
    <xf numFmtId="182" fontId="57" fillId="0" borderId="7" xfId="487" applyNumberFormat="1" applyFont="1" applyFill="1" applyBorder="1" applyAlignment="1">
      <alignment horizontal="center" vertical="center"/>
    </xf>
    <xf numFmtId="177" fontId="57" fillId="0" borderId="7" xfId="487" applyNumberFormat="1" applyFont="1" applyFill="1" applyBorder="1" applyAlignment="1">
      <alignment horizontal="right" vertical="center"/>
    </xf>
    <xf numFmtId="0" fontId="57" fillId="0" borderId="39" xfId="487" applyFont="1" applyFill="1" applyBorder="1" applyAlignment="1">
      <alignment horizontal="left" vertical="center"/>
    </xf>
    <xf numFmtId="43" fontId="57" fillId="0" borderId="7" xfId="487" applyNumberFormat="1" applyFont="1" applyFill="1" applyBorder="1" applyAlignment="1">
      <alignment vertical="center"/>
    </xf>
    <xf numFmtId="43" fontId="57" fillId="0" borderId="7" xfId="487" applyNumberFormat="1" applyFont="1" applyFill="1" applyBorder="1" applyAlignment="1">
      <alignment horizontal="center" vertical="center"/>
    </xf>
    <xf numFmtId="0" fontId="57" fillId="0" borderId="39" xfId="487" applyFont="1" applyFill="1" applyBorder="1" applyAlignment="1">
      <alignment vertical="center" wrapText="1"/>
    </xf>
    <xf numFmtId="43" fontId="41" fillId="0" borderId="7" xfId="487" applyNumberFormat="1" applyFont="1" applyFill="1" applyBorder="1" applyAlignment="1">
      <alignment horizontal="center" vertical="center"/>
    </xf>
    <xf numFmtId="177" fontId="41" fillId="0" borderId="7" xfId="487" applyNumberFormat="1" applyFont="1" applyFill="1" applyBorder="1" applyAlignment="1">
      <alignment horizontal="right" vertical="center"/>
    </xf>
    <xf numFmtId="0" fontId="57" fillId="0" borderId="39" xfId="487" applyFont="1" applyFill="1" applyBorder="1" applyAlignment="1">
      <alignment vertical="center"/>
    </xf>
    <xf numFmtId="0" fontId="57" fillId="0" borderId="7" xfId="487" applyFont="1" applyFill="1" applyBorder="1" applyAlignment="1">
      <alignment horizontal="center" vertical="center" wrapText="1"/>
    </xf>
    <xf numFmtId="10" fontId="41" fillId="0" borderId="7" xfId="487" applyNumberFormat="1" applyFont="1" applyFill="1" applyBorder="1" applyAlignment="1">
      <alignment horizontal="center" vertical="center"/>
    </xf>
    <xf numFmtId="0" fontId="37" fillId="14" borderId="38" xfId="487" applyFont="1" applyFill="1" applyBorder="1" applyAlignment="1">
      <alignment horizontal="center" vertical="center"/>
    </xf>
    <xf numFmtId="0" fontId="37" fillId="14" borderId="7" xfId="487" applyFont="1" applyFill="1" applyBorder="1" applyAlignment="1">
      <alignment horizontal="center" vertical="center"/>
    </xf>
    <xf numFmtId="177" fontId="37" fillId="14" borderId="7" xfId="487" applyNumberFormat="1" applyFont="1" applyFill="1" applyBorder="1" applyAlignment="1">
      <alignment vertical="center"/>
    </xf>
    <xf numFmtId="0" fontId="57" fillId="14" borderId="39" xfId="487" applyFont="1" applyFill="1" applyBorder="1" applyAlignment="1">
      <alignment horizontal="left" vertical="center"/>
    </xf>
    <xf numFmtId="0" fontId="37" fillId="14" borderId="40" xfId="487" applyFont="1" applyFill="1" applyBorder="1" applyAlignment="1">
      <alignment horizontal="center" vertical="center"/>
    </xf>
    <xf numFmtId="0" fontId="37" fillId="14" borderId="41" xfId="487" applyFont="1" applyFill="1" applyBorder="1" applyAlignment="1">
      <alignment horizontal="center" vertical="center"/>
    </xf>
    <xf numFmtId="177" fontId="37" fillId="14" borderId="41" xfId="487" applyNumberFormat="1" applyFont="1" applyFill="1" applyBorder="1" applyAlignment="1">
      <alignment vertical="center"/>
    </xf>
    <xf numFmtId="0" fontId="57" fillId="14" borderId="45" xfId="487" applyFont="1" applyFill="1" applyBorder="1" applyAlignment="1">
      <alignment horizontal="left" vertical="center"/>
    </xf>
    <xf numFmtId="185" fontId="74" fillId="13" borderId="0" xfId="489" applyNumberFormat="1" applyFont="1" applyFill="1" applyBorder="1" applyAlignment="1" applyProtection="1">
      <alignment horizontal="right" vertical="center"/>
      <protection locked="0"/>
    </xf>
    <xf numFmtId="0" fontId="20" fillId="13" borderId="0" xfId="490" applyFont="1" applyFill="1" applyBorder="1" applyAlignment="1">
      <alignment horizontal="right" vertical="center"/>
    </xf>
    <xf numFmtId="14" fontId="72" fillId="13" borderId="0" xfId="0" applyNumberFormat="1" applyFont="1" applyFill="1" applyBorder="1" applyAlignment="1" applyProtection="1">
      <alignment horizontal="left" vertical="center"/>
      <protection locked="0"/>
    </xf>
    <xf numFmtId="0" fontId="82" fillId="13" borderId="0" xfId="490" applyNumberFormat="1" applyFont="1" applyFill="1" applyBorder="1" applyAlignment="1" applyProtection="1">
      <alignment horizontal="right" vertical="center"/>
      <protection locked="0"/>
    </xf>
    <xf numFmtId="0" fontId="83" fillId="13" borderId="0" xfId="490" applyNumberFormat="1" applyFont="1" applyFill="1" applyBorder="1" applyAlignment="1" applyProtection="1">
      <alignment horizontal="left" vertical="center"/>
      <protection locked="0"/>
    </xf>
    <xf numFmtId="0" fontId="84" fillId="13" borderId="0" xfId="490" applyNumberFormat="1" applyFont="1" applyFill="1" applyBorder="1" applyAlignment="1" applyProtection="1">
      <alignment horizontal="right" vertical="center"/>
      <protection locked="0"/>
    </xf>
    <xf numFmtId="0" fontId="85" fillId="13" borderId="0" xfId="490" applyNumberFormat="1" applyFont="1" applyFill="1" applyBorder="1" applyAlignment="1" applyProtection="1">
      <alignment horizontal="left" vertical="center"/>
      <protection locked="0"/>
    </xf>
    <xf numFmtId="0" fontId="86" fillId="13" borderId="0" xfId="490" applyNumberFormat="1" applyFont="1" applyFill="1" applyBorder="1" applyAlignment="1" applyProtection="1">
      <alignment horizontal="left" vertical="center"/>
      <protection locked="0"/>
    </xf>
    <xf numFmtId="0" fontId="87" fillId="13" borderId="0" xfId="490" applyNumberFormat="1" applyFont="1" applyFill="1" applyBorder="1" applyAlignment="1" applyProtection="1">
      <alignment horizontal="left" vertical="center"/>
      <protection locked="0"/>
    </xf>
    <xf numFmtId="0" fontId="88" fillId="13" borderId="0" xfId="490" applyNumberFormat="1" applyFont="1" applyFill="1" applyBorder="1" applyAlignment="1" applyProtection="1">
      <alignment horizontal="left" vertical="center"/>
      <protection locked="0"/>
    </xf>
    <xf numFmtId="0" fontId="75" fillId="13" borderId="0" xfId="144" applyFont="1" applyFill="1" applyBorder="1" applyAlignment="1">
      <alignment horizontal="left" vertical="center"/>
    </xf>
    <xf numFmtId="0" fontId="75" fillId="13" borderId="0" xfId="144" applyFont="1" applyFill="1" applyAlignment="1">
      <alignment horizontal="left" vertical="center"/>
    </xf>
    <xf numFmtId="0" fontId="87" fillId="13" borderId="0" xfId="490" applyNumberFormat="1" applyFont="1" applyFill="1" applyBorder="1" applyAlignment="1" applyProtection="1">
      <alignment horizontal="right" vertical="center"/>
      <protection locked="0"/>
    </xf>
    <xf numFmtId="0" fontId="75" fillId="13" borderId="0" xfId="144" applyFont="1" applyFill="1" applyBorder="1" applyAlignment="1">
      <alignment horizontal="left" vertical="center" wrapText="1"/>
    </xf>
    <xf numFmtId="0" fontId="75" fillId="13" borderId="0" xfId="144" applyFont="1" applyFill="1" applyAlignment="1">
      <alignment horizontal="left" vertical="center" wrapText="1"/>
    </xf>
    <xf numFmtId="49" fontId="89" fillId="13" borderId="0" xfId="490" applyNumberFormat="1" applyFont="1" applyFill="1" applyBorder="1" applyAlignment="1" applyProtection="1">
      <alignment horizontal="left" vertical="center"/>
      <protection locked="0"/>
    </xf>
    <xf numFmtId="0" fontId="90" fillId="13" borderId="0" xfId="0" applyFont="1" applyFill="1" applyBorder="1" applyAlignment="1">
      <alignment horizontal="left" vertical="center"/>
    </xf>
    <xf numFmtId="0" fontId="91" fillId="13" borderId="0" xfId="0" applyFont="1" applyFill="1" applyAlignment="1">
      <alignment vertical="center"/>
    </xf>
    <xf numFmtId="49" fontId="80" fillId="13" borderId="0" xfId="489" applyNumberFormat="1" applyFont="1" applyFill="1" applyBorder="1" applyAlignment="1" applyProtection="1">
      <alignment horizontal="left" vertical="center"/>
      <protection locked="0"/>
    </xf>
    <xf numFmtId="49" fontId="73" fillId="13" borderId="0" xfId="490" applyNumberFormat="1" applyFont="1" applyFill="1" applyBorder="1" applyAlignment="1" applyProtection="1">
      <alignment horizontal="left" vertical="center"/>
      <protection locked="0"/>
    </xf>
    <xf numFmtId="49" fontId="20" fillId="13" borderId="0" xfId="490" applyNumberFormat="1" applyFont="1" applyFill="1" applyBorder="1" applyAlignment="1" applyProtection="1">
      <alignment horizontal="left" vertical="center"/>
      <protection locked="0"/>
    </xf>
    <xf numFmtId="49" fontId="74" fillId="13" borderId="0" xfId="489" applyNumberFormat="1" applyFont="1" applyFill="1" applyBorder="1" applyAlignment="1" applyProtection="1">
      <alignment horizontal="left" vertical="center"/>
      <protection locked="0"/>
    </xf>
    <xf numFmtId="49" fontId="56" fillId="13" borderId="0" xfId="489" applyNumberFormat="1" applyFont="1" applyFill="1" applyBorder="1" applyAlignment="1" applyProtection="1">
      <alignment horizontal="left" vertical="center"/>
      <protection locked="0"/>
    </xf>
    <xf numFmtId="0" fontId="14" fillId="13" borderId="0" xfId="0" applyFont="1" applyFill="1" applyAlignment="1">
      <alignment horizontal="left" vertical="center" wrapText="1"/>
    </xf>
    <xf numFmtId="49" fontId="56" fillId="0" borderId="7" xfId="273" applyNumberFormat="1" applyFont="1" applyBorder="1" applyAlignment="1" applyProtection="1" quotePrefix="1">
      <protection locked="0"/>
    </xf>
    <xf numFmtId="49" fontId="34" fillId="0" borderId="7" xfId="0" applyNumberFormat="1" applyFont="1" applyFill="1" applyBorder="1" applyAlignment="1" quotePrefix="1">
      <alignment horizontal="center" vertical="center"/>
    </xf>
    <xf numFmtId="49" fontId="63" fillId="0" borderId="7" xfId="0" applyNumberFormat="1" applyFont="1" applyFill="1" applyBorder="1" applyAlignment="1" quotePrefix="1">
      <alignment horizontal="center" vertical="center"/>
    </xf>
    <xf numFmtId="0" fontId="15" fillId="0" borderId="7" xfId="309" applyFont="1" applyFill="1" applyBorder="1" applyAlignment="1" quotePrefix="1">
      <alignment horizontal="center" vertical="center" wrapText="1"/>
    </xf>
    <xf numFmtId="49" fontId="34" fillId="11" borderId="7" xfId="0" applyNumberFormat="1" applyFont="1" applyFill="1" applyBorder="1" applyAlignment="1" quotePrefix="1">
      <alignment horizontal="center" vertical="center"/>
    </xf>
    <xf numFmtId="49" fontId="38" fillId="0" borderId="7" xfId="0" applyNumberFormat="1" applyFont="1" applyFill="1" applyBorder="1" applyAlignment="1" quotePrefix="1">
      <alignment vertical="center"/>
    </xf>
    <xf numFmtId="0" fontId="31" fillId="0" borderId="0" xfId="0" applyFont="1" applyFill="1" applyAlignment="1" quotePrefix="1">
      <alignment vertical="center"/>
    </xf>
  </cellXfs>
  <cellStyles count="491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常规 25" xfId="211"/>
    <cellStyle name="计算 2 4" xfId="212"/>
    <cellStyle name="40% - 强调文字颜色 3 4" xfId="213"/>
    <cellStyle name="40% - 强调文字颜色 3 5" xfId="214"/>
    <cellStyle name="检查单元格 2" xfId="215"/>
    <cellStyle name="计算 3 2 2" xfId="216"/>
    <cellStyle name="汇总 2 3" xfId="217"/>
    <cellStyle name="标题 4 4" xfId="218"/>
    <cellStyle name="40% - 强调文字颜色 4 2 2" xfId="219"/>
    <cellStyle name="检查单元格 3" xfId="220"/>
    <cellStyle name="汇总 2 4" xfId="221"/>
    <cellStyle name="标题 4 5" xfId="222"/>
    <cellStyle name="40% - 强调文字颜色 4 2 3" xfId="223"/>
    <cellStyle name="输入 2 2 2" xfId="224"/>
    <cellStyle name="计算 3 3" xfId="225"/>
    <cellStyle name="40% - 强调文字颜色 4 3" xfId="226"/>
    <cellStyle name="计算 4 2" xfId="227"/>
    <cellStyle name="好 2 3" xfId="228"/>
    <cellStyle name="40% - 强调文字颜色 5 2" xfId="229"/>
    <cellStyle name="60% - 强调文字颜色 4 4" xfId="230"/>
    <cellStyle name="40% - 强调文字颜色 5 2 3" xfId="231"/>
    <cellStyle name="输入 2 3 2" xfId="232"/>
    <cellStyle name="40% - 强调文字颜色 5 3" xfId="233"/>
    <cellStyle name="60% - 强调文字颜色 5 3" xfId="234"/>
    <cellStyle name="40% - 强调文字颜色 5 3 2" xfId="235"/>
    <cellStyle name="40% - 强调文字颜色 5 5" xfId="236"/>
    <cellStyle name="适中 2 2" xfId="237"/>
    <cellStyle name="计算 5 2" xfId="238"/>
    <cellStyle name="40% - 强调文字颜色 6 2" xfId="239"/>
    <cellStyle name="40% - 强调文字颜色 6 2 2" xfId="240"/>
    <cellStyle name="40% - 强调文字颜色 6 2 3" xfId="241"/>
    <cellStyle name="适中 2 3" xfId="242"/>
    <cellStyle name="强调文字颜色 3 2 2" xfId="243"/>
    <cellStyle name="40% - 强调文字颜色 6 3" xfId="244"/>
    <cellStyle name="解释性文本 3" xfId="245"/>
    <cellStyle name="40% - 强调文字颜色 6 3 2" xfId="246"/>
    <cellStyle name="强调文字颜色 3 2 3" xfId="247"/>
    <cellStyle name="60% - 强调文字颜色 4 2 2" xfId="248"/>
    <cellStyle name="40% - 强调文字颜色 6 4" xfId="249"/>
    <cellStyle name="60% - 强调文字颜色 1 2 2" xfId="250"/>
    <cellStyle name="60% - 强调文字颜色 1 2 3" xfId="251"/>
    <cellStyle name="60% - 强调文字颜色 1 3 2" xfId="252"/>
    <cellStyle name="60% - 强调文字颜色 1 4" xfId="253"/>
    <cellStyle name="注释 5 2 2" xfId="254"/>
    <cellStyle name="警告文本 2 2" xfId="255"/>
    <cellStyle name="60% - 强调文字颜色 1 5" xfId="256"/>
    <cellStyle name="60% - 强调文字颜色 2 2 3" xfId="257"/>
    <cellStyle name="注释 2" xfId="258"/>
    <cellStyle name="常规 6 2" xfId="259"/>
    <cellStyle name="60% - 强调文字颜色 2 3 2" xfId="260"/>
    <cellStyle name="常规 7" xfId="261"/>
    <cellStyle name="60% - 强调文字颜色 2 4" xfId="262"/>
    <cellStyle name="警告文本 3 2" xfId="263"/>
    <cellStyle name="常规 8" xfId="264"/>
    <cellStyle name="60% - 强调文字颜色 2 5" xfId="265"/>
    <cellStyle name="强调文字颜色 2 2 3" xfId="266"/>
    <cellStyle name="60% - 强调文字颜色 3 2 2" xfId="267"/>
    <cellStyle name="60% - 强调文字颜色 3 2 3" xfId="268"/>
    <cellStyle name="60% - 强调文字颜色 3 3 2" xfId="269"/>
    <cellStyle name="60% - 强调文字颜色 3 4" xfId="270"/>
    <cellStyle name="60% - 强调文字颜色 3 5" xfId="271"/>
    <cellStyle name="60% - 强调文字颜色 4 3 2" xfId="272"/>
    <cellStyle name="常规_创联至信12年工资表sn803808" xfId="273"/>
    <cellStyle name="60% - 强调文字颜色 4 5" xfId="274"/>
    <cellStyle name="60% - 强调文字颜色 5 2" xfId="275"/>
    <cellStyle name="强调文字颜色 4 2 3" xfId="276"/>
    <cellStyle name="60% - 强调文字颜色 5 2 2" xfId="277"/>
    <cellStyle name="60% - 强调文字颜色 5 2 3" xfId="278"/>
    <cellStyle name="60% - 强调文字颜色 5 3 2" xfId="279"/>
    <cellStyle name="60% - 强调文字颜色 5 4" xfId="280"/>
    <cellStyle name="60% - 强调文字颜色 5 5" xfId="281"/>
    <cellStyle name="60% - 强调文字颜色 6 2" xfId="282"/>
    <cellStyle name="强调文字颜色 5 2 3" xfId="283"/>
    <cellStyle name="常规 3 5 3" xfId="284"/>
    <cellStyle name="60% - 强调文字颜色 6 2 2" xfId="285"/>
    <cellStyle name="Normal_08'前程工资8月" xfId="286"/>
    <cellStyle name="60% - 强调文字颜色 6 2 3" xfId="287"/>
    <cellStyle name="60% - 强调文字颜色 6 3" xfId="288"/>
    <cellStyle name="60% - 强调文字颜色 6 4" xfId="289"/>
    <cellStyle name="60% - 强调文字颜色 6 5" xfId="290"/>
    <cellStyle name="警告文本 2 3" xfId="291"/>
    <cellStyle name="Comma_SALARYBJ" xfId="292"/>
    <cellStyle name="差 4" xfId="293"/>
    <cellStyle name="百分比 2" xfId="294"/>
    <cellStyle name="百分比 2 2" xfId="295"/>
    <cellStyle name="标题 1 2" xfId="296"/>
    <cellStyle name="标题 1 2 2" xfId="297"/>
    <cellStyle name="标题 1 2 3" xfId="298"/>
    <cellStyle name="标题 1 3" xfId="299"/>
    <cellStyle name="汇总 3" xfId="300"/>
    <cellStyle name="标题 1 3 2" xfId="301"/>
    <cellStyle name="标题 1 4" xfId="302"/>
    <cellStyle name="标题 1 5" xfId="303"/>
    <cellStyle name="标题 2 2" xfId="304"/>
    <cellStyle name="标题 2 2 2" xfId="305"/>
    <cellStyle name="好 3 2" xfId="306"/>
    <cellStyle name="标题 2 2 3" xfId="307"/>
    <cellStyle name="标题 2 3" xfId="308"/>
    <cellStyle name="常规 11" xfId="309"/>
    <cellStyle name="标题 2 3 2" xfId="310"/>
    <cellStyle name="标题 2 4" xfId="311"/>
    <cellStyle name="标题 2 5" xfId="312"/>
    <cellStyle name="标题 3 2" xfId="313"/>
    <cellStyle name="好 5" xfId="314"/>
    <cellStyle name="标题 3 2 2" xfId="315"/>
    <cellStyle name="标题 3 2 3" xfId="316"/>
    <cellStyle name="标题 3 3" xfId="317"/>
    <cellStyle name="样式 1" xfId="318"/>
    <cellStyle name="标题 3 3 2" xfId="319"/>
    <cellStyle name="标题 3 4" xfId="320"/>
    <cellStyle name="标题 3 5" xfId="321"/>
    <cellStyle name="千位分隔 3" xfId="322"/>
    <cellStyle name="标题 4 2" xfId="323"/>
    <cellStyle name="标题 4 2 3" xfId="324"/>
    <cellStyle name="汇总 2 2" xfId="325"/>
    <cellStyle name="标题 4 3" xfId="326"/>
    <cellStyle name="汇总 2 2 2" xfId="327"/>
    <cellStyle name="标题 4 3 2" xfId="328"/>
    <cellStyle name="解释性文本 2 3" xfId="329"/>
    <cellStyle name="标题 5" xfId="330"/>
    <cellStyle name="强调文字颜色 1 4" xfId="331"/>
    <cellStyle name="标题 5 2" xfId="332"/>
    <cellStyle name="强调文字颜色 1 5" xfId="333"/>
    <cellStyle name="汇总 3 2" xfId="334"/>
    <cellStyle name="标题 5 3" xfId="335"/>
    <cellStyle name="标题 6" xfId="336"/>
    <cellStyle name="强调文字颜色 2 4" xfId="337"/>
    <cellStyle name="标题 6 2" xfId="338"/>
    <cellStyle name="注释 2 4 2" xfId="339"/>
    <cellStyle name="标题 7" xfId="340"/>
    <cellStyle name="标题 8" xfId="341"/>
    <cellStyle name="解释性文本 5" xfId="342"/>
    <cellStyle name="差 2" xfId="343"/>
    <cellStyle name="差 2 2" xfId="344"/>
    <cellStyle name="差 3" xfId="345"/>
    <cellStyle name="差 3 2" xfId="346"/>
    <cellStyle name="常规 11 2" xfId="347"/>
    <cellStyle name="常规 2 3 2 2" xfId="348"/>
    <cellStyle name="常规 11 3" xfId="349"/>
    <cellStyle name="常规 12" xfId="350"/>
    <cellStyle name="常规 12 2" xfId="351"/>
    <cellStyle name="常规 12 3" xfId="352"/>
    <cellStyle name="强调文字颜色 3 3 2" xfId="353"/>
    <cellStyle name="常规 14" xfId="354"/>
    <cellStyle name="常规 14 2" xfId="355"/>
    <cellStyle name="常规 14 3" xfId="356"/>
    <cellStyle name="常规 2" xfId="357"/>
    <cellStyle name="常规 2 2" xfId="358"/>
    <cellStyle name="常规 2 2 2" xfId="359"/>
    <cellStyle name="常规 2 2 2 2" xfId="360"/>
    <cellStyle name="常规 2 2 3" xfId="361"/>
    <cellStyle name="输入 3 2" xfId="362"/>
    <cellStyle name="常规 2 3" xfId="363"/>
    <cellStyle name="常规_全国客服表格" xfId="364"/>
    <cellStyle name="输入 3 2 2" xfId="365"/>
    <cellStyle name="常规 2 3 2" xfId="366"/>
    <cellStyle name="常规 2 3 3" xfId="367"/>
    <cellStyle name="常规 2 3 4" xfId="368"/>
    <cellStyle name="输入 3 3" xfId="369"/>
    <cellStyle name="常规 2 4" xfId="370"/>
    <cellStyle name="常规 2 4 2" xfId="371"/>
    <cellStyle name="强调文字颜色 4 2" xfId="372"/>
    <cellStyle name="常规 2 5" xfId="373"/>
    <cellStyle name="强调文字颜色 4 2 2" xfId="374"/>
    <cellStyle name="常规 2 5 2" xfId="375"/>
    <cellStyle name="强调文字颜色 4 3" xfId="376"/>
    <cellStyle name="常规 2 6" xfId="377"/>
    <cellStyle name="强调文字颜色 4 3 2" xfId="378"/>
    <cellStyle name="常规 2 6 2" xfId="379"/>
    <cellStyle name="常规 2 6 2 2" xfId="380"/>
    <cellStyle name="常规 27" xfId="381"/>
    <cellStyle name="适中 4" xfId="382"/>
    <cellStyle name="常规 3 2 2" xfId="383"/>
    <cellStyle name="常规 3 3 2" xfId="384"/>
    <cellStyle name="常规 3 3 3" xfId="385"/>
    <cellStyle name="常规 3 4" xfId="386"/>
    <cellStyle name="常规 3 4 2" xfId="387"/>
    <cellStyle name="强调文字颜色 5 2" xfId="388"/>
    <cellStyle name="常规 3 5" xfId="389"/>
    <cellStyle name="强调文字颜色 5 2 2" xfId="390"/>
    <cellStyle name="常规 3 5 2" xfId="391"/>
    <cellStyle name="常规 4 4" xfId="392"/>
    <cellStyle name="常规 4 2 2" xfId="393"/>
    <cellStyle name="输入 5 2" xfId="394"/>
    <cellStyle name="常规 4 3" xfId="395"/>
    <cellStyle name="常规 7 2" xfId="396"/>
    <cellStyle name="强调文字颜色 6 3 2" xfId="397"/>
    <cellStyle name="常规 8 4" xfId="398"/>
    <cellStyle name="常规 9" xfId="399"/>
    <cellStyle name="注释 5 2" xfId="400"/>
    <cellStyle name="警告文本 2" xfId="401"/>
    <cellStyle name="常规_付款通知书智联（神数系统）" xfId="402"/>
    <cellStyle name="好 2 2" xfId="403"/>
    <cellStyle name="好 3" xfId="404"/>
    <cellStyle name="好 4" xfId="405"/>
    <cellStyle name="汇总 2" xfId="406"/>
    <cellStyle name="检查单元格 2 2" xfId="407"/>
    <cellStyle name="汇总 2 3 2" xfId="408"/>
    <cellStyle name="汇总 4" xfId="409"/>
    <cellStyle name="汇总 5" xfId="410"/>
    <cellStyle name="常规_Sheet1" xfId="411"/>
    <cellStyle name="强调文字颜色 3 5" xfId="412"/>
    <cellStyle name="汇总 5 2" xfId="413"/>
    <cellStyle name="检查单元格 2 3" xfId="414"/>
    <cellStyle name="检查单元格 4" xfId="415"/>
    <cellStyle name="检查单元格 5" xfId="416"/>
    <cellStyle name="解释性文本 2" xfId="417"/>
    <cellStyle name="解释性文本 3 2" xfId="418"/>
    <cellStyle name="解释性文本 4" xfId="419"/>
    <cellStyle name="注释 5 3" xfId="420"/>
    <cellStyle name="警告文本 3" xfId="421"/>
    <cellStyle name="警告文本 4" xfId="422"/>
    <cellStyle name="警告文本 5" xfId="423"/>
    <cellStyle name="注释 2 3 2" xfId="424"/>
    <cellStyle name="链接单元格 2" xfId="425"/>
    <cellStyle name="注释 2 3 2 2" xfId="426"/>
    <cellStyle name="链接单元格 2 2" xfId="427"/>
    <cellStyle name="链接单元格 2 3" xfId="428"/>
    <cellStyle name="千位分隔 2" xfId="429"/>
    <cellStyle name="千位分隔 2 2" xfId="430"/>
    <cellStyle name="强调文字颜色 1 2" xfId="431"/>
    <cellStyle name="强调文字颜色 1 2 2" xfId="432"/>
    <cellStyle name="强调文字颜色 1 3" xfId="433"/>
    <cellStyle name="强调文字颜色 1 3 2" xfId="434"/>
    <cellStyle name="强调文字颜色 2 2" xfId="435"/>
    <cellStyle name="强调文字颜色 2 2 2" xfId="436"/>
    <cellStyle name="强调文字颜色 2 3" xfId="437"/>
    <cellStyle name="输入 2 4" xfId="438"/>
    <cellStyle name="强调文字颜色 3 2" xfId="439"/>
    <cellStyle name="强调文字颜色 3 3" xfId="440"/>
    <cellStyle name="强调文字颜色 3 4" xfId="441"/>
    <cellStyle name="强调文字颜色 4 4" xfId="442"/>
    <cellStyle name="输入 2" xfId="443"/>
    <cellStyle name="强调文字颜色 4 5" xfId="444"/>
    <cellStyle name="强调文字颜色 5 3" xfId="445"/>
    <cellStyle name="强调文字颜色 5 3 2" xfId="446"/>
    <cellStyle name="强调文字颜色 5 4" xfId="447"/>
    <cellStyle name="强调文字颜色 6 2" xfId="448"/>
    <cellStyle name="强调文字颜色 6 2 2" xfId="449"/>
    <cellStyle name="强调文字颜色 6 2 3" xfId="450"/>
    <cellStyle name="强调文字颜色 6 3" xfId="451"/>
    <cellStyle name="强调文字颜色 6 4" xfId="452"/>
    <cellStyle name="强调文字颜色 6 5" xfId="453"/>
    <cellStyle name="适中 3" xfId="454"/>
    <cellStyle name="适中 3 2" xfId="455"/>
    <cellStyle name="适中 5" xfId="456"/>
    <cellStyle name="输出 2 2 2 2" xfId="457"/>
    <cellStyle name="输出 2 3 2 2" xfId="458"/>
    <cellStyle name="输出 2 3 3" xfId="459"/>
    <cellStyle name="输出 3 2 2 2" xfId="460"/>
    <cellStyle name="样式 2 4" xfId="461"/>
    <cellStyle name="输入 2 2" xfId="462"/>
    <cellStyle name="样式 2 5" xfId="463"/>
    <cellStyle name="输入 2 3" xfId="464"/>
    <cellStyle name="输入 3" xfId="465"/>
    <cellStyle name="输入 4" xfId="466"/>
    <cellStyle name="输入 5" xfId="467"/>
    <cellStyle name="样式 1 2" xfId="468"/>
    <cellStyle name="样式 2" xfId="469"/>
    <cellStyle name="样式 2 2" xfId="470"/>
    <cellStyle name="样式 2 3" xfId="471"/>
    <cellStyle name="注释 2 2" xfId="472"/>
    <cellStyle name="注释 2 2 2" xfId="473"/>
    <cellStyle name="注释 2 2 2 2" xfId="474"/>
    <cellStyle name="注释 2 2 3" xfId="475"/>
    <cellStyle name="注释 2 4" xfId="476"/>
    <cellStyle name="注释 2 5" xfId="477"/>
    <cellStyle name="注释 3" xfId="478"/>
    <cellStyle name="注释 3 2" xfId="479"/>
    <cellStyle name="注释 3 3" xfId="480"/>
    <cellStyle name="注释 3 3 2" xfId="481"/>
    <cellStyle name="注释 3 4" xfId="482"/>
    <cellStyle name="注释 4" xfId="483"/>
    <cellStyle name="注释 4 2" xfId="484"/>
    <cellStyle name="注释 4 2 2" xfId="485"/>
    <cellStyle name="注释 4 3" xfId="486"/>
    <cellStyle name="常规_0705 UL South CS meeting (chonghua)" xfId="487"/>
    <cellStyle name="㼿㼿㼿㼿㼿" xfId="488"/>
    <cellStyle name="㼿㼿㼿㼿㼿㼿㼿" xfId="489"/>
    <cellStyle name="㼿㼿㼿㼿? 2" xfId="490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customXml" Target="../customXml/item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I10" sqref="I10"/>
    </sheetView>
  </sheetViews>
  <sheetFormatPr defaultColWidth="9" defaultRowHeight="13.5"/>
  <cols>
    <col min="1" max="2" width="9" style="307"/>
    <col min="3" max="3" width="10.75" style="307" customWidth="1"/>
    <col min="4" max="4" width="16.75" style="307" customWidth="1"/>
    <col min="5" max="5" width="11.75" style="307" customWidth="1"/>
    <col min="6" max="6" width="9" style="307"/>
    <col min="7" max="7" width="10.75" style="307" customWidth="1"/>
    <col min="8" max="12" width="9" style="307"/>
    <col min="13" max="13" width="9.5" style="307" customWidth="1"/>
    <col min="14" max="14" width="16.5" style="307" customWidth="1"/>
    <col min="15" max="16384" width="9" style="307"/>
  </cols>
  <sheetData>
    <row r="1" s="307" customFormat="1" ht="25.5" spans="1:14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="307" customFormat="1" ht="14.25" spans="1:14">
      <c r="A2" s="309"/>
      <c r="B2" s="310"/>
      <c r="C2" s="310"/>
      <c r="D2" s="311"/>
      <c r="E2" s="311"/>
      <c r="F2" s="311"/>
      <c r="G2" s="309"/>
      <c r="H2" s="309"/>
      <c r="I2" s="309"/>
      <c r="J2" s="311"/>
      <c r="K2" s="311"/>
      <c r="L2" s="311"/>
      <c r="M2" s="311"/>
      <c r="N2" s="311"/>
    </row>
    <row r="3" s="307" customFormat="1" spans="1:14">
      <c r="A3" s="312"/>
      <c r="B3" s="313"/>
      <c r="C3" s="314"/>
      <c r="D3" s="315"/>
      <c r="E3" s="316"/>
      <c r="F3" s="316"/>
      <c r="G3" s="317"/>
      <c r="H3" s="318"/>
      <c r="I3" s="313"/>
      <c r="J3" s="314"/>
      <c r="K3" s="315"/>
      <c r="L3" s="386"/>
      <c r="M3" s="311"/>
      <c r="N3" s="311"/>
    </row>
    <row r="4" s="307" customFormat="1" spans="1:14">
      <c r="A4" s="312"/>
      <c r="B4" s="319" t="s">
        <v>1</v>
      </c>
      <c r="C4" s="319"/>
      <c r="D4" s="319"/>
      <c r="E4" s="319"/>
      <c r="F4" s="320"/>
      <c r="G4" s="319"/>
      <c r="H4" s="318"/>
      <c r="K4" s="311"/>
      <c r="L4" s="387"/>
      <c r="M4" s="388"/>
      <c r="N4" s="311"/>
    </row>
    <row r="5" s="307" customFormat="1" spans="1:14">
      <c r="A5" s="321"/>
      <c r="B5" s="322" t="s">
        <v>2</v>
      </c>
      <c r="C5" s="315"/>
      <c r="D5" s="315"/>
      <c r="E5" s="315"/>
      <c r="F5" s="315"/>
      <c r="G5" s="315"/>
      <c r="H5" s="323"/>
      <c r="I5" s="318"/>
      <c r="J5" s="313"/>
      <c r="K5" s="314"/>
      <c r="L5" s="386"/>
      <c r="M5" s="311"/>
      <c r="N5" s="311"/>
    </row>
    <row r="6" s="307" customFormat="1" ht="9.75" customHeight="1" spans="1:14">
      <c r="A6" s="324"/>
      <c r="B6" s="324"/>
      <c r="C6" s="324"/>
      <c r="D6" s="324"/>
      <c r="E6" s="324"/>
      <c r="F6" s="324"/>
      <c r="G6" s="324"/>
      <c r="H6" s="324"/>
      <c r="I6" s="389"/>
      <c r="J6" s="389"/>
      <c r="K6" s="390"/>
      <c r="L6" s="390"/>
      <c r="M6" s="390"/>
      <c r="N6" s="390"/>
    </row>
    <row r="7" s="307" customFormat="1" ht="15" spans="1:14">
      <c r="A7" s="324"/>
      <c r="B7" s="325" t="s">
        <v>3</v>
      </c>
      <c r="C7" s="326"/>
      <c r="D7" s="326"/>
      <c r="E7" s="326"/>
      <c r="F7" s="326"/>
      <c r="G7" s="326"/>
      <c r="H7" s="326"/>
      <c r="I7" s="391" t="s">
        <v>4</v>
      </c>
      <c r="J7" s="391"/>
      <c r="K7" s="392"/>
      <c r="L7" s="310"/>
      <c r="M7" s="310"/>
      <c r="N7" s="393"/>
    </row>
    <row r="8" s="307" customFormat="1" ht="14.25" spans="1:14">
      <c r="A8" s="324"/>
      <c r="B8" s="327" t="s">
        <v>5</v>
      </c>
      <c r="C8" s="328"/>
      <c r="D8" s="328"/>
      <c r="E8" s="329">
        <f>D10</f>
        <v>37550.82</v>
      </c>
      <c r="F8" s="330"/>
      <c r="G8" s="330"/>
      <c r="H8" s="331"/>
      <c r="I8" s="394"/>
      <c r="J8" s="395" t="s">
        <v>6</v>
      </c>
      <c r="K8" s="395"/>
      <c r="L8" s="395"/>
      <c r="M8" s="395"/>
      <c r="N8" s="395"/>
    </row>
    <row r="9" s="307" customFormat="1" ht="14.25" spans="1:14">
      <c r="A9" s="324"/>
      <c r="B9" s="332" t="s">
        <v>7</v>
      </c>
      <c r="C9" s="333"/>
      <c r="D9" s="333"/>
      <c r="E9" s="334">
        <f>G24</f>
        <v>37550.82</v>
      </c>
      <c r="F9" s="335"/>
      <c r="G9" s="335"/>
      <c r="H9" s="336"/>
      <c r="I9" s="395"/>
      <c r="J9" s="396" t="s">
        <v>8</v>
      </c>
      <c r="K9" s="396"/>
      <c r="L9" s="396"/>
      <c r="M9" s="396"/>
      <c r="N9" s="397"/>
    </row>
    <row r="10" s="307" customFormat="1" ht="15" spans="1:14">
      <c r="A10" s="324"/>
      <c r="B10" s="337" t="s">
        <v>9</v>
      </c>
      <c r="C10" s="338"/>
      <c r="D10" s="339">
        <f>G24</f>
        <v>37550.82</v>
      </c>
      <c r="E10" s="340" t="s">
        <v>10</v>
      </c>
      <c r="F10" s="341"/>
      <c r="G10" s="342"/>
      <c r="H10" s="343">
        <v>0</v>
      </c>
      <c r="I10" s="398"/>
      <c r="J10" s="399" t="s">
        <v>11</v>
      </c>
      <c r="K10" s="399"/>
      <c r="L10" s="399"/>
      <c r="M10" s="399"/>
      <c r="N10" s="400"/>
    </row>
    <row r="11" s="307" customFormat="1" ht="14.25" spans="1:14">
      <c r="A11" s="324"/>
      <c r="B11" s="344" t="s">
        <v>12</v>
      </c>
      <c r="C11" s="345"/>
      <c r="D11" s="346"/>
      <c r="E11" s="347" t="s">
        <v>13</v>
      </c>
      <c r="F11" s="348"/>
      <c r="G11" s="349"/>
      <c r="H11" s="350"/>
      <c r="I11" s="401"/>
      <c r="J11" s="402"/>
      <c r="K11" s="401"/>
      <c r="L11" s="401"/>
      <c r="M11" s="401"/>
      <c r="N11" s="403"/>
    </row>
    <row r="12" s="307" customFormat="1" spans="1:14">
      <c r="A12" s="321"/>
      <c r="B12" s="344" t="s">
        <v>14</v>
      </c>
      <c r="C12" s="345"/>
      <c r="D12" s="346">
        <v>0</v>
      </c>
      <c r="E12" s="347" t="s">
        <v>15</v>
      </c>
      <c r="F12" s="348"/>
      <c r="G12" s="349"/>
      <c r="H12" s="350"/>
      <c r="I12" s="404"/>
      <c r="J12" s="405"/>
      <c r="K12" s="406"/>
      <c r="L12" s="406"/>
      <c r="M12" s="406"/>
      <c r="N12" s="406"/>
    </row>
    <row r="13" s="307" customFormat="1" ht="14.25" spans="1:14">
      <c r="A13" s="311"/>
      <c r="B13" s="351" t="s">
        <v>16</v>
      </c>
      <c r="C13" s="352"/>
      <c r="D13" s="353">
        <v>0</v>
      </c>
      <c r="E13" s="354"/>
      <c r="F13" s="355"/>
      <c r="G13" s="356"/>
      <c r="H13" s="357"/>
      <c r="I13" s="324"/>
      <c r="J13" s="407"/>
      <c r="K13" s="408"/>
      <c r="L13" s="408"/>
      <c r="M13" s="408"/>
      <c r="N13" s="408"/>
    </row>
    <row r="14" s="307" customFormat="1" ht="5.25" customHeight="1" spans="1:14">
      <c r="A14" s="358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</row>
    <row r="15" s="307" customFormat="1" spans="1:14">
      <c r="A15" s="311" t="s">
        <v>17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</row>
    <row r="16" s="307" customFormat="1" ht="3" customHeight="1" spans="1:14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</row>
    <row r="17" s="307" customFormat="1" ht="18.75" spans="2:13">
      <c r="B17" s="359" t="s">
        <v>18</v>
      </c>
      <c r="C17" s="360" t="s">
        <v>19</v>
      </c>
      <c r="D17" s="360" t="s">
        <v>20</v>
      </c>
      <c r="E17" s="360"/>
      <c r="F17" s="361" t="s">
        <v>21</v>
      </c>
      <c r="G17" s="362" t="s">
        <v>22</v>
      </c>
      <c r="H17" s="363" t="s">
        <v>23</v>
      </c>
      <c r="J17" s="409" t="s">
        <v>24</v>
      </c>
      <c r="K17" s="409"/>
      <c r="L17" s="409"/>
      <c r="M17" s="409"/>
    </row>
    <row r="18" s="307" customFormat="1" ht="16.5" spans="2:13">
      <c r="B18" s="364">
        <v>1</v>
      </c>
      <c r="C18" s="365" t="s">
        <v>25</v>
      </c>
      <c r="D18" s="366" t="s">
        <v>26</v>
      </c>
      <c r="E18" s="366"/>
      <c r="F18" s="367"/>
      <c r="G18" s="368">
        <f>'（居民）工资表-2月'!E14</f>
        <v>0</v>
      </c>
      <c r="H18" s="369"/>
      <c r="J18" s="409"/>
      <c r="K18" s="409"/>
      <c r="L18" s="409"/>
      <c r="M18" s="409"/>
    </row>
    <row r="19" s="307" customFormat="1" ht="16.5" spans="2:13">
      <c r="B19" s="364">
        <v>2</v>
      </c>
      <c r="C19" s="365"/>
      <c r="D19" s="370" t="s">
        <v>27</v>
      </c>
      <c r="E19" s="371" t="s">
        <v>28</v>
      </c>
      <c r="F19" s="367"/>
      <c r="G19" s="368">
        <f>社保1!AX30</f>
        <v>28943.82</v>
      </c>
      <c r="H19" s="372"/>
      <c r="J19" s="409"/>
      <c r="K19" s="409"/>
      <c r="L19" s="409"/>
      <c r="M19" s="409"/>
    </row>
    <row r="20" s="307" customFormat="1" ht="16.5" spans="2:13">
      <c r="B20" s="364">
        <v>3</v>
      </c>
      <c r="C20" s="365"/>
      <c r="D20" s="370" t="s">
        <v>29</v>
      </c>
      <c r="E20" s="371" t="s">
        <v>28</v>
      </c>
      <c r="F20" s="367"/>
      <c r="G20" s="368">
        <f>社保1!AZ30</f>
        <v>6607</v>
      </c>
      <c r="H20" s="372"/>
      <c r="J20" s="409"/>
      <c r="K20" s="409"/>
      <c r="L20" s="409"/>
      <c r="M20" s="409"/>
    </row>
    <row r="21" s="307" customFormat="1" ht="16.5" spans="2:13">
      <c r="B21" s="364">
        <v>6</v>
      </c>
      <c r="C21" s="365"/>
      <c r="D21" s="373" t="s">
        <v>30</v>
      </c>
      <c r="E21" s="373"/>
      <c r="F21" s="367"/>
      <c r="G21" s="374">
        <f>G18+G19+G20</f>
        <v>35550.82</v>
      </c>
      <c r="H21" s="375"/>
      <c r="J21" s="409"/>
      <c r="K21" s="409"/>
      <c r="L21" s="409"/>
      <c r="M21" s="409"/>
    </row>
    <row r="22" s="307" customFormat="1" ht="16.5" spans="2:13">
      <c r="B22" s="364">
        <v>7</v>
      </c>
      <c r="C22" s="365" t="s">
        <v>31</v>
      </c>
      <c r="D22" s="373" t="s">
        <v>32</v>
      </c>
      <c r="E22" s="373"/>
      <c r="F22" s="367"/>
      <c r="G22" s="374">
        <f>社保1!BB30</f>
        <v>2000</v>
      </c>
      <c r="H22" s="369"/>
      <c r="J22" s="409"/>
      <c r="K22" s="409"/>
      <c r="L22" s="409"/>
      <c r="M22" s="409"/>
    </row>
    <row r="23" s="307" customFormat="1" ht="17" customHeight="1" spans="2:13">
      <c r="B23" s="364">
        <v>8</v>
      </c>
      <c r="C23" s="376" t="s">
        <v>33</v>
      </c>
      <c r="D23" s="377">
        <v>0.056</v>
      </c>
      <c r="E23" s="377"/>
      <c r="F23" s="377"/>
      <c r="G23" s="374"/>
      <c r="H23" s="369"/>
      <c r="J23" s="409"/>
      <c r="K23" s="409"/>
      <c r="L23" s="409"/>
      <c r="M23" s="409"/>
    </row>
    <row r="24" s="307" customFormat="1" ht="16.5" spans="2:8">
      <c r="B24" s="378" t="s">
        <v>34</v>
      </c>
      <c r="C24" s="379"/>
      <c r="D24" s="379"/>
      <c r="E24" s="379"/>
      <c r="F24" s="379"/>
      <c r="G24" s="380">
        <f>G21+G22+G23+J26</f>
        <v>37550.82</v>
      </c>
      <c r="H24" s="381"/>
    </row>
    <row r="25" s="307" customFormat="1" ht="16" customHeight="1" spans="2:8">
      <c r="B25" s="382" t="s">
        <v>35</v>
      </c>
      <c r="C25" s="383"/>
      <c r="D25" s="383"/>
      <c r="E25" s="383"/>
      <c r="F25" s="383"/>
      <c r="G25" s="384">
        <f>G24</f>
        <v>37550.82</v>
      </c>
      <c r="H25" s="385"/>
    </row>
    <row r="26" s="307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281" t="s">
        <v>86</v>
      </c>
      <c r="D4" s="37" t="s">
        <v>87</v>
      </c>
      <c r="E4" s="282" t="s">
        <v>88</v>
      </c>
      <c r="F4" s="38" t="str">
        <f>IF(MOD(MID(E4,17,1),2)=1,"男","女")</f>
        <v>男</v>
      </c>
      <c r="G4" s="283">
        <v>18035163638</v>
      </c>
      <c r="H4" s="284"/>
      <c r="I4" s="284"/>
      <c r="J4" s="286"/>
      <c r="K4" s="284"/>
      <c r="L4" s="287">
        <v>7700</v>
      </c>
      <c r="M4" s="287">
        <v>264</v>
      </c>
      <c r="N4" s="287">
        <v>66</v>
      </c>
      <c r="O4" s="287">
        <v>9.9</v>
      </c>
      <c r="P4" s="287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16980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-2579.7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52.8</v>
      </c>
      <c r="AG4" s="95">
        <f>IF((AE4-AF4)&lt;0,0,AE4-AF4)</f>
        <v>0</v>
      </c>
      <c r="AH4" s="102">
        <f>ROUND(IF((L4-Q4-AG4)&lt;0,0,(L4-Q4-AG4)),2)</f>
        <v>7180.1</v>
      </c>
      <c r="AI4" s="103"/>
      <c r="AJ4" s="102">
        <f>AH4+AI4</f>
        <v>7180.1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285" t="s">
        <v>89</v>
      </c>
      <c r="D5" s="37" t="s">
        <v>87</v>
      </c>
      <c r="E5" s="410" t="s">
        <v>90</v>
      </c>
      <c r="F5" s="38" t="str">
        <f>IF(MOD(MID(E5,17,1),2)=1,"男","女")</f>
        <v>女</v>
      </c>
      <c r="G5" s="283">
        <v>13926009696</v>
      </c>
      <c r="H5" s="284"/>
      <c r="I5" s="284"/>
      <c r="J5" s="286"/>
      <c r="K5" s="284"/>
      <c r="L5" s="287">
        <v>5800</v>
      </c>
      <c r="M5" s="287">
        <v>304.24</v>
      </c>
      <c r="N5" s="287">
        <v>123.5</v>
      </c>
      <c r="O5" s="287">
        <v>7.61</v>
      </c>
      <c r="P5" s="287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5800</v>
      </c>
      <c r="T5" s="91">
        <f>5000+IFERROR(VLOOKUP($E:$E,'（居民）工资表-2月'!$E:$T,16,0),0)</f>
        <v>5000</v>
      </c>
      <c r="U5" s="91">
        <f>Q5+IFERROR(VLOOKUP($E:$E,'（居民）工资表-2月'!$E:$U,17,0),0)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f>IFERROR(VLOOKUP(E:E,'（居民）工资表-2月'!E:AF,28,0)+VLOOKUP(E:E,'（居民）工资表-2月'!E:AG,29,0),0)</f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91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22780</v>
      </c>
      <c r="T6" s="74">
        <f t="shared" si="0"/>
        <v>20000</v>
      </c>
      <c r="U6" s="74">
        <f t="shared" si="0"/>
        <v>1995.05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-2215.05</v>
      </c>
      <c r="AE6" s="74">
        <f t="shared" si="0"/>
        <v>10.94</v>
      </c>
      <c r="AF6" s="74">
        <f t="shared" si="0"/>
        <v>52.8</v>
      </c>
      <c r="AG6" s="74">
        <f t="shared" si="0"/>
        <v>10.94</v>
      </c>
      <c r="AH6" s="74">
        <f t="shared" si="0"/>
        <v>12533.81</v>
      </c>
      <c r="AI6" s="105">
        <f t="shared" si="0"/>
        <v>0</v>
      </c>
      <c r="AJ6" s="74">
        <f t="shared" si="0"/>
        <v>12533.81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64</v>
      </c>
      <c r="C10" s="47" t="s">
        <v>92</v>
      </c>
      <c r="D10" s="47" t="s">
        <v>65</v>
      </c>
      <c r="E10" s="47" t="s">
        <v>93</v>
      </c>
      <c r="AD10" s="10"/>
    </row>
    <row r="11" ht="18.75" customHeight="1" spans="2:5">
      <c r="B11" s="48">
        <f>AJ6</f>
        <v>12533.81</v>
      </c>
      <c r="C11" s="48">
        <f>AG6</f>
        <v>10.94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94</v>
      </c>
      <c r="B13" s="51" t="s">
        <v>95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96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97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98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99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100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101</v>
      </c>
    </row>
    <row r="21" spans="2:2">
      <c r="B21" s="59" t="s">
        <v>102</v>
      </c>
    </row>
    <row r="22" spans="2:2">
      <c r="B22" s="59" t="s">
        <v>103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2" priority="2" stopIfTrue="1"/>
  </conditionalFormatting>
  <conditionalFormatting sqref="B13:B17">
    <cfRule type="duplicateValues" dxfId="2" priority="3" stopIfTrue="1"/>
  </conditionalFormatting>
  <conditionalFormatting sqref="B21:B22">
    <cfRule type="duplicateValues" dxfId="2" priority="1" stopIfTrue="1"/>
  </conditionalFormatting>
  <conditionalFormatting sqref="C10:C12">
    <cfRule type="duplicateValues" dxfId="2" priority="4" stopIfTrue="1"/>
    <cfRule type="expression" dxfId="3" priority="5" stopIfTrue="1">
      <formula>AND(COUNTIF($B$6:$B$65442,C10)+COUNTIF($B$1:$B$3,C10)&gt;1,NOT(ISBLANK(C10)))</formula>
    </cfRule>
    <cfRule type="expression" dxfId="3" priority="6" stopIfTrue="1">
      <formula>AND(COUNTIF($B$17:$B$65393,C10)+COUNTIF($B$1:$B$16,C10)&gt;1,NOT(ISBLANK(C10)))</formula>
    </cfRule>
    <cfRule type="expression" dxfId="3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87" customWidth="1"/>
    <col min="2" max="2" width="25" style="187" customWidth="1"/>
    <col min="3" max="3" width="7.375" style="187" customWidth="1"/>
    <col min="4" max="4" width="9.5" style="187" customWidth="1"/>
    <col min="5" max="5" width="8.25" style="187" customWidth="1"/>
    <col min="6" max="6" width="11.875" style="187" customWidth="1"/>
    <col min="7" max="7" width="16.375" style="187" customWidth="1"/>
    <col min="8" max="11" width="8.5" style="187" customWidth="1"/>
    <col min="12" max="12" width="9.125" style="187" customWidth="1"/>
    <col min="13" max="14" width="9.25" style="187" customWidth="1"/>
    <col min="15" max="15" width="7.5" style="187" customWidth="1"/>
    <col min="16" max="16" width="11.25" style="187" customWidth="1"/>
    <col min="17" max="17" width="9.125" style="187" customWidth="1"/>
    <col min="18" max="21" width="9.25" style="187" customWidth="1"/>
    <col min="22" max="22" width="9.125" style="187" customWidth="1"/>
    <col min="23" max="26" width="9.25" style="187" customWidth="1"/>
    <col min="27" max="28" width="9.125" style="187" customWidth="1"/>
    <col min="29" max="29" width="9" style="187" customWidth="1"/>
    <col min="30" max="30" width="9.125" style="187" customWidth="1"/>
    <col min="31" max="31" width="9.25" style="187" customWidth="1"/>
    <col min="32" max="32" width="8.875" style="187" customWidth="1"/>
    <col min="33" max="33" width="9.125" style="187" customWidth="1"/>
    <col min="34" max="34" width="9.25" style="187" customWidth="1"/>
    <col min="35" max="35" width="11.125" style="187" customWidth="1"/>
    <col min="36" max="36" width="9.25" style="187" customWidth="1"/>
    <col min="37" max="37" width="8.5" style="187" customWidth="1"/>
    <col min="38" max="38" width="9.125" style="187" hidden="1" customWidth="1"/>
    <col min="39" max="42" width="9.25" style="187" hidden="1" customWidth="1"/>
    <col min="43" max="43" width="9.875" style="187" customWidth="1"/>
    <col min="44" max="44" width="9.375" style="187" customWidth="1"/>
    <col min="45" max="45" width="10.25" style="194" customWidth="1"/>
    <col min="46" max="46" width="10" style="194" customWidth="1"/>
    <col min="47" max="49" width="9.25" style="194" customWidth="1"/>
    <col min="50" max="50" width="9.25" style="187" customWidth="1"/>
    <col min="51" max="51" width="5.875" style="187" customWidth="1"/>
    <col min="52" max="52" width="8.375" style="187" customWidth="1"/>
    <col min="53" max="53" width="5.875" style="187" customWidth="1"/>
    <col min="54" max="54" width="8.875" style="187" customWidth="1"/>
    <col min="55" max="55" width="10.875" style="187" customWidth="1"/>
    <col min="56" max="56" width="40.25" style="195" customWidth="1"/>
    <col min="57" max="57" width="10.625" style="187" customWidth="1"/>
    <col min="58" max="16384" width="9" style="187"/>
  </cols>
  <sheetData>
    <row r="1" s="186" customFormat="1" ht="22.5" customHeight="1" spans="1:56">
      <c r="A1" s="196" t="s">
        <v>18</v>
      </c>
      <c r="B1" s="197" t="s">
        <v>104</v>
      </c>
      <c r="C1" s="197" t="s">
        <v>105</v>
      </c>
      <c r="D1" s="196" t="s">
        <v>106</v>
      </c>
      <c r="E1" s="197" t="s">
        <v>107</v>
      </c>
      <c r="F1" s="197" t="s">
        <v>108</v>
      </c>
      <c r="G1" s="197" t="s">
        <v>109</v>
      </c>
      <c r="H1" s="197" t="s">
        <v>110</v>
      </c>
      <c r="I1" s="197" t="s">
        <v>111</v>
      </c>
      <c r="J1" s="197" t="s">
        <v>112</v>
      </c>
      <c r="K1" s="197" t="s">
        <v>113</v>
      </c>
      <c r="L1" s="232" t="s">
        <v>114</v>
      </c>
      <c r="M1" s="232"/>
      <c r="N1" s="232"/>
      <c r="O1" s="232"/>
      <c r="P1" s="232"/>
      <c r="Q1" s="232" t="s">
        <v>115</v>
      </c>
      <c r="R1" s="232"/>
      <c r="S1" s="232"/>
      <c r="T1" s="232"/>
      <c r="U1" s="232"/>
      <c r="V1" s="232" t="s">
        <v>116</v>
      </c>
      <c r="W1" s="232"/>
      <c r="X1" s="232"/>
      <c r="Y1" s="232"/>
      <c r="Z1" s="232"/>
      <c r="AA1" s="196" t="s">
        <v>117</v>
      </c>
      <c r="AB1" s="196"/>
      <c r="AC1" s="196"/>
      <c r="AD1" s="196" t="s">
        <v>118</v>
      </c>
      <c r="AE1" s="196"/>
      <c r="AF1" s="196"/>
      <c r="AG1" s="232" t="s">
        <v>119</v>
      </c>
      <c r="AH1" s="232"/>
      <c r="AI1" s="232"/>
      <c r="AJ1" s="232"/>
      <c r="AK1" s="232"/>
      <c r="AL1" s="196" t="s">
        <v>120</v>
      </c>
      <c r="AM1" s="196"/>
      <c r="AN1" s="196"/>
      <c r="AO1" s="196"/>
      <c r="AP1" s="196"/>
      <c r="AQ1" s="196" t="s">
        <v>121</v>
      </c>
      <c r="AR1" s="196"/>
      <c r="AS1" s="244" t="s">
        <v>122</v>
      </c>
      <c r="AT1" s="244"/>
      <c r="AU1" s="244"/>
      <c r="AV1" s="244"/>
      <c r="AW1" s="244"/>
      <c r="AX1" s="196" t="s">
        <v>123</v>
      </c>
      <c r="AY1" s="196"/>
      <c r="AZ1" s="196" t="s">
        <v>124</v>
      </c>
      <c r="BA1" s="196"/>
      <c r="BB1" s="196" t="s">
        <v>65</v>
      </c>
      <c r="BC1" s="196" t="s">
        <v>93</v>
      </c>
      <c r="BD1" s="257" t="s">
        <v>23</v>
      </c>
    </row>
    <row r="2" s="187" customFormat="1" ht="22.5" customHeight="1" spans="1:56">
      <c r="A2" s="196"/>
      <c r="B2" s="198"/>
      <c r="C2" s="197"/>
      <c r="D2" s="196"/>
      <c r="E2" s="197"/>
      <c r="F2" s="199"/>
      <c r="G2" s="199"/>
      <c r="H2" s="197"/>
      <c r="I2" s="197"/>
      <c r="J2" s="197"/>
      <c r="K2" s="197"/>
      <c r="L2" s="233" t="s">
        <v>125</v>
      </c>
      <c r="M2" s="233" t="s">
        <v>126</v>
      </c>
      <c r="N2" s="233" t="s">
        <v>127</v>
      </c>
      <c r="O2" s="233" t="s">
        <v>128</v>
      </c>
      <c r="P2" s="233" t="s">
        <v>129</v>
      </c>
      <c r="Q2" s="233" t="s">
        <v>125</v>
      </c>
      <c r="R2" s="233" t="s">
        <v>126</v>
      </c>
      <c r="S2" s="233" t="s">
        <v>127</v>
      </c>
      <c r="T2" s="233" t="s">
        <v>128</v>
      </c>
      <c r="U2" s="233" t="s">
        <v>129</v>
      </c>
      <c r="V2" s="233" t="s">
        <v>125</v>
      </c>
      <c r="W2" s="233" t="s">
        <v>126</v>
      </c>
      <c r="X2" s="233" t="s">
        <v>127</v>
      </c>
      <c r="Y2" s="233" t="s">
        <v>128</v>
      </c>
      <c r="Z2" s="233" t="s">
        <v>129</v>
      </c>
      <c r="AA2" s="233" t="s">
        <v>125</v>
      </c>
      <c r="AB2" s="233" t="s">
        <v>130</v>
      </c>
      <c r="AC2" s="233" t="s">
        <v>22</v>
      </c>
      <c r="AD2" s="233" t="s">
        <v>125</v>
      </c>
      <c r="AE2" s="233" t="s">
        <v>130</v>
      </c>
      <c r="AF2" s="233" t="s">
        <v>22</v>
      </c>
      <c r="AG2" s="233" t="s">
        <v>125</v>
      </c>
      <c r="AH2" s="233" t="s">
        <v>126</v>
      </c>
      <c r="AI2" s="233" t="s">
        <v>127</v>
      </c>
      <c r="AJ2" s="233" t="s">
        <v>128</v>
      </c>
      <c r="AK2" s="233" t="s">
        <v>129</v>
      </c>
      <c r="AL2" s="233" t="s">
        <v>125</v>
      </c>
      <c r="AM2" s="233" t="s">
        <v>126</v>
      </c>
      <c r="AN2" s="233" t="s">
        <v>127</v>
      </c>
      <c r="AO2" s="233" t="s">
        <v>128</v>
      </c>
      <c r="AP2" s="233" t="s">
        <v>129</v>
      </c>
      <c r="AQ2" s="233" t="s">
        <v>131</v>
      </c>
      <c r="AR2" s="233" t="s">
        <v>132</v>
      </c>
      <c r="AS2" s="245" t="s">
        <v>133</v>
      </c>
      <c r="AT2" s="245" t="s">
        <v>134</v>
      </c>
      <c r="AU2" s="245" t="s">
        <v>135</v>
      </c>
      <c r="AV2" s="245" t="s">
        <v>78</v>
      </c>
      <c r="AW2" s="245" t="s">
        <v>30</v>
      </c>
      <c r="AX2" s="196"/>
      <c r="AY2" s="196"/>
      <c r="AZ2" s="196"/>
      <c r="BA2" s="196"/>
      <c r="BB2" s="196"/>
      <c r="BC2" s="196"/>
      <c r="BD2" s="257"/>
    </row>
    <row r="3" s="188" customFormat="1" ht="18" customHeight="1" spans="1:60">
      <c r="A3" s="200">
        <v>1</v>
      </c>
      <c r="B3" s="142" t="s">
        <v>136</v>
      </c>
      <c r="C3" s="131" t="s">
        <v>137</v>
      </c>
      <c r="D3" s="141" t="s">
        <v>138</v>
      </c>
      <c r="E3" s="142" t="s">
        <v>139</v>
      </c>
      <c r="F3" s="143" t="s">
        <v>86</v>
      </c>
      <c r="G3" s="144" t="s">
        <v>88</v>
      </c>
      <c r="H3" s="141" t="s">
        <v>140</v>
      </c>
      <c r="I3" s="141" t="s">
        <v>140</v>
      </c>
      <c r="J3" s="141" t="s">
        <v>141</v>
      </c>
      <c r="K3" s="141" t="s">
        <v>141</v>
      </c>
      <c r="L3" s="200">
        <v>3300</v>
      </c>
      <c r="M3" s="200">
        <v>0.16</v>
      </c>
      <c r="N3" s="200">
        <f t="shared" ref="N3:N8" si="0">ROUND(L3*M3,2)</f>
        <v>528</v>
      </c>
      <c r="O3" s="200">
        <v>0.08</v>
      </c>
      <c r="P3" s="200">
        <f t="shared" ref="P3:P8" si="1">ROUND(L3*O3,2)</f>
        <v>264</v>
      </c>
      <c r="Q3" s="200">
        <v>3300</v>
      </c>
      <c r="R3" s="200">
        <v>0.08</v>
      </c>
      <c r="S3" s="200">
        <f t="shared" ref="S3:S8" si="2">ROUND(Q3*R3,2)</f>
        <v>264</v>
      </c>
      <c r="T3" s="200">
        <v>0.02</v>
      </c>
      <c r="U3" s="200">
        <f t="shared" ref="U3:U8" si="3">ROUND(Q3*T3,2)</f>
        <v>66</v>
      </c>
      <c r="V3" s="200">
        <v>3300</v>
      </c>
      <c r="W3" s="200">
        <v>0.007</v>
      </c>
      <c r="X3" s="200">
        <f t="shared" ref="X3:X8" si="4">ROUND(V3*W3,2)</f>
        <v>23.1</v>
      </c>
      <c r="Y3" s="200">
        <v>0.003</v>
      </c>
      <c r="Z3" s="200">
        <f t="shared" ref="Z3:Z8" si="5">ROUND(V3*Y3,2)</f>
        <v>9.9</v>
      </c>
      <c r="AA3" s="200"/>
      <c r="AB3" s="200"/>
      <c r="AC3" s="200"/>
      <c r="AD3" s="200">
        <v>3300</v>
      </c>
      <c r="AE3" s="200">
        <v>0.002</v>
      </c>
      <c r="AF3" s="200">
        <f t="shared" ref="AF3:AF15" si="6">ROUND(AD3*AE3,2)</f>
        <v>6.6</v>
      </c>
      <c r="AG3" s="200">
        <v>3000</v>
      </c>
      <c r="AH3" s="200">
        <v>0.1</v>
      </c>
      <c r="AI3" s="200">
        <f>ROUND(AG3*AH3,2)</f>
        <v>300</v>
      </c>
      <c r="AJ3" s="200">
        <v>0.06</v>
      </c>
      <c r="AK3" s="200">
        <f>ROUND(AG3*AJ3,2)</f>
        <v>180</v>
      </c>
      <c r="AL3" s="240"/>
      <c r="AM3" s="200"/>
      <c r="AN3" s="200"/>
      <c r="AO3" s="200"/>
      <c r="AP3" s="142" t="s">
        <v>142</v>
      </c>
      <c r="AQ3" s="246">
        <v>5</v>
      </c>
      <c r="AR3" s="200"/>
      <c r="AS3" s="247">
        <f t="shared" ref="AS3:AS15" si="7">N3+S3+X3+AC3+AF3+AN3+AQ3</f>
        <v>826.7</v>
      </c>
      <c r="AT3" s="247">
        <f t="shared" ref="AT3:AT15" si="8">P3+U3+Z3</f>
        <v>339.9</v>
      </c>
      <c r="AU3" s="247">
        <f t="shared" ref="AU3:AU15" si="9">AI3</f>
        <v>300</v>
      </c>
      <c r="AV3" s="247">
        <f t="shared" ref="AV3:AV15" si="10">AK3</f>
        <v>180</v>
      </c>
      <c r="AW3" s="247">
        <f t="shared" ref="AW3:AW15" si="11">AV3+AS3+AT3+AU3</f>
        <v>1646.6</v>
      </c>
      <c r="AX3" s="258">
        <f t="shared" ref="AX3:AX15" si="12">AS3+AT3</f>
        <v>1166.6</v>
      </c>
      <c r="AY3" s="258"/>
      <c r="AZ3" s="258">
        <f t="shared" ref="AZ3:AZ8" si="13">AU3+AV3</f>
        <v>480</v>
      </c>
      <c r="BA3" s="258"/>
      <c r="BB3" s="259">
        <v>80</v>
      </c>
      <c r="BC3" s="258">
        <f t="shared" ref="BC3:BC15" si="14">AX3+AZ3+BB3</f>
        <v>1726.6</v>
      </c>
      <c r="BD3" s="299"/>
      <c r="BE3" s="303"/>
      <c r="BF3" s="304"/>
      <c r="BG3" s="304"/>
      <c r="BH3" s="305" t="s">
        <v>142</v>
      </c>
    </row>
    <row r="4" s="188" customFormat="1" ht="18" customHeight="1" spans="1:60">
      <c r="A4" s="200"/>
      <c r="B4" s="142" t="s">
        <v>136</v>
      </c>
      <c r="C4" s="131" t="s">
        <v>137</v>
      </c>
      <c r="D4" s="141" t="s">
        <v>138</v>
      </c>
      <c r="E4" s="142" t="s">
        <v>139</v>
      </c>
      <c r="F4" s="143" t="s">
        <v>86</v>
      </c>
      <c r="G4" s="144" t="s">
        <v>88</v>
      </c>
      <c r="H4" s="141" t="s">
        <v>140</v>
      </c>
      <c r="I4" s="141" t="s">
        <v>140</v>
      </c>
      <c r="J4" s="141" t="s">
        <v>143</v>
      </c>
      <c r="K4" s="141" t="s">
        <v>143</v>
      </c>
      <c r="L4" s="200">
        <v>3300</v>
      </c>
      <c r="M4" s="200">
        <v>0.16</v>
      </c>
      <c r="N4" s="200">
        <f t="shared" si="0"/>
        <v>528</v>
      </c>
      <c r="O4" s="200">
        <v>0.08</v>
      </c>
      <c r="P4" s="200">
        <f t="shared" si="1"/>
        <v>264</v>
      </c>
      <c r="Q4" s="200">
        <v>3300</v>
      </c>
      <c r="R4" s="200">
        <v>0.08</v>
      </c>
      <c r="S4" s="200">
        <f t="shared" si="2"/>
        <v>264</v>
      </c>
      <c r="T4" s="200">
        <v>0.02</v>
      </c>
      <c r="U4" s="200">
        <f t="shared" si="3"/>
        <v>66</v>
      </c>
      <c r="V4" s="200">
        <v>3300</v>
      </c>
      <c r="W4" s="200">
        <v>0.007</v>
      </c>
      <c r="X4" s="200">
        <f t="shared" si="4"/>
        <v>23.1</v>
      </c>
      <c r="Y4" s="200">
        <v>0.003</v>
      </c>
      <c r="Z4" s="200">
        <f t="shared" si="5"/>
        <v>9.9</v>
      </c>
      <c r="AA4" s="200"/>
      <c r="AB4" s="200"/>
      <c r="AC4" s="200"/>
      <c r="AD4" s="200">
        <v>3300</v>
      </c>
      <c r="AE4" s="200">
        <v>0.002</v>
      </c>
      <c r="AF4" s="200">
        <f t="shared" si="6"/>
        <v>6.6</v>
      </c>
      <c r="AG4" s="200">
        <v>3000</v>
      </c>
      <c r="AH4" s="200">
        <v>0.1</v>
      </c>
      <c r="AI4" s="200">
        <f>ROUND(AG4*AH4,2)</f>
        <v>300</v>
      </c>
      <c r="AJ4" s="200">
        <v>0.06</v>
      </c>
      <c r="AK4" s="200">
        <f>ROUND(AG4*AJ4,2)</f>
        <v>180</v>
      </c>
      <c r="AL4" s="240"/>
      <c r="AM4" s="200"/>
      <c r="AN4" s="200"/>
      <c r="AO4" s="200"/>
      <c r="AP4" s="142" t="s">
        <v>142</v>
      </c>
      <c r="AQ4" s="246">
        <v>5</v>
      </c>
      <c r="AR4" s="200"/>
      <c r="AS4" s="247">
        <f t="shared" si="7"/>
        <v>826.7</v>
      </c>
      <c r="AT4" s="247">
        <f t="shared" si="8"/>
        <v>339.9</v>
      </c>
      <c r="AU4" s="247">
        <f t="shared" si="9"/>
        <v>300</v>
      </c>
      <c r="AV4" s="247">
        <f t="shared" si="10"/>
        <v>180</v>
      </c>
      <c r="AW4" s="247">
        <f t="shared" si="11"/>
        <v>1646.6</v>
      </c>
      <c r="AX4" s="258">
        <f t="shared" si="12"/>
        <v>1166.6</v>
      </c>
      <c r="AY4" s="258"/>
      <c r="AZ4" s="258">
        <f t="shared" si="13"/>
        <v>480</v>
      </c>
      <c r="BA4" s="258"/>
      <c r="BB4" s="259">
        <v>80</v>
      </c>
      <c r="BC4" s="258">
        <f t="shared" si="14"/>
        <v>1726.6</v>
      </c>
      <c r="BD4" s="299"/>
      <c r="BE4" s="303"/>
      <c r="BF4" s="304"/>
      <c r="BG4" s="304"/>
      <c r="BH4" s="305" t="s">
        <v>142</v>
      </c>
    </row>
    <row r="5" s="188" customFormat="1" ht="18" customHeight="1" spans="1:60">
      <c r="A5" s="200"/>
      <c r="B5" s="142" t="s">
        <v>136</v>
      </c>
      <c r="C5" s="131" t="s">
        <v>137</v>
      </c>
      <c r="D5" s="141" t="s">
        <v>138</v>
      </c>
      <c r="E5" s="142" t="s">
        <v>139</v>
      </c>
      <c r="F5" s="143" t="s">
        <v>86</v>
      </c>
      <c r="G5" s="144" t="s">
        <v>88</v>
      </c>
      <c r="H5" s="141" t="s">
        <v>140</v>
      </c>
      <c r="I5" s="141" t="s">
        <v>140</v>
      </c>
      <c r="J5" s="141" t="s">
        <v>144</v>
      </c>
      <c r="K5" s="141" t="s">
        <v>144</v>
      </c>
      <c r="L5" s="200">
        <v>3300</v>
      </c>
      <c r="M5" s="200">
        <v>0.16</v>
      </c>
      <c r="N5" s="200">
        <f t="shared" si="0"/>
        <v>528</v>
      </c>
      <c r="O5" s="200">
        <v>0.08</v>
      </c>
      <c r="P5" s="200">
        <f t="shared" si="1"/>
        <v>264</v>
      </c>
      <c r="Q5" s="200">
        <v>3300</v>
      </c>
      <c r="R5" s="200">
        <v>0.08</v>
      </c>
      <c r="S5" s="200">
        <f t="shared" si="2"/>
        <v>264</v>
      </c>
      <c r="T5" s="200">
        <v>0.02</v>
      </c>
      <c r="U5" s="200">
        <f t="shared" si="3"/>
        <v>66</v>
      </c>
      <c r="V5" s="200">
        <v>3300</v>
      </c>
      <c r="W5" s="200">
        <v>0.007</v>
      </c>
      <c r="X5" s="200">
        <f t="shared" si="4"/>
        <v>23.1</v>
      </c>
      <c r="Y5" s="200">
        <v>0.003</v>
      </c>
      <c r="Z5" s="200">
        <f t="shared" si="5"/>
        <v>9.9</v>
      </c>
      <c r="AA5" s="200"/>
      <c r="AB5" s="200"/>
      <c r="AC5" s="200"/>
      <c r="AD5" s="200">
        <v>3300</v>
      </c>
      <c r="AE5" s="200">
        <v>0.002</v>
      </c>
      <c r="AF5" s="200">
        <f t="shared" si="6"/>
        <v>6.6</v>
      </c>
      <c r="AG5" s="200">
        <v>3000</v>
      </c>
      <c r="AH5" s="200">
        <v>0.1</v>
      </c>
      <c r="AI5" s="200">
        <f>ROUND(AG5*AH5,2)</f>
        <v>300</v>
      </c>
      <c r="AJ5" s="200">
        <v>0.06</v>
      </c>
      <c r="AK5" s="200">
        <f>ROUND(AG5*AJ5,2)</f>
        <v>180</v>
      </c>
      <c r="AL5" s="240"/>
      <c r="AM5" s="200"/>
      <c r="AN5" s="200"/>
      <c r="AO5" s="200"/>
      <c r="AP5" s="142" t="s">
        <v>142</v>
      </c>
      <c r="AQ5" s="246">
        <v>5</v>
      </c>
      <c r="AR5" s="200"/>
      <c r="AS5" s="247">
        <f t="shared" si="7"/>
        <v>826.7</v>
      </c>
      <c r="AT5" s="247">
        <f t="shared" si="8"/>
        <v>339.9</v>
      </c>
      <c r="AU5" s="247">
        <f t="shared" si="9"/>
        <v>300</v>
      </c>
      <c r="AV5" s="247">
        <f t="shared" si="10"/>
        <v>180</v>
      </c>
      <c r="AW5" s="247">
        <f t="shared" si="11"/>
        <v>1646.6</v>
      </c>
      <c r="AX5" s="258">
        <f t="shared" si="12"/>
        <v>1166.6</v>
      </c>
      <c r="AY5" s="258"/>
      <c r="AZ5" s="258">
        <f t="shared" si="13"/>
        <v>480</v>
      </c>
      <c r="BA5" s="258"/>
      <c r="BB5" s="259">
        <v>80</v>
      </c>
      <c r="BC5" s="258">
        <f t="shared" si="14"/>
        <v>1726.6</v>
      </c>
      <c r="BD5" s="299"/>
      <c r="BE5" s="303"/>
      <c r="BF5" s="304"/>
      <c r="BG5" s="304"/>
      <c r="BH5" s="305" t="s">
        <v>142</v>
      </c>
    </row>
    <row r="6" s="188" customFormat="1" ht="18" customHeight="1" spans="1:60">
      <c r="A6" s="200">
        <v>2</v>
      </c>
      <c r="B6" s="142" t="s">
        <v>136</v>
      </c>
      <c r="C6" s="131" t="s">
        <v>145</v>
      </c>
      <c r="D6" s="141" t="s">
        <v>138</v>
      </c>
      <c r="E6" s="142" t="s">
        <v>146</v>
      </c>
      <c r="F6" s="143" t="s">
        <v>89</v>
      </c>
      <c r="G6" s="411" t="s">
        <v>90</v>
      </c>
      <c r="H6" s="141" t="s">
        <v>140</v>
      </c>
      <c r="I6" s="141" t="s">
        <v>147</v>
      </c>
      <c r="J6" s="141" t="s">
        <v>141</v>
      </c>
      <c r="K6" s="141" t="s">
        <v>147</v>
      </c>
      <c r="L6" s="200">
        <v>3803</v>
      </c>
      <c r="M6" s="200">
        <v>0.14</v>
      </c>
      <c r="N6" s="200">
        <f t="shared" si="0"/>
        <v>532.42</v>
      </c>
      <c r="O6" s="200">
        <v>0.08</v>
      </c>
      <c r="P6" s="200">
        <f t="shared" si="1"/>
        <v>304.24</v>
      </c>
      <c r="Q6" s="200">
        <v>6175</v>
      </c>
      <c r="R6" s="200">
        <v>0.055</v>
      </c>
      <c r="S6" s="200">
        <f t="shared" si="2"/>
        <v>339.63</v>
      </c>
      <c r="T6" s="200">
        <v>0.02</v>
      </c>
      <c r="U6" s="200">
        <f t="shared" si="3"/>
        <v>123.5</v>
      </c>
      <c r="V6" s="200">
        <v>3803</v>
      </c>
      <c r="W6" s="200">
        <v>0.0032</v>
      </c>
      <c r="X6" s="200">
        <f t="shared" si="4"/>
        <v>12.17</v>
      </c>
      <c r="Y6" s="200">
        <v>0.002</v>
      </c>
      <c r="Z6" s="200">
        <f t="shared" si="5"/>
        <v>7.61</v>
      </c>
      <c r="AA6" s="200">
        <v>6175</v>
      </c>
      <c r="AB6" s="200">
        <v>0.0085</v>
      </c>
      <c r="AC6" s="200">
        <f t="shared" ref="AC6:AC8" si="15">ROUND(AA6*AB6,2)</f>
        <v>52.49</v>
      </c>
      <c r="AD6" s="200">
        <v>3803</v>
      </c>
      <c r="AE6" s="200">
        <v>0.0016</v>
      </c>
      <c r="AF6" s="200">
        <f t="shared" si="6"/>
        <v>6.08</v>
      </c>
      <c r="AG6" s="200"/>
      <c r="AH6" s="200"/>
      <c r="AI6" s="200"/>
      <c r="AJ6" s="200"/>
      <c r="AK6" s="200"/>
      <c r="AL6" s="240"/>
      <c r="AM6" s="200"/>
      <c r="AN6" s="200"/>
      <c r="AO6" s="200"/>
      <c r="AP6" s="142"/>
      <c r="AQ6" s="246">
        <v>26.76</v>
      </c>
      <c r="AR6" s="200"/>
      <c r="AS6" s="247">
        <f t="shared" si="7"/>
        <v>969.55</v>
      </c>
      <c r="AT6" s="247">
        <f t="shared" si="8"/>
        <v>435.35</v>
      </c>
      <c r="AU6" s="247">
        <f t="shared" si="9"/>
        <v>0</v>
      </c>
      <c r="AV6" s="247">
        <f t="shared" si="10"/>
        <v>0</v>
      </c>
      <c r="AW6" s="247">
        <f t="shared" si="11"/>
        <v>1404.9</v>
      </c>
      <c r="AX6" s="258">
        <f t="shared" si="12"/>
        <v>1404.9</v>
      </c>
      <c r="AY6" s="258"/>
      <c r="AZ6" s="258">
        <f t="shared" si="13"/>
        <v>0</v>
      </c>
      <c r="BA6" s="258"/>
      <c r="BB6" s="259">
        <v>80</v>
      </c>
      <c r="BC6" s="258">
        <f t="shared" si="14"/>
        <v>1484.9</v>
      </c>
      <c r="BD6" s="299"/>
      <c r="BE6" s="278"/>
      <c r="BF6" s="278"/>
      <c r="BG6" s="278"/>
      <c r="BH6" s="278"/>
    </row>
    <row r="7" s="188" customFormat="1" ht="18" customHeight="1" spans="1:60">
      <c r="A7" s="200"/>
      <c r="B7" s="142" t="s">
        <v>136</v>
      </c>
      <c r="C7" s="131" t="s">
        <v>145</v>
      </c>
      <c r="D7" s="141" t="s">
        <v>138</v>
      </c>
      <c r="E7" s="142" t="s">
        <v>146</v>
      </c>
      <c r="F7" s="143" t="s">
        <v>89</v>
      </c>
      <c r="G7" s="411" t="s">
        <v>90</v>
      </c>
      <c r="H7" s="141" t="s">
        <v>140</v>
      </c>
      <c r="I7" s="141" t="s">
        <v>147</v>
      </c>
      <c r="J7" s="141" t="s">
        <v>143</v>
      </c>
      <c r="K7" s="141" t="s">
        <v>147</v>
      </c>
      <c r="L7" s="200">
        <v>3803</v>
      </c>
      <c r="M7" s="200">
        <v>0.14</v>
      </c>
      <c r="N7" s="200">
        <f t="shared" si="0"/>
        <v>532.42</v>
      </c>
      <c r="O7" s="200">
        <v>0.08</v>
      </c>
      <c r="P7" s="200">
        <f t="shared" si="1"/>
        <v>304.24</v>
      </c>
      <c r="Q7" s="200">
        <v>6175</v>
      </c>
      <c r="R7" s="200">
        <v>0.055</v>
      </c>
      <c r="S7" s="200">
        <f t="shared" si="2"/>
        <v>339.63</v>
      </c>
      <c r="T7" s="200">
        <v>0.02</v>
      </c>
      <c r="U7" s="200">
        <f t="shared" si="3"/>
        <v>123.5</v>
      </c>
      <c r="V7" s="200">
        <v>3803</v>
      </c>
      <c r="W7" s="200">
        <v>0.0032</v>
      </c>
      <c r="X7" s="200">
        <f t="shared" si="4"/>
        <v>12.17</v>
      </c>
      <c r="Y7" s="200">
        <v>0.002</v>
      </c>
      <c r="Z7" s="200">
        <f t="shared" si="5"/>
        <v>7.61</v>
      </c>
      <c r="AA7" s="200">
        <v>6175</v>
      </c>
      <c r="AB7" s="200">
        <v>0.0085</v>
      </c>
      <c r="AC7" s="200">
        <f t="shared" si="15"/>
        <v>52.49</v>
      </c>
      <c r="AD7" s="200">
        <v>3803</v>
      </c>
      <c r="AE7" s="200">
        <v>0.0016</v>
      </c>
      <c r="AF7" s="200">
        <f t="shared" si="6"/>
        <v>6.08</v>
      </c>
      <c r="AG7" s="200"/>
      <c r="AH7" s="200"/>
      <c r="AI7" s="200"/>
      <c r="AJ7" s="200"/>
      <c r="AK7" s="200"/>
      <c r="AL7" s="240"/>
      <c r="AM7" s="200"/>
      <c r="AN7" s="200"/>
      <c r="AO7" s="200"/>
      <c r="AP7" s="142"/>
      <c r="AQ7" s="246">
        <v>26.76</v>
      </c>
      <c r="AR7" s="200"/>
      <c r="AS7" s="247">
        <f t="shared" si="7"/>
        <v>969.55</v>
      </c>
      <c r="AT7" s="247">
        <f t="shared" si="8"/>
        <v>435.35</v>
      </c>
      <c r="AU7" s="247">
        <f t="shared" si="9"/>
        <v>0</v>
      </c>
      <c r="AV7" s="247">
        <f t="shared" si="10"/>
        <v>0</v>
      </c>
      <c r="AW7" s="247">
        <f t="shared" si="11"/>
        <v>1404.9</v>
      </c>
      <c r="AX7" s="258">
        <f t="shared" si="12"/>
        <v>1404.9</v>
      </c>
      <c r="AY7" s="258"/>
      <c r="AZ7" s="258">
        <f t="shared" si="13"/>
        <v>0</v>
      </c>
      <c r="BA7" s="258"/>
      <c r="BB7" s="259">
        <v>80</v>
      </c>
      <c r="BC7" s="258">
        <f t="shared" si="14"/>
        <v>1484.9</v>
      </c>
      <c r="BD7" s="299"/>
      <c r="BE7" s="278"/>
      <c r="BF7" s="278"/>
      <c r="BG7" s="278"/>
      <c r="BH7" s="278"/>
    </row>
    <row r="8" s="188" customFormat="1" ht="18" customHeight="1" spans="1:60">
      <c r="A8" s="200"/>
      <c r="B8" s="142" t="s">
        <v>136</v>
      </c>
      <c r="C8" s="131" t="s">
        <v>145</v>
      </c>
      <c r="D8" s="141" t="s">
        <v>138</v>
      </c>
      <c r="E8" s="142" t="s">
        <v>146</v>
      </c>
      <c r="F8" s="143" t="s">
        <v>89</v>
      </c>
      <c r="G8" s="411" t="s">
        <v>90</v>
      </c>
      <c r="H8" s="141" t="s">
        <v>140</v>
      </c>
      <c r="I8" s="141" t="s">
        <v>147</v>
      </c>
      <c r="J8" s="141" t="s">
        <v>144</v>
      </c>
      <c r="K8" s="141" t="s">
        <v>147</v>
      </c>
      <c r="L8" s="200">
        <v>3803</v>
      </c>
      <c r="M8" s="200">
        <v>0.14</v>
      </c>
      <c r="N8" s="200">
        <f t="shared" si="0"/>
        <v>532.42</v>
      </c>
      <c r="O8" s="200">
        <v>0.08</v>
      </c>
      <c r="P8" s="200">
        <f t="shared" si="1"/>
        <v>304.24</v>
      </c>
      <c r="Q8" s="200">
        <v>6175</v>
      </c>
      <c r="R8" s="200">
        <v>0.055</v>
      </c>
      <c r="S8" s="200">
        <f t="shared" si="2"/>
        <v>339.63</v>
      </c>
      <c r="T8" s="200">
        <v>0.02</v>
      </c>
      <c r="U8" s="200">
        <f t="shared" si="3"/>
        <v>123.5</v>
      </c>
      <c r="V8" s="200">
        <v>3803</v>
      </c>
      <c r="W8" s="200">
        <v>0.0032</v>
      </c>
      <c r="X8" s="200">
        <f t="shared" si="4"/>
        <v>12.17</v>
      </c>
      <c r="Y8" s="200">
        <v>0.002</v>
      </c>
      <c r="Z8" s="200">
        <f t="shared" si="5"/>
        <v>7.61</v>
      </c>
      <c r="AA8" s="200">
        <v>6175</v>
      </c>
      <c r="AB8" s="200">
        <v>0.0085</v>
      </c>
      <c r="AC8" s="200">
        <f t="shared" si="15"/>
        <v>52.49</v>
      </c>
      <c r="AD8" s="200">
        <v>3803</v>
      </c>
      <c r="AE8" s="200">
        <v>0.0016</v>
      </c>
      <c r="AF8" s="200">
        <f t="shared" si="6"/>
        <v>6.08</v>
      </c>
      <c r="AG8" s="200"/>
      <c r="AH8" s="200"/>
      <c r="AI8" s="200"/>
      <c r="AJ8" s="200"/>
      <c r="AK8" s="200"/>
      <c r="AL8" s="240"/>
      <c r="AM8" s="200"/>
      <c r="AN8" s="200"/>
      <c r="AO8" s="200"/>
      <c r="AP8" s="142"/>
      <c r="AQ8" s="246">
        <v>26.76</v>
      </c>
      <c r="AR8" s="200"/>
      <c r="AS8" s="247">
        <f t="shared" si="7"/>
        <v>969.55</v>
      </c>
      <c r="AT8" s="247">
        <f t="shared" si="8"/>
        <v>435.35</v>
      </c>
      <c r="AU8" s="247">
        <f t="shared" si="9"/>
        <v>0</v>
      </c>
      <c r="AV8" s="247">
        <f t="shared" si="10"/>
        <v>0</v>
      </c>
      <c r="AW8" s="247">
        <f t="shared" si="11"/>
        <v>1404.9</v>
      </c>
      <c r="AX8" s="258">
        <f t="shared" si="12"/>
        <v>1404.9</v>
      </c>
      <c r="AY8" s="258"/>
      <c r="AZ8" s="258">
        <f t="shared" si="13"/>
        <v>0</v>
      </c>
      <c r="BA8" s="258"/>
      <c r="BB8" s="259">
        <v>80</v>
      </c>
      <c r="BC8" s="258">
        <f t="shared" si="14"/>
        <v>1484.9</v>
      </c>
      <c r="BD8" s="299"/>
      <c r="BE8" s="278"/>
      <c r="BF8" s="278"/>
      <c r="BG8" s="278"/>
      <c r="BH8" s="278"/>
    </row>
    <row r="9" s="289" customFormat="1" ht="18" customHeight="1" spans="1:60">
      <c r="A9" s="290" t="s">
        <v>148</v>
      </c>
      <c r="B9" s="291" t="s">
        <v>136</v>
      </c>
      <c r="C9" s="126" t="s">
        <v>145</v>
      </c>
      <c r="D9" s="292" t="s">
        <v>138</v>
      </c>
      <c r="E9" s="291" t="s">
        <v>146</v>
      </c>
      <c r="F9" s="293" t="s">
        <v>89</v>
      </c>
      <c r="G9" s="412" t="s">
        <v>90</v>
      </c>
      <c r="H9" s="292" t="s">
        <v>140</v>
      </c>
      <c r="I9" s="292" t="s">
        <v>147</v>
      </c>
      <c r="J9" s="292" t="s">
        <v>149</v>
      </c>
      <c r="K9" s="292" t="s">
        <v>147</v>
      </c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5">
        <f t="shared" ref="AD9:AD11" si="16">3803-3000</f>
        <v>803</v>
      </c>
      <c r="AE9" s="295">
        <v>0.0016</v>
      </c>
      <c r="AF9" s="295">
        <f t="shared" si="6"/>
        <v>1.28</v>
      </c>
      <c r="AG9" s="290"/>
      <c r="AH9" s="290"/>
      <c r="AI9" s="290"/>
      <c r="AJ9" s="290"/>
      <c r="AK9" s="290"/>
      <c r="AL9" s="296"/>
      <c r="AM9" s="290"/>
      <c r="AN9" s="290"/>
      <c r="AO9" s="290"/>
      <c r="AP9" s="291"/>
      <c r="AQ9" s="297"/>
      <c r="AR9" s="290"/>
      <c r="AS9" s="298">
        <f t="shared" si="7"/>
        <v>1.28</v>
      </c>
      <c r="AT9" s="298">
        <f t="shared" si="8"/>
        <v>0</v>
      </c>
      <c r="AU9" s="298">
        <f t="shared" si="9"/>
        <v>0</v>
      </c>
      <c r="AV9" s="298">
        <f t="shared" si="10"/>
        <v>0</v>
      </c>
      <c r="AW9" s="298">
        <f t="shared" si="11"/>
        <v>1.28</v>
      </c>
      <c r="AX9" s="300">
        <f t="shared" si="12"/>
        <v>1.28</v>
      </c>
      <c r="AY9" s="300"/>
      <c r="AZ9" s="300"/>
      <c r="BA9" s="300"/>
      <c r="BB9" s="301"/>
      <c r="BC9" s="300">
        <f t="shared" si="14"/>
        <v>1.28</v>
      </c>
      <c r="BD9" s="302" t="s">
        <v>150</v>
      </c>
      <c r="BE9" s="306"/>
      <c r="BF9" s="306"/>
      <c r="BG9" s="306"/>
      <c r="BH9" s="306"/>
    </row>
    <row r="10" s="289" customFormat="1" ht="18" customHeight="1" spans="1:60">
      <c r="A10" s="290" t="s">
        <v>148</v>
      </c>
      <c r="B10" s="291" t="s">
        <v>136</v>
      </c>
      <c r="C10" s="126" t="s">
        <v>145</v>
      </c>
      <c r="D10" s="292" t="s">
        <v>138</v>
      </c>
      <c r="E10" s="291" t="s">
        <v>146</v>
      </c>
      <c r="F10" s="293" t="s">
        <v>89</v>
      </c>
      <c r="G10" s="412" t="s">
        <v>90</v>
      </c>
      <c r="H10" s="292" t="s">
        <v>140</v>
      </c>
      <c r="I10" s="292" t="s">
        <v>147</v>
      </c>
      <c r="J10" s="292" t="s">
        <v>151</v>
      </c>
      <c r="K10" s="292" t="s">
        <v>147</v>
      </c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5">
        <f t="shared" si="16"/>
        <v>803</v>
      </c>
      <c r="AE10" s="295">
        <v>0.0016</v>
      </c>
      <c r="AF10" s="295">
        <f t="shared" si="6"/>
        <v>1.28</v>
      </c>
      <c r="AG10" s="290"/>
      <c r="AH10" s="290"/>
      <c r="AI10" s="290"/>
      <c r="AJ10" s="290"/>
      <c r="AK10" s="290"/>
      <c r="AL10" s="296"/>
      <c r="AM10" s="290"/>
      <c r="AN10" s="290"/>
      <c r="AO10" s="290"/>
      <c r="AP10" s="291"/>
      <c r="AQ10" s="297"/>
      <c r="AR10" s="290"/>
      <c r="AS10" s="298">
        <f t="shared" si="7"/>
        <v>1.28</v>
      </c>
      <c r="AT10" s="298">
        <f t="shared" si="8"/>
        <v>0</v>
      </c>
      <c r="AU10" s="298">
        <f t="shared" si="9"/>
        <v>0</v>
      </c>
      <c r="AV10" s="298">
        <f t="shared" si="10"/>
        <v>0</v>
      </c>
      <c r="AW10" s="298">
        <f t="shared" si="11"/>
        <v>1.28</v>
      </c>
      <c r="AX10" s="300">
        <f t="shared" si="12"/>
        <v>1.28</v>
      </c>
      <c r="AY10" s="300"/>
      <c r="AZ10" s="300"/>
      <c r="BA10" s="300"/>
      <c r="BB10" s="301"/>
      <c r="BC10" s="300">
        <f t="shared" si="14"/>
        <v>1.28</v>
      </c>
      <c r="BD10" s="302" t="s">
        <v>150</v>
      </c>
      <c r="BE10" s="306"/>
      <c r="BF10" s="306"/>
      <c r="BG10" s="306"/>
      <c r="BH10" s="306"/>
    </row>
    <row r="11" s="289" customFormat="1" ht="18" customHeight="1" spans="1:60">
      <c r="A11" s="290" t="s">
        <v>148</v>
      </c>
      <c r="B11" s="291" t="s">
        <v>136</v>
      </c>
      <c r="C11" s="126" t="s">
        <v>145</v>
      </c>
      <c r="D11" s="292" t="s">
        <v>138</v>
      </c>
      <c r="E11" s="291" t="s">
        <v>146</v>
      </c>
      <c r="F11" s="293" t="s">
        <v>89</v>
      </c>
      <c r="G11" s="412" t="s">
        <v>90</v>
      </c>
      <c r="H11" s="292" t="s">
        <v>140</v>
      </c>
      <c r="I11" s="292" t="s">
        <v>147</v>
      </c>
      <c r="J11" s="292" t="s">
        <v>152</v>
      </c>
      <c r="K11" s="292" t="s">
        <v>147</v>
      </c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5">
        <f t="shared" si="16"/>
        <v>803</v>
      </c>
      <c r="AE11" s="295">
        <v>0.0016</v>
      </c>
      <c r="AF11" s="295">
        <f t="shared" si="6"/>
        <v>1.28</v>
      </c>
      <c r="AG11" s="290"/>
      <c r="AH11" s="290"/>
      <c r="AI11" s="290"/>
      <c r="AJ11" s="290"/>
      <c r="AK11" s="290"/>
      <c r="AL11" s="296"/>
      <c r="AM11" s="290"/>
      <c r="AN11" s="290"/>
      <c r="AO11" s="290"/>
      <c r="AP11" s="291"/>
      <c r="AQ11" s="297"/>
      <c r="AR11" s="290"/>
      <c r="AS11" s="298">
        <f t="shared" si="7"/>
        <v>1.28</v>
      </c>
      <c r="AT11" s="298">
        <f t="shared" si="8"/>
        <v>0</v>
      </c>
      <c r="AU11" s="298">
        <f t="shared" si="9"/>
        <v>0</v>
      </c>
      <c r="AV11" s="298">
        <f t="shared" si="10"/>
        <v>0</v>
      </c>
      <c r="AW11" s="298">
        <f t="shared" si="11"/>
        <v>1.28</v>
      </c>
      <c r="AX11" s="300">
        <f t="shared" si="12"/>
        <v>1.28</v>
      </c>
      <c r="AY11" s="300"/>
      <c r="AZ11" s="300"/>
      <c r="BA11" s="300"/>
      <c r="BB11" s="301"/>
      <c r="BC11" s="300">
        <f t="shared" si="14"/>
        <v>1.28</v>
      </c>
      <c r="BD11" s="302" t="s">
        <v>150</v>
      </c>
      <c r="BE11" s="306"/>
      <c r="BF11" s="306"/>
      <c r="BG11" s="306"/>
      <c r="BH11" s="306"/>
    </row>
    <row r="12" s="188" customFormat="1" ht="18" customHeight="1" spans="1:60">
      <c r="A12" s="200">
        <v>3</v>
      </c>
      <c r="B12" s="142" t="s">
        <v>136</v>
      </c>
      <c r="C12" s="131" t="s">
        <v>153</v>
      </c>
      <c r="D12" s="141" t="s">
        <v>138</v>
      </c>
      <c r="E12" s="142" t="s">
        <v>146</v>
      </c>
      <c r="F12" s="143" t="s">
        <v>154</v>
      </c>
      <c r="G12" s="144" t="s">
        <v>155</v>
      </c>
      <c r="H12" s="141" t="s">
        <v>156</v>
      </c>
      <c r="I12" s="141" t="s">
        <v>156</v>
      </c>
      <c r="J12" s="141" t="s">
        <v>143</v>
      </c>
      <c r="K12" s="141" t="s">
        <v>143</v>
      </c>
      <c r="L12" s="200">
        <v>3053.05</v>
      </c>
      <c r="M12" s="200">
        <v>0.16</v>
      </c>
      <c r="N12" s="200">
        <f t="shared" ref="N12:N15" si="17">ROUND(L12*M12,2)</f>
        <v>488.49</v>
      </c>
      <c r="O12" s="200">
        <v>0.08</v>
      </c>
      <c r="P12" s="200">
        <f t="shared" ref="P12:P15" si="18">ROUND(L12*O12,2)</f>
        <v>244.24</v>
      </c>
      <c r="Q12" s="200">
        <v>3053.05</v>
      </c>
      <c r="R12" s="200">
        <v>0.06</v>
      </c>
      <c r="S12" s="200">
        <f t="shared" ref="S12:S15" si="19">ROUND(Q12*R12,2)</f>
        <v>183.18</v>
      </c>
      <c r="T12" s="200">
        <v>0.02</v>
      </c>
      <c r="U12" s="200">
        <f t="shared" ref="U12:U15" si="20">ROUND(Q12*T12,2)</f>
        <v>61.06</v>
      </c>
      <c r="V12" s="200">
        <v>3053.05</v>
      </c>
      <c r="W12" s="200">
        <v>0.007</v>
      </c>
      <c r="X12" s="200">
        <f t="shared" ref="X12:X15" si="21">ROUND(V12*W12,2)</f>
        <v>21.37</v>
      </c>
      <c r="Y12" s="200">
        <v>0.003</v>
      </c>
      <c r="Z12" s="200">
        <f t="shared" ref="Z12:Z15" si="22">ROUND(V12*Y12,2)</f>
        <v>9.16</v>
      </c>
      <c r="AA12" s="200">
        <v>3053.05</v>
      </c>
      <c r="AB12" s="200">
        <v>0.007</v>
      </c>
      <c r="AC12" s="200">
        <f t="shared" ref="AC12:AC15" si="23">ROUND(AA12*AB12,2)</f>
        <v>21.37</v>
      </c>
      <c r="AD12" s="200">
        <v>3053.05</v>
      </c>
      <c r="AE12" s="200">
        <v>0.002</v>
      </c>
      <c r="AF12" s="200">
        <f t="shared" si="6"/>
        <v>6.11</v>
      </c>
      <c r="AG12" s="200" t="s">
        <v>157</v>
      </c>
      <c r="AH12" s="200">
        <v>0.05</v>
      </c>
      <c r="AI12" s="200">
        <f t="shared" ref="AI12:AI15" si="24">ROUND(AG12*AH12,2)</f>
        <v>79</v>
      </c>
      <c r="AJ12" s="200">
        <v>0.05</v>
      </c>
      <c r="AK12" s="200">
        <f t="shared" ref="AK12:AK15" si="25">ROUND(AG12*AJ12,2)</f>
        <v>79</v>
      </c>
      <c r="AL12" s="240"/>
      <c r="AM12" s="200"/>
      <c r="AN12" s="200"/>
      <c r="AO12" s="200"/>
      <c r="AP12" s="142"/>
      <c r="AQ12" s="246"/>
      <c r="AR12" s="200">
        <v>96</v>
      </c>
      <c r="AS12" s="247">
        <f t="shared" si="7"/>
        <v>720.52</v>
      </c>
      <c r="AT12" s="247">
        <f t="shared" si="8"/>
        <v>314.46</v>
      </c>
      <c r="AU12" s="247">
        <f t="shared" si="9"/>
        <v>79</v>
      </c>
      <c r="AV12" s="247">
        <f t="shared" si="10"/>
        <v>79</v>
      </c>
      <c r="AW12" s="247">
        <f t="shared" si="11"/>
        <v>1192.98</v>
      </c>
      <c r="AX12" s="258">
        <f t="shared" si="12"/>
        <v>1034.98</v>
      </c>
      <c r="AY12" s="258"/>
      <c r="AZ12" s="258">
        <f t="shared" ref="AZ12:AZ15" si="26">AU12+AV12</f>
        <v>158</v>
      </c>
      <c r="BA12" s="258"/>
      <c r="BB12" s="259">
        <v>80</v>
      </c>
      <c r="BC12" s="258">
        <f t="shared" si="14"/>
        <v>1272.98</v>
      </c>
      <c r="BD12" s="299"/>
      <c r="BE12" s="278"/>
      <c r="BF12" s="278"/>
      <c r="BG12" s="278"/>
      <c r="BH12" s="278"/>
    </row>
    <row r="13" s="188" customFormat="1" ht="18" customHeight="1" spans="1:60">
      <c r="A13" s="200"/>
      <c r="B13" s="142" t="s">
        <v>136</v>
      </c>
      <c r="C13" s="131" t="s">
        <v>153</v>
      </c>
      <c r="D13" s="141" t="s">
        <v>138</v>
      </c>
      <c r="E13" s="142" t="s">
        <v>146</v>
      </c>
      <c r="F13" s="143" t="s">
        <v>154</v>
      </c>
      <c r="G13" s="144" t="s">
        <v>155</v>
      </c>
      <c r="H13" s="141" t="s">
        <v>156</v>
      </c>
      <c r="I13" s="141" t="s">
        <v>156</v>
      </c>
      <c r="J13" s="141" t="s">
        <v>144</v>
      </c>
      <c r="K13" s="141" t="s">
        <v>144</v>
      </c>
      <c r="L13" s="200">
        <v>3053.05</v>
      </c>
      <c r="M13" s="200">
        <v>0.16</v>
      </c>
      <c r="N13" s="200">
        <f t="shared" si="17"/>
        <v>488.49</v>
      </c>
      <c r="O13" s="200">
        <v>0.08</v>
      </c>
      <c r="P13" s="200">
        <f t="shared" si="18"/>
        <v>244.24</v>
      </c>
      <c r="Q13" s="200">
        <v>3053.05</v>
      </c>
      <c r="R13" s="200">
        <v>0.06</v>
      </c>
      <c r="S13" s="200">
        <f t="shared" si="19"/>
        <v>183.18</v>
      </c>
      <c r="T13" s="200">
        <v>0.02</v>
      </c>
      <c r="U13" s="200">
        <f t="shared" si="20"/>
        <v>61.06</v>
      </c>
      <c r="V13" s="200">
        <v>3053.05</v>
      </c>
      <c r="W13" s="200">
        <v>0.007</v>
      </c>
      <c r="X13" s="200">
        <f t="shared" si="21"/>
        <v>21.37</v>
      </c>
      <c r="Y13" s="200">
        <v>0.003</v>
      </c>
      <c r="Z13" s="200">
        <f t="shared" si="22"/>
        <v>9.16</v>
      </c>
      <c r="AA13" s="200">
        <v>3053.05</v>
      </c>
      <c r="AB13" s="200">
        <v>0.007</v>
      </c>
      <c r="AC13" s="200">
        <f t="shared" si="23"/>
        <v>21.37</v>
      </c>
      <c r="AD13" s="200">
        <v>3053.05</v>
      </c>
      <c r="AE13" s="200">
        <v>0.002</v>
      </c>
      <c r="AF13" s="200">
        <f t="shared" si="6"/>
        <v>6.11</v>
      </c>
      <c r="AG13" s="200" t="s">
        <v>157</v>
      </c>
      <c r="AH13" s="200">
        <v>0.05</v>
      </c>
      <c r="AI13" s="200">
        <f t="shared" si="24"/>
        <v>79</v>
      </c>
      <c r="AJ13" s="200">
        <v>0.05</v>
      </c>
      <c r="AK13" s="200">
        <f t="shared" si="25"/>
        <v>79</v>
      </c>
      <c r="AL13" s="240"/>
      <c r="AM13" s="200"/>
      <c r="AN13" s="200"/>
      <c r="AO13" s="200"/>
      <c r="AP13" s="142"/>
      <c r="AQ13" s="246"/>
      <c r="AR13" s="246"/>
      <c r="AS13" s="247">
        <f t="shared" si="7"/>
        <v>720.52</v>
      </c>
      <c r="AT13" s="247">
        <f t="shared" si="8"/>
        <v>314.46</v>
      </c>
      <c r="AU13" s="247">
        <f t="shared" si="9"/>
        <v>79</v>
      </c>
      <c r="AV13" s="247">
        <f t="shared" si="10"/>
        <v>79</v>
      </c>
      <c r="AW13" s="247">
        <f t="shared" si="11"/>
        <v>1192.98</v>
      </c>
      <c r="AX13" s="258">
        <f t="shared" si="12"/>
        <v>1034.98</v>
      </c>
      <c r="AY13" s="258"/>
      <c r="AZ13" s="258">
        <f t="shared" si="26"/>
        <v>158</v>
      </c>
      <c r="BA13" s="258"/>
      <c r="BB13" s="259">
        <v>80</v>
      </c>
      <c r="BC13" s="258">
        <f t="shared" si="14"/>
        <v>1272.98</v>
      </c>
      <c r="BD13" s="299"/>
      <c r="BE13" s="278"/>
      <c r="BF13" s="278"/>
      <c r="BG13" s="278"/>
      <c r="BH13" s="278"/>
    </row>
    <row r="14" s="188" customFormat="1" ht="18" customHeight="1" spans="1:60">
      <c r="A14" s="200"/>
      <c r="B14" s="142" t="s">
        <v>136</v>
      </c>
      <c r="C14" s="131" t="s">
        <v>153</v>
      </c>
      <c r="D14" s="141" t="s">
        <v>138</v>
      </c>
      <c r="E14" s="142" t="s">
        <v>146</v>
      </c>
      <c r="F14" s="143" t="s">
        <v>154</v>
      </c>
      <c r="G14" s="144" t="s">
        <v>155</v>
      </c>
      <c r="H14" s="141" t="s">
        <v>156</v>
      </c>
      <c r="I14" s="141" t="s">
        <v>156</v>
      </c>
      <c r="J14" s="141" t="s">
        <v>158</v>
      </c>
      <c r="K14" s="141" t="s">
        <v>158</v>
      </c>
      <c r="L14" s="200">
        <v>3053.05</v>
      </c>
      <c r="M14" s="200">
        <v>0.16</v>
      </c>
      <c r="N14" s="200">
        <f t="shared" si="17"/>
        <v>488.49</v>
      </c>
      <c r="O14" s="200">
        <v>0.08</v>
      </c>
      <c r="P14" s="200">
        <f t="shared" si="18"/>
        <v>244.24</v>
      </c>
      <c r="Q14" s="200">
        <v>3053.05</v>
      </c>
      <c r="R14" s="200">
        <v>0.06</v>
      </c>
      <c r="S14" s="200">
        <f t="shared" si="19"/>
        <v>183.18</v>
      </c>
      <c r="T14" s="200">
        <v>0.02</v>
      </c>
      <c r="U14" s="200">
        <f t="shared" si="20"/>
        <v>61.06</v>
      </c>
      <c r="V14" s="200">
        <v>3053.05</v>
      </c>
      <c r="W14" s="200">
        <v>0.007</v>
      </c>
      <c r="X14" s="200">
        <f t="shared" si="21"/>
        <v>21.37</v>
      </c>
      <c r="Y14" s="200">
        <v>0.003</v>
      </c>
      <c r="Z14" s="200">
        <f t="shared" si="22"/>
        <v>9.16</v>
      </c>
      <c r="AA14" s="200">
        <v>3053.05</v>
      </c>
      <c r="AB14" s="200">
        <v>0.007</v>
      </c>
      <c r="AC14" s="200">
        <f t="shared" si="23"/>
        <v>21.37</v>
      </c>
      <c r="AD14" s="200">
        <v>3053.05</v>
      </c>
      <c r="AE14" s="200">
        <v>0.002</v>
      </c>
      <c r="AF14" s="200">
        <f t="shared" si="6"/>
        <v>6.11</v>
      </c>
      <c r="AG14" s="200" t="s">
        <v>157</v>
      </c>
      <c r="AH14" s="200">
        <v>0.05</v>
      </c>
      <c r="AI14" s="200">
        <f t="shared" si="24"/>
        <v>79</v>
      </c>
      <c r="AJ14" s="200">
        <v>0.05</v>
      </c>
      <c r="AK14" s="200">
        <f t="shared" si="25"/>
        <v>79</v>
      </c>
      <c r="AL14" s="240"/>
      <c r="AM14" s="200"/>
      <c r="AN14" s="200"/>
      <c r="AO14" s="200"/>
      <c r="AP14" s="142"/>
      <c r="AQ14" s="246"/>
      <c r="AR14" s="246"/>
      <c r="AS14" s="247">
        <f t="shared" si="7"/>
        <v>720.52</v>
      </c>
      <c r="AT14" s="247">
        <f t="shared" si="8"/>
        <v>314.46</v>
      </c>
      <c r="AU14" s="247">
        <f t="shared" si="9"/>
        <v>79</v>
      </c>
      <c r="AV14" s="247">
        <f t="shared" si="10"/>
        <v>79</v>
      </c>
      <c r="AW14" s="247">
        <f t="shared" si="11"/>
        <v>1192.98</v>
      </c>
      <c r="AX14" s="258">
        <f t="shared" si="12"/>
        <v>1034.98</v>
      </c>
      <c r="AY14" s="258"/>
      <c r="AZ14" s="258">
        <f t="shared" si="26"/>
        <v>158</v>
      </c>
      <c r="BA14" s="258"/>
      <c r="BB14" s="259">
        <v>80</v>
      </c>
      <c r="BC14" s="258">
        <f t="shared" si="14"/>
        <v>1272.98</v>
      </c>
      <c r="BD14" s="299"/>
      <c r="BE14" s="278"/>
      <c r="BF14" s="278"/>
      <c r="BG14" s="278"/>
      <c r="BH14" s="278"/>
    </row>
    <row r="15" s="289" customFormat="1" ht="18" customHeight="1" spans="1:60">
      <c r="A15" s="290" t="s">
        <v>148</v>
      </c>
      <c r="B15" s="291" t="s">
        <v>136</v>
      </c>
      <c r="C15" s="126" t="s">
        <v>153</v>
      </c>
      <c r="D15" s="292" t="s">
        <v>138</v>
      </c>
      <c r="E15" s="291" t="s">
        <v>146</v>
      </c>
      <c r="F15" s="293" t="s">
        <v>154</v>
      </c>
      <c r="G15" s="294" t="s">
        <v>155</v>
      </c>
      <c r="H15" s="292" t="s">
        <v>156</v>
      </c>
      <c r="I15" s="292" t="s">
        <v>156</v>
      </c>
      <c r="J15" s="292" t="s">
        <v>156</v>
      </c>
      <c r="K15" s="292" t="s">
        <v>156</v>
      </c>
      <c r="L15" s="290">
        <v>3053.05</v>
      </c>
      <c r="M15" s="290">
        <v>0.16</v>
      </c>
      <c r="N15" s="290">
        <f t="shared" si="17"/>
        <v>488.49</v>
      </c>
      <c r="O15" s="290">
        <v>0.08</v>
      </c>
      <c r="P15" s="290">
        <f t="shared" si="18"/>
        <v>244.24</v>
      </c>
      <c r="Q15" s="290">
        <v>3053.05</v>
      </c>
      <c r="R15" s="290">
        <v>0.06</v>
      </c>
      <c r="S15" s="290">
        <f t="shared" si="19"/>
        <v>183.18</v>
      </c>
      <c r="T15" s="290">
        <v>0.02</v>
      </c>
      <c r="U15" s="290">
        <f t="shared" si="20"/>
        <v>61.06</v>
      </c>
      <c r="V15" s="290">
        <v>3053.05</v>
      </c>
      <c r="W15" s="290">
        <v>0.007</v>
      </c>
      <c r="X15" s="290">
        <f t="shared" si="21"/>
        <v>21.37</v>
      </c>
      <c r="Y15" s="290">
        <v>0.003</v>
      </c>
      <c r="Z15" s="290">
        <f t="shared" si="22"/>
        <v>9.16</v>
      </c>
      <c r="AA15" s="290">
        <v>3053.05</v>
      </c>
      <c r="AB15" s="290">
        <v>0.007</v>
      </c>
      <c r="AC15" s="290">
        <f t="shared" si="23"/>
        <v>21.37</v>
      </c>
      <c r="AD15" s="290">
        <v>3053.05</v>
      </c>
      <c r="AE15" s="290">
        <v>0.002</v>
      </c>
      <c r="AF15" s="290">
        <f t="shared" si="6"/>
        <v>6.11</v>
      </c>
      <c r="AG15" s="290" t="s">
        <v>157</v>
      </c>
      <c r="AH15" s="290">
        <v>0.05</v>
      </c>
      <c r="AI15" s="290">
        <f t="shared" si="24"/>
        <v>79</v>
      </c>
      <c r="AJ15" s="290">
        <v>0.05</v>
      </c>
      <c r="AK15" s="290">
        <f t="shared" si="25"/>
        <v>79</v>
      </c>
      <c r="AL15" s="296"/>
      <c r="AM15" s="290"/>
      <c r="AN15" s="290"/>
      <c r="AO15" s="290"/>
      <c r="AP15" s="291"/>
      <c r="AQ15" s="297"/>
      <c r="AR15" s="297"/>
      <c r="AS15" s="298">
        <f t="shared" si="7"/>
        <v>720.52</v>
      </c>
      <c r="AT15" s="298">
        <f t="shared" si="8"/>
        <v>314.46</v>
      </c>
      <c r="AU15" s="298">
        <f t="shared" si="9"/>
        <v>79</v>
      </c>
      <c r="AV15" s="298">
        <f t="shared" si="10"/>
        <v>79</v>
      </c>
      <c r="AW15" s="298">
        <f t="shared" si="11"/>
        <v>1192.98</v>
      </c>
      <c r="AX15" s="300">
        <f t="shared" si="12"/>
        <v>1034.98</v>
      </c>
      <c r="AY15" s="300"/>
      <c r="AZ15" s="300">
        <f t="shared" si="26"/>
        <v>158</v>
      </c>
      <c r="BA15" s="300"/>
      <c r="BB15" s="301">
        <v>80</v>
      </c>
      <c r="BC15" s="300">
        <f t="shared" si="14"/>
        <v>1272.98</v>
      </c>
      <c r="BD15" s="302"/>
      <c r="BE15" s="306"/>
      <c r="BF15" s="306"/>
      <c r="BG15" s="306"/>
      <c r="BH15" s="306"/>
    </row>
    <row r="16" s="191" customFormat="1" ht="18" customHeight="1" spans="1:60">
      <c r="A16" s="214"/>
      <c r="B16" s="215"/>
      <c r="C16" s="216"/>
      <c r="D16" s="217"/>
      <c r="E16" s="218"/>
      <c r="F16" s="219"/>
      <c r="G16" s="220"/>
      <c r="H16" s="221"/>
      <c r="I16" s="217"/>
      <c r="J16" s="221"/>
      <c r="K16" s="221"/>
      <c r="L16" s="235"/>
      <c r="M16" s="235"/>
      <c r="N16" s="236"/>
      <c r="O16" s="235"/>
      <c r="P16" s="235"/>
      <c r="Q16" s="235"/>
      <c r="R16" s="235"/>
      <c r="S16" s="235"/>
      <c r="T16" s="235"/>
      <c r="U16" s="235"/>
      <c r="V16" s="238"/>
      <c r="W16" s="238"/>
      <c r="X16" s="239"/>
      <c r="Y16" s="238"/>
      <c r="Z16" s="235"/>
      <c r="AA16" s="235"/>
      <c r="AB16" s="235"/>
      <c r="AC16" s="235"/>
      <c r="AD16" s="235"/>
      <c r="AE16" s="235"/>
      <c r="AF16" s="236"/>
      <c r="AG16" s="235"/>
      <c r="AH16" s="235"/>
      <c r="AI16" s="235"/>
      <c r="AJ16" s="235"/>
      <c r="AK16" s="235"/>
      <c r="AL16" s="243"/>
      <c r="AM16" s="235"/>
      <c r="AN16" s="235"/>
      <c r="AO16" s="235"/>
      <c r="AP16" s="252"/>
      <c r="AQ16" s="253"/>
      <c r="AR16" s="235"/>
      <c r="AS16" s="254"/>
      <c r="AT16" s="254"/>
      <c r="AU16" s="254"/>
      <c r="AV16" s="254"/>
      <c r="AW16" s="254"/>
      <c r="AX16" s="267"/>
      <c r="AY16" s="268"/>
      <c r="AZ16" s="267"/>
      <c r="BA16" s="268"/>
      <c r="BB16" s="269"/>
      <c r="BC16" s="267"/>
      <c r="BD16" s="271"/>
      <c r="BE16" s="187"/>
      <c r="BF16" s="187"/>
      <c r="BG16" s="187"/>
      <c r="BH16" s="187"/>
    </row>
    <row r="17" s="187" customFormat="1" ht="14.25" spans="1:56">
      <c r="A17" s="222" t="s">
        <v>159</v>
      </c>
      <c r="B17" s="223"/>
      <c r="C17" s="224"/>
      <c r="D17" s="224"/>
      <c r="E17" s="225"/>
      <c r="F17" s="224"/>
      <c r="G17" s="224"/>
      <c r="H17" s="224"/>
      <c r="I17" s="224"/>
      <c r="J17" s="224"/>
      <c r="K17" s="224"/>
      <c r="L17" s="225">
        <f t="shared" ref="L17:BC17" si="27">SUM(L3:L15)</f>
        <v>33521.2</v>
      </c>
      <c r="M17" s="225">
        <f t="shared" si="27"/>
        <v>1.54</v>
      </c>
      <c r="N17" s="225">
        <f t="shared" si="27"/>
        <v>5135.22</v>
      </c>
      <c r="O17" s="225">
        <f t="shared" si="27"/>
        <v>0.8</v>
      </c>
      <c r="P17" s="225">
        <f t="shared" si="27"/>
        <v>2681.68</v>
      </c>
      <c r="Q17" s="225">
        <f t="shared" si="27"/>
        <v>40637.2</v>
      </c>
      <c r="R17" s="225">
        <f t="shared" si="27"/>
        <v>0.645</v>
      </c>
      <c r="S17" s="225">
        <f t="shared" si="27"/>
        <v>2543.61</v>
      </c>
      <c r="T17" s="225">
        <f t="shared" si="27"/>
        <v>0.2</v>
      </c>
      <c r="U17" s="225">
        <f t="shared" si="27"/>
        <v>812.74</v>
      </c>
      <c r="V17" s="225">
        <f t="shared" si="27"/>
        <v>33521.2</v>
      </c>
      <c r="W17" s="225">
        <f t="shared" si="27"/>
        <v>0.0586</v>
      </c>
      <c r="X17" s="225">
        <f t="shared" si="27"/>
        <v>191.29</v>
      </c>
      <c r="Y17" s="225">
        <f t="shared" si="27"/>
        <v>0.027</v>
      </c>
      <c r="Z17" s="225">
        <f t="shared" si="27"/>
        <v>89.17</v>
      </c>
      <c r="AA17" s="225">
        <f t="shared" si="27"/>
        <v>30737.2</v>
      </c>
      <c r="AB17" s="225">
        <f t="shared" si="27"/>
        <v>0.0535</v>
      </c>
      <c r="AC17" s="225">
        <f t="shared" si="27"/>
        <v>242.95</v>
      </c>
      <c r="AD17" s="225">
        <f t="shared" si="27"/>
        <v>35930.2</v>
      </c>
      <c r="AE17" s="225">
        <f t="shared" si="27"/>
        <v>0.0236</v>
      </c>
      <c r="AF17" s="225">
        <f t="shared" si="27"/>
        <v>66.32</v>
      </c>
      <c r="AG17" s="225">
        <f t="shared" si="27"/>
        <v>9000</v>
      </c>
      <c r="AH17" s="225">
        <f t="shared" si="27"/>
        <v>0.5</v>
      </c>
      <c r="AI17" s="225">
        <f t="shared" si="27"/>
        <v>1216</v>
      </c>
      <c r="AJ17" s="225">
        <f t="shared" si="27"/>
        <v>0.38</v>
      </c>
      <c r="AK17" s="225">
        <f t="shared" si="27"/>
        <v>856</v>
      </c>
      <c r="AL17" s="225">
        <f t="shared" si="27"/>
        <v>0</v>
      </c>
      <c r="AM17" s="225">
        <f t="shared" si="27"/>
        <v>0</v>
      </c>
      <c r="AN17" s="225">
        <f t="shared" si="27"/>
        <v>0</v>
      </c>
      <c r="AO17" s="225">
        <f t="shared" si="27"/>
        <v>0</v>
      </c>
      <c r="AP17" s="225">
        <f t="shared" si="27"/>
        <v>0</v>
      </c>
      <c r="AQ17" s="225">
        <f t="shared" si="27"/>
        <v>95.28</v>
      </c>
      <c r="AR17" s="225">
        <f t="shared" si="27"/>
        <v>96</v>
      </c>
      <c r="AS17" s="225">
        <f t="shared" si="27"/>
        <v>8274.67</v>
      </c>
      <c r="AT17" s="225">
        <f t="shared" si="27"/>
        <v>3583.59</v>
      </c>
      <c r="AU17" s="225">
        <f t="shared" si="27"/>
        <v>1216</v>
      </c>
      <c r="AV17" s="225">
        <f t="shared" si="27"/>
        <v>856</v>
      </c>
      <c r="AW17" s="225">
        <f t="shared" si="27"/>
        <v>13930.26</v>
      </c>
      <c r="AX17" s="225">
        <f t="shared" si="27"/>
        <v>11858.26</v>
      </c>
      <c r="AY17" s="225">
        <f t="shared" si="27"/>
        <v>0</v>
      </c>
      <c r="AZ17" s="225">
        <f t="shared" si="27"/>
        <v>2072</v>
      </c>
      <c r="BA17" s="225">
        <f t="shared" si="27"/>
        <v>0</v>
      </c>
      <c r="BB17" s="225">
        <f t="shared" si="27"/>
        <v>800</v>
      </c>
      <c r="BC17" s="225">
        <f t="shared" si="27"/>
        <v>14730.26</v>
      </c>
      <c r="BD17" s="272"/>
    </row>
    <row r="18" s="187" customFormat="1" ht="15" spans="1:56">
      <c r="A18" s="226" t="s">
        <v>93</v>
      </c>
      <c r="B18" s="227"/>
      <c r="C18" s="228"/>
      <c r="D18" s="228"/>
      <c r="E18" s="229"/>
      <c r="F18" s="229"/>
      <c r="G18" s="229"/>
      <c r="H18" s="229"/>
      <c r="I18" s="229"/>
      <c r="J18" s="229"/>
      <c r="K18" s="229"/>
      <c r="L18" s="237">
        <f t="shared" ref="L18:AX18" si="28">SUM(L17:L17)</f>
        <v>33521.2</v>
      </c>
      <c r="M18" s="237">
        <f t="shared" si="28"/>
        <v>1.54</v>
      </c>
      <c r="N18" s="237">
        <f t="shared" si="28"/>
        <v>5135.22</v>
      </c>
      <c r="O18" s="237">
        <f t="shared" si="28"/>
        <v>0.8</v>
      </c>
      <c r="P18" s="237">
        <f t="shared" si="28"/>
        <v>2681.68</v>
      </c>
      <c r="Q18" s="237">
        <f t="shared" si="28"/>
        <v>40637.2</v>
      </c>
      <c r="R18" s="237">
        <f t="shared" si="28"/>
        <v>0.645</v>
      </c>
      <c r="S18" s="237">
        <f t="shared" si="28"/>
        <v>2543.61</v>
      </c>
      <c r="T18" s="237">
        <f t="shared" si="28"/>
        <v>0.2</v>
      </c>
      <c r="U18" s="237">
        <f t="shared" si="28"/>
        <v>812.74</v>
      </c>
      <c r="V18" s="237">
        <f t="shared" si="28"/>
        <v>33521.2</v>
      </c>
      <c r="W18" s="237">
        <f t="shared" si="28"/>
        <v>0.0586</v>
      </c>
      <c r="X18" s="237">
        <f t="shared" si="28"/>
        <v>191.29</v>
      </c>
      <c r="Y18" s="237">
        <f t="shared" si="28"/>
        <v>0.027</v>
      </c>
      <c r="Z18" s="237">
        <f t="shared" si="28"/>
        <v>89.17</v>
      </c>
      <c r="AA18" s="237">
        <f t="shared" si="28"/>
        <v>30737.2</v>
      </c>
      <c r="AB18" s="237">
        <f t="shared" si="28"/>
        <v>0.0535</v>
      </c>
      <c r="AC18" s="237">
        <f t="shared" si="28"/>
        <v>242.95</v>
      </c>
      <c r="AD18" s="237">
        <f t="shared" si="28"/>
        <v>35930.2</v>
      </c>
      <c r="AE18" s="237">
        <f t="shared" si="28"/>
        <v>0.0236</v>
      </c>
      <c r="AF18" s="237">
        <f t="shared" si="28"/>
        <v>66.32</v>
      </c>
      <c r="AG18" s="237">
        <f t="shared" si="28"/>
        <v>9000</v>
      </c>
      <c r="AH18" s="237">
        <f t="shared" si="28"/>
        <v>0.5</v>
      </c>
      <c r="AI18" s="237">
        <f t="shared" si="28"/>
        <v>1216</v>
      </c>
      <c r="AJ18" s="237">
        <f t="shared" si="28"/>
        <v>0.38</v>
      </c>
      <c r="AK18" s="237">
        <f t="shared" si="28"/>
        <v>856</v>
      </c>
      <c r="AL18" s="237">
        <f t="shared" si="28"/>
        <v>0</v>
      </c>
      <c r="AM18" s="237">
        <f t="shared" si="28"/>
        <v>0</v>
      </c>
      <c r="AN18" s="237">
        <f t="shared" si="28"/>
        <v>0</v>
      </c>
      <c r="AO18" s="237">
        <f t="shared" si="28"/>
        <v>0</v>
      </c>
      <c r="AP18" s="237">
        <f t="shared" si="28"/>
        <v>0</v>
      </c>
      <c r="AQ18" s="237">
        <f t="shared" si="28"/>
        <v>95.28</v>
      </c>
      <c r="AR18" s="237">
        <f t="shared" si="28"/>
        <v>96</v>
      </c>
      <c r="AS18" s="255">
        <f t="shared" si="28"/>
        <v>8274.67</v>
      </c>
      <c r="AT18" s="255">
        <f t="shared" si="28"/>
        <v>3583.59</v>
      </c>
      <c r="AU18" s="255">
        <f t="shared" si="28"/>
        <v>1216</v>
      </c>
      <c r="AV18" s="255">
        <f t="shared" si="28"/>
        <v>856</v>
      </c>
      <c r="AW18" s="255">
        <f t="shared" si="28"/>
        <v>13930.26</v>
      </c>
      <c r="AX18" s="273">
        <f t="shared" si="28"/>
        <v>11858.26</v>
      </c>
      <c r="AY18" s="273"/>
      <c r="AZ18" s="273">
        <f t="shared" ref="AZ18:BC18" si="29">SUM(AZ17:AZ17)</f>
        <v>2072</v>
      </c>
      <c r="BA18" s="273"/>
      <c r="BB18" s="237">
        <f t="shared" si="29"/>
        <v>800</v>
      </c>
      <c r="BC18" s="237">
        <f t="shared" si="29"/>
        <v>14730.26</v>
      </c>
      <c r="BD18" s="274"/>
    </row>
    <row r="19" s="192" customFormat="1" spans="1:56">
      <c r="A19" s="230"/>
      <c r="B19" s="230"/>
      <c r="C19" s="230"/>
      <c r="D19" s="230"/>
      <c r="E19" s="230"/>
      <c r="F19" s="231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56"/>
      <c r="AT19" s="256"/>
      <c r="AU19" s="256"/>
      <c r="AV19" s="256"/>
      <c r="AW19" s="256"/>
      <c r="AX19" s="230"/>
      <c r="AY19" s="230"/>
      <c r="AZ19" s="230"/>
      <c r="BA19" s="230"/>
      <c r="BB19" s="230"/>
      <c r="BC19" s="230"/>
      <c r="BD19" s="275"/>
    </row>
    <row r="20" s="193" customFormat="1" spans="1:56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187"/>
      <c r="AK20" s="187"/>
      <c r="AL20" s="187"/>
      <c r="AM20" s="187"/>
      <c r="AN20" s="187"/>
      <c r="AO20" s="187"/>
      <c r="AP20" s="187"/>
      <c r="AQ20" s="187"/>
      <c r="AR20" s="187"/>
      <c r="AS20" s="194"/>
      <c r="AT20" s="194"/>
      <c r="AU20" s="194"/>
      <c r="AV20" s="194"/>
      <c r="AW20" s="194"/>
      <c r="AX20" s="187"/>
      <c r="AY20" s="187"/>
      <c r="AZ20" s="187"/>
      <c r="BA20" s="187"/>
      <c r="BB20" s="187"/>
      <c r="BC20" s="187"/>
      <c r="BD20" s="195"/>
    </row>
    <row r="21" s="187" customFormat="1" spans="45:56">
      <c r="AS21" s="194"/>
      <c r="AT21" s="194"/>
      <c r="AU21" s="194"/>
      <c r="AV21" s="194"/>
      <c r="AW21" s="194"/>
      <c r="BD21" s="195"/>
    </row>
    <row r="22" spans="50:55">
      <c r="AX22" s="276"/>
      <c r="AY22" s="276"/>
      <c r="BC22" s="277"/>
    </row>
    <row r="23" s="187" customFormat="1" spans="45:56">
      <c r="AS23" s="194"/>
      <c r="AT23" s="194"/>
      <c r="AU23" s="194"/>
      <c r="AV23" s="194"/>
      <c r="AW23" s="194"/>
      <c r="BD23" s="195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281" t="s">
        <v>86</v>
      </c>
      <c r="D4" s="37" t="s">
        <v>87</v>
      </c>
      <c r="E4" s="282" t="s">
        <v>88</v>
      </c>
      <c r="F4" s="38" t="str">
        <f>IF(MOD(MID(E4,17,1),2)=1,"男","女")</f>
        <v>男</v>
      </c>
      <c r="G4" s="283">
        <v>18035163638</v>
      </c>
      <c r="H4" s="284"/>
      <c r="I4" s="284"/>
      <c r="J4" s="286"/>
      <c r="K4" s="284"/>
      <c r="L4" s="287">
        <v>7700</v>
      </c>
      <c r="M4" s="287">
        <v>264</v>
      </c>
      <c r="N4" s="287">
        <v>66</v>
      </c>
      <c r="O4" s="287">
        <v>9.9</v>
      </c>
      <c r="P4" s="287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24680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>
        <v>4000</v>
      </c>
      <c r="Y4" s="70"/>
      <c r="Z4" s="70"/>
      <c r="AA4" s="70"/>
      <c r="AB4" s="90">
        <f>ROUND(SUM(V4:AA4),2)</f>
        <v>4000</v>
      </c>
      <c r="AC4" s="90">
        <f>R4+IFERROR(VLOOKUP($E:$E,'（居民）工资表-3月'!$E:$AC,25,0),0)</f>
        <v>0</v>
      </c>
      <c r="AD4" s="93">
        <f>ROUND(S4-T4-U4-AB4-AC4,2)</f>
        <v>-1399.6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52.8</v>
      </c>
      <c r="AG4" s="95">
        <f>IF((AE4-AF4)&lt;0,0,AE4-AF4)</f>
        <v>0</v>
      </c>
      <c r="AH4" s="102">
        <f>ROUND(IF((L4-Q4-AG4)&lt;0,0,(L4-Q4-AG4)),2)</f>
        <v>7180.1</v>
      </c>
      <c r="AI4" s="103"/>
      <c r="AJ4" s="102">
        <f>AH4+AI4</f>
        <v>7180.1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285" t="s">
        <v>89</v>
      </c>
      <c r="D5" s="37" t="s">
        <v>87</v>
      </c>
      <c r="E5" s="410" t="s">
        <v>90</v>
      </c>
      <c r="F5" s="38" t="str">
        <f>IF(MOD(MID(E5,17,1),2)=1,"男","女")</f>
        <v>女</v>
      </c>
      <c r="G5" s="283">
        <v>13926009696</v>
      </c>
      <c r="H5" s="284"/>
      <c r="I5" s="284"/>
      <c r="J5" s="286"/>
      <c r="K5" s="284"/>
      <c r="L5" s="287">
        <v>5800</v>
      </c>
      <c r="M5" s="287">
        <v>304.24</v>
      </c>
      <c r="N5" s="287">
        <v>123.5</v>
      </c>
      <c r="O5" s="287">
        <v>7.61</v>
      </c>
      <c r="P5" s="287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11600</v>
      </c>
      <c r="T5" s="91">
        <f>5000+IFERROR(VLOOKUP($E:$E,'（居民）工资表-3月'!$E:$T,16,0),0)</f>
        <v>10000</v>
      </c>
      <c r="U5" s="91">
        <f>Q5+IFERROR(VLOOKUP($E:$E,'（居民）工资表-3月'!$E:$U,17,0),0)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IFERROR(VLOOKUP(E:E,'（居民）工资表-3月'!E:AF,28,0)+VLOOKUP(E:E,'（居民）工资表-3月'!E:AG,29,0),0)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91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41180</v>
      </c>
      <c r="T7" s="74">
        <f t="shared" si="0"/>
        <v>35000</v>
      </c>
      <c r="U7" s="74">
        <f t="shared" si="0"/>
        <v>2950.3</v>
      </c>
      <c r="V7" s="74">
        <f t="shared" si="0"/>
        <v>0</v>
      </c>
      <c r="W7" s="74">
        <f t="shared" si="0"/>
        <v>0</v>
      </c>
      <c r="X7" s="74">
        <f t="shared" si="0"/>
        <v>4000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4000</v>
      </c>
      <c r="AC7" s="74">
        <f t="shared" si="0"/>
        <v>0</v>
      </c>
      <c r="AD7" s="74">
        <f t="shared" si="0"/>
        <v>-770.3</v>
      </c>
      <c r="AE7" s="74">
        <f t="shared" si="0"/>
        <v>21.88</v>
      </c>
      <c r="AF7" s="74">
        <f t="shared" si="0"/>
        <v>63.74</v>
      </c>
      <c r="AG7" s="74">
        <f t="shared" si="0"/>
        <v>10.94</v>
      </c>
      <c r="AH7" s="74">
        <f t="shared" si="0"/>
        <v>17433.81</v>
      </c>
      <c r="AI7" s="105">
        <f t="shared" si="0"/>
        <v>0</v>
      </c>
      <c r="AJ7" s="74">
        <f t="shared" si="0"/>
        <v>17433.81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64</v>
      </c>
      <c r="C11" s="47" t="s">
        <v>92</v>
      </c>
      <c r="D11" s="47" t="s">
        <v>65</v>
      </c>
      <c r="E11" s="47" t="s">
        <v>93</v>
      </c>
      <c r="AD11" s="10"/>
      <c r="AG11" s="288"/>
    </row>
    <row r="12" ht="18.75" customHeight="1" spans="2:5">
      <c r="B12" s="48">
        <f>AJ7</f>
        <v>17433.81</v>
      </c>
      <c r="C12" s="48">
        <f>AG7</f>
        <v>10.94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94</v>
      </c>
      <c r="B14" s="51" t="s">
        <v>95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96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97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99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100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101</v>
      </c>
    </row>
    <row r="22" spans="2:2">
      <c r="B22" s="59" t="s">
        <v>102</v>
      </c>
    </row>
    <row r="23" spans="2:2">
      <c r="B23" s="59" t="s">
        <v>103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2" priority="2" stopIfTrue="1"/>
  </conditionalFormatting>
  <conditionalFormatting sqref="B14:B18">
    <cfRule type="duplicateValues" dxfId="2" priority="3" stopIfTrue="1"/>
  </conditionalFormatting>
  <conditionalFormatting sqref="B22:B23">
    <cfRule type="duplicateValues" dxfId="2" priority="1" stopIfTrue="1"/>
  </conditionalFormatting>
  <conditionalFormatting sqref="C11:C13">
    <cfRule type="duplicateValues" dxfId="2" priority="4" stopIfTrue="1"/>
    <cfRule type="expression" dxfId="3" priority="5" stopIfTrue="1">
      <formula>AND(COUNTIF($B$7:$B$65443,C11)+COUNTIF($B$1:$B$3,C11)&gt;1,NOT(ISBLANK(C11)))</formula>
    </cfRule>
    <cfRule type="expression" dxfId="3" priority="6" stopIfTrue="1">
      <formula>AND(COUNTIF($B$18:$B$65394,C11)+COUNTIF($B$1:$B$17,C11)&gt;1,NOT(ISBLANK(C11)))</formula>
    </cfRule>
    <cfRule type="expression" dxfId="3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281" t="s">
        <v>86</v>
      </c>
      <c r="D4" s="37" t="s">
        <v>87</v>
      </c>
      <c r="E4" s="282" t="s">
        <v>88</v>
      </c>
      <c r="F4" s="38" t="str">
        <f t="shared" ref="F4:F7" si="0">IF(MOD(MID(E4,17,1),2)=1,"男","女")</f>
        <v>男</v>
      </c>
      <c r="G4" s="283">
        <v>18035163638</v>
      </c>
      <c r="H4" s="284"/>
      <c r="I4" s="284"/>
      <c r="J4" s="286"/>
      <c r="K4" s="284"/>
      <c r="L4" s="287">
        <v>7700</v>
      </c>
      <c r="M4" s="287">
        <v>264</v>
      </c>
      <c r="N4" s="287">
        <v>66</v>
      </c>
      <c r="O4" s="287">
        <v>9.9</v>
      </c>
      <c r="P4" s="287">
        <v>180</v>
      </c>
      <c r="Q4" s="89">
        <f t="shared" ref="Q4:Q7" si="1">ROUND(SUM(M4:P4),2)</f>
        <v>519.9</v>
      </c>
      <c r="R4" s="70">
        <v>0</v>
      </c>
      <c r="S4" s="90">
        <f>L4+IFERROR(VLOOKUP($E:$E,'（居民）工资表-4月'!$E:$S,15,0),0)</f>
        <v>32380</v>
      </c>
      <c r="T4" s="91">
        <f>5000+IFERROR(VLOOKUP($E:$E,'（居民）工资表-4月'!$E:$T,16,0),0)</f>
        <v>25000</v>
      </c>
      <c r="U4" s="91">
        <f>Q4+IFERROR(VLOOKUP($E:$E,'（居民）工资表-4月'!$E:$U,17,0),0)</f>
        <v>2599.5</v>
      </c>
      <c r="V4" s="70"/>
      <c r="W4" s="70"/>
      <c r="X4" s="70">
        <v>5000</v>
      </c>
      <c r="Y4" s="70"/>
      <c r="Z4" s="70"/>
      <c r="AA4" s="70"/>
      <c r="AB4" s="90">
        <f t="shared" ref="AB4:AB7" si="2">ROUND(SUM(V4:AA4),2)</f>
        <v>5000</v>
      </c>
      <c r="AC4" s="90">
        <f>R4+IFERROR(VLOOKUP($E:$E,'（居民）工资表-4月'!$E:$AC,25,0),0)</f>
        <v>0</v>
      </c>
      <c r="AD4" s="93">
        <f t="shared" ref="AD4:AD7" si="3">ROUND(S4-T4-U4-AB4-AC4,2)</f>
        <v>-219.5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52.8</v>
      </c>
      <c r="AG4" s="95">
        <f t="shared" ref="AG4:AG7" si="4">IF((AE4-AF4)&lt;0,0,AE4-AF4)</f>
        <v>0</v>
      </c>
      <c r="AH4" s="102">
        <f t="shared" ref="AH4:AH7" si="5">ROUND(IF((L4-Q4-AG4)&lt;0,0,(L4-Q4-AG4)),2)</f>
        <v>7180.1</v>
      </c>
      <c r="AI4" s="103"/>
      <c r="AJ4" s="102">
        <f t="shared" ref="AJ4:AJ7" si="6">AH4+AI4</f>
        <v>7180.1</v>
      </c>
      <c r="AK4" s="104"/>
      <c r="AL4" s="102">
        <f t="shared" ref="AL4:AL7" si="7">AJ4+AG4+AK4</f>
        <v>7180.1</v>
      </c>
      <c r="AM4" s="104"/>
      <c r="AN4" s="104"/>
      <c r="AO4" s="104"/>
      <c r="AP4" s="104"/>
      <c r="AQ4" s="104"/>
      <c r="AR4" s="111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285" t="s">
        <v>89</v>
      </c>
      <c r="D5" s="37" t="s">
        <v>87</v>
      </c>
      <c r="E5" s="410" t="s">
        <v>90</v>
      </c>
      <c r="F5" s="38" t="str">
        <f t="shared" si="0"/>
        <v>女</v>
      </c>
      <c r="G5" s="283">
        <v>13926009696</v>
      </c>
      <c r="H5" s="284"/>
      <c r="I5" s="284"/>
      <c r="J5" s="286"/>
      <c r="K5" s="284"/>
      <c r="L5" s="287">
        <v>5800</v>
      </c>
      <c r="M5" s="287">
        <v>304.24</v>
      </c>
      <c r="N5" s="287">
        <v>123.5</v>
      </c>
      <c r="O5" s="287">
        <v>7.61</v>
      </c>
      <c r="P5" s="287">
        <v>0</v>
      </c>
      <c r="Q5" s="89">
        <f t="shared" si="1"/>
        <v>435.35</v>
      </c>
      <c r="R5" s="70">
        <v>0</v>
      </c>
      <c r="S5" s="90">
        <f>L5+IFERROR(VLOOKUP($E:$E,'（居民）工资表-4月'!$E:$S,15,0),0)</f>
        <v>17400</v>
      </c>
      <c r="T5" s="91">
        <f>5000+IFERROR(VLOOKUP($E:$E,'（居民）工资表-4月'!$E:$T,16,0),0)</f>
        <v>15000</v>
      </c>
      <c r="U5" s="91">
        <f>Q5+IFERROR(VLOOKUP($E:$E,'（居民）工资表-4月'!$E:$U,17,0),0)</f>
        <v>1306.05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IFERROR(VLOOKUP(E:E,'（居民）工资表-4月'!E:AF,28,0)+VLOOKUP(E:E,'（居民）工资表-4月'!E:AG,29,0),0)</f>
        <v>21.88</v>
      </c>
      <c r="AG5" s="95">
        <f t="shared" si="4"/>
        <v>10.94</v>
      </c>
      <c r="AH5" s="102">
        <f t="shared" si="5"/>
        <v>5353.71</v>
      </c>
      <c r="AI5" s="103"/>
      <c r="AJ5" s="102">
        <f t="shared" si="6"/>
        <v>5353.71</v>
      </c>
      <c r="AK5" s="104"/>
      <c r="AL5" s="102">
        <f t="shared" si="7"/>
        <v>5364.65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tr">
        <f t="shared" si="0"/>
        <v>男</v>
      </c>
      <c r="G6" s="39">
        <v>13944441728</v>
      </c>
      <c r="H6" s="40"/>
      <c r="I6" s="40"/>
      <c r="J6" s="69"/>
      <c r="K6" s="40"/>
      <c r="L6" s="70">
        <v>8120</v>
      </c>
      <c r="M6" s="71">
        <f>244.24*2</f>
        <v>488.48</v>
      </c>
      <c r="N6" s="71">
        <f>61.06*2</f>
        <v>122.12</v>
      </c>
      <c r="O6" s="71">
        <f>9.16*2</f>
        <v>18.32</v>
      </c>
      <c r="P6" s="71">
        <f>79*2</f>
        <v>158</v>
      </c>
      <c r="Q6" s="89">
        <f t="shared" si="1"/>
        <v>786.92</v>
      </c>
      <c r="R6" s="70">
        <v>0</v>
      </c>
      <c r="S6" s="90">
        <f>L6+IFERROR(VLOOKUP($E:$E,'（居民）工资表-4月'!$E:$S,15,0),0)</f>
        <v>13020</v>
      </c>
      <c r="T6" s="91">
        <f>5000+IFERROR(VLOOKUP($E:$E,'（居民）工资表-4月'!$E:$T,16,0),0)</f>
        <v>10000</v>
      </c>
      <c r="U6" s="91">
        <f>Q6+IFERROR(VLOOKUP($E:$E,'（居民）工资表-4月'!$E:$U,17,0),0)</f>
        <v>786.92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2233.08</v>
      </c>
      <c r="AE6" s="94">
        <f>ROUND(MAX((AD6)*{0.03;0.1;0.2;0.25;0.3;0.35;0.45}-{0;2520;16920;31920;52920;85920;181920},0),2)</f>
        <v>66.99</v>
      </c>
      <c r="AF6" s="95">
        <f>IFERROR(VLOOKUP(E:E,'（居民）工资表-4月'!E:AF,28,0)+VLOOKUP(E:E,'（居民）工资表-4月'!E:AG,29,0),0)</f>
        <v>0</v>
      </c>
      <c r="AG6" s="95">
        <f t="shared" si="4"/>
        <v>66.99</v>
      </c>
      <c r="AH6" s="102">
        <f t="shared" si="5"/>
        <v>7266.09</v>
      </c>
      <c r="AI6" s="103"/>
      <c r="AJ6" s="102">
        <f t="shared" si="6"/>
        <v>7266.09</v>
      </c>
      <c r="AK6" s="104"/>
      <c r="AL6" s="102">
        <f t="shared" si="7"/>
        <v>7333.08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13" t="s">
        <v>161</v>
      </c>
      <c r="F7" s="38" t="str">
        <f t="shared" si="0"/>
        <v>男</v>
      </c>
      <c r="G7" s="39"/>
      <c r="H7" s="40"/>
      <c r="I7" s="40"/>
      <c r="J7" s="69"/>
      <c r="K7" s="40"/>
      <c r="L7" s="70">
        <v>11904.76</v>
      </c>
      <c r="M7" s="71"/>
      <c r="N7" s="71"/>
      <c r="O7" s="71"/>
      <c r="P7" s="71"/>
      <c r="Q7" s="89">
        <f t="shared" si="1"/>
        <v>0</v>
      </c>
      <c r="R7" s="70">
        <v>0</v>
      </c>
      <c r="S7" s="90">
        <f>L7+IFERROR(VLOOKUP($E:$E,'（居民）工资表-4月'!$E:$S,15,0),0)</f>
        <v>11904.76</v>
      </c>
      <c r="T7" s="91">
        <f>5000+IFERROR(VLOOKUP($E:$E,'（居民）工资表-4月'!$E:$T,16,0),0)</f>
        <v>5000</v>
      </c>
      <c r="U7" s="91">
        <f>Q7+IFERROR(VLOOKUP($E:$E,'（居民）工资表-4月'!$E:$U,17,0),0)</f>
        <v>0</v>
      </c>
      <c r="V7" s="70"/>
      <c r="W7" s="70"/>
      <c r="X7" s="70"/>
      <c r="Y7" s="70"/>
      <c r="Z7" s="70"/>
      <c r="AA7" s="70"/>
      <c r="AB7" s="90">
        <f t="shared" si="2"/>
        <v>0</v>
      </c>
      <c r="AC7" s="90">
        <f>R7+IFERROR(VLOOKUP($E:$E,'（居民）工资表-4月'!$E:$AC,25,0),0)</f>
        <v>0</v>
      </c>
      <c r="AD7" s="93">
        <f t="shared" si="3"/>
        <v>6904.76</v>
      </c>
      <c r="AE7" s="94">
        <f>ROUND(MAX((AD7)*{0.03;0.1;0.2;0.25;0.3;0.35;0.45}-{0;2520;16920;31920;52920;85920;181920},0),2)</f>
        <v>207.14</v>
      </c>
      <c r="AF7" s="95">
        <f>IFERROR(VLOOKUP(E:E,'（居民）工资表-4月'!E:AF,28,0)+VLOOKUP(E:E,'（居民）工资表-4月'!E:AG,29,0),0)</f>
        <v>0</v>
      </c>
      <c r="AG7" s="95">
        <f t="shared" si="4"/>
        <v>207.14</v>
      </c>
      <c r="AH7" s="102">
        <f t="shared" si="5"/>
        <v>11697.62</v>
      </c>
      <c r="AI7" s="103"/>
      <c r="AJ7" s="102">
        <f t="shared" si="6"/>
        <v>11697.62</v>
      </c>
      <c r="AK7" s="104"/>
      <c r="AL7" s="102">
        <f t="shared" si="7"/>
        <v>11904.76</v>
      </c>
      <c r="AM7" s="104"/>
      <c r="AN7" s="104"/>
      <c r="AO7" s="104"/>
      <c r="AP7" s="104"/>
      <c r="AQ7" s="104"/>
      <c r="AR7" s="111" t="str">
        <f t="shared" si="8"/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9">SUM(L4:L7)</f>
        <v>33524.76</v>
      </c>
      <c r="M8" s="74">
        <f t="shared" si="9"/>
        <v>1056.72</v>
      </c>
      <c r="N8" s="74">
        <f t="shared" si="9"/>
        <v>311.62</v>
      </c>
      <c r="O8" s="74">
        <f t="shared" si="9"/>
        <v>35.83</v>
      </c>
      <c r="P8" s="74">
        <f t="shared" si="9"/>
        <v>338</v>
      </c>
      <c r="Q8" s="74">
        <f t="shared" si="9"/>
        <v>1742.17</v>
      </c>
      <c r="R8" s="74">
        <f t="shared" si="9"/>
        <v>0</v>
      </c>
      <c r="S8" s="74">
        <f t="shared" si="9"/>
        <v>74704.76</v>
      </c>
      <c r="T8" s="74">
        <f t="shared" si="9"/>
        <v>55000</v>
      </c>
      <c r="U8" s="74">
        <f t="shared" si="9"/>
        <v>4692.47</v>
      </c>
      <c r="V8" s="74">
        <f t="shared" si="9"/>
        <v>0</v>
      </c>
      <c r="W8" s="74">
        <f t="shared" si="9"/>
        <v>0</v>
      </c>
      <c r="X8" s="74">
        <f t="shared" si="9"/>
        <v>5000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5000</v>
      </c>
      <c r="AC8" s="74">
        <f t="shared" si="9"/>
        <v>0</v>
      </c>
      <c r="AD8" s="74">
        <f t="shared" si="9"/>
        <v>10012.29</v>
      </c>
      <c r="AE8" s="74">
        <f t="shared" si="9"/>
        <v>306.95</v>
      </c>
      <c r="AF8" s="74">
        <f t="shared" si="9"/>
        <v>74.68</v>
      </c>
      <c r="AG8" s="74">
        <f t="shared" si="9"/>
        <v>285.07</v>
      </c>
      <c r="AH8" s="74">
        <f t="shared" si="9"/>
        <v>31497.52</v>
      </c>
      <c r="AI8" s="105">
        <f t="shared" si="9"/>
        <v>0</v>
      </c>
      <c r="AJ8" s="74">
        <f t="shared" si="9"/>
        <v>31497.52</v>
      </c>
      <c r="AK8" s="74">
        <f t="shared" si="9"/>
        <v>0</v>
      </c>
      <c r="AL8" s="74">
        <f t="shared" si="9"/>
        <v>31782.59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64</v>
      </c>
      <c r="C12" s="47" t="s">
        <v>92</v>
      </c>
      <c r="D12" s="47" t="s">
        <v>65</v>
      </c>
      <c r="E12" s="47" t="s">
        <v>93</v>
      </c>
      <c r="AD12" s="10"/>
      <c r="AG12" s="19"/>
    </row>
    <row r="13" ht="18.75" customHeight="1" spans="2:5">
      <c r="B13" s="48">
        <f>AJ8</f>
        <v>31497.52</v>
      </c>
      <c r="C13" s="48">
        <f>AG8</f>
        <v>285.07</v>
      </c>
      <c r="D13" s="48">
        <f>AK8</f>
        <v>0</v>
      </c>
      <c r="E13" s="48">
        <f>B13+C13+D13</f>
        <v>31782.59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35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BB29" sqref="BB29"/>
    </sheetView>
  </sheetViews>
  <sheetFormatPr defaultColWidth="9" defaultRowHeight="16.5"/>
  <cols>
    <col min="1" max="1" width="3.25" style="187" customWidth="1"/>
    <col min="2" max="2" width="19.25" style="187" customWidth="1"/>
    <col min="3" max="3" width="6" style="187" customWidth="1"/>
    <col min="4" max="4" width="8.5" style="187" hidden="1" customWidth="1"/>
    <col min="5" max="5" width="8.25" style="187" hidden="1" customWidth="1"/>
    <col min="6" max="6" width="11.875" style="187" customWidth="1"/>
    <col min="7" max="7" width="16.375" style="187" customWidth="1"/>
    <col min="8" max="11" width="8.5" style="187" customWidth="1"/>
    <col min="12" max="12" width="9.125" style="187" customWidth="1"/>
    <col min="13" max="14" width="9.25" style="187" customWidth="1"/>
    <col min="15" max="15" width="7.5" style="187" customWidth="1"/>
    <col min="16" max="16" width="11.25" style="187" customWidth="1"/>
    <col min="17" max="17" width="9.125" style="187" customWidth="1"/>
    <col min="18" max="21" width="9.25" style="187" customWidth="1"/>
    <col min="22" max="22" width="9.125" style="187" customWidth="1"/>
    <col min="23" max="26" width="9.25" style="187" customWidth="1"/>
    <col min="27" max="28" width="9.125" style="187" customWidth="1"/>
    <col min="29" max="29" width="9" style="187" customWidth="1"/>
    <col min="30" max="30" width="9.125" style="187" customWidth="1"/>
    <col min="31" max="31" width="9.25" style="187" customWidth="1"/>
    <col min="32" max="32" width="8.875" style="187" customWidth="1"/>
    <col min="33" max="33" width="9.125" style="187" customWidth="1"/>
    <col min="34" max="34" width="9.25" style="187" customWidth="1"/>
    <col min="35" max="35" width="11.125" style="187" customWidth="1"/>
    <col min="36" max="36" width="9.25" style="187" customWidth="1"/>
    <col min="37" max="37" width="8.25" style="187" customWidth="1"/>
    <col min="38" max="38" width="9.125" style="187" hidden="1" customWidth="1"/>
    <col min="39" max="39" width="9.25" style="187" hidden="1" customWidth="1"/>
    <col min="40" max="40" width="9.25" style="187" customWidth="1"/>
    <col min="41" max="42" width="9.25" style="187" hidden="1" customWidth="1"/>
    <col min="43" max="43" width="9.875" style="187" customWidth="1"/>
    <col min="44" max="44" width="9.375" style="187" customWidth="1"/>
    <col min="45" max="45" width="10.25" style="194" customWidth="1"/>
    <col min="46" max="46" width="10" style="194" customWidth="1"/>
    <col min="47" max="49" width="9.25" style="194" customWidth="1"/>
    <col min="50" max="50" width="9.25" style="187" customWidth="1"/>
    <col min="51" max="51" width="5.875" style="187" customWidth="1"/>
    <col min="52" max="52" width="8.375" style="187" customWidth="1"/>
    <col min="53" max="53" width="5.875" style="187" customWidth="1"/>
    <col min="54" max="54" width="8.875" style="187" customWidth="1"/>
    <col min="55" max="55" width="10.875" style="187" customWidth="1"/>
    <col min="56" max="56" width="40.25" style="195" customWidth="1"/>
    <col min="57" max="57" width="10.625" style="187" customWidth="1"/>
    <col min="58" max="16384" width="9" style="187"/>
  </cols>
  <sheetData>
    <row r="1" s="186" customFormat="1" ht="22.5" customHeight="1" spans="1:56">
      <c r="A1" s="196" t="s">
        <v>18</v>
      </c>
      <c r="B1" s="197" t="s">
        <v>104</v>
      </c>
      <c r="C1" s="197" t="s">
        <v>105</v>
      </c>
      <c r="D1" s="196" t="s">
        <v>106</v>
      </c>
      <c r="E1" s="197" t="s">
        <v>107</v>
      </c>
      <c r="F1" s="197" t="s">
        <v>108</v>
      </c>
      <c r="G1" s="197" t="s">
        <v>109</v>
      </c>
      <c r="H1" s="197" t="s">
        <v>110</v>
      </c>
      <c r="I1" s="197" t="s">
        <v>111</v>
      </c>
      <c r="J1" s="197" t="s">
        <v>112</v>
      </c>
      <c r="K1" s="197" t="s">
        <v>113</v>
      </c>
      <c r="L1" s="232" t="s">
        <v>114</v>
      </c>
      <c r="M1" s="232"/>
      <c r="N1" s="232"/>
      <c r="O1" s="232"/>
      <c r="P1" s="232"/>
      <c r="Q1" s="232" t="s">
        <v>115</v>
      </c>
      <c r="R1" s="232"/>
      <c r="S1" s="232"/>
      <c r="T1" s="232"/>
      <c r="U1" s="232"/>
      <c r="V1" s="232" t="s">
        <v>116</v>
      </c>
      <c r="W1" s="232"/>
      <c r="X1" s="232"/>
      <c r="Y1" s="232"/>
      <c r="Z1" s="232"/>
      <c r="AA1" s="196" t="s">
        <v>117</v>
      </c>
      <c r="AB1" s="196"/>
      <c r="AC1" s="196"/>
      <c r="AD1" s="196" t="s">
        <v>118</v>
      </c>
      <c r="AE1" s="196"/>
      <c r="AF1" s="196"/>
      <c r="AG1" s="232" t="s">
        <v>119</v>
      </c>
      <c r="AH1" s="232"/>
      <c r="AI1" s="232"/>
      <c r="AJ1" s="232"/>
      <c r="AK1" s="232"/>
      <c r="AL1" s="196" t="s">
        <v>120</v>
      </c>
      <c r="AM1" s="196"/>
      <c r="AN1" s="196"/>
      <c r="AO1" s="196"/>
      <c r="AP1" s="196"/>
      <c r="AQ1" s="196" t="s">
        <v>121</v>
      </c>
      <c r="AR1" s="196"/>
      <c r="AS1" s="244" t="s">
        <v>122</v>
      </c>
      <c r="AT1" s="244"/>
      <c r="AU1" s="244"/>
      <c r="AV1" s="244"/>
      <c r="AW1" s="244"/>
      <c r="AX1" s="196" t="s">
        <v>123</v>
      </c>
      <c r="AY1" s="196"/>
      <c r="AZ1" s="196" t="s">
        <v>124</v>
      </c>
      <c r="BA1" s="196"/>
      <c r="BB1" s="196" t="s">
        <v>65</v>
      </c>
      <c r="BC1" s="196" t="s">
        <v>93</v>
      </c>
      <c r="BD1" s="257" t="s">
        <v>23</v>
      </c>
    </row>
    <row r="2" s="187" customFormat="1" ht="22.5" customHeight="1" spans="1:56">
      <c r="A2" s="196"/>
      <c r="B2" s="198"/>
      <c r="C2" s="197"/>
      <c r="D2" s="196"/>
      <c r="E2" s="197"/>
      <c r="F2" s="199"/>
      <c r="G2" s="199"/>
      <c r="H2" s="197"/>
      <c r="I2" s="197"/>
      <c r="J2" s="197"/>
      <c r="K2" s="197"/>
      <c r="L2" s="233" t="s">
        <v>125</v>
      </c>
      <c r="M2" s="233" t="s">
        <v>126</v>
      </c>
      <c r="N2" s="233" t="s">
        <v>127</v>
      </c>
      <c r="O2" s="233" t="s">
        <v>128</v>
      </c>
      <c r="P2" s="233" t="s">
        <v>129</v>
      </c>
      <c r="Q2" s="233" t="s">
        <v>125</v>
      </c>
      <c r="R2" s="233" t="s">
        <v>126</v>
      </c>
      <c r="S2" s="233" t="s">
        <v>127</v>
      </c>
      <c r="T2" s="233" t="s">
        <v>128</v>
      </c>
      <c r="U2" s="233" t="s">
        <v>129</v>
      </c>
      <c r="V2" s="233" t="s">
        <v>125</v>
      </c>
      <c r="W2" s="233" t="s">
        <v>126</v>
      </c>
      <c r="X2" s="233" t="s">
        <v>127</v>
      </c>
      <c r="Y2" s="233" t="s">
        <v>128</v>
      </c>
      <c r="Z2" s="233" t="s">
        <v>129</v>
      </c>
      <c r="AA2" s="233" t="s">
        <v>125</v>
      </c>
      <c r="AB2" s="233" t="s">
        <v>130</v>
      </c>
      <c r="AC2" s="233" t="s">
        <v>22</v>
      </c>
      <c r="AD2" s="233" t="s">
        <v>125</v>
      </c>
      <c r="AE2" s="233" t="s">
        <v>130</v>
      </c>
      <c r="AF2" s="233" t="s">
        <v>22</v>
      </c>
      <c r="AG2" s="233" t="s">
        <v>125</v>
      </c>
      <c r="AH2" s="233" t="s">
        <v>126</v>
      </c>
      <c r="AI2" s="233" t="s">
        <v>127</v>
      </c>
      <c r="AJ2" s="233" t="s">
        <v>128</v>
      </c>
      <c r="AK2" s="233" t="s">
        <v>129</v>
      </c>
      <c r="AL2" s="233" t="s">
        <v>125</v>
      </c>
      <c r="AM2" s="233" t="s">
        <v>126</v>
      </c>
      <c r="AN2" s="233" t="s">
        <v>127</v>
      </c>
      <c r="AO2" s="233" t="s">
        <v>128</v>
      </c>
      <c r="AP2" s="233" t="s">
        <v>129</v>
      </c>
      <c r="AQ2" s="233" t="s">
        <v>131</v>
      </c>
      <c r="AR2" s="233" t="s">
        <v>132</v>
      </c>
      <c r="AS2" s="245" t="s">
        <v>133</v>
      </c>
      <c r="AT2" s="245" t="s">
        <v>134</v>
      </c>
      <c r="AU2" s="245" t="s">
        <v>135</v>
      </c>
      <c r="AV2" s="245" t="s">
        <v>78</v>
      </c>
      <c r="AW2" s="245" t="s">
        <v>30</v>
      </c>
      <c r="AX2" s="196"/>
      <c r="AY2" s="196"/>
      <c r="AZ2" s="196"/>
      <c r="BA2" s="196"/>
      <c r="BB2" s="196"/>
      <c r="BC2" s="196"/>
      <c r="BD2" s="257"/>
    </row>
    <row r="3" s="188" customFormat="1" ht="18" customHeight="1" spans="1:60">
      <c r="A3" s="200">
        <v>1</v>
      </c>
      <c r="B3" s="201" t="s">
        <v>162</v>
      </c>
      <c r="C3" s="131" t="s">
        <v>163</v>
      </c>
      <c r="D3" s="141" t="s">
        <v>138</v>
      </c>
      <c r="E3" s="142" t="s">
        <v>146</v>
      </c>
      <c r="F3" s="143" t="s">
        <v>164</v>
      </c>
      <c r="G3" s="144" t="s">
        <v>165</v>
      </c>
      <c r="H3" s="141" t="s">
        <v>166</v>
      </c>
      <c r="I3" s="141" t="s">
        <v>166</v>
      </c>
      <c r="J3" s="141" t="s">
        <v>167</v>
      </c>
      <c r="K3" s="141" t="s">
        <v>167</v>
      </c>
      <c r="L3" s="200">
        <v>2075</v>
      </c>
      <c r="M3" s="200">
        <v>0.16</v>
      </c>
      <c r="N3" s="200">
        <f t="shared" ref="N3:N27" si="0">ROUND(L3*M3,2)</f>
        <v>332</v>
      </c>
      <c r="O3" s="200">
        <v>0.08</v>
      </c>
      <c r="P3" s="200">
        <f t="shared" ref="P3:P27" si="1">ROUND(L3*O3,2)</f>
        <v>166</v>
      </c>
      <c r="Q3" s="200">
        <v>3676</v>
      </c>
      <c r="R3" s="200">
        <v>0.08</v>
      </c>
      <c r="S3" s="200">
        <f t="shared" ref="S3:S27" si="2">ROUND(Q3*R3,2)</f>
        <v>294.08</v>
      </c>
      <c r="T3" s="200">
        <v>0.02</v>
      </c>
      <c r="U3" s="200">
        <f t="shared" ref="U3:U27" si="3">ROUND(Q3*T3,2)</f>
        <v>73.52</v>
      </c>
      <c r="V3" s="200">
        <v>2075</v>
      </c>
      <c r="W3" s="200">
        <v>0.005</v>
      </c>
      <c r="X3" s="200">
        <f t="shared" ref="X3:X27" si="4">ROUND(V3*W3,2)</f>
        <v>10.38</v>
      </c>
      <c r="Y3" s="200">
        <v>0.005</v>
      </c>
      <c r="Z3" s="200">
        <f t="shared" ref="Z3:Z27" si="5">ROUND(V3*Y3,2)</f>
        <v>10.38</v>
      </c>
      <c r="AA3" s="200">
        <v>3676</v>
      </c>
      <c r="AB3" s="200">
        <v>0.007</v>
      </c>
      <c r="AC3" s="200">
        <f>ROUND(AA3*AB3,2)</f>
        <v>25.73</v>
      </c>
      <c r="AD3" s="200">
        <v>3488.4</v>
      </c>
      <c r="AE3" s="200">
        <v>0.0035</v>
      </c>
      <c r="AF3" s="200">
        <f t="shared" ref="AF3:AF27" si="6">ROUND(AD3*AE3,2)</f>
        <v>12.21</v>
      </c>
      <c r="AG3" s="200">
        <v>1720</v>
      </c>
      <c r="AH3" s="200">
        <v>0.05</v>
      </c>
      <c r="AI3" s="200">
        <f t="shared" ref="AI3:AI27" si="7">ROUND(AG3*AH3,2)</f>
        <v>86</v>
      </c>
      <c r="AJ3" s="200">
        <v>0.05</v>
      </c>
      <c r="AK3" s="200">
        <f t="shared" ref="AK3:AK27" si="8">ROUND(AG3*AJ3,2)</f>
        <v>86</v>
      </c>
      <c r="AL3" s="240"/>
      <c r="AM3" s="200"/>
      <c r="AN3" s="200"/>
      <c r="AO3" s="200"/>
      <c r="AP3" s="142"/>
      <c r="AQ3" s="246"/>
      <c r="AR3" s="246"/>
      <c r="AS3" s="247">
        <f t="shared" ref="AS3:AS27" si="9">N3+S3+X3+AC3+AF3+AN3+AQ3</f>
        <v>674.4</v>
      </c>
      <c r="AT3" s="247">
        <f t="shared" ref="AT3:AT27" si="10">P3+U3+Z3</f>
        <v>249.9</v>
      </c>
      <c r="AU3" s="247">
        <f t="shared" ref="AU3:AU27" si="11">AI3</f>
        <v>86</v>
      </c>
      <c r="AV3" s="247">
        <f t="shared" ref="AV3:AV27" si="12">AK3</f>
        <v>86</v>
      </c>
      <c r="AW3" s="247">
        <f t="shared" ref="AW3:AW27" si="13">AV3+AS3+AT3+AU3</f>
        <v>1096.3</v>
      </c>
      <c r="AX3" s="258">
        <f t="shared" ref="AX3:AX27" si="14">AS3+AT3</f>
        <v>924.3</v>
      </c>
      <c r="AY3" s="258"/>
      <c r="AZ3" s="258">
        <f t="shared" ref="AZ3:AZ27" si="15">AU3+AV3</f>
        <v>172</v>
      </c>
      <c r="BA3" s="258"/>
      <c r="BB3" s="259">
        <v>80</v>
      </c>
      <c r="BC3" s="258">
        <f t="shared" ref="BC3:BC27" si="16">AX3+AZ3+BB3</f>
        <v>1176.3</v>
      </c>
      <c r="BD3" s="260"/>
      <c r="BE3" s="278"/>
      <c r="BF3" s="278"/>
      <c r="BG3" s="278"/>
      <c r="BH3" s="278"/>
    </row>
    <row r="4" s="188" customFormat="1" ht="18" customHeight="1" spans="1:60">
      <c r="A4" s="200">
        <v>2</v>
      </c>
      <c r="B4" s="201" t="s">
        <v>162</v>
      </c>
      <c r="C4" s="131" t="s">
        <v>168</v>
      </c>
      <c r="D4" s="141" t="s">
        <v>138</v>
      </c>
      <c r="E4" s="142" t="s">
        <v>146</v>
      </c>
      <c r="F4" s="143" t="s">
        <v>169</v>
      </c>
      <c r="G4" s="144" t="s">
        <v>170</v>
      </c>
      <c r="H4" s="141" t="s">
        <v>166</v>
      </c>
      <c r="I4" s="141" t="s">
        <v>166</v>
      </c>
      <c r="J4" s="141" t="s">
        <v>167</v>
      </c>
      <c r="K4" s="141" t="s">
        <v>167</v>
      </c>
      <c r="L4" s="200">
        <v>3430</v>
      </c>
      <c r="M4" s="200">
        <v>0.16</v>
      </c>
      <c r="N4" s="200">
        <f t="shared" si="0"/>
        <v>548.8</v>
      </c>
      <c r="O4" s="200">
        <v>0.08</v>
      </c>
      <c r="P4" s="200">
        <f t="shared" si="1"/>
        <v>274.4</v>
      </c>
      <c r="Q4" s="200">
        <v>3430</v>
      </c>
      <c r="R4" s="200">
        <v>0.064</v>
      </c>
      <c r="S4" s="200">
        <f t="shared" si="2"/>
        <v>219.52</v>
      </c>
      <c r="T4" s="200">
        <v>0.02</v>
      </c>
      <c r="U4" s="200">
        <f t="shared" si="3"/>
        <v>68.6</v>
      </c>
      <c r="V4" s="200">
        <v>3430</v>
      </c>
      <c r="W4" s="200">
        <v>0.005</v>
      </c>
      <c r="X4" s="200">
        <f t="shared" si="4"/>
        <v>17.15</v>
      </c>
      <c r="Y4" s="200">
        <v>0.005</v>
      </c>
      <c r="Z4" s="200">
        <f t="shared" si="5"/>
        <v>17.15</v>
      </c>
      <c r="AA4" s="200"/>
      <c r="AB4" s="200"/>
      <c r="AC4" s="200"/>
      <c r="AD4" s="200">
        <v>3430</v>
      </c>
      <c r="AE4" s="200">
        <v>0.002</v>
      </c>
      <c r="AF4" s="200">
        <f t="shared" si="6"/>
        <v>6.86</v>
      </c>
      <c r="AG4" s="200">
        <v>1650</v>
      </c>
      <c r="AH4" s="200">
        <v>0.05</v>
      </c>
      <c r="AI4" s="200">
        <f t="shared" si="7"/>
        <v>82.5</v>
      </c>
      <c r="AJ4" s="200">
        <v>0.05</v>
      </c>
      <c r="AK4" s="200">
        <f t="shared" si="8"/>
        <v>82.5</v>
      </c>
      <c r="AL4" s="240"/>
      <c r="AM4" s="200"/>
      <c r="AN4" s="200"/>
      <c r="AO4" s="200"/>
      <c r="AP4" s="142"/>
      <c r="AQ4" s="246">
        <v>15</v>
      </c>
      <c r="AR4" s="246"/>
      <c r="AS4" s="247">
        <f t="shared" si="9"/>
        <v>807.33</v>
      </c>
      <c r="AT4" s="247">
        <f t="shared" si="10"/>
        <v>360.15</v>
      </c>
      <c r="AU4" s="247">
        <f t="shared" si="11"/>
        <v>82.5</v>
      </c>
      <c r="AV4" s="247">
        <f t="shared" si="12"/>
        <v>82.5</v>
      </c>
      <c r="AW4" s="247">
        <f t="shared" si="13"/>
        <v>1332.48</v>
      </c>
      <c r="AX4" s="258">
        <f t="shared" si="14"/>
        <v>1167.48</v>
      </c>
      <c r="AY4" s="258"/>
      <c r="AZ4" s="258">
        <f t="shared" si="15"/>
        <v>165</v>
      </c>
      <c r="BA4" s="258"/>
      <c r="BB4" s="259">
        <v>80</v>
      </c>
      <c r="BC4" s="258">
        <f t="shared" si="16"/>
        <v>1412.48</v>
      </c>
      <c r="BD4" s="260"/>
      <c r="BE4" s="278"/>
      <c r="BF4" s="278"/>
      <c r="BG4" s="278"/>
      <c r="BH4" s="278"/>
    </row>
    <row r="5" s="188" customFormat="1" ht="18" customHeight="1" spans="1:60">
      <c r="A5" s="200">
        <v>3</v>
      </c>
      <c r="B5" s="201" t="s">
        <v>162</v>
      </c>
      <c r="C5" s="131" t="s">
        <v>168</v>
      </c>
      <c r="D5" s="141" t="s">
        <v>138</v>
      </c>
      <c r="E5" s="142" t="s">
        <v>146</v>
      </c>
      <c r="F5" s="143" t="s">
        <v>171</v>
      </c>
      <c r="G5" s="144" t="s">
        <v>172</v>
      </c>
      <c r="H5" s="141" t="s">
        <v>166</v>
      </c>
      <c r="I5" s="141" t="s">
        <v>166</v>
      </c>
      <c r="J5" s="141" t="s">
        <v>167</v>
      </c>
      <c r="K5" s="141" t="s">
        <v>167</v>
      </c>
      <c r="L5" s="200">
        <v>3430</v>
      </c>
      <c r="M5" s="200">
        <v>0.16</v>
      </c>
      <c r="N5" s="200">
        <f t="shared" si="0"/>
        <v>548.8</v>
      </c>
      <c r="O5" s="200">
        <v>0.08</v>
      </c>
      <c r="P5" s="200">
        <f t="shared" si="1"/>
        <v>274.4</v>
      </c>
      <c r="Q5" s="200">
        <v>3430</v>
      </c>
      <c r="R5" s="200">
        <v>0.064</v>
      </c>
      <c r="S5" s="200">
        <f t="shared" si="2"/>
        <v>219.52</v>
      </c>
      <c r="T5" s="200">
        <v>0.02</v>
      </c>
      <c r="U5" s="200">
        <f t="shared" si="3"/>
        <v>68.6</v>
      </c>
      <c r="V5" s="200">
        <v>3430</v>
      </c>
      <c r="W5" s="200">
        <v>0.005</v>
      </c>
      <c r="X5" s="200">
        <f t="shared" si="4"/>
        <v>17.15</v>
      </c>
      <c r="Y5" s="200">
        <v>0.005</v>
      </c>
      <c r="Z5" s="200">
        <f t="shared" si="5"/>
        <v>17.15</v>
      </c>
      <c r="AA5" s="200"/>
      <c r="AB5" s="200"/>
      <c r="AC5" s="200"/>
      <c r="AD5" s="200">
        <v>3430</v>
      </c>
      <c r="AE5" s="200">
        <v>0.002</v>
      </c>
      <c r="AF5" s="200">
        <f t="shared" si="6"/>
        <v>6.86</v>
      </c>
      <c r="AG5" s="200">
        <v>1650</v>
      </c>
      <c r="AH5" s="200">
        <v>0.05</v>
      </c>
      <c r="AI5" s="200">
        <f t="shared" si="7"/>
        <v>82.5</v>
      </c>
      <c r="AJ5" s="200">
        <v>0.05</v>
      </c>
      <c r="AK5" s="200">
        <f t="shared" si="8"/>
        <v>82.5</v>
      </c>
      <c r="AL5" s="240"/>
      <c r="AM5" s="200"/>
      <c r="AN5" s="200"/>
      <c r="AO5" s="200"/>
      <c r="AP5" s="142"/>
      <c r="AQ5" s="246">
        <v>15</v>
      </c>
      <c r="AR5" s="246"/>
      <c r="AS5" s="247">
        <f t="shared" si="9"/>
        <v>807.33</v>
      </c>
      <c r="AT5" s="247">
        <f t="shared" si="10"/>
        <v>360.15</v>
      </c>
      <c r="AU5" s="247">
        <f t="shared" si="11"/>
        <v>82.5</v>
      </c>
      <c r="AV5" s="247">
        <f t="shared" si="12"/>
        <v>82.5</v>
      </c>
      <c r="AW5" s="247">
        <f t="shared" si="13"/>
        <v>1332.48</v>
      </c>
      <c r="AX5" s="258">
        <f t="shared" si="14"/>
        <v>1167.48</v>
      </c>
      <c r="AY5" s="258"/>
      <c r="AZ5" s="258">
        <f t="shared" si="15"/>
        <v>165</v>
      </c>
      <c r="BA5" s="258"/>
      <c r="BB5" s="259">
        <v>80</v>
      </c>
      <c r="BC5" s="258">
        <f t="shared" si="16"/>
        <v>1412.48</v>
      </c>
      <c r="BD5" s="260"/>
      <c r="BE5" s="278"/>
      <c r="BF5" s="278"/>
      <c r="BG5" s="278"/>
      <c r="BH5" s="278"/>
    </row>
    <row r="6" s="188" customFormat="1" ht="18" customHeight="1" spans="1:60">
      <c r="A6" s="200">
        <v>4</v>
      </c>
      <c r="B6" s="201" t="s">
        <v>162</v>
      </c>
      <c r="C6" s="131" t="s">
        <v>168</v>
      </c>
      <c r="D6" s="141" t="s">
        <v>138</v>
      </c>
      <c r="E6" s="142" t="s">
        <v>146</v>
      </c>
      <c r="F6" s="143" t="s">
        <v>173</v>
      </c>
      <c r="G6" s="144" t="s">
        <v>174</v>
      </c>
      <c r="H6" s="141" t="s">
        <v>166</v>
      </c>
      <c r="I6" s="141" t="s">
        <v>166</v>
      </c>
      <c r="J6" s="141" t="s">
        <v>167</v>
      </c>
      <c r="K6" s="141" t="s">
        <v>167</v>
      </c>
      <c r="L6" s="200">
        <v>3430</v>
      </c>
      <c r="M6" s="200">
        <v>0.16</v>
      </c>
      <c r="N6" s="200">
        <f t="shared" si="0"/>
        <v>548.8</v>
      </c>
      <c r="O6" s="200">
        <v>0.08</v>
      </c>
      <c r="P6" s="200">
        <f t="shared" si="1"/>
        <v>274.4</v>
      </c>
      <c r="Q6" s="200">
        <v>3430</v>
      </c>
      <c r="R6" s="200">
        <v>0.064</v>
      </c>
      <c r="S6" s="200">
        <f t="shared" si="2"/>
        <v>219.52</v>
      </c>
      <c r="T6" s="200">
        <v>0.02</v>
      </c>
      <c r="U6" s="200">
        <f t="shared" si="3"/>
        <v>68.6</v>
      </c>
      <c r="V6" s="200">
        <v>3430</v>
      </c>
      <c r="W6" s="200">
        <v>0.005</v>
      </c>
      <c r="X6" s="200">
        <f t="shared" si="4"/>
        <v>17.15</v>
      </c>
      <c r="Y6" s="200">
        <v>0.005</v>
      </c>
      <c r="Z6" s="200">
        <f t="shared" si="5"/>
        <v>17.15</v>
      </c>
      <c r="AA6" s="200"/>
      <c r="AB6" s="200"/>
      <c r="AC6" s="200"/>
      <c r="AD6" s="200">
        <v>3430</v>
      </c>
      <c r="AE6" s="200">
        <v>0.002</v>
      </c>
      <c r="AF6" s="200">
        <f t="shared" si="6"/>
        <v>6.86</v>
      </c>
      <c r="AG6" s="200">
        <v>1650</v>
      </c>
      <c r="AH6" s="200">
        <v>0.05</v>
      </c>
      <c r="AI6" s="200">
        <f t="shared" si="7"/>
        <v>82.5</v>
      </c>
      <c r="AJ6" s="200">
        <v>0.05</v>
      </c>
      <c r="AK6" s="200">
        <f t="shared" si="8"/>
        <v>82.5</v>
      </c>
      <c r="AL6" s="240"/>
      <c r="AM6" s="200"/>
      <c r="AN6" s="200"/>
      <c r="AO6" s="200"/>
      <c r="AP6" s="142"/>
      <c r="AQ6" s="246">
        <v>15</v>
      </c>
      <c r="AR6" s="246"/>
      <c r="AS6" s="247">
        <f t="shared" si="9"/>
        <v>807.33</v>
      </c>
      <c r="AT6" s="247">
        <f t="shared" si="10"/>
        <v>360.15</v>
      </c>
      <c r="AU6" s="247">
        <f t="shared" si="11"/>
        <v>82.5</v>
      </c>
      <c r="AV6" s="247">
        <f t="shared" si="12"/>
        <v>82.5</v>
      </c>
      <c r="AW6" s="247">
        <f t="shared" si="13"/>
        <v>1332.48</v>
      </c>
      <c r="AX6" s="258">
        <f t="shared" si="14"/>
        <v>1167.48</v>
      </c>
      <c r="AY6" s="258"/>
      <c r="AZ6" s="258">
        <f t="shared" si="15"/>
        <v>165</v>
      </c>
      <c r="BA6" s="258"/>
      <c r="BB6" s="259">
        <v>80</v>
      </c>
      <c r="BC6" s="258">
        <f t="shared" si="16"/>
        <v>1412.48</v>
      </c>
      <c r="BD6" s="260"/>
      <c r="BE6" s="278"/>
      <c r="BF6" s="278"/>
      <c r="BG6" s="278"/>
      <c r="BH6" s="278"/>
    </row>
    <row r="7" s="188" customFormat="1" ht="18" customHeight="1" spans="1:60">
      <c r="A7" s="200">
        <v>5</v>
      </c>
      <c r="B7" s="201" t="s">
        <v>162</v>
      </c>
      <c r="C7" s="131" t="s">
        <v>168</v>
      </c>
      <c r="D7" s="141" t="s">
        <v>138</v>
      </c>
      <c r="E7" s="142" t="s">
        <v>146</v>
      </c>
      <c r="F7" s="143" t="s">
        <v>175</v>
      </c>
      <c r="G7" s="144" t="s">
        <v>176</v>
      </c>
      <c r="H7" s="141" t="s">
        <v>166</v>
      </c>
      <c r="I7" s="141" t="s">
        <v>166</v>
      </c>
      <c r="J7" s="141" t="s">
        <v>167</v>
      </c>
      <c r="K7" s="141" t="s">
        <v>167</v>
      </c>
      <c r="L7" s="200">
        <v>3430</v>
      </c>
      <c r="M7" s="200">
        <v>0.16</v>
      </c>
      <c r="N7" s="200">
        <f t="shared" si="0"/>
        <v>548.8</v>
      </c>
      <c r="O7" s="200">
        <v>0.08</v>
      </c>
      <c r="P7" s="200">
        <f t="shared" si="1"/>
        <v>274.4</v>
      </c>
      <c r="Q7" s="200">
        <v>3430</v>
      </c>
      <c r="R7" s="200">
        <v>0.064</v>
      </c>
      <c r="S7" s="200">
        <f t="shared" si="2"/>
        <v>219.52</v>
      </c>
      <c r="T7" s="200">
        <v>0.02</v>
      </c>
      <c r="U7" s="200">
        <f t="shared" si="3"/>
        <v>68.6</v>
      </c>
      <c r="V7" s="200">
        <v>3430</v>
      </c>
      <c r="W7" s="200">
        <v>0.005</v>
      </c>
      <c r="X7" s="200">
        <f t="shared" si="4"/>
        <v>17.15</v>
      </c>
      <c r="Y7" s="200">
        <v>0.005</v>
      </c>
      <c r="Z7" s="200">
        <f t="shared" si="5"/>
        <v>17.15</v>
      </c>
      <c r="AA7" s="200"/>
      <c r="AB7" s="200"/>
      <c r="AC7" s="200"/>
      <c r="AD7" s="200">
        <v>3430</v>
      </c>
      <c r="AE7" s="200">
        <v>0.002</v>
      </c>
      <c r="AF7" s="200">
        <f t="shared" si="6"/>
        <v>6.86</v>
      </c>
      <c r="AG7" s="200">
        <v>1650</v>
      </c>
      <c r="AH7" s="200">
        <v>0.05</v>
      </c>
      <c r="AI7" s="200">
        <f t="shared" si="7"/>
        <v>82.5</v>
      </c>
      <c r="AJ7" s="200">
        <v>0.05</v>
      </c>
      <c r="AK7" s="200">
        <f t="shared" si="8"/>
        <v>82.5</v>
      </c>
      <c r="AL7" s="240"/>
      <c r="AM7" s="200"/>
      <c r="AN7" s="200"/>
      <c r="AO7" s="200"/>
      <c r="AP7" s="142"/>
      <c r="AQ7" s="246">
        <v>15</v>
      </c>
      <c r="AR7" s="246"/>
      <c r="AS7" s="247">
        <f t="shared" si="9"/>
        <v>807.33</v>
      </c>
      <c r="AT7" s="247">
        <f t="shared" si="10"/>
        <v>360.15</v>
      </c>
      <c r="AU7" s="247">
        <f t="shared" si="11"/>
        <v>82.5</v>
      </c>
      <c r="AV7" s="247">
        <f t="shared" si="12"/>
        <v>82.5</v>
      </c>
      <c r="AW7" s="247">
        <f t="shared" si="13"/>
        <v>1332.48</v>
      </c>
      <c r="AX7" s="258">
        <f t="shared" si="14"/>
        <v>1167.48</v>
      </c>
      <c r="AY7" s="258"/>
      <c r="AZ7" s="258">
        <f t="shared" si="15"/>
        <v>165</v>
      </c>
      <c r="BA7" s="258"/>
      <c r="BB7" s="259">
        <v>80</v>
      </c>
      <c r="BC7" s="258">
        <f t="shared" si="16"/>
        <v>1412.48</v>
      </c>
      <c r="BD7" s="260"/>
      <c r="BE7" s="278"/>
      <c r="BF7" s="278"/>
      <c r="BG7" s="278"/>
      <c r="BH7" s="278"/>
    </row>
    <row r="8" s="188" customFormat="1" ht="18" customHeight="1" spans="1:60">
      <c r="A8" s="200">
        <v>6</v>
      </c>
      <c r="B8" s="201" t="s">
        <v>162</v>
      </c>
      <c r="C8" s="131" t="s">
        <v>168</v>
      </c>
      <c r="D8" s="141" t="s">
        <v>138</v>
      </c>
      <c r="E8" s="142" t="s">
        <v>146</v>
      </c>
      <c r="F8" s="143" t="s">
        <v>177</v>
      </c>
      <c r="G8" s="144" t="s">
        <v>178</v>
      </c>
      <c r="H8" s="141" t="s">
        <v>166</v>
      </c>
      <c r="I8" s="141" t="s">
        <v>166</v>
      </c>
      <c r="J8" s="141" t="s">
        <v>167</v>
      </c>
      <c r="K8" s="141" t="s">
        <v>167</v>
      </c>
      <c r="L8" s="200">
        <v>3430</v>
      </c>
      <c r="M8" s="200">
        <v>0.16</v>
      </c>
      <c r="N8" s="200">
        <f t="shared" si="0"/>
        <v>548.8</v>
      </c>
      <c r="O8" s="200">
        <v>0.08</v>
      </c>
      <c r="P8" s="200">
        <f t="shared" si="1"/>
        <v>274.4</v>
      </c>
      <c r="Q8" s="200">
        <v>3430</v>
      </c>
      <c r="R8" s="200">
        <v>0.064</v>
      </c>
      <c r="S8" s="200">
        <f t="shared" si="2"/>
        <v>219.52</v>
      </c>
      <c r="T8" s="200">
        <v>0.02</v>
      </c>
      <c r="U8" s="200">
        <f t="shared" si="3"/>
        <v>68.6</v>
      </c>
      <c r="V8" s="200">
        <v>3430</v>
      </c>
      <c r="W8" s="200">
        <v>0.005</v>
      </c>
      <c r="X8" s="200">
        <f t="shared" si="4"/>
        <v>17.15</v>
      </c>
      <c r="Y8" s="200">
        <v>0.005</v>
      </c>
      <c r="Z8" s="200">
        <f t="shared" si="5"/>
        <v>17.15</v>
      </c>
      <c r="AA8" s="200"/>
      <c r="AB8" s="200"/>
      <c r="AC8" s="200"/>
      <c r="AD8" s="200">
        <v>3430</v>
      </c>
      <c r="AE8" s="200">
        <v>0.002</v>
      </c>
      <c r="AF8" s="200">
        <f t="shared" si="6"/>
        <v>6.86</v>
      </c>
      <c r="AG8" s="200">
        <v>1650</v>
      </c>
      <c r="AH8" s="200">
        <v>0.05</v>
      </c>
      <c r="AI8" s="200">
        <f t="shared" si="7"/>
        <v>82.5</v>
      </c>
      <c r="AJ8" s="200">
        <v>0.05</v>
      </c>
      <c r="AK8" s="200">
        <f t="shared" si="8"/>
        <v>82.5</v>
      </c>
      <c r="AL8" s="240"/>
      <c r="AM8" s="200"/>
      <c r="AN8" s="200"/>
      <c r="AO8" s="200"/>
      <c r="AP8" s="142"/>
      <c r="AQ8" s="246">
        <v>15</v>
      </c>
      <c r="AR8" s="246"/>
      <c r="AS8" s="247">
        <f t="shared" si="9"/>
        <v>807.33</v>
      </c>
      <c r="AT8" s="247">
        <f t="shared" si="10"/>
        <v>360.15</v>
      </c>
      <c r="AU8" s="247">
        <f t="shared" si="11"/>
        <v>82.5</v>
      </c>
      <c r="AV8" s="247">
        <f t="shared" si="12"/>
        <v>82.5</v>
      </c>
      <c r="AW8" s="247">
        <f t="shared" si="13"/>
        <v>1332.48</v>
      </c>
      <c r="AX8" s="258">
        <f t="shared" si="14"/>
        <v>1167.48</v>
      </c>
      <c r="AY8" s="258"/>
      <c r="AZ8" s="258">
        <f t="shared" si="15"/>
        <v>165</v>
      </c>
      <c r="BA8" s="258"/>
      <c r="BB8" s="259">
        <v>80</v>
      </c>
      <c r="BC8" s="258">
        <f t="shared" si="16"/>
        <v>1412.48</v>
      </c>
      <c r="BD8" s="260"/>
      <c r="BE8" s="278"/>
      <c r="BF8" s="278"/>
      <c r="BG8" s="278"/>
      <c r="BH8" s="278"/>
    </row>
    <row r="9" s="188" customFormat="1" ht="18" customHeight="1" spans="1:60">
      <c r="A9" s="200">
        <v>7</v>
      </c>
      <c r="B9" s="201" t="s">
        <v>162</v>
      </c>
      <c r="C9" s="131" t="s">
        <v>168</v>
      </c>
      <c r="D9" s="141" t="s">
        <v>138</v>
      </c>
      <c r="E9" s="142" t="s">
        <v>146</v>
      </c>
      <c r="F9" s="143" t="s">
        <v>179</v>
      </c>
      <c r="G9" s="144" t="s">
        <v>180</v>
      </c>
      <c r="H9" s="141" t="s">
        <v>166</v>
      </c>
      <c r="I9" s="141" t="s">
        <v>166</v>
      </c>
      <c r="J9" s="141" t="s">
        <v>167</v>
      </c>
      <c r="K9" s="141" t="s">
        <v>167</v>
      </c>
      <c r="L9" s="200">
        <v>3430</v>
      </c>
      <c r="M9" s="200">
        <v>0.16</v>
      </c>
      <c r="N9" s="200">
        <f t="shared" si="0"/>
        <v>548.8</v>
      </c>
      <c r="O9" s="200">
        <v>0.08</v>
      </c>
      <c r="P9" s="200">
        <f t="shared" si="1"/>
        <v>274.4</v>
      </c>
      <c r="Q9" s="200">
        <v>3430</v>
      </c>
      <c r="R9" s="200">
        <v>0.064</v>
      </c>
      <c r="S9" s="200">
        <f t="shared" si="2"/>
        <v>219.52</v>
      </c>
      <c r="T9" s="200">
        <v>0.02</v>
      </c>
      <c r="U9" s="200">
        <f t="shared" si="3"/>
        <v>68.6</v>
      </c>
      <c r="V9" s="200">
        <v>3430</v>
      </c>
      <c r="W9" s="200">
        <v>0.005</v>
      </c>
      <c r="X9" s="200">
        <f t="shared" si="4"/>
        <v>17.15</v>
      </c>
      <c r="Y9" s="200">
        <v>0.005</v>
      </c>
      <c r="Z9" s="200">
        <f t="shared" si="5"/>
        <v>17.15</v>
      </c>
      <c r="AA9" s="200"/>
      <c r="AB9" s="200"/>
      <c r="AC9" s="200"/>
      <c r="AD9" s="200">
        <v>3430</v>
      </c>
      <c r="AE9" s="200">
        <v>0.002</v>
      </c>
      <c r="AF9" s="200">
        <f t="shared" si="6"/>
        <v>6.86</v>
      </c>
      <c r="AG9" s="200">
        <v>11000</v>
      </c>
      <c r="AH9" s="200">
        <v>0.12</v>
      </c>
      <c r="AI9" s="200">
        <f t="shared" si="7"/>
        <v>1320</v>
      </c>
      <c r="AJ9" s="200">
        <v>0.12</v>
      </c>
      <c r="AK9" s="200">
        <f t="shared" si="8"/>
        <v>1320</v>
      </c>
      <c r="AL9" s="240"/>
      <c r="AM9" s="200"/>
      <c r="AN9" s="200"/>
      <c r="AO9" s="200"/>
      <c r="AP9" s="142"/>
      <c r="AQ9" s="246">
        <v>15</v>
      </c>
      <c r="AR9" s="246"/>
      <c r="AS9" s="247">
        <f t="shared" si="9"/>
        <v>807.33</v>
      </c>
      <c r="AT9" s="247">
        <f t="shared" si="10"/>
        <v>360.15</v>
      </c>
      <c r="AU9" s="247">
        <f t="shared" si="11"/>
        <v>1320</v>
      </c>
      <c r="AV9" s="247">
        <f t="shared" si="12"/>
        <v>1320</v>
      </c>
      <c r="AW9" s="247">
        <f t="shared" si="13"/>
        <v>3807.48</v>
      </c>
      <c r="AX9" s="258">
        <f t="shared" si="14"/>
        <v>1167.48</v>
      </c>
      <c r="AY9" s="258"/>
      <c r="AZ9" s="258">
        <f t="shared" si="15"/>
        <v>2640</v>
      </c>
      <c r="BA9" s="258"/>
      <c r="BB9" s="259">
        <v>80</v>
      </c>
      <c r="BC9" s="258">
        <f t="shared" si="16"/>
        <v>3887.48</v>
      </c>
      <c r="BD9" s="260"/>
      <c r="BE9" s="278"/>
      <c r="BF9" s="278"/>
      <c r="BG9" s="278"/>
      <c r="BH9" s="278"/>
    </row>
    <row r="10" s="188" customFormat="1" ht="18" customHeight="1" spans="1:60">
      <c r="A10" s="200">
        <v>8</v>
      </c>
      <c r="B10" s="201" t="s">
        <v>162</v>
      </c>
      <c r="C10" s="131" t="s">
        <v>168</v>
      </c>
      <c r="D10" s="141" t="s">
        <v>138</v>
      </c>
      <c r="E10" s="142" t="s">
        <v>146</v>
      </c>
      <c r="F10" s="143" t="s">
        <v>181</v>
      </c>
      <c r="G10" s="144" t="s">
        <v>182</v>
      </c>
      <c r="H10" s="141" t="s">
        <v>166</v>
      </c>
      <c r="I10" s="141" t="s">
        <v>166</v>
      </c>
      <c r="J10" s="141" t="s">
        <v>167</v>
      </c>
      <c r="K10" s="141" t="s">
        <v>167</v>
      </c>
      <c r="L10" s="200">
        <v>3430</v>
      </c>
      <c r="M10" s="200">
        <v>0.16</v>
      </c>
      <c r="N10" s="200">
        <f t="shared" si="0"/>
        <v>548.8</v>
      </c>
      <c r="O10" s="200">
        <v>0.08</v>
      </c>
      <c r="P10" s="200">
        <f t="shared" si="1"/>
        <v>274.4</v>
      </c>
      <c r="Q10" s="200">
        <v>3430</v>
      </c>
      <c r="R10" s="200">
        <v>0.064</v>
      </c>
      <c r="S10" s="200">
        <f t="shared" si="2"/>
        <v>219.52</v>
      </c>
      <c r="T10" s="200">
        <v>0.02</v>
      </c>
      <c r="U10" s="200">
        <f t="shared" si="3"/>
        <v>68.6</v>
      </c>
      <c r="V10" s="200">
        <v>3430</v>
      </c>
      <c r="W10" s="200">
        <v>0.005</v>
      </c>
      <c r="X10" s="200">
        <f t="shared" si="4"/>
        <v>17.15</v>
      </c>
      <c r="Y10" s="200">
        <v>0.005</v>
      </c>
      <c r="Z10" s="200">
        <f t="shared" si="5"/>
        <v>17.15</v>
      </c>
      <c r="AA10" s="200"/>
      <c r="AB10" s="200"/>
      <c r="AC10" s="200"/>
      <c r="AD10" s="200">
        <v>3430</v>
      </c>
      <c r="AE10" s="200">
        <v>0.002</v>
      </c>
      <c r="AF10" s="200">
        <f t="shared" si="6"/>
        <v>6.86</v>
      </c>
      <c r="AG10" s="200">
        <v>1650</v>
      </c>
      <c r="AH10" s="200">
        <v>0.05</v>
      </c>
      <c r="AI10" s="200">
        <f t="shared" si="7"/>
        <v>82.5</v>
      </c>
      <c r="AJ10" s="200">
        <v>0.05</v>
      </c>
      <c r="AK10" s="200">
        <f t="shared" si="8"/>
        <v>82.5</v>
      </c>
      <c r="AL10" s="240"/>
      <c r="AM10" s="200"/>
      <c r="AN10" s="200"/>
      <c r="AO10" s="200"/>
      <c r="AP10" s="142"/>
      <c r="AQ10" s="246">
        <v>15</v>
      </c>
      <c r="AR10" s="246"/>
      <c r="AS10" s="247">
        <f t="shared" si="9"/>
        <v>807.33</v>
      </c>
      <c r="AT10" s="247">
        <f t="shared" si="10"/>
        <v>360.15</v>
      </c>
      <c r="AU10" s="247">
        <f t="shared" si="11"/>
        <v>82.5</v>
      </c>
      <c r="AV10" s="247">
        <f t="shared" si="12"/>
        <v>82.5</v>
      </c>
      <c r="AW10" s="247">
        <f t="shared" si="13"/>
        <v>1332.48</v>
      </c>
      <c r="AX10" s="258">
        <f t="shared" si="14"/>
        <v>1167.48</v>
      </c>
      <c r="AY10" s="258"/>
      <c r="AZ10" s="258">
        <f t="shared" si="15"/>
        <v>165</v>
      </c>
      <c r="BA10" s="258"/>
      <c r="BB10" s="259">
        <v>80</v>
      </c>
      <c r="BC10" s="258">
        <f t="shared" si="16"/>
        <v>1412.48</v>
      </c>
      <c r="BD10" s="260"/>
      <c r="BE10" s="278"/>
      <c r="BF10" s="278"/>
      <c r="BG10" s="278"/>
      <c r="BH10" s="278"/>
    </row>
    <row r="11" s="188" customFormat="1" ht="18" customHeight="1" spans="1:60">
      <c r="A11" s="200">
        <v>9</v>
      </c>
      <c r="B11" s="201" t="s">
        <v>162</v>
      </c>
      <c r="C11" s="131" t="s">
        <v>168</v>
      </c>
      <c r="D11" s="141" t="s">
        <v>138</v>
      </c>
      <c r="E11" s="142" t="s">
        <v>146</v>
      </c>
      <c r="F11" s="143" t="s">
        <v>183</v>
      </c>
      <c r="G11" s="144" t="s">
        <v>184</v>
      </c>
      <c r="H11" s="141" t="s">
        <v>166</v>
      </c>
      <c r="I11" s="141" t="s">
        <v>166</v>
      </c>
      <c r="J11" s="141" t="s">
        <v>167</v>
      </c>
      <c r="K11" s="141" t="s">
        <v>167</v>
      </c>
      <c r="L11" s="200">
        <v>3430</v>
      </c>
      <c r="M11" s="200">
        <v>0.16</v>
      </c>
      <c r="N11" s="200">
        <f t="shared" si="0"/>
        <v>548.8</v>
      </c>
      <c r="O11" s="200">
        <v>0.08</v>
      </c>
      <c r="P11" s="200">
        <f t="shared" si="1"/>
        <v>274.4</v>
      </c>
      <c r="Q11" s="200">
        <v>3430</v>
      </c>
      <c r="R11" s="200">
        <v>0.064</v>
      </c>
      <c r="S11" s="200">
        <f t="shared" si="2"/>
        <v>219.52</v>
      </c>
      <c r="T11" s="200">
        <v>0.02</v>
      </c>
      <c r="U11" s="200">
        <f t="shared" si="3"/>
        <v>68.6</v>
      </c>
      <c r="V11" s="200">
        <v>3430</v>
      </c>
      <c r="W11" s="200">
        <v>0.005</v>
      </c>
      <c r="X11" s="200">
        <f t="shared" si="4"/>
        <v>17.15</v>
      </c>
      <c r="Y11" s="200">
        <v>0.005</v>
      </c>
      <c r="Z11" s="200">
        <f t="shared" si="5"/>
        <v>17.15</v>
      </c>
      <c r="AA11" s="200"/>
      <c r="AB11" s="200"/>
      <c r="AC11" s="200"/>
      <c r="AD11" s="200">
        <v>3430</v>
      </c>
      <c r="AE11" s="200">
        <v>0.002</v>
      </c>
      <c r="AF11" s="200">
        <f t="shared" si="6"/>
        <v>6.86</v>
      </c>
      <c r="AG11" s="200">
        <v>1650</v>
      </c>
      <c r="AH11" s="200">
        <v>0.05</v>
      </c>
      <c r="AI11" s="200">
        <f t="shared" si="7"/>
        <v>82.5</v>
      </c>
      <c r="AJ11" s="200">
        <v>0.05</v>
      </c>
      <c r="AK11" s="200">
        <f t="shared" si="8"/>
        <v>82.5</v>
      </c>
      <c r="AL11" s="240"/>
      <c r="AM11" s="200"/>
      <c r="AN11" s="200"/>
      <c r="AO11" s="200"/>
      <c r="AP11" s="142"/>
      <c r="AQ11" s="246">
        <v>15</v>
      </c>
      <c r="AR11" s="246"/>
      <c r="AS11" s="247">
        <f t="shared" si="9"/>
        <v>807.33</v>
      </c>
      <c r="AT11" s="247">
        <f t="shared" si="10"/>
        <v>360.15</v>
      </c>
      <c r="AU11" s="247">
        <f t="shared" si="11"/>
        <v>82.5</v>
      </c>
      <c r="AV11" s="247">
        <f t="shared" si="12"/>
        <v>82.5</v>
      </c>
      <c r="AW11" s="247">
        <f t="shared" si="13"/>
        <v>1332.48</v>
      </c>
      <c r="AX11" s="258">
        <f t="shared" si="14"/>
        <v>1167.48</v>
      </c>
      <c r="AY11" s="258"/>
      <c r="AZ11" s="258">
        <f t="shared" si="15"/>
        <v>165</v>
      </c>
      <c r="BA11" s="258"/>
      <c r="BB11" s="259">
        <v>80</v>
      </c>
      <c r="BC11" s="258">
        <f t="shared" si="16"/>
        <v>1412.48</v>
      </c>
      <c r="BD11" s="260"/>
      <c r="BE11" s="278"/>
      <c r="BF11" s="278"/>
      <c r="BG11" s="278"/>
      <c r="BH11" s="278"/>
    </row>
    <row r="12" s="188" customFormat="1" ht="18" customHeight="1" spans="1:60">
      <c r="A12" s="200">
        <v>10</v>
      </c>
      <c r="B12" s="201" t="s">
        <v>162</v>
      </c>
      <c r="C12" s="131" t="s">
        <v>168</v>
      </c>
      <c r="D12" s="141" t="s">
        <v>138</v>
      </c>
      <c r="E12" s="142" t="s">
        <v>146</v>
      </c>
      <c r="F12" s="143" t="s">
        <v>185</v>
      </c>
      <c r="G12" s="144" t="s">
        <v>186</v>
      </c>
      <c r="H12" s="141" t="s">
        <v>166</v>
      </c>
      <c r="I12" s="141" t="s">
        <v>166</v>
      </c>
      <c r="J12" s="141" t="s">
        <v>167</v>
      </c>
      <c r="K12" s="141" t="s">
        <v>167</v>
      </c>
      <c r="L12" s="200">
        <v>3430</v>
      </c>
      <c r="M12" s="200">
        <v>0.16</v>
      </c>
      <c r="N12" s="200">
        <f t="shared" si="0"/>
        <v>548.8</v>
      </c>
      <c r="O12" s="200">
        <v>0.08</v>
      </c>
      <c r="P12" s="200">
        <f t="shared" si="1"/>
        <v>274.4</v>
      </c>
      <c r="Q12" s="200">
        <v>3430</v>
      </c>
      <c r="R12" s="200">
        <v>0.064</v>
      </c>
      <c r="S12" s="200">
        <f t="shared" si="2"/>
        <v>219.52</v>
      </c>
      <c r="T12" s="200">
        <v>0.02</v>
      </c>
      <c r="U12" s="200">
        <f t="shared" si="3"/>
        <v>68.6</v>
      </c>
      <c r="V12" s="200">
        <v>3430</v>
      </c>
      <c r="W12" s="200">
        <v>0.005</v>
      </c>
      <c r="X12" s="200">
        <f t="shared" si="4"/>
        <v>17.15</v>
      </c>
      <c r="Y12" s="200">
        <v>0.005</v>
      </c>
      <c r="Z12" s="200">
        <f t="shared" si="5"/>
        <v>17.15</v>
      </c>
      <c r="AA12" s="200"/>
      <c r="AB12" s="200"/>
      <c r="AC12" s="200"/>
      <c r="AD12" s="200">
        <v>3430</v>
      </c>
      <c r="AE12" s="200">
        <v>0.002</v>
      </c>
      <c r="AF12" s="200">
        <f t="shared" si="6"/>
        <v>6.86</v>
      </c>
      <c r="AG12" s="200">
        <v>1650</v>
      </c>
      <c r="AH12" s="200">
        <v>0.05</v>
      </c>
      <c r="AI12" s="200">
        <f t="shared" si="7"/>
        <v>82.5</v>
      </c>
      <c r="AJ12" s="200">
        <v>0.05</v>
      </c>
      <c r="AK12" s="200">
        <f t="shared" si="8"/>
        <v>82.5</v>
      </c>
      <c r="AL12" s="240"/>
      <c r="AM12" s="200"/>
      <c r="AN12" s="200"/>
      <c r="AO12" s="200"/>
      <c r="AP12" s="142"/>
      <c r="AQ12" s="246">
        <v>15</v>
      </c>
      <c r="AR12" s="246"/>
      <c r="AS12" s="247">
        <f t="shared" si="9"/>
        <v>807.33</v>
      </c>
      <c r="AT12" s="247">
        <f t="shared" si="10"/>
        <v>360.15</v>
      </c>
      <c r="AU12" s="247">
        <f t="shared" si="11"/>
        <v>82.5</v>
      </c>
      <c r="AV12" s="247">
        <f t="shared" si="12"/>
        <v>82.5</v>
      </c>
      <c r="AW12" s="247">
        <f t="shared" si="13"/>
        <v>1332.48</v>
      </c>
      <c r="AX12" s="258">
        <f t="shared" si="14"/>
        <v>1167.48</v>
      </c>
      <c r="AY12" s="258"/>
      <c r="AZ12" s="258">
        <f t="shared" si="15"/>
        <v>165</v>
      </c>
      <c r="BA12" s="258"/>
      <c r="BB12" s="259">
        <v>80</v>
      </c>
      <c r="BC12" s="258">
        <f t="shared" si="16"/>
        <v>1412.48</v>
      </c>
      <c r="BD12" s="260"/>
      <c r="BE12" s="278"/>
      <c r="BF12" s="278"/>
      <c r="BG12" s="278"/>
      <c r="BH12" s="278"/>
    </row>
    <row r="13" s="188" customFormat="1" ht="18" customHeight="1" spans="1:60">
      <c r="A13" s="200">
        <v>11</v>
      </c>
      <c r="B13" s="201" t="s">
        <v>162</v>
      </c>
      <c r="C13" s="131" t="s">
        <v>168</v>
      </c>
      <c r="D13" s="141" t="s">
        <v>138</v>
      </c>
      <c r="E13" s="142" t="s">
        <v>146</v>
      </c>
      <c r="F13" s="143" t="s">
        <v>187</v>
      </c>
      <c r="G13" s="411" t="s">
        <v>188</v>
      </c>
      <c r="H13" s="141" t="s">
        <v>166</v>
      </c>
      <c r="I13" s="141" t="s">
        <v>166</v>
      </c>
      <c r="J13" s="141" t="s">
        <v>167</v>
      </c>
      <c r="K13" s="141" t="s">
        <v>167</v>
      </c>
      <c r="L13" s="200">
        <v>3430</v>
      </c>
      <c r="M13" s="200">
        <v>0.16</v>
      </c>
      <c r="N13" s="200">
        <f t="shared" si="0"/>
        <v>548.8</v>
      </c>
      <c r="O13" s="200">
        <v>0.08</v>
      </c>
      <c r="P13" s="200">
        <f t="shared" si="1"/>
        <v>274.4</v>
      </c>
      <c r="Q13" s="200">
        <v>3430</v>
      </c>
      <c r="R13" s="200">
        <v>0.064</v>
      </c>
      <c r="S13" s="200">
        <f t="shared" si="2"/>
        <v>219.52</v>
      </c>
      <c r="T13" s="200">
        <v>0.02</v>
      </c>
      <c r="U13" s="200">
        <f t="shared" si="3"/>
        <v>68.6</v>
      </c>
      <c r="V13" s="200">
        <v>3430</v>
      </c>
      <c r="W13" s="200">
        <v>0.005</v>
      </c>
      <c r="X13" s="200">
        <f t="shared" si="4"/>
        <v>17.15</v>
      </c>
      <c r="Y13" s="200">
        <v>0.005</v>
      </c>
      <c r="Z13" s="200">
        <f t="shared" si="5"/>
        <v>17.15</v>
      </c>
      <c r="AA13" s="200"/>
      <c r="AB13" s="200"/>
      <c r="AC13" s="200"/>
      <c r="AD13" s="200">
        <v>3430</v>
      </c>
      <c r="AE13" s="200">
        <v>0.002</v>
      </c>
      <c r="AF13" s="200">
        <f t="shared" si="6"/>
        <v>6.86</v>
      </c>
      <c r="AG13" s="200">
        <v>1650</v>
      </c>
      <c r="AH13" s="200">
        <v>0.05</v>
      </c>
      <c r="AI13" s="200">
        <f t="shared" si="7"/>
        <v>82.5</v>
      </c>
      <c r="AJ13" s="200">
        <v>0.05</v>
      </c>
      <c r="AK13" s="200">
        <f t="shared" si="8"/>
        <v>82.5</v>
      </c>
      <c r="AL13" s="240"/>
      <c r="AM13" s="200"/>
      <c r="AN13" s="200"/>
      <c r="AO13" s="200"/>
      <c r="AP13" s="142"/>
      <c r="AQ13" s="246">
        <v>15</v>
      </c>
      <c r="AR13" s="246"/>
      <c r="AS13" s="247">
        <f t="shared" si="9"/>
        <v>807.33</v>
      </c>
      <c r="AT13" s="247">
        <f t="shared" si="10"/>
        <v>360.15</v>
      </c>
      <c r="AU13" s="247">
        <f t="shared" si="11"/>
        <v>82.5</v>
      </c>
      <c r="AV13" s="247">
        <f t="shared" si="12"/>
        <v>82.5</v>
      </c>
      <c r="AW13" s="247">
        <f t="shared" si="13"/>
        <v>1332.48</v>
      </c>
      <c r="AX13" s="258">
        <f t="shared" si="14"/>
        <v>1167.48</v>
      </c>
      <c r="AY13" s="258"/>
      <c r="AZ13" s="258">
        <f t="shared" si="15"/>
        <v>165</v>
      </c>
      <c r="BA13" s="258"/>
      <c r="BB13" s="259">
        <v>80</v>
      </c>
      <c r="BC13" s="258">
        <f t="shared" si="16"/>
        <v>1412.48</v>
      </c>
      <c r="BD13" s="260"/>
      <c r="BE13" s="278"/>
      <c r="BF13" s="278"/>
      <c r="BG13" s="278"/>
      <c r="BH13" s="278"/>
    </row>
    <row r="14" s="188" customFormat="1" ht="18" customHeight="1" spans="1:60">
      <c r="A14" s="200">
        <v>12</v>
      </c>
      <c r="B14" s="201" t="s">
        <v>162</v>
      </c>
      <c r="C14" s="131" t="s">
        <v>168</v>
      </c>
      <c r="D14" s="141" t="s">
        <v>138</v>
      </c>
      <c r="E14" s="142" t="s">
        <v>146</v>
      </c>
      <c r="F14" s="143" t="s">
        <v>189</v>
      </c>
      <c r="G14" s="411" t="s">
        <v>190</v>
      </c>
      <c r="H14" s="141" t="s">
        <v>166</v>
      </c>
      <c r="I14" s="141" t="s">
        <v>166</v>
      </c>
      <c r="J14" s="141" t="s">
        <v>167</v>
      </c>
      <c r="K14" s="141" t="s">
        <v>167</v>
      </c>
      <c r="L14" s="200">
        <v>3430</v>
      </c>
      <c r="M14" s="200">
        <v>0.16</v>
      </c>
      <c r="N14" s="200">
        <f t="shared" si="0"/>
        <v>548.8</v>
      </c>
      <c r="O14" s="200">
        <v>0.08</v>
      </c>
      <c r="P14" s="200">
        <f t="shared" si="1"/>
        <v>274.4</v>
      </c>
      <c r="Q14" s="200">
        <v>3430</v>
      </c>
      <c r="R14" s="200">
        <v>0.064</v>
      </c>
      <c r="S14" s="200">
        <f t="shared" si="2"/>
        <v>219.52</v>
      </c>
      <c r="T14" s="200">
        <v>0.02</v>
      </c>
      <c r="U14" s="200">
        <f t="shared" si="3"/>
        <v>68.6</v>
      </c>
      <c r="V14" s="200">
        <v>3430</v>
      </c>
      <c r="W14" s="200">
        <v>0.005</v>
      </c>
      <c r="X14" s="200">
        <f t="shared" si="4"/>
        <v>17.15</v>
      </c>
      <c r="Y14" s="200">
        <v>0.005</v>
      </c>
      <c r="Z14" s="200">
        <f t="shared" si="5"/>
        <v>17.15</v>
      </c>
      <c r="AA14" s="200"/>
      <c r="AB14" s="200"/>
      <c r="AC14" s="200"/>
      <c r="AD14" s="200">
        <v>3430</v>
      </c>
      <c r="AE14" s="200">
        <v>0.002</v>
      </c>
      <c r="AF14" s="200">
        <f t="shared" si="6"/>
        <v>6.86</v>
      </c>
      <c r="AG14" s="200">
        <v>1650</v>
      </c>
      <c r="AH14" s="200">
        <v>0.05</v>
      </c>
      <c r="AI14" s="200">
        <f t="shared" si="7"/>
        <v>82.5</v>
      </c>
      <c r="AJ14" s="200">
        <v>0.05</v>
      </c>
      <c r="AK14" s="200">
        <f t="shared" si="8"/>
        <v>82.5</v>
      </c>
      <c r="AL14" s="240"/>
      <c r="AM14" s="200"/>
      <c r="AN14" s="200"/>
      <c r="AO14" s="200"/>
      <c r="AP14" s="142"/>
      <c r="AQ14" s="246">
        <v>15</v>
      </c>
      <c r="AR14" s="246"/>
      <c r="AS14" s="247">
        <f t="shared" si="9"/>
        <v>807.33</v>
      </c>
      <c r="AT14" s="247">
        <f t="shared" si="10"/>
        <v>360.15</v>
      </c>
      <c r="AU14" s="247">
        <f t="shared" si="11"/>
        <v>82.5</v>
      </c>
      <c r="AV14" s="247">
        <f t="shared" si="12"/>
        <v>82.5</v>
      </c>
      <c r="AW14" s="247">
        <f t="shared" si="13"/>
        <v>1332.48</v>
      </c>
      <c r="AX14" s="258">
        <f t="shared" si="14"/>
        <v>1167.48</v>
      </c>
      <c r="AY14" s="258"/>
      <c r="AZ14" s="258">
        <f t="shared" si="15"/>
        <v>165</v>
      </c>
      <c r="BA14" s="258"/>
      <c r="BB14" s="259">
        <v>80</v>
      </c>
      <c r="BC14" s="258">
        <f t="shared" si="16"/>
        <v>1412.48</v>
      </c>
      <c r="BD14" s="260"/>
      <c r="BE14" s="278"/>
      <c r="BF14" s="278"/>
      <c r="BG14" s="278"/>
      <c r="BH14" s="278"/>
    </row>
    <row r="15" s="188" customFormat="1" ht="19" customHeight="1" spans="1:60">
      <c r="A15" s="200">
        <v>13</v>
      </c>
      <c r="B15" s="201" t="s">
        <v>162</v>
      </c>
      <c r="C15" s="131" t="s">
        <v>168</v>
      </c>
      <c r="D15" s="141" t="s">
        <v>138</v>
      </c>
      <c r="E15" s="142" t="s">
        <v>146</v>
      </c>
      <c r="F15" s="143" t="s">
        <v>191</v>
      </c>
      <c r="G15" s="411" t="s">
        <v>192</v>
      </c>
      <c r="H15" s="141" t="s">
        <v>166</v>
      </c>
      <c r="I15" s="141" t="s">
        <v>166</v>
      </c>
      <c r="J15" s="141" t="s">
        <v>167</v>
      </c>
      <c r="K15" s="141" t="s">
        <v>167</v>
      </c>
      <c r="L15" s="200">
        <v>3430</v>
      </c>
      <c r="M15" s="200">
        <v>0.16</v>
      </c>
      <c r="N15" s="200">
        <f t="shared" si="0"/>
        <v>548.8</v>
      </c>
      <c r="O15" s="200">
        <v>0.08</v>
      </c>
      <c r="P15" s="200">
        <f t="shared" si="1"/>
        <v>274.4</v>
      </c>
      <c r="Q15" s="200">
        <v>3430</v>
      </c>
      <c r="R15" s="200">
        <v>0.064</v>
      </c>
      <c r="S15" s="200">
        <f t="shared" si="2"/>
        <v>219.52</v>
      </c>
      <c r="T15" s="200">
        <v>0.02</v>
      </c>
      <c r="U15" s="200">
        <f t="shared" si="3"/>
        <v>68.6</v>
      </c>
      <c r="V15" s="200">
        <v>3430</v>
      </c>
      <c r="W15" s="200">
        <v>0.005</v>
      </c>
      <c r="X15" s="200">
        <f t="shared" si="4"/>
        <v>17.15</v>
      </c>
      <c r="Y15" s="200">
        <v>0.005</v>
      </c>
      <c r="Z15" s="200">
        <f t="shared" si="5"/>
        <v>17.15</v>
      </c>
      <c r="AA15" s="200"/>
      <c r="AB15" s="200"/>
      <c r="AC15" s="200"/>
      <c r="AD15" s="200">
        <v>3430</v>
      </c>
      <c r="AE15" s="200">
        <v>0.002</v>
      </c>
      <c r="AF15" s="200">
        <f t="shared" si="6"/>
        <v>6.86</v>
      </c>
      <c r="AG15" s="200">
        <v>1650</v>
      </c>
      <c r="AH15" s="200">
        <v>0.05</v>
      </c>
      <c r="AI15" s="200">
        <f t="shared" si="7"/>
        <v>82.5</v>
      </c>
      <c r="AJ15" s="200">
        <v>0.05</v>
      </c>
      <c r="AK15" s="200">
        <f t="shared" si="8"/>
        <v>82.5</v>
      </c>
      <c r="AL15" s="240"/>
      <c r="AM15" s="200"/>
      <c r="AN15" s="200"/>
      <c r="AO15" s="200"/>
      <c r="AP15" s="142"/>
      <c r="AQ15" s="246">
        <v>15</v>
      </c>
      <c r="AR15" s="246"/>
      <c r="AS15" s="247">
        <f t="shared" si="9"/>
        <v>807.33</v>
      </c>
      <c r="AT15" s="247">
        <f t="shared" si="10"/>
        <v>360.15</v>
      </c>
      <c r="AU15" s="247">
        <f t="shared" si="11"/>
        <v>82.5</v>
      </c>
      <c r="AV15" s="247">
        <f t="shared" si="12"/>
        <v>82.5</v>
      </c>
      <c r="AW15" s="247">
        <f t="shared" si="13"/>
        <v>1332.48</v>
      </c>
      <c r="AX15" s="258">
        <f t="shared" si="14"/>
        <v>1167.48</v>
      </c>
      <c r="AY15" s="258"/>
      <c r="AZ15" s="258">
        <f t="shared" si="15"/>
        <v>165</v>
      </c>
      <c r="BA15" s="258"/>
      <c r="BB15" s="259">
        <v>80</v>
      </c>
      <c r="BC15" s="258">
        <f t="shared" si="16"/>
        <v>1412.48</v>
      </c>
      <c r="BD15" s="260"/>
      <c r="BE15" s="278"/>
      <c r="BF15" s="278"/>
      <c r="BG15" s="278"/>
      <c r="BH15" s="278"/>
    </row>
    <row r="16" s="189" customFormat="1" ht="19" customHeight="1" spans="1:60">
      <c r="A16" s="200">
        <v>14</v>
      </c>
      <c r="B16" s="202" t="s">
        <v>162</v>
      </c>
      <c r="C16" s="203" t="s">
        <v>168</v>
      </c>
      <c r="D16" s="204" t="s">
        <v>138</v>
      </c>
      <c r="E16" s="205" t="s">
        <v>146</v>
      </c>
      <c r="F16" s="206" t="s">
        <v>193</v>
      </c>
      <c r="G16" s="207" t="s">
        <v>194</v>
      </c>
      <c r="H16" s="204" t="s">
        <v>195</v>
      </c>
      <c r="I16" s="204" t="s">
        <v>195</v>
      </c>
      <c r="J16" s="141" t="s">
        <v>167</v>
      </c>
      <c r="K16" s="141" t="s">
        <v>167</v>
      </c>
      <c r="L16" s="234">
        <v>3430</v>
      </c>
      <c r="M16" s="234">
        <v>0.16</v>
      </c>
      <c r="N16" s="234">
        <f t="shared" si="0"/>
        <v>548.8</v>
      </c>
      <c r="O16" s="234">
        <v>0.08</v>
      </c>
      <c r="P16" s="234">
        <f t="shared" si="1"/>
        <v>274.4</v>
      </c>
      <c r="Q16" s="234">
        <v>3430</v>
      </c>
      <c r="R16" s="234">
        <v>0.064</v>
      </c>
      <c r="S16" s="234">
        <f t="shared" si="2"/>
        <v>219.52</v>
      </c>
      <c r="T16" s="234">
        <v>0.02</v>
      </c>
      <c r="U16" s="234">
        <f t="shared" si="3"/>
        <v>68.6</v>
      </c>
      <c r="V16" s="234">
        <v>3430</v>
      </c>
      <c r="W16" s="234">
        <v>0.005</v>
      </c>
      <c r="X16" s="234">
        <f t="shared" si="4"/>
        <v>17.15</v>
      </c>
      <c r="Y16" s="234">
        <v>0.005</v>
      </c>
      <c r="Z16" s="234">
        <f t="shared" si="5"/>
        <v>17.15</v>
      </c>
      <c r="AA16" s="234"/>
      <c r="AB16" s="234"/>
      <c r="AC16" s="234"/>
      <c r="AD16" s="234">
        <v>3430</v>
      </c>
      <c r="AE16" s="234">
        <v>0.002</v>
      </c>
      <c r="AF16" s="234">
        <f t="shared" si="6"/>
        <v>6.86</v>
      </c>
      <c r="AG16" s="234">
        <v>1650</v>
      </c>
      <c r="AH16" s="234">
        <v>0.05</v>
      </c>
      <c r="AI16" s="234">
        <f t="shared" si="7"/>
        <v>82.5</v>
      </c>
      <c r="AJ16" s="234">
        <v>0.05</v>
      </c>
      <c r="AK16" s="234">
        <f t="shared" si="8"/>
        <v>82.5</v>
      </c>
      <c r="AL16" s="241"/>
      <c r="AM16" s="234"/>
      <c r="AN16" s="234"/>
      <c r="AO16" s="234"/>
      <c r="AP16" s="205"/>
      <c r="AQ16" s="248">
        <v>15</v>
      </c>
      <c r="AR16" s="248"/>
      <c r="AS16" s="249">
        <f t="shared" si="9"/>
        <v>807.33</v>
      </c>
      <c r="AT16" s="249">
        <f t="shared" si="10"/>
        <v>360.15</v>
      </c>
      <c r="AU16" s="249">
        <f t="shared" si="11"/>
        <v>82.5</v>
      </c>
      <c r="AV16" s="249">
        <f t="shared" si="12"/>
        <v>82.5</v>
      </c>
      <c r="AW16" s="249">
        <f t="shared" si="13"/>
        <v>1332.48</v>
      </c>
      <c r="AX16" s="261">
        <f t="shared" si="14"/>
        <v>1167.48</v>
      </c>
      <c r="AY16" s="261"/>
      <c r="AZ16" s="261">
        <f t="shared" si="15"/>
        <v>165</v>
      </c>
      <c r="BA16" s="261"/>
      <c r="BB16" s="262">
        <v>80</v>
      </c>
      <c r="BC16" s="261">
        <f t="shared" si="16"/>
        <v>1412.48</v>
      </c>
      <c r="BD16" s="263"/>
      <c r="BE16" s="279"/>
      <c r="BF16" s="279"/>
      <c r="BG16" s="279"/>
      <c r="BH16" s="279"/>
    </row>
    <row r="17" s="189" customFormat="1" ht="19" customHeight="1" spans="1:60">
      <c r="A17" s="200">
        <v>15</v>
      </c>
      <c r="B17" s="202" t="s">
        <v>162</v>
      </c>
      <c r="C17" s="203" t="s">
        <v>168</v>
      </c>
      <c r="D17" s="204" t="s">
        <v>138</v>
      </c>
      <c r="E17" s="205" t="s">
        <v>146</v>
      </c>
      <c r="F17" s="206" t="s">
        <v>196</v>
      </c>
      <c r="G17" s="207" t="s">
        <v>197</v>
      </c>
      <c r="H17" s="204" t="s">
        <v>195</v>
      </c>
      <c r="I17" s="204" t="s">
        <v>195</v>
      </c>
      <c r="J17" s="141" t="s">
        <v>167</v>
      </c>
      <c r="K17" s="141" t="s">
        <v>167</v>
      </c>
      <c r="L17" s="234">
        <v>3430</v>
      </c>
      <c r="M17" s="234">
        <v>0.16</v>
      </c>
      <c r="N17" s="234">
        <f t="shared" si="0"/>
        <v>548.8</v>
      </c>
      <c r="O17" s="234">
        <v>0.08</v>
      </c>
      <c r="P17" s="234">
        <f t="shared" si="1"/>
        <v>274.4</v>
      </c>
      <c r="Q17" s="234">
        <v>3430</v>
      </c>
      <c r="R17" s="234">
        <v>0.064</v>
      </c>
      <c r="S17" s="234">
        <f t="shared" si="2"/>
        <v>219.52</v>
      </c>
      <c r="T17" s="234">
        <v>0.02</v>
      </c>
      <c r="U17" s="234">
        <f t="shared" si="3"/>
        <v>68.6</v>
      </c>
      <c r="V17" s="234">
        <v>3430</v>
      </c>
      <c r="W17" s="234">
        <v>0.005</v>
      </c>
      <c r="X17" s="234">
        <f t="shared" si="4"/>
        <v>17.15</v>
      </c>
      <c r="Y17" s="234">
        <v>0.005</v>
      </c>
      <c r="Z17" s="234">
        <f t="shared" si="5"/>
        <v>17.15</v>
      </c>
      <c r="AA17" s="234"/>
      <c r="AB17" s="234"/>
      <c r="AC17" s="234"/>
      <c r="AD17" s="234">
        <v>3430</v>
      </c>
      <c r="AE17" s="234">
        <v>0.002</v>
      </c>
      <c r="AF17" s="234">
        <f t="shared" si="6"/>
        <v>6.86</v>
      </c>
      <c r="AG17" s="234">
        <v>1650</v>
      </c>
      <c r="AH17" s="234">
        <v>0.05</v>
      </c>
      <c r="AI17" s="234">
        <f t="shared" si="7"/>
        <v>82.5</v>
      </c>
      <c r="AJ17" s="234">
        <v>0.05</v>
      </c>
      <c r="AK17" s="234">
        <f t="shared" si="8"/>
        <v>82.5</v>
      </c>
      <c r="AL17" s="241"/>
      <c r="AM17" s="234"/>
      <c r="AN17" s="234"/>
      <c r="AO17" s="234"/>
      <c r="AP17" s="205"/>
      <c r="AQ17" s="248">
        <v>15</v>
      </c>
      <c r="AR17" s="248"/>
      <c r="AS17" s="249">
        <f t="shared" si="9"/>
        <v>807.33</v>
      </c>
      <c r="AT17" s="249">
        <f t="shared" si="10"/>
        <v>360.15</v>
      </c>
      <c r="AU17" s="249">
        <f t="shared" si="11"/>
        <v>82.5</v>
      </c>
      <c r="AV17" s="249">
        <f t="shared" si="12"/>
        <v>82.5</v>
      </c>
      <c r="AW17" s="249">
        <f t="shared" si="13"/>
        <v>1332.48</v>
      </c>
      <c r="AX17" s="261">
        <f t="shared" si="14"/>
        <v>1167.48</v>
      </c>
      <c r="AY17" s="261"/>
      <c r="AZ17" s="261">
        <f t="shared" si="15"/>
        <v>165</v>
      </c>
      <c r="BA17" s="261"/>
      <c r="BB17" s="262">
        <v>80</v>
      </c>
      <c r="BC17" s="261">
        <f t="shared" si="16"/>
        <v>1412.48</v>
      </c>
      <c r="BD17" s="263"/>
      <c r="BE17" s="279"/>
      <c r="BF17" s="279"/>
      <c r="BG17" s="279"/>
      <c r="BH17" s="279"/>
    </row>
    <row r="18" s="189" customFormat="1" ht="18" customHeight="1" spans="1:60">
      <c r="A18" s="200">
        <v>16</v>
      </c>
      <c r="B18" s="205" t="s">
        <v>136</v>
      </c>
      <c r="C18" s="203" t="s">
        <v>168</v>
      </c>
      <c r="D18" s="204" t="s">
        <v>138</v>
      </c>
      <c r="E18" s="205" t="s">
        <v>146</v>
      </c>
      <c r="F18" s="206" t="s">
        <v>198</v>
      </c>
      <c r="G18" s="207" t="s">
        <v>199</v>
      </c>
      <c r="H18" s="204" t="s">
        <v>200</v>
      </c>
      <c r="I18" s="204" t="s">
        <v>200</v>
      </c>
      <c r="J18" s="141" t="s">
        <v>167</v>
      </c>
      <c r="K18" s="141" t="s">
        <v>167</v>
      </c>
      <c r="L18" s="234">
        <v>3430</v>
      </c>
      <c r="M18" s="234">
        <v>0.16</v>
      </c>
      <c r="N18" s="234">
        <f>ROUND(L18*M18,2)</f>
        <v>548.8</v>
      </c>
      <c r="O18" s="234">
        <v>0.08</v>
      </c>
      <c r="P18" s="234">
        <f>ROUND(L18*O18,2)</f>
        <v>274.4</v>
      </c>
      <c r="Q18" s="234">
        <v>3430</v>
      </c>
      <c r="R18" s="234">
        <v>0.064</v>
      </c>
      <c r="S18" s="234">
        <f>ROUND(Q18*R18,2)</f>
        <v>219.52</v>
      </c>
      <c r="T18" s="234">
        <v>0.02</v>
      </c>
      <c r="U18" s="234">
        <f>ROUND(Q18*T18,2)</f>
        <v>68.6</v>
      </c>
      <c r="V18" s="234">
        <v>3430</v>
      </c>
      <c r="W18" s="234">
        <v>0.005</v>
      </c>
      <c r="X18" s="234">
        <f>ROUND(V18*W18,2)</f>
        <v>17.15</v>
      </c>
      <c r="Y18" s="234">
        <v>0.005</v>
      </c>
      <c r="Z18" s="234">
        <f>ROUND(V18*Y18,2)</f>
        <v>17.15</v>
      </c>
      <c r="AA18" s="234"/>
      <c r="AB18" s="234"/>
      <c r="AC18" s="234"/>
      <c r="AD18" s="234">
        <v>3430</v>
      </c>
      <c r="AE18" s="234">
        <v>0.002</v>
      </c>
      <c r="AF18" s="234">
        <f>ROUND(AD18*AE18,2)</f>
        <v>6.86</v>
      </c>
      <c r="AG18" s="234">
        <v>1650</v>
      </c>
      <c r="AH18" s="234">
        <v>0.05</v>
      </c>
      <c r="AI18" s="234">
        <f>ROUND(AG18*AH18,2)</f>
        <v>82.5</v>
      </c>
      <c r="AJ18" s="234">
        <v>0.05</v>
      </c>
      <c r="AK18" s="234">
        <f>ROUND(AG18*AJ18,2)</f>
        <v>82.5</v>
      </c>
      <c r="AL18" s="241"/>
      <c r="AM18" s="234"/>
      <c r="AN18" s="234"/>
      <c r="AO18" s="234"/>
      <c r="AP18" s="205"/>
      <c r="AQ18" s="248">
        <v>15</v>
      </c>
      <c r="AR18" s="248"/>
      <c r="AS18" s="249">
        <f>N18+S18+X18+AC18+AF18+AN18+AQ18</f>
        <v>807.33</v>
      </c>
      <c r="AT18" s="249">
        <f>P18+U18+Z18</f>
        <v>360.15</v>
      </c>
      <c r="AU18" s="249">
        <f>AI18</f>
        <v>82.5</v>
      </c>
      <c r="AV18" s="249">
        <f>AK18</f>
        <v>82.5</v>
      </c>
      <c r="AW18" s="249">
        <f>AV18+AS18+AT18+AU18</f>
        <v>1332.48</v>
      </c>
      <c r="AX18" s="261">
        <f>AS18+AT18</f>
        <v>1167.48</v>
      </c>
      <c r="AY18" s="261"/>
      <c r="AZ18" s="261">
        <f>AU18+AV18</f>
        <v>165</v>
      </c>
      <c r="BA18" s="261"/>
      <c r="BB18" s="262">
        <v>80</v>
      </c>
      <c r="BC18" s="261">
        <f>AX18+AZ18+BB18</f>
        <v>1412.48</v>
      </c>
      <c r="BD18" s="263"/>
      <c r="BE18" s="279"/>
      <c r="BF18" s="279"/>
      <c r="BG18" s="279"/>
      <c r="BH18" s="279"/>
    </row>
    <row r="19" s="189" customFormat="1" ht="18" customHeight="1" spans="1:60">
      <c r="A19" s="200">
        <v>17</v>
      </c>
      <c r="B19" s="205" t="s">
        <v>136</v>
      </c>
      <c r="C19" s="203" t="s">
        <v>168</v>
      </c>
      <c r="D19" s="204" t="s">
        <v>138</v>
      </c>
      <c r="E19" s="205" t="s">
        <v>146</v>
      </c>
      <c r="F19" s="206" t="s">
        <v>201</v>
      </c>
      <c r="G19" s="207" t="s">
        <v>202</v>
      </c>
      <c r="H19" s="204" t="s">
        <v>200</v>
      </c>
      <c r="I19" s="204" t="s">
        <v>200</v>
      </c>
      <c r="J19" s="141" t="s">
        <v>167</v>
      </c>
      <c r="K19" s="141" t="s">
        <v>167</v>
      </c>
      <c r="L19" s="234">
        <v>3430</v>
      </c>
      <c r="M19" s="234">
        <v>0.16</v>
      </c>
      <c r="N19" s="234">
        <f>ROUND(L19*M19,2)</f>
        <v>548.8</v>
      </c>
      <c r="O19" s="234">
        <v>0.08</v>
      </c>
      <c r="P19" s="234">
        <f>ROUND(L19*O19,2)</f>
        <v>274.4</v>
      </c>
      <c r="Q19" s="234">
        <v>3430</v>
      </c>
      <c r="R19" s="234">
        <v>0.064</v>
      </c>
      <c r="S19" s="234">
        <f>ROUND(Q19*R19,2)</f>
        <v>219.52</v>
      </c>
      <c r="T19" s="234">
        <v>0.02</v>
      </c>
      <c r="U19" s="234">
        <f>ROUND(Q19*T19,2)</f>
        <v>68.6</v>
      </c>
      <c r="V19" s="234">
        <v>3430</v>
      </c>
      <c r="W19" s="234">
        <v>0.005</v>
      </c>
      <c r="X19" s="234">
        <f>ROUND(V19*W19,2)</f>
        <v>17.15</v>
      </c>
      <c r="Y19" s="234">
        <v>0.005</v>
      </c>
      <c r="Z19" s="234">
        <f>ROUND(V19*Y19,2)</f>
        <v>17.15</v>
      </c>
      <c r="AA19" s="234"/>
      <c r="AB19" s="234"/>
      <c r="AC19" s="234"/>
      <c r="AD19" s="234">
        <v>3430</v>
      </c>
      <c r="AE19" s="234">
        <v>0.002</v>
      </c>
      <c r="AF19" s="234">
        <f>ROUND(AD19*AE19,2)</f>
        <v>6.86</v>
      </c>
      <c r="AG19" s="234">
        <v>1650</v>
      </c>
      <c r="AH19" s="234">
        <v>0.05</v>
      </c>
      <c r="AI19" s="234">
        <f>ROUND(AG19*AH19,2)</f>
        <v>82.5</v>
      </c>
      <c r="AJ19" s="234">
        <v>0.05</v>
      </c>
      <c r="AK19" s="234">
        <f>ROUND(AG19*AJ19,2)</f>
        <v>82.5</v>
      </c>
      <c r="AL19" s="241"/>
      <c r="AM19" s="234"/>
      <c r="AN19" s="234"/>
      <c r="AO19" s="234"/>
      <c r="AP19" s="205"/>
      <c r="AQ19" s="248">
        <v>15</v>
      </c>
      <c r="AR19" s="248"/>
      <c r="AS19" s="249">
        <f>N19+S19+X19+AC19+AF19+AN19+AQ19</f>
        <v>807.33</v>
      </c>
      <c r="AT19" s="249">
        <f>P19+U19+Z19</f>
        <v>360.15</v>
      </c>
      <c r="AU19" s="249">
        <f>AI19</f>
        <v>82.5</v>
      </c>
      <c r="AV19" s="249">
        <f>AK19</f>
        <v>82.5</v>
      </c>
      <c r="AW19" s="249">
        <f>AV19+AS19+AT19+AU19</f>
        <v>1332.48</v>
      </c>
      <c r="AX19" s="261">
        <f>AS19+AT19</f>
        <v>1167.48</v>
      </c>
      <c r="AY19" s="261"/>
      <c r="AZ19" s="261">
        <f>AU19+AV19</f>
        <v>165</v>
      </c>
      <c r="BA19" s="261"/>
      <c r="BB19" s="262">
        <v>80</v>
      </c>
      <c r="BC19" s="261">
        <f>AX19+AZ19+BB19</f>
        <v>1412.48</v>
      </c>
      <c r="BD19" s="263"/>
      <c r="BE19" s="279"/>
      <c r="BF19" s="279"/>
      <c r="BG19" s="279"/>
      <c r="BH19" s="279"/>
    </row>
    <row r="20" s="189" customFormat="1" ht="18" customHeight="1" spans="1:60">
      <c r="A20" s="200">
        <v>18</v>
      </c>
      <c r="B20" s="205" t="s">
        <v>136</v>
      </c>
      <c r="C20" s="203" t="s">
        <v>168</v>
      </c>
      <c r="D20" s="204" t="s">
        <v>138</v>
      </c>
      <c r="E20" s="205" t="s">
        <v>146</v>
      </c>
      <c r="F20" s="206" t="s">
        <v>203</v>
      </c>
      <c r="G20" s="207" t="s">
        <v>204</v>
      </c>
      <c r="H20" s="204" t="s">
        <v>200</v>
      </c>
      <c r="I20" s="204" t="s">
        <v>200</v>
      </c>
      <c r="J20" s="141" t="s">
        <v>167</v>
      </c>
      <c r="K20" s="141" t="s">
        <v>167</v>
      </c>
      <c r="L20" s="234">
        <v>3430</v>
      </c>
      <c r="M20" s="234">
        <v>0.16</v>
      </c>
      <c r="N20" s="234">
        <f>ROUND(L20*M20,2)</f>
        <v>548.8</v>
      </c>
      <c r="O20" s="234">
        <v>0.08</v>
      </c>
      <c r="P20" s="234">
        <f>ROUND(L20*O20,2)</f>
        <v>274.4</v>
      </c>
      <c r="Q20" s="234">
        <v>3430</v>
      </c>
      <c r="R20" s="234">
        <v>0.064</v>
      </c>
      <c r="S20" s="234">
        <f>ROUND(Q20*R20,2)</f>
        <v>219.52</v>
      </c>
      <c r="T20" s="234">
        <v>0.02</v>
      </c>
      <c r="U20" s="234">
        <f>ROUND(Q20*T20,2)</f>
        <v>68.6</v>
      </c>
      <c r="V20" s="234">
        <v>3430</v>
      </c>
      <c r="W20" s="234">
        <v>0.005</v>
      </c>
      <c r="X20" s="234">
        <f>ROUND(V20*W20,2)</f>
        <v>17.15</v>
      </c>
      <c r="Y20" s="234">
        <v>0.005</v>
      </c>
      <c r="Z20" s="234">
        <f>ROUND(V20*Y20,2)</f>
        <v>17.15</v>
      </c>
      <c r="AA20" s="234"/>
      <c r="AB20" s="234"/>
      <c r="AC20" s="234"/>
      <c r="AD20" s="234">
        <v>3430</v>
      </c>
      <c r="AE20" s="234">
        <v>0.002</v>
      </c>
      <c r="AF20" s="234">
        <f>ROUND(AD20*AE20,2)</f>
        <v>6.86</v>
      </c>
      <c r="AG20" s="234">
        <v>1650</v>
      </c>
      <c r="AH20" s="234">
        <v>0.05</v>
      </c>
      <c r="AI20" s="234">
        <f>ROUND(AG20*AH20,2)</f>
        <v>82.5</v>
      </c>
      <c r="AJ20" s="234">
        <v>0.05</v>
      </c>
      <c r="AK20" s="234">
        <f>ROUND(AG20*AJ20,2)</f>
        <v>82.5</v>
      </c>
      <c r="AL20" s="241"/>
      <c r="AM20" s="234"/>
      <c r="AN20" s="234"/>
      <c r="AO20" s="234"/>
      <c r="AP20" s="205"/>
      <c r="AQ20" s="248">
        <v>15</v>
      </c>
      <c r="AR20" s="248"/>
      <c r="AS20" s="249">
        <f>N20+S20+X20+AC20+AF20+AN20+AQ20</f>
        <v>807.33</v>
      </c>
      <c r="AT20" s="249">
        <f>P20+U20+Z20</f>
        <v>360.15</v>
      </c>
      <c r="AU20" s="249">
        <f>AI20</f>
        <v>82.5</v>
      </c>
      <c r="AV20" s="249">
        <f>AK20</f>
        <v>82.5</v>
      </c>
      <c r="AW20" s="249">
        <f>AV20+AS20+AT20+AU20</f>
        <v>1332.48</v>
      </c>
      <c r="AX20" s="261">
        <f>AS20+AT20</f>
        <v>1167.48</v>
      </c>
      <c r="AY20" s="261"/>
      <c r="AZ20" s="261">
        <f>AU20+AV20</f>
        <v>165</v>
      </c>
      <c r="BA20" s="261"/>
      <c r="BB20" s="262">
        <v>80</v>
      </c>
      <c r="BC20" s="261">
        <f>AX20+AZ20+BB20</f>
        <v>1412.48</v>
      </c>
      <c r="BD20" s="263"/>
      <c r="BE20" s="279"/>
      <c r="BF20" s="279"/>
      <c r="BG20" s="279"/>
      <c r="BH20" s="279"/>
    </row>
    <row r="21" s="189" customFormat="1" ht="18" customHeight="1" spans="1:60">
      <c r="A21" s="200">
        <v>19</v>
      </c>
      <c r="B21" s="205" t="s">
        <v>136</v>
      </c>
      <c r="C21" s="203" t="s">
        <v>168</v>
      </c>
      <c r="D21" s="204" t="s">
        <v>138</v>
      </c>
      <c r="E21" s="205" t="s">
        <v>146</v>
      </c>
      <c r="F21" s="206" t="s">
        <v>205</v>
      </c>
      <c r="G21" s="207" t="s">
        <v>206</v>
      </c>
      <c r="H21" s="204" t="s">
        <v>200</v>
      </c>
      <c r="I21" s="204" t="s">
        <v>200</v>
      </c>
      <c r="J21" s="141" t="s">
        <v>167</v>
      </c>
      <c r="K21" s="141" t="s">
        <v>167</v>
      </c>
      <c r="L21" s="234">
        <v>3430</v>
      </c>
      <c r="M21" s="234">
        <v>0.16</v>
      </c>
      <c r="N21" s="234">
        <f>ROUND(L21*M21,2)</f>
        <v>548.8</v>
      </c>
      <c r="O21" s="234">
        <v>0.08</v>
      </c>
      <c r="P21" s="234">
        <f>ROUND(L21*O21,2)</f>
        <v>274.4</v>
      </c>
      <c r="Q21" s="234">
        <v>3430</v>
      </c>
      <c r="R21" s="234">
        <v>0.064</v>
      </c>
      <c r="S21" s="234">
        <f>ROUND(Q21*R21,2)</f>
        <v>219.52</v>
      </c>
      <c r="T21" s="234">
        <v>0.02</v>
      </c>
      <c r="U21" s="234">
        <f>ROUND(Q21*T21,2)</f>
        <v>68.6</v>
      </c>
      <c r="V21" s="234">
        <v>3430</v>
      </c>
      <c r="W21" s="234">
        <v>0.005</v>
      </c>
      <c r="X21" s="234">
        <f>ROUND(V21*W21,2)</f>
        <v>17.15</v>
      </c>
      <c r="Y21" s="234">
        <v>0.005</v>
      </c>
      <c r="Z21" s="234">
        <f>ROUND(V21*Y21,2)</f>
        <v>17.15</v>
      </c>
      <c r="AA21" s="234"/>
      <c r="AB21" s="234"/>
      <c r="AC21" s="234"/>
      <c r="AD21" s="234">
        <v>3430</v>
      </c>
      <c r="AE21" s="234">
        <v>0.002</v>
      </c>
      <c r="AF21" s="234">
        <f>ROUND(AD21*AE21,2)</f>
        <v>6.86</v>
      </c>
      <c r="AG21" s="234">
        <v>1650</v>
      </c>
      <c r="AH21" s="234">
        <v>0.05</v>
      </c>
      <c r="AI21" s="234">
        <f>ROUND(AG21*AH21,2)</f>
        <v>82.5</v>
      </c>
      <c r="AJ21" s="234">
        <v>0.05</v>
      </c>
      <c r="AK21" s="234">
        <f>ROUND(AG21*AJ21,2)</f>
        <v>82.5</v>
      </c>
      <c r="AL21" s="241"/>
      <c r="AM21" s="234"/>
      <c r="AN21" s="234"/>
      <c r="AO21" s="234"/>
      <c r="AP21" s="205"/>
      <c r="AQ21" s="248">
        <v>15</v>
      </c>
      <c r="AR21" s="248"/>
      <c r="AS21" s="249">
        <f>N21+S21+X21+AC21+AF21+AN21+AQ21</f>
        <v>807.33</v>
      </c>
      <c r="AT21" s="249">
        <f>P21+U21+Z21</f>
        <v>360.15</v>
      </c>
      <c r="AU21" s="249">
        <f>AI21</f>
        <v>82.5</v>
      </c>
      <c r="AV21" s="249">
        <f>AK21</f>
        <v>82.5</v>
      </c>
      <c r="AW21" s="249">
        <f>AV21+AS21+AT21+AU21</f>
        <v>1332.48</v>
      </c>
      <c r="AX21" s="261">
        <f>AS21+AT21</f>
        <v>1167.48</v>
      </c>
      <c r="AY21" s="261"/>
      <c r="AZ21" s="261">
        <f>AU21+AV21</f>
        <v>165</v>
      </c>
      <c r="BA21" s="261"/>
      <c r="BB21" s="262">
        <v>80</v>
      </c>
      <c r="BC21" s="261">
        <f>AX21+AZ21+BB21</f>
        <v>1412.48</v>
      </c>
      <c r="BD21" s="263"/>
      <c r="BE21" s="279"/>
      <c r="BF21" s="279"/>
      <c r="BG21" s="279"/>
      <c r="BH21" s="279"/>
    </row>
    <row r="22" s="189" customFormat="1" ht="18" customHeight="1" spans="1:60">
      <c r="A22" s="200">
        <v>20</v>
      </c>
      <c r="B22" s="205" t="s">
        <v>136</v>
      </c>
      <c r="C22" s="203" t="s">
        <v>168</v>
      </c>
      <c r="D22" s="204" t="s">
        <v>138</v>
      </c>
      <c r="E22" s="205" t="s">
        <v>146</v>
      </c>
      <c r="F22" s="206" t="s">
        <v>207</v>
      </c>
      <c r="G22" s="207" t="s">
        <v>208</v>
      </c>
      <c r="H22" s="204" t="s">
        <v>200</v>
      </c>
      <c r="I22" s="204" t="s">
        <v>200</v>
      </c>
      <c r="J22" s="141" t="s">
        <v>167</v>
      </c>
      <c r="K22" s="141" t="s">
        <v>167</v>
      </c>
      <c r="L22" s="234">
        <v>3430</v>
      </c>
      <c r="M22" s="234">
        <v>0.16</v>
      </c>
      <c r="N22" s="234">
        <f>ROUND(L22*M22,2)</f>
        <v>548.8</v>
      </c>
      <c r="O22" s="234">
        <v>0.08</v>
      </c>
      <c r="P22" s="234">
        <f>ROUND(L22*O22,2)</f>
        <v>274.4</v>
      </c>
      <c r="Q22" s="234">
        <v>3430</v>
      </c>
      <c r="R22" s="234">
        <v>0.064</v>
      </c>
      <c r="S22" s="234">
        <f>ROUND(Q22*R22,2)</f>
        <v>219.52</v>
      </c>
      <c r="T22" s="234">
        <v>0.02</v>
      </c>
      <c r="U22" s="234">
        <f>ROUND(Q22*T22,2)</f>
        <v>68.6</v>
      </c>
      <c r="V22" s="234">
        <v>3430</v>
      </c>
      <c r="W22" s="234">
        <v>0.005</v>
      </c>
      <c r="X22" s="234">
        <f>ROUND(V22*W22,2)</f>
        <v>17.15</v>
      </c>
      <c r="Y22" s="234">
        <v>0.005</v>
      </c>
      <c r="Z22" s="234">
        <f>ROUND(V22*Y22,2)</f>
        <v>17.15</v>
      </c>
      <c r="AA22" s="234"/>
      <c r="AB22" s="234"/>
      <c r="AC22" s="234"/>
      <c r="AD22" s="234">
        <v>3430</v>
      </c>
      <c r="AE22" s="234">
        <v>0.002</v>
      </c>
      <c r="AF22" s="234">
        <f>ROUND(AD22*AE22,2)</f>
        <v>6.86</v>
      </c>
      <c r="AG22" s="234">
        <v>1650</v>
      </c>
      <c r="AH22" s="234">
        <v>0.05</v>
      </c>
      <c r="AI22" s="234">
        <f>ROUND(AG22*AH22,2)</f>
        <v>82.5</v>
      </c>
      <c r="AJ22" s="234">
        <v>0.05</v>
      </c>
      <c r="AK22" s="234">
        <f>ROUND(AG22*AJ22,2)</f>
        <v>82.5</v>
      </c>
      <c r="AL22" s="241"/>
      <c r="AM22" s="234"/>
      <c r="AN22" s="234"/>
      <c r="AO22" s="234"/>
      <c r="AP22" s="205"/>
      <c r="AQ22" s="248">
        <v>15</v>
      </c>
      <c r="AR22" s="248"/>
      <c r="AS22" s="249">
        <f>N22+S22+X22+AC22+AF22+AN22+AQ22</f>
        <v>807.33</v>
      </c>
      <c r="AT22" s="249">
        <f>P22+U22+Z22</f>
        <v>360.15</v>
      </c>
      <c r="AU22" s="249">
        <f>AI22</f>
        <v>82.5</v>
      </c>
      <c r="AV22" s="249">
        <f>AK22</f>
        <v>82.5</v>
      </c>
      <c r="AW22" s="249">
        <f>AV22+AS22+AT22+AU22</f>
        <v>1332.48</v>
      </c>
      <c r="AX22" s="261">
        <f>AS22+AT22</f>
        <v>1167.48</v>
      </c>
      <c r="AY22" s="261"/>
      <c r="AZ22" s="261">
        <f>AU22+AV22</f>
        <v>165</v>
      </c>
      <c r="BA22" s="261"/>
      <c r="BB22" s="262">
        <v>80</v>
      </c>
      <c r="BC22" s="261">
        <f>AX22+AZ22+BB22</f>
        <v>1412.48</v>
      </c>
      <c r="BD22" s="263"/>
      <c r="BE22" s="279"/>
      <c r="BF22" s="279"/>
      <c r="BG22" s="279"/>
      <c r="BH22" s="279"/>
    </row>
    <row r="23" s="189" customFormat="1" ht="18" customHeight="1" spans="1:60">
      <c r="A23" s="200">
        <v>21</v>
      </c>
      <c r="B23" s="205" t="s">
        <v>136</v>
      </c>
      <c r="C23" s="203" t="s">
        <v>168</v>
      </c>
      <c r="D23" s="204" t="s">
        <v>138</v>
      </c>
      <c r="E23" s="205" t="s">
        <v>146</v>
      </c>
      <c r="F23" s="206" t="s">
        <v>209</v>
      </c>
      <c r="G23" s="207" t="s">
        <v>210</v>
      </c>
      <c r="H23" s="204" t="s">
        <v>200</v>
      </c>
      <c r="I23" s="204" t="s">
        <v>200</v>
      </c>
      <c r="J23" s="141" t="s">
        <v>167</v>
      </c>
      <c r="K23" s="141" t="s">
        <v>167</v>
      </c>
      <c r="L23" s="234">
        <v>3430</v>
      </c>
      <c r="M23" s="234">
        <v>0.16</v>
      </c>
      <c r="N23" s="234">
        <f>ROUND(L23*M23,2)</f>
        <v>548.8</v>
      </c>
      <c r="O23" s="234">
        <v>0.08</v>
      </c>
      <c r="P23" s="234">
        <f>ROUND(L23*O23,2)</f>
        <v>274.4</v>
      </c>
      <c r="Q23" s="234">
        <v>3430</v>
      </c>
      <c r="R23" s="234">
        <v>0.064</v>
      </c>
      <c r="S23" s="234">
        <f>ROUND(Q23*R23,2)</f>
        <v>219.52</v>
      </c>
      <c r="T23" s="234">
        <v>0.02</v>
      </c>
      <c r="U23" s="234">
        <f>ROUND(Q23*T23,2)</f>
        <v>68.6</v>
      </c>
      <c r="V23" s="234">
        <v>3430</v>
      </c>
      <c r="W23" s="234">
        <v>0.005</v>
      </c>
      <c r="X23" s="234">
        <f>ROUND(V23*W23,2)</f>
        <v>17.15</v>
      </c>
      <c r="Y23" s="234">
        <v>0.005</v>
      </c>
      <c r="Z23" s="234">
        <f>ROUND(V23*Y23,2)</f>
        <v>17.15</v>
      </c>
      <c r="AA23" s="234"/>
      <c r="AB23" s="234"/>
      <c r="AC23" s="234"/>
      <c r="AD23" s="234">
        <v>3430</v>
      </c>
      <c r="AE23" s="234">
        <v>0.002</v>
      </c>
      <c r="AF23" s="234">
        <f>ROUND(AD23*AE23,2)</f>
        <v>6.86</v>
      </c>
      <c r="AG23" s="234">
        <v>1650</v>
      </c>
      <c r="AH23" s="234">
        <v>0.05</v>
      </c>
      <c r="AI23" s="234">
        <f>ROUND(AG23*AH23,2)</f>
        <v>82.5</v>
      </c>
      <c r="AJ23" s="234">
        <v>0.05</v>
      </c>
      <c r="AK23" s="234">
        <f>ROUND(AG23*AJ23,2)</f>
        <v>82.5</v>
      </c>
      <c r="AL23" s="241"/>
      <c r="AM23" s="234"/>
      <c r="AN23" s="234"/>
      <c r="AO23" s="234"/>
      <c r="AP23" s="205"/>
      <c r="AQ23" s="248">
        <v>15</v>
      </c>
      <c r="AR23" s="248"/>
      <c r="AS23" s="249">
        <f>N23+S23+X23+AC23+AF23+AN23+AQ23</f>
        <v>807.33</v>
      </c>
      <c r="AT23" s="249">
        <f>P23+U23+Z23</f>
        <v>360.15</v>
      </c>
      <c r="AU23" s="249">
        <f>AI23</f>
        <v>82.5</v>
      </c>
      <c r="AV23" s="249">
        <f>AK23</f>
        <v>82.5</v>
      </c>
      <c r="AW23" s="249">
        <f>AV23+AS23+AT23+AU23</f>
        <v>1332.48</v>
      </c>
      <c r="AX23" s="261">
        <f>AS23+AT23</f>
        <v>1167.48</v>
      </c>
      <c r="AY23" s="261"/>
      <c r="AZ23" s="261">
        <f>AU23+AV23</f>
        <v>165</v>
      </c>
      <c r="BA23" s="261"/>
      <c r="BB23" s="262">
        <v>80</v>
      </c>
      <c r="BC23" s="261">
        <f>AX23+AZ23+BB23</f>
        <v>1412.48</v>
      </c>
      <c r="BD23" s="263"/>
      <c r="BE23" s="279"/>
      <c r="BF23" s="279"/>
      <c r="BG23" s="279"/>
      <c r="BH23" s="279"/>
    </row>
    <row r="24" s="189" customFormat="1" ht="18" customHeight="1" spans="1:60">
      <c r="A24" s="200">
        <v>22</v>
      </c>
      <c r="B24" s="205" t="s">
        <v>136</v>
      </c>
      <c r="C24" s="203" t="s">
        <v>168</v>
      </c>
      <c r="D24" s="204" t="s">
        <v>138</v>
      </c>
      <c r="E24" s="205" t="s">
        <v>146</v>
      </c>
      <c r="F24" s="206" t="s">
        <v>211</v>
      </c>
      <c r="G24" s="207" t="s">
        <v>212</v>
      </c>
      <c r="H24" s="204" t="s">
        <v>200</v>
      </c>
      <c r="I24" s="204" t="s">
        <v>200</v>
      </c>
      <c r="J24" s="141" t="s">
        <v>167</v>
      </c>
      <c r="K24" s="141" t="s">
        <v>167</v>
      </c>
      <c r="L24" s="234">
        <v>3430</v>
      </c>
      <c r="M24" s="234">
        <v>0.16</v>
      </c>
      <c r="N24" s="234">
        <f>ROUND(L24*M24,2)</f>
        <v>548.8</v>
      </c>
      <c r="O24" s="234">
        <v>0.08</v>
      </c>
      <c r="P24" s="234">
        <f>ROUND(L24*O24,2)</f>
        <v>274.4</v>
      </c>
      <c r="Q24" s="234">
        <v>3430</v>
      </c>
      <c r="R24" s="234">
        <v>0.064</v>
      </c>
      <c r="S24" s="234">
        <f>ROUND(Q24*R24,2)</f>
        <v>219.52</v>
      </c>
      <c r="T24" s="234">
        <v>0.02</v>
      </c>
      <c r="U24" s="234">
        <f>ROUND(Q24*T24,2)</f>
        <v>68.6</v>
      </c>
      <c r="V24" s="234">
        <v>3430</v>
      </c>
      <c r="W24" s="234">
        <v>0.005</v>
      </c>
      <c r="X24" s="234">
        <f>ROUND(V24*W24,2)</f>
        <v>17.15</v>
      </c>
      <c r="Y24" s="234">
        <v>0.005</v>
      </c>
      <c r="Z24" s="234">
        <f>ROUND(V24*Y24,2)</f>
        <v>17.15</v>
      </c>
      <c r="AA24" s="234"/>
      <c r="AB24" s="234"/>
      <c r="AC24" s="234"/>
      <c r="AD24" s="234">
        <v>3430</v>
      </c>
      <c r="AE24" s="234">
        <v>0.002</v>
      </c>
      <c r="AF24" s="234">
        <f>ROUND(AD24*AE24,2)</f>
        <v>6.86</v>
      </c>
      <c r="AG24" s="234">
        <v>1650</v>
      </c>
      <c r="AH24" s="234">
        <v>0.05</v>
      </c>
      <c r="AI24" s="234">
        <f>ROUND(AG24*AH24,2)</f>
        <v>82.5</v>
      </c>
      <c r="AJ24" s="234">
        <v>0.05</v>
      </c>
      <c r="AK24" s="234">
        <f>ROUND(AG24*AJ24,2)</f>
        <v>82.5</v>
      </c>
      <c r="AL24" s="241"/>
      <c r="AM24" s="234"/>
      <c r="AN24" s="234"/>
      <c r="AO24" s="234"/>
      <c r="AP24" s="205"/>
      <c r="AQ24" s="248">
        <v>15</v>
      </c>
      <c r="AR24" s="248"/>
      <c r="AS24" s="249">
        <f>N24+S24+X24+AC24+AF24+AN24+AQ24</f>
        <v>807.33</v>
      </c>
      <c r="AT24" s="249">
        <f>P24+U24+Z24</f>
        <v>360.15</v>
      </c>
      <c r="AU24" s="249">
        <f>AI24</f>
        <v>82.5</v>
      </c>
      <c r="AV24" s="249">
        <f>AK24</f>
        <v>82.5</v>
      </c>
      <c r="AW24" s="249">
        <f>AV24+AS24+AT24+AU24</f>
        <v>1332.48</v>
      </c>
      <c r="AX24" s="261">
        <f>AS24+AT24</f>
        <v>1167.48</v>
      </c>
      <c r="AY24" s="261"/>
      <c r="AZ24" s="261">
        <f>AU24+AV24</f>
        <v>165</v>
      </c>
      <c r="BA24" s="261"/>
      <c r="BB24" s="262">
        <v>80</v>
      </c>
      <c r="BC24" s="261">
        <f>AX24+AZ24+BB24</f>
        <v>1412.48</v>
      </c>
      <c r="BD24" s="263"/>
      <c r="BE24" s="279"/>
      <c r="BF24" s="279"/>
      <c r="BG24" s="279"/>
      <c r="BH24" s="279"/>
    </row>
    <row r="25" s="189" customFormat="1" ht="18" customHeight="1" spans="1:60">
      <c r="A25" s="200">
        <v>23</v>
      </c>
      <c r="B25" s="205" t="s">
        <v>136</v>
      </c>
      <c r="C25" s="203" t="s">
        <v>168</v>
      </c>
      <c r="D25" s="204" t="s">
        <v>138</v>
      </c>
      <c r="E25" s="205" t="s">
        <v>146</v>
      </c>
      <c r="F25" s="206" t="s">
        <v>213</v>
      </c>
      <c r="G25" s="207" t="s">
        <v>214</v>
      </c>
      <c r="H25" s="204" t="s">
        <v>200</v>
      </c>
      <c r="I25" s="204" t="s">
        <v>200</v>
      </c>
      <c r="J25" s="141" t="s">
        <v>167</v>
      </c>
      <c r="K25" s="141" t="s">
        <v>167</v>
      </c>
      <c r="L25" s="234">
        <v>3430</v>
      </c>
      <c r="M25" s="234">
        <v>0.16</v>
      </c>
      <c r="N25" s="234">
        <f>ROUND(L25*M25,2)</f>
        <v>548.8</v>
      </c>
      <c r="O25" s="234">
        <v>0.08</v>
      </c>
      <c r="P25" s="234">
        <f>ROUND(L25*O25,2)</f>
        <v>274.4</v>
      </c>
      <c r="Q25" s="234">
        <v>3430</v>
      </c>
      <c r="R25" s="234">
        <v>0.064</v>
      </c>
      <c r="S25" s="234">
        <f>ROUND(Q25*R25,2)</f>
        <v>219.52</v>
      </c>
      <c r="T25" s="234">
        <v>0.02</v>
      </c>
      <c r="U25" s="234">
        <f>ROUND(Q25*T25,2)</f>
        <v>68.6</v>
      </c>
      <c r="V25" s="234">
        <v>3430</v>
      </c>
      <c r="W25" s="234">
        <v>0.005</v>
      </c>
      <c r="X25" s="234">
        <f>ROUND(V25*W25,2)</f>
        <v>17.15</v>
      </c>
      <c r="Y25" s="234">
        <v>0.005</v>
      </c>
      <c r="Z25" s="234">
        <f>ROUND(V25*Y25,2)</f>
        <v>17.15</v>
      </c>
      <c r="AA25" s="234"/>
      <c r="AB25" s="234"/>
      <c r="AC25" s="234"/>
      <c r="AD25" s="234">
        <v>3430</v>
      </c>
      <c r="AE25" s="234">
        <v>0.002</v>
      </c>
      <c r="AF25" s="234">
        <f>ROUND(AD25*AE25,2)</f>
        <v>6.86</v>
      </c>
      <c r="AG25" s="234">
        <v>1650</v>
      </c>
      <c r="AH25" s="234">
        <v>0.05</v>
      </c>
      <c r="AI25" s="234">
        <f>ROUND(AG25*AH25,2)</f>
        <v>82.5</v>
      </c>
      <c r="AJ25" s="234">
        <v>0.05</v>
      </c>
      <c r="AK25" s="234">
        <f>ROUND(AG25*AJ25,2)</f>
        <v>82.5</v>
      </c>
      <c r="AL25" s="241"/>
      <c r="AM25" s="234"/>
      <c r="AN25" s="234"/>
      <c r="AO25" s="234"/>
      <c r="AP25" s="205"/>
      <c r="AQ25" s="248">
        <v>15</v>
      </c>
      <c r="AR25" s="248"/>
      <c r="AS25" s="249">
        <f>N25+S25+X25+AC25+AF25+AN25+AQ25</f>
        <v>807.33</v>
      </c>
      <c r="AT25" s="249">
        <f>P25+U25+Z25</f>
        <v>360.15</v>
      </c>
      <c r="AU25" s="249">
        <f>AI25</f>
        <v>82.5</v>
      </c>
      <c r="AV25" s="249">
        <f>AK25</f>
        <v>82.5</v>
      </c>
      <c r="AW25" s="249">
        <f>AV25+AS25+AT25+AU25</f>
        <v>1332.48</v>
      </c>
      <c r="AX25" s="261">
        <f>AS25+AT25</f>
        <v>1167.48</v>
      </c>
      <c r="AY25" s="261"/>
      <c r="AZ25" s="261">
        <f>AU25+AV25</f>
        <v>165</v>
      </c>
      <c r="BA25" s="261"/>
      <c r="BB25" s="262">
        <v>80</v>
      </c>
      <c r="BC25" s="261">
        <f>AX25+AZ25+BB25</f>
        <v>1412.48</v>
      </c>
      <c r="BD25" s="263"/>
      <c r="BE25" s="279"/>
      <c r="BF25" s="279"/>
      <c r="BG25" s="279"/>
      <c r="BH25" s="279"/>
    </row>
    <row r="26" s="190" customFormat="1" ht="18" customHeight="1" spans="1:60">
      <c r="A26" s="208">
        <v>24</v>
      </c>
      <c r="B26" s="209" t="s">
        <v>136</v>
      </c>
      <c r="C26" s="210" t="s">
        <v>168</v>
      </c>
      <c r="D26" s="211" t="s">
        <v>138</v>
      </c>
      <c r="E26" s="209" t="s">
        <v>146</v>
      </c>
      <c r="F26" s="212" t="s">
        <v>215</v>
      </c>
      <c r="G26" s="414" t="s">
        <v>216</v>
      </c>
      <c r="H26" s="211" t="s">
        <v>200</v>
      </c>
      <c r="I26" s="211" t="s">
        <v>200</v>
      </c>
      <c r="J26" s="211" t="s">
        <v>167</v>
      </c>
      <c r="K26" s="211" t="s">
        <v>167</v>
      </c>
      <c r="L26" s="208">
        <v>3430</v>
      </c>
      <c r="M26" s="208">
        <v>0.16</v>
      </c>
      <c r="N26" s="208">
        <f>ROUND(L26*M26,2)</f>
        <v>548.8</v>
      </c>
      <c r="O26" s="208">
        <v>0.08</v>
      </c>
      <c r="P26" s="208">
        <f>ROUND(L26*O26,2)</f>
        <v>274.4</v>
      </c>
      <c r="Q26" s="208">
        <v>3430</v>
      </c>
      <c r="R26" s="208">
        <v>0.064</v>
      </c>
      <c r="S26" s="208">
        <f>ROUND(Q26*R26,2)</f>
        <v>219.52</v>
      </c>
      <c r="T26" s="208">
        <v>0.02</v>
      </c>
      <c r="U26" s="208">
        <f>ROUND(Q26*T26,2)</f>
        <v>68.6</v>
      </c>
      <c r="V26" s="208">
        <v>3430</v>
      </c>
      <c r="W26" s="208">
        <v>0.005</v>
      </c>
      <c r="X26" s="208">
        <f>ROUND(V26*W26,2)</f>
        <v>17.15</v>
      </c>
      <c r="Y26" s="208">
        <v>0.005</v>
      </c>
      <c r="Z26" s="208">
        <f>ROUND(V26*Y26,2)</f>
        <v>17.15</v>
      </c>
      <c r="AA26" s="208"/>
      <c r="AB26" s="208"/>
      <c r="AC26" s="208"/>
      <c r="AD26" s="208">
        <v>3430</v>
      </c>
      <c r="AE26" s="208">
        <v>0.002</v>
      </c>
      <c r="AF26" s="208">
        <f>ROUND(AD26*AE26,2)</f>
        <v>6.86</v>
      </c>
      <c r="AG26" s="208">
        <v>1650</v>
      </c>
      <c r="AH26" s="208">
        <v>0.05</v>
      </c>
      <c r="AI26" s="208">
        <f>ROUND(AG26*AH26,2)</f>
        <v>82.5</v>
      </c>
      <c r="AJ26" s="208">
        <v>0.05</v>
      </c>
      <c r="AK26" s="208">
        <f>ROUND(AG26*AJ26,2)</f>
        <v>82.5</v>
      </c>
      <c r="AL26" s="242"/>
      <c r="AM26" s="208"/>
      <c r="AN26" s="208"/>
      <c r="AO26" s="208"/>
      <c r="AP26" s="209"/>
      <c r="AQ26" s="250">
        <v>15</v>
      </c>
      <c r="AR26" s="250"/>
      <c r="AS26" s="251">
        <f>N26+S26+X26+AC26+AF26+AN26+AQ26</f>
        <v>807.33</v>
      </c>
      <c r="AT26" s="251">
        <f>P26+U26+Z26</f>
        <v>360.15</v>
      </c>
      <c r="AU26" s="251">
        <f>AI26</f>
        <v>82.5</v>
      </c>
      <c r="AV26" s="251">
        <f>AK26</f>
        <v>82.5</v>
      </c>
      <c r="AW26" s="251">
        <f>AV26+AS26+AT26+AU26</f>
        <v>1332.48</v>
      </c>
      <c r="AX26" s="264">
        <f>AS26+AT26</f>
        <v>1167.48</v>
      </c>
      <c r="AY26" s="264"/>
      <c r="AZ26" s="264">
        <f>AU26+AV26</f>
        <v>165</v>
      </c>
      <c r="BA26" s="264"/>
      <c r="BB26" s="265">
        <v>80</v>
      </c>
      <c r="BC26" s="264">
        <f>AX26+AZ26+BB26</f>
        <v>1412.48</v>
      </c>
      <c r="BD26" s="266" t="s">
        <v>217</v>
      </c>
      <c r="BE26" s="280"/>
      <c r="BF26" s="280"/>
      <c r="BG26" s="280"/>
      <c r="BH26" s="280"/>
    </row>
    <row r="27" s="190" customFormat="1" ht="18" customHeight="1" spans="1:60">
      <c r="A27" s="208" t="s">
        <v>148</v>
      </c>
      <c r="B27" s="209" t="s">
        <v>136</v>
      </c>
      <c r="C27" s="210" t="s">
        <v>168</v>
      </c>
      <c r="D27" s="211" t="s">
        <v>138</v>
      </c>
      <c r="E27" s="209" t="s">
        <v>146</v>
      </c>
      <c r="F27" s="212" t="s">
        <v>215</v>
      </c>
      <c r="G27" s="414" t="s">
        <v>216</v>
      </c>
      <c r="H27" s="211" t="s">
        <v>200</v>
      </c>
      <c r="I27" s="211" t="s">
        <v>200</v>
      </c>
      <c r="J27" s="211" t="s">
        <v>200</v>
      </c>
      <c r="K27" s="211" t="s">
        <v>200</v>
      </c>
      <c r="L27" s="208">
        <v>3430</v>
      </c>
      <c r="M27" s="208">
        <v>0.16</v>
      </c>
      <c r="N27" s="208">
        <f>ROUND(L27*M27,2)</f>
        <v>548.8</v>
      </c>
      <c r="O27" s="208">
        <v>0.08</v>
      </c>
      <c r="P27" s="208">
        <f>ROUND(L27*O27,2)</f>
        <v>274.4</v>
      </c>
      <c r="Q27" s="208">
        <v>3430</v>
      </c>
      <c r="R27" s="208">
        <v>0.064</v>
      </c>
      <c r="S27" s="208">
        <f>ROUND(Q27*R27,2)</f>
        <v>219.52</v>
      </c>
      <c r="T27" s="208">
        <v>0.02</v>
      </c>
      <c r="U27" s="208">
        <f>ROUND(Q27*T27,2)</f>
        <v>68.6</v>
      </c>
      <c r="V27" s="208">
        <v>3430</v>
      </c>
      <c r="W27" s="208">
        <v>0.005</v>
      </c>
      <c r="X27" s="208">
        <f>ROUND(V27*W27,2)</f>
        <v>17.15</v>
      </c>
      <c r="Y27" s="208">
        <v>0.005</v>
      </c>
      <c r="Z27" s="208">
        <f>ROUND(V27*Y27,2)</f>
        <v>17.15</v>
      </c>
      <c r="AA27" s="208"/>
      <c r="AB27" s="208"/>
      <c r="AC27" s="208"/>
      <c r="AD27" s="208">
        <v>3430</v>
      </c>
      <c r="AE27" s="208">
        <v>0.002</v>
      </c>
      <c r="AF27" s="208">
        <f>ROUND(AD27*AE27,2)</f>
        <v>6.86</v>
      </c>
      <c r="AG27" s="208">
        <v>1650</v>
      </c>
      <c r="AH27" s="208">
        <v>0.05</v>
      </c>
      <c r="AI27" s="208">
        <f>ROUND(AG27*AH27,2)</f>
        <v>82.5</v>
      </c>
      <c r="AJ27" s="208">
        <v>0.05</v>
      </c>
      <c r="AK27" s="208">
        <f>ROUND(AG27*AJ27,2)</f>
        <v>82.5</v>
      </c>
      <c r="AL27" s="242"/>
      <c r="AM27" s="208"/>
      <c r="AN27" s="208"/>
      <c r="AO27" s="208"/>
      <c r="AP27" s="209"/>
      <c r="AQ27" s="250">
        <v>15</v>
      </c>
      <c r="AR27" s="250"/>
      <c r="AS27" s="251">
        <f>N27+S27+X27+AC27+AF27+AN27+AQ27</f>
        <v>807.33</v>
      </c>
      <c r="AT27" s="251">
        <f>P27+U27+Z27</f>
        <v>360.15</v>
      </c>
      <c r="AU27" s="251">
        <f>AI27</f>
        <v>82.5</v>
      </c>
      <c r="AV27" s="251">
        <f>AK27</f>
        <v>82.5</v>
      </c>
      <c r="AW27" s="251">
        <f>AV27+AS27+AT27+AU27</f>
        <v>1332.48</v>
      </c>
      <c r="AX27" s="264">
        <f>AS27+AT27</f>
        <v>1167.48</v>
      </c>
      <c r="AY27" s="264"/>
      <c r="AZ27" s="264">
        <f>AU27+AV27</f>
        <v>165</v>
      </c>
      <c r="BA27" s="264"/>
      <c r="BB27" s="265">
        <v>80</v>
      </c>
      <c r="BC27" s="264">
        <f>AX27+AZ27+BB27</f>
        <v>1412.48</v>
      </c>
      <c r="BD27" s="266"/>
      <c r="BE27" s="280"/>
      <c r="BF27" s="280"/>
      <c r="BG27" s="280"/>
      <c r="BH27" s="280"/>
    </row>
    <row r="28" s="191" customFormat="1" ht="18" customHeight="1" spans="1:60">
      <c r="A28" s="214"/>
      <c r="B28" s="215"/>
      <c r="C28" s="216"/>
      <c r="D28" s="217"/>
      <c r="E28" s="218"/>
      <c r="F28" s="219"/>
      <c r="G28" s="220"/>
      <c r="H28" s="221"/>
      <c r="I28" s="217"/>
      <c r="J28" s="217"/>
      <c r="K28" s="217"/>
      <c r="L28" s="235"/>
      <c r="M28" s="235"/>
      <c r="N28" s="236"/>
      <c r="O28" s="235"/>
      <c r="P28" s="235"/>
      <c r="Q28" s="235"/>
      <c r="R28" s="235"/>
      <c r="S28" s="235"/>
      <c r="T28" s="235"/>
      <c r="U28" s="235"/>
      <c r="V28" s="238"/>
      <c r="W28" s="238"/>
      <c r="X28" s="239"/>
      <c r="Y28" s="238"/>
      <c r="Z28" s="235"/>
      <c r="AA28" s="235"/>
      <c r="AB28" s="235"/>
      <c r="AC28" s="235"/>
      <c r="AD28" s="235"/>
      <c r="AE28" s="235"/>
      <c r="AF28" s="236"/>
      <c r="AG28" s="235"/>
      <c r="AH28" s="235"/>
      <c r="AI28" s="235"/>
      <c r="AJ28" s="235"/>
      <c r="AK28" s="235"/>
      <c r="AL28" s="243"/>
      <c r="AM28" s="235"/>
      <c r="AN28" s="235"/>
      <c r="AO28" s="235"/>
      <c r="AP28" s="252"/>
      <c r="AQ28" s="253"/>
      <c r="AR28" s="235"/>
      <c r="AS28" s="254"/>
      <c r="AT28" s="254"/>
      <c r="AU28" s="254"/>
      <c r="AV28" s="254"/>
      <c r="AW28" s="254"/>
      <c r="AX28" s="267"/>
      <c r="AY28" s="268"/>
      <c r="AZ28" s="267"/>
      <c r="BA28" s="268"/>
      <c r="BB28" s="269"/>
      <c r="BC28" s="270"/>
      <c r="BD28" s="271"/>
      <c r="BE28" s="187"/>
      <c r="BF28" s="187"/>
      <c r="BG28" s="187"/>
      <c r="BH28" s="187"/>
    </row>
    <row r="29" s="187" customFormat="1" ht="14.25" spans="1:56">
      <c r="A29" s="222" t="s">
        <v>159</v>
      </c>
      <c r="B29" s="223"/>
      <c r="C29" s="224"/>
      <c r="D29" s="224"/>
      <c r="E29" s="225"/>
      <c r="F29" s="224"/>
      <c r="G29" s="224"/>
      <c r="H29" s="224"/>
      <c r="I29" s="224"/>
      <c r="J29" s="224"/>
      <c r="K29" s="224"/>
      <c r="L29" s="225">
        <f t="shared" ref="L29:BC29" si="17">SUM(L3:L28)</f>
        <v>84395</v>
      </c>
      <c r="M29" s="225">
        <f t="shared" si="17"/>
        <v>4</v>
      </c>
      <c r="N29" s="225">
        <f t="shared" si="17"/>
        <v>13503.2</v>
      </c>
      <c r="O29" s="225">
        <f t="shared" si="17"/>
        <v>2</v>
      </c>
      <c r="P29" s="225">
        <f t="shared" si="17"/>
        <v>6751.6</v>
      </c>
      <c r="Q29" s="225">
        <f t="shared" si="17"/>
        <v>85996</v>
      </c>
      <c r="R29" s="225">
        <f t="shared" si="17"/>
        <v>1.616</v>
      </c>
      <c r="S29" s="225">
        <f t="shared" si="17"/>
        <v>5562.56</v>
      </c>
      <c r="T29" s="225">
        <f t="shared" si="17"/>
        <v>0.5</v>
      </c>
      <c r="U29" s="225">
        <f t="shared" si="17"/>
        <v>1719.92</v>
      </c>
      <c r="V29" s="225">
        <f t="shared" si="17"/>
        <v>84395</v>
      </c>
      <c r="W29" s="225">
        <f t="shared" si="17"/>
        <v>0.125</v>
      </c>
      <c r="X29" s="225">
        <f t="shared" si="17"/>
        <v>421.98</v>
      </c>
      <c r="Y29" s="225">
        <f t="shared" si="17"/>
        <v>0.125</v>
      </c>
      <c r="Z29" s="225">
        <f t="shared" si="17"/>
        <v>421.98</v>
      </c>
      <c r="AA29" s="225">
        <f t="shared" si="17"/>
        <v>3676</v>
      </c>
      <c r="AB29" s="225">
        <f t="shared" si="17"/>
        <v>0.007</v>
      </c>
      <c r="AC29" s="225">
        <f t="shared" si="17"/>
        <v>25.73</v>
      </c>
      <c r="AD29" s="225">
        <f t="shared" si="17"/>
        <v>85808.4</v>
      </c>
      <c r="AE29" s="225">
        <f t="shared" si="17"/>
        <v>0.0515</v>
      </c>
      <c r="AF29" s="225">
        <f t="shared" si="17"/>
        <v>176.85</v>
      </c>
      <c r="AG29" s="225">
        <f t="shared" si="17"/>
        <v>50670</v>
      </c>
      <c r="AH29" s="225">
        <f t="shared" si="17"/>
        <v>1.32</v>
      </c>
      <c r="AI29" s="225">
        <f t="shared" si="17"/>
        <v>3303.5</v>
      </c>
      <c r="AJ29" s="225">
        <f t="shared" si="17"/>
        <v>1.32</v>
      </c>
      <c r="AK29" s="225">
        <f t="shared" si="17"/>
        <v>3303.5</v>
      </c>
      <c r="AL29" s="225">
        <f t="shared" si="17"/>
        <v>0</v>
      </c>
      <c r="AM29" s="225">
        <f t="shared" si="17"/>
        <v>0</v>
      </c>
      <c r="AN29" s="225">
        <f t="shared" si="17"/>
        <v>0</v>
      </c>
      <c r="AO29" s="225">
        <f t="shared" si="17"/>
        <v>0</v>
      </c>
      <c r="AP29" s="225">
        <f t="shared" si="17"/>
        <v>0</v>
      </c>
      <c r="AQ29" s="225">
        <f t="shared" si="17"/>
        <v>360</v>
      </c>
      <c r="AR29" s="225">
        <f t="shared" si="17"/>
        <v>0</v>
      </c>
      <c r="AS29" s="225">
        <f t="shared" si="17"/>
        <v>20050.32</v>
      </c>
      <c r="AT29" s="225">
        <f t="shared" si="17"/>
        <v>8893.5</v>
      </c>
      <c r="AU29" s="225">
        <f t="shared" si="17"/>
        <v>3303.5</v>
      </c>
      <c r="AV29" s="225">
        <f t="shared" si="17"/>
        <v>3303.5</v>
      </c>
      <c r="AW29" s="225">
        <f t="shared" si="17"/>
        <v>35550.82</v>
      </c>
      <c r="AX29" s="225">
        <f t="shared" si="17"/>
        <v>28943.82</v>
      </c>
      <c r="AY29" s="225">
        <f t="shared" si="17"/>
        <v>0</v>
      </c>
      <c r="AZ29" s="225">
        <f t="shared" si="17"/>
        <v>6607</v>
      </c>
      <c r="BA29" s="225">
        <f t="shared" si="17"/>
        <v>0</v>
      </c>
      <c r="BB29" s="225">
        <f t="shared" si="17"/>
        <v>2000</v>
      </c>
      <c r="BC29" s="225">
        <f t="shared" si="17"/>
        <v>37550.82</v>
      </c>
      <c r="BD29" s="272"/>
    </row>
    <row r="30" s="187" customFormat="1" ht="15" spans="1:56">
      <c r="A30" s="226" t="s">
        <v>93</v>
      </c>
      <c r="B30" s="227"/>
      <c r="C30" s="228"/>
      <c r="D30" s="228"/>
      <c r="E30" s="229"/>
      <c r="F30" s="229"/>
      <c r="G30" s="229"/>
      <c r="H30" s="229"/>
      <c r="I30" s="229"/>
      <c r="J30" s="229"/>
      <c r="K30" s="229"/>
      <c r="L30" s="237">
        <f t="shared" ref="L30:AX30" si="18">SUM(L29:L29)</f>
        <v>84395</v>
      </c>
      <c r="M30" s="237">
        <f t="shared" si="18"/>
        <v>4</v>
      </c>
      <c r="N30" s="237">
        <f t="shared" si="18"/>
        <v>13503.2</v>
      </c>
      <c r="O30" s="237">
        <f t="shared" si="18"/>
        <v>2</v>
      </c>
      <c r="P30" s="237">
        <f t="shared" si="18"/>
        <v>6751.6</v>
      </c>
      <c r="Q30" s="237">
        <f t="shared" si="18"/>
        <v>85996</v>
      </c>
      <c r="R30" s="237">
        <f t="shared" si="18"/>
        <v>1.616</v>
      </c>
      <c r="S30" s="237">
        <f t="shared" si="18"/>
        <v>5562.56</v>
      </c>
      <c r="T30" s="237">
        <f t="shared" si="18"/>
        <v>0.5</v>
      </c>
      <c r="U30" s="237">
        <f t="shared" si="18"/>
        <v>1719.92</v>
      </c>
      <c r="V30" s="237">
        <f t="shared" si="18"/>
        <v>84395</v>
      </c>
      <c r="W30" s="237">
        <f t="shared" si="18"/>
        <v>0.125</v>
      </c>
      <c r="X30" s="237">
        <f t="shared" si="18"/>
        <v>421.98</v>
      </c>
      <c r="Y30" s="237">
        <f t="shared" si="18"/>
        <v>0.125</v>
      </c>
      <c r="Z30" s="237">
        <f t="shared" si="18"/>
        <v>421.98</v>
      </c>
      <c r="AA30" s="237">
        <f t="shared" si="18"/>
        <v>3676</v>
      </c>
      <c r="AB30" s="237">
        <f t="shared" si="18"/>
        <v>0.007</v>
      </c>
      <c r="AC30" s="237">
        <f t="shared" si="18"/>
        <v>25.73</v>
      </c>
      <c r="AD30" s="237">
        <f t="shared" si="18"/>
        <v>85808.4</v>
      </c>
      <c r="AE30" s="237">
        <f t="shared" si="18"/>
        <v>0.0515</v>
      </c>
      <c r="AF30" s="237">
        <f t="shared" si="18"/>
        <v>176.85</v>
      </c>
      <c r="AG30" s="237">
        <f t="shared" si="18"/>
        <v>50670</v>
      </c>
      <c r="AH30" s="237">
        <f t="shared" si="18"/>
        <v>1.32</v>
      </c>
      <c r="AI30" s="237">
        <f t="shared" si="18"/>
        <v>3303.5</v>
      </c>
      <c r="AJ30" s="237">
        <f t="shared" si="18"/>
        <v>1.32</v>
      </c>
      <c r="AK30" s="237">
        <f t="shared" si="18"/>
        <v>3303.5</v>
      </c>
      <c r="AL30" s="237">
        <f t="shared" si="18"/>
        <v>0</v>
      </c>
      <c r="AM30" s="237">
        <f t="shared" si="18"/>
        <v>0</v>
      </c>
      <c r="AN30" s="237">
        <f t="shared" si="18"/>
        <v>0</v>
      </c>
      <c r="AO30" s="237">
        <f t="shared" si="18"/>
        <v>0</v>
      </c>
      <c r="AP30" s="237">
        <f t="shared" si="18"/>
        <v>0</v>
      </c>
      <c r="AQ30" s="237">
        <f t="shared" si="18"/>
        <v>360</v>
      </c>
      <c r="AR30" s="237">
        <f t="shared" si="18"/>
        <v>0</v>
      </c>
      <c r="AS30" s="255">
        <f t="shared" si="18"/>
        <v>20050.32</v>
      </c>
      <c r="AT30" s="255">
        <f t="shared" si="18"/>
        <v>8893.5</v>
      </c>
      <c r="AU30" s="255">
        <f t="shared" si="18"/>
        <v>3303.5</v>
      </c>
      <c r="AV30" s="255">
        <f t="shared" si="18"/>
        <v>3303.5</v>
      </c>
      <c r="AW30" s="255">
        <f t="shared" si="18"/>
        <v>35550.82</v>
      </c>
      <c r="AX30" s="273">
        <f t="shared" si="18"/>
        <v>28943.82</v>
      </c>
      <c r="AY30" s="273"/>
      <c r="AZ30" s="273">
        <f t="shared" ref="AZ30:BC30" si="19">SUM(AZ29:AZ29)</f>
        <v>6607</v>
      </c>
      <c r="BA30" s="273"/>
      <c r="BB30" s="237">
        <f t="shared" si="19"/>
        <v>2000</v>
      </c>
      <c r="BC30" s="237">
        <f t="shared" si="19"/>
        <v>37550.82</v>
      </c>
      <c r="BD30" s="274"/>
    </row>
    <row r="31" s="192" customFormat="1" spans="1:56">
      <c r="A31" s="230"/>
      <c r="B31" s="230"/>
      <c r="C31" s="230"/>
      <c r="D31" s="230"/>
      <c r="E31" s="230"/>
      <c r="F31" s="231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56"/>
      <c r="AT31" s="256"/>
      <c r="AU31" s="256"/>
      <c r="AV31" s="256"/>
      <c r="AW31" s="256"/>
      <c r="AX31" s="230"/>
      <c r="AY31" s="230"/>
      <c r="AZ31" s="230"/>
      <c r="BA31" s="230"/>
      <c r="BB31" s="230"/>
      <c r="BC31" s="230">
        <f>'（居民）工资表-1月'!E14</f>
        <v>77156.09</v>
      </c>
      <c r="BD31" s="275"/>
    </row>
    <row r="32" s="193" customFormat="1" spans="1:56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187"/>
      <c r="AK32" s="187"/>
      <c r="AL32" s="187"/>
      <c r="AM32" s="187"/>
      <c r="AN32" s="187"/>
      <c r="AO32" s="187"/>
      <c r="AP32" s="187"/>
      <c r="AQ32" s="187"/>
      <c r="AR32" s="187"/>
      <c r="AS32" s="194"/>
      <c r="AT32" s="194"/>
      <c r="AU32" s="194"/>
      <c r="AV32" s="194"/>
      <c r="AW32" s="194"/>
      <c r="AX32" s="187"/>
      <c r="AY32" s="187"/>
      <c r="AZ32" s="187"/>
      <c r="BA32" s="187"/>
      <c r="BB32" s="187"/>
      <c r="BC32" s="187"/>
      <c r="BD32" s="195"/>
    </row>
    <row r="33" s="187" customFormat="1" spans="45:56">
      <c r="AS33" s="194"/>
      <c r="AT33" s="194"/>
      <c r="AU33" s="194"/>
      <c r="AV33" s="194"/>
      <c r="AW33" s="194"/>
      <c r="BD33" s="195"/>
    </row>
    <row r="34" s="187" customFormat="1" spans="45:56">
      <c r="AS34" s="194"/>
      <c r="AT34" s="194"/>
      <c r="AU34" s="194"/>
      <c r="AV34" s="194"/>
      <c r="AW34" s="194"/>
      <c r="AX34" s="276"/>
      <c r="AY34" s="276"/>
      <c r="BC34" s="277"/>
      <c r="BD34" s="195"/>
    </row>
    <row r="35" s="187" customFormat="1" spans="45:56">
      <c r="AS35" s="194"/>
      <c r="AT35" s="194"/>
      <c r="AU35" s="194"/>
      <c r="AV35" s="194"/>
      <c r="AW35" s="194"/>
      <c r="BD35" s="195"/>
    </row>
  </sheetData>
  <mergeCells count="78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0:AY20"/>
    <mergeCell ref="AZ20:BA20"/>
    <mergeCell ref="AX21:AY21"/>
    <mergeCell ref="AZ21:BA21"/>
    <mergeCell ref="AX22:AY22"/>
    <mergeCell ref="AZ22:BA22"/>
    <mergeCell ref="AX23:AY23"/>
    <mergeCell ref="AZ23:BA23"/>
    <mergeCell ref="AX24:AY24"/>
    <mergeCell ref="AZ24:BA24"/>
    <mergeCell ref="AX25:AY25"/>
    <mergeCell ref="AZ25:BA25"/>
    <mergeCell ref="AX26:AY26"/>
    <mergeCell ref="AZ26:BA26"/>
    <mergeCell ref="AX27:AY27"/>
    <mergeCell ref="AZ27:BA27"/>
    <mergeCell ref="AX30:AY30"/>
    <mergeCell ref="AZ30:BA30"/>
    <mergeCell ref="AX34:AY3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opLeftCell="D1" workbookViewId="0">
      <selection activeCell="N10" sqref="N10"/>
    </sheetView>
  </sheetViews>
  <sheetFormatPr defaultColWidth="9" defaultRowHeight="12" outlineLevelRow="5"/>
  <cols>
    <col min="1" max="1" width="4.875" style="159" hidden="1" customWidth="1"/>
    <col min="2" max="2" width="10.625" style="160" hidden="1" customWidth="1"/>
    <col min="3" max="3" width="25.625" style="159" hidden="1" customWidth="1"/>
    <col min="4" max="4" width="7.375" style="161" customWidth="1"/>
    <col min="5" max="5" width="20.375" style="159" customWidth="1"/>
    <col min="6" max="6" width="12.625" style="159" customWidth="1"/>
    <col min="7" max="7" width="8.75" style="159" customWidth="1"/>
    <col min="8" max="8" width="5.625" style="159" customWidth="1"/>
    <col min="9" max="9" width="7.625" style="159" customWidth="1"/>
    <col min="10" max="10" width="9.75" style="162" customWidth="1"/>
    <col min="11" max="11" width="6.625" style="160" customWidth="1"/>
    <col min="12" max="12" width="14.625" style="159" customWidth="1"/>
    <col min="13" max="14" width="8.5" style="159" customWidth="1"/>
    <col min="15" max="15" width="9.125" style="159" customWidth="1"/>
    <col min="16" max="16" width="8.5" style="159" customWidth="1"/>
    <col min="17" max="17" width="7.875" style="159" customWidth="1"/>
    <col min="18" max="19" width="8.5" style="159" customWidth="1"/>
    <col min="20" max="20" width="9.75" style="159" customWidth="1"/>
    <col min="21" max="21" width="12.75" style="159" customWidth="1"/>
    <col min="22" max="22" width="10" style="159" customWidth="1"/>
    <col min="23" max="23" width="9" style="159" hidden="1" customWidth="1"/>
    <col min="24" max="24" width="19.625" style="159" customWidth="1"/>
    <col min="25" max="16384" width="9" style="159"/>
  </cols>
  <sheetData>
    <row r="1" s="113" customFormat="1" ht="16.5" customHeight="1" spans="1:24">
      <c r="A1" s="163" t="s">
        <v>18</v>
      </c>
      <c r="B1" s="163" t="s">
        <v>218</v>
      </c>
      <c r="C1" s="164" t="s">
        <v>104</v>
      </c>
      <c r="D1" s="164" t="s">
        <v>108</v>
      </c>
      <c r="E1" s="164" t="s">
        <v>219</v>
      </c>
      <c r="F1" s="164" t="s">
        <v>220</v>
      </c>
      <c r="G1" s="164" t="s">
        <v>221</v>
      </c>
      <c r="H1" s="164" t="s">
        <v>222</v>
      </c>
      <c r="I1" s="164" t="s">
        <v>223</v>
      </c>
      <c r="J1" s="173" t="s">
        <v>224</v>
      </c>
      <c r="K1" s="164" t="s">
        <v>225</v>
      </c>
      <c r="L1" s="174" t="s">
        <v>226</v>
      </c>
      <c r="M1" s="175" t="s">
        <v>227</v>
      </c>
      <c r="N1" s="175"/>
      <c r="O1" s="175"/>
      <c r="P1" s="175"/>
      <c r="Q1" s="175"/>
      <c r="R1" s="175"/>
      <c r="S1" s="174" t="s">
        <v>228</v>
      </c>
      <c r="T1" s="183" t="s">
        <v>229</v>
      </c>
      <c r="U1" s="183"/>
      <c r="V1" s="183"/>
      <c r="W1" s="163" t="s">
        <v>230</v>
      </c>
      <c r="X1" s="163" t="s">
        <v>23</v>
      </c>
    </row>
    <row r="2" s="114" customFormat="1" ht="49.5" customHeight="1" spans="1:24">
      <c r="A2" s="165"/>
      <c r="B2" s="165"/>
      <c r="C2" s="166"/>
      <c r="D2" s="167"/>
      <c r="E2" s="167"/>
      <c r="F2" s="167"/>
      <c r="G2" s="168"/>
      <c r="H2" s="167"/>
      <c r="I2" s="167"/>
      <c r="J2" s="176"/>
      <c r="K2" s="167"/>
      <c r="L2" s="177"/>
      <c r="M2" s="175" t="s">
        <v>231</v>
      </c>
      <c r="N2" s="175" t="s">
        <v>232</v>
      </c>
      <c r="O2" s="175" t="s">
        <v>233</v>
      </c>
      <c r="P2" s="175" t="s">
        <v>234</v>
      </c>
      <c r="Q2" s="175" t="s">
        <v>235</v>
      </c>
      <c r="R2" s="175" t="s">
        <v>236</v>
      </c>
      <c r="S2" s="177"/>
      <c r="T2" s="175" t="s">
        <v>237</v>
      </c>
      <c r="U2" s="175" t="s">
        <v>238</v>
      </c>
      <c r="V2" s="175" t="s">
        <v>239</v>
      </c>
      <c r="W2" s="165"/>
      <c r="X2" s="184"/>
    </row>
    <row r="3" ht="14.25" spans="4:23">
      <c r="D3" s="169" t="s">
        <v>215</v>
      </c>
      <c r="E3" s="415" t="s">
        <v>216</v>
      </c>
      <c r="F3" s="170" t="s">
        <v>240</v>
      </c>
      <c r="G3" s="171"/>
      <c r="H3" s="171" t="s">
        <v>168</v>
      </c>
      <c r="I3" s="171" t="s">
        <v>168</v>
      </c>
      <c r="J3" s="178" t="s">
        <v>241</v>
      </c>
      <c r="K3" s="179">
        <v>44652</v>
      </c>
      <c r="L3" s="180" t="s">
        <v>168</v>
      </c>
      <c r="M3" s="180" t="s">
        <v>242</v>
      </c>
      <c r="N3" s="171">
        <v>202205</v>
      </c>
      <c r="O3" s="181">
        <v>3430</v>
      </c>
      <c r="P3" s="181">
        <v>3430</v>
      </c>
      <c r="Q3" s="181">
        <v>3430</v>
      </c>
      <c r="R3" s="181">
        <v>3430</v>
      </c>
      <c r="S3" s="171"/>
      <c r="T3" s="171" t="s">
        <v>242</v>
      </c>
      <c r="U3" s="185" t="s">
        <v>243</v>
      </c>
      <c r="V3" s="171">
        <v>0.05</v>
      </c>
      <c r="W3" s="181">
        <v>1650</v>
      </c>
    </row>
    <row r="6" ht="33" spans="4:15">
      <c r="D6" s="172" t="s">
        <v>104</v>
      </c>
      <c r="E6" s="172" t="s">
        <v>108</v>
      </c>
      <c r="F6" s="172" t="s">
        <v>219</v>
      </c>
      <c r="G6" s="172" t="s">
        <v>220</v>
      </c>
      <c r="H6" s="172" t="s">
        <v>244</v>
      </c>
      <c r="I6" s="172" t="s">
        <v>245</v>
      </c>
      <c r="J6" s="172" t="s">
        <v>222</v>
      </c>
      <c r="K6" s="172" t="s">
        <v>223</v>
      </c>
      <c r="L6" s="182" t="s">
        <v>47</v>
      </c>
      <c r="M6" s="182" t="s">
        <v>246</v>
      </c>
      <c r="N6" s="182" t="s">
        <v>247</v>
      </c>
      <c r="O6" s="182" t="s">
        <v>248</v>
      </c>
    </row>
  </sheetData>
  <mergeCells count="17">
    <mergeCell ref="M1:R1"/>
    <mergeCell ref="T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W1:W2"/>
    <mergeCell ref="X1:X2"/>
  </mergeCells>
  <dataValidations count="2">
    <dataValidation type="list" allowBlank="1" showInputMessage="1" showErrorMessage="1" sqref="J3">
      <formula1>"本地城镇,本地农村,外地城镇,外地农村"</formula1>
    </dataValidation>
    <dataValidation type="list" allowBlank="1" showInputMessage="1" showErrorMessage="1" sqref="M3 T3">
      <formula1>"新参,调入"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8980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L4+IFERROR(VLOOKUP($E:$E,'（居民）工资表-5月'!$E:$S,15,0),0)</f>
        <v>41360</v>
      </c>
      <c r="T4" s="91">
        <f>5000+IFERROR(VLOOKUP($E:$E,'（居民）工资表-5月'!$E:$T,16,0),0)</f>
        <v>30000</v>
      </c>
      <c r="U4" s="91">
        <f>Q4+IFERROR(VLOOKUP($E:$E,'（居民）工资表-5月'!$E:$U,17,0),0)</f>
        <v>3119.4</v>
      </c>
      <c r="V4" s="70"/>
      <c r="W4" s="70"/>
      <c r="X4" s="70">
        <v>6000</v>
      </c>
      <c r="Y4" s="70"/>
      <c r="Z4" s="70"/>
      <c r="AA4" s="70"/>
      <c r="AB4" s="90">
        <f>ROUND(SUM(V4:AA4),2)</f>
        <v>6000</v>
      </c>
      <c r="AC4" s="90">
        <f>R4+IFERROR(VLOOKUP($E:$E,'（居民）工资表-5月'!$E:$AC,25,0),0)</f>
        <v>0</v>
      </c>
      <c r="AD4" s="93">
        <f>ROUND(S4-T4-U4-AB4-AC4,2)</f>
        <v>2240.6</v>
      </c>
      <c r="AE4" s="94">
        <f>ROUND(MAX((AD4)*{0.03;0.1;0.2;0.25;0.3;0.35;0.45}-{0;2520;16920;31920;52920;85920;181920},0),2)</f>
        <v>67.22</v>
      </c>
      <c r="AF4" s="95">
        <f>IFERROR(VLOOKUP(E:E,'（居民）工资表-5月'!E:AF,28,0)+VLOOKUP(E:E,'（居民）工资表-5月'!E:AG,29,0),0)</f>
        <v>52.8</v>
      </c>
      <c r="AG4" s="95">
        <f>IF((AE4-AF4)&lt;0,0,AE4-AF4)</f>
        <v>14.42</v>
      </c>
      <c r="AH4" s="102">
        <f>ROUND(IF((L4-Q4-AG4)&lt;0,0,(L4-Q4-AG4)),2)</f>
        <v>8445.68</v>
      </c>
      <c r="AI4" s="103"/>
      <c r="AJ4" s="102">
        <f>AH4+AI4</f>
        <v>8445.68</v>
      </c>
      <c r="AK4" s="104"/>
      <c r="AL4" s="102">
        <f>AJ4+AG4+AK4</f>
        <v>8460.1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89</v>
      </c>
      <c r="D5" s="37" t="s">
        <v>87</v>
      </c>
      <c r="E5" s="413" t="s">
        <v>90</v>
      </c>
      <c r="F5" s="38" t="s">
        <v>250</v>
      </c>
      <c r="G5" s="39">
        <v>13926009696</v>
      </c>
      <c r="H5" s="40"/>
      <c r="I5" s="40"/>
      <c r="J5" s="69"/>
      <c r="K5" s="40"/>
      <c r="L5" s="70">
        <v>5800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L5+IFERROR(VLOOKUP($E:$E,'（居民）工资表-5月'!$E:$S,15,0),0)</f>
        <v>23200</v>
      </c>
      <c r="T5" s="91">
        <f>5000+IFERROR(VLOOKUP($E:$E,'（居民）工资表-5月'!$E:$T,16,0),0)</f>
        <v>20000</v>
      </c>
      <c r="U5" s="91">
        <f>Q5+IFERROR(VLOOKUP($E:$E,'（居民）工资表-5月'!$E:$U,17,0),0)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IFERROR(VLOOKUP(E:E,'（居民）工资表-5月'!E:AF,28,0)+VLOOKUP(E:E,'（居民）工资表-5月'!E:AG,29,0),0)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">
        <v>249</v>
      </c>
      <c r="G6" s="39">
        <v>13944441728</v>
      </c>
      <c r="H6" s="40"/>
      <c r="I6" s="40"/>
      <c r="J6" s="69"/>
      <c r="K6" s="40"/>
      <c r="L6" s="70">
        <v>8120</v>
      </c>
      <c r="M6" s="71">
        <v>488.48</v>
      </c>
      <c r="N6" s="71">
        <v>122.12</v>
      </c>
      <c r="O6" s="71">
        <v>18.32</v>
      </c>
      <c r="P6" s="71">
        <v>158</v>
      </c>
      <c r="Q6" s="89">
        <f>ROUND(SUM(M6:P6),2)</f>
        <v>786.92</v>
      </c>
      <c r="R6" s="70">
        <v>0</v>
      </c>
      <c r="S6" s="90">
        <f>L6+IFERROR(VLOOKUP($E:$E,'（居民）工资表-5月'!$E:$S,15,0),0)</f>
        <v>21140</v>
      </c>
      <c r="T6" s="91">
        <f>5000+IFERROR(VLOOKUP($E:$E,'（居民）工资表-5月'!$E:$T,16,0),0)</f>
        <v>15000</v>
      </c>
      <c r="U6" s="91">
        <f>Q6+IFERROR(VLOOKUP($E:$E,'（居民）工资表-5月'!$E:$U,17,0),0)</f>
        <v>1573.84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3">
        <f>ROUND(S6-T6-U6-AB6-AC6,2)</f>
        <v>4566.16</v>
      </c>
      <c r="AE6" s="94">
        <f>ROUND(MAX((AD6)*{0.03;0.1;0.2;0.25;0.3;0.35;0.45}-{0;2520;16920;31920;52920;85920;181920},0),2)</f>
        <v>136.98</v>
      </c>
      <c r="AF6" s="95">
        <f>IFERROR(VLOOKUP(E:E,'（居民）工资表-5月'!E:AF,28,0)+VLOOKUP(E:E,'（居民）工资表-5月'!E:AG,29,0),0)</f>
        <v>66.99</v>
      </c>
      <c r="AG6" s="95">
        <f>IF((AE6-AF6)&lt;0,0,AE6-AF6)</f>
        <v>69.99</v>
      </c>
      <c r="AH6" s="102">
        <f>ROUND(IF((L6-Q6-AG6)&lt;0,0,(L6-Q6-AG6)),2)</f>
        <v>7263.09</v>
      </c>
      <c r="AI6" s="103"/>
      <c r="AJ6" s="102">
        <f>AH6+AI6</f>
        <v>7263.09</v>
      </c>
      <c r="AK6" s="104"/>
      <c r="AL6" s="102">
        <f>AJ6+AG6+AK6</f>
        <v>7333.08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13" t="s">
        <v>161</v>
      </c>
      <c r="F7" s="38" t="s">
        <v>249</v>
      </c>
      <c r="G7" s="39"/>
      <c r="H7" s="40"/>
      <c r="I7" s="40"/>
      <c r="J7" s="69"/>
      <c r="K7" s="40"/>
      <c r="L7" s="70">
        <v>25000</v>
      </c>
      <c r="M7" s="71">
        <f>320*2</f>
        <v>640</v>
      </c>
      <c r="N7" s="71">
        <f>80*2+86.67</f>
        <v>246.67</v>
      </c>
      <c r="O7" s="71">
        <f>12*2</f>
        <v>24</v>
      </c>
      <c r="P7" s="71">
        <v>400</v>
      </c>
      <c r="Q7" s="89">
        <f>ROUND(SUM(M7:P7),2)</f>
        <v>1310.67</v>
      </c>
      <c r="R7" s="70">
        <v>0</v>
      </c>
      <c r="S7" s="90">
        <f>L7+IFERROR(VLOOKUP($E:$E,'（居民）工资表-5月'!$E:$S,15,0),0)</f>
        <v>36904.76</v>
      </c>
      <c r="T7" s="91">
        <f>5000+IFERROR(VLOOKUP($E:$E,'（居民）工资表-5月'!$E:$T,16,0),0)</f>
        <v>10000</v>
      </c>
      <c r="U7" s="91">
        <f>Q7+IFERROR(VLOOKUP($E:$E,'（居民）工资表-5月'!$E:$U,17,0),0)</f>
        <v>1310.67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R7+IFERROR(VLOOKUP($E:$E,'（居民）工资表-5月'!$E:$AC,25,0),0)</f>
        <v>0</v>
      </c>
      <c r="AD7" s="93">
        <f>ROUND(S7-T7-U7-AB7-AC7,2)</f>
        <v>25594.09</v>
      </c>
      <c r="AE7" s="94">
        <f>ROUND(MAX((AD7)*{0.03;0.1;0.2;0.25;0.3;0.35;0.45}-{0;2520;16920;31920;52920;85920;181920},0),2)</f>
        <v>767.82</v>
      </c>
      <c r="AF7" s="95">
        <f>IFERROR(VLOOKUP(E:E,'（居民）工资表-5月'!E:AF,28,0)+VLOOKUP(E:E,'（居民）工资表-5月'!E:AG,29,0),0)</f>
        <v>207.14</v>
      </c>
      <c r="AG7" s="95">
        <f>IF((AE7-AF7)&lt;0,0,AE7-AF7)</f>
        <v>560.68</v>
      </c>
      <c r="AH7" s="102">
        <f>ROUND(IF((L7-Q7-AG7)&lt;0,0,(L7-Q7-AG7)),2)</f>
        <v>23128.65</v>
      </c>
      <c r="AI7" s="103"/>
      <c r="AJ7" s="102">
        <f>AH7+AI7</f>
        <v>23128.65</v>
      </c>
      <c r="AK7" s="104"/>
      <c r="AL7" s="102">
        <f>AJ7+AG7+AK7</f>
        <v>23689.33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47900</v>
      </c>
      <c r="M8" s="74">
        <f t="shared" si="0"/>
        <v>1696.72</v>
      </c>
      <c r="N8" s="74">
        <f t="shared" si="0"/>
        <v>558.29</v>
      </c>
      <c r="O8" s="74">
        <f t="shared" si="0"/>
        <v>59.83</v>
      </c>
      <c r="P8" s="74">
        <f t="shared" si="0"/>
        <v>738</v>
      </c>
      <c r="Q8" s="74">
        <f t="shared" si="0"/>
        <v>3052.84</v>
      </c>
      <c r="R8" s="74">
        <f t="shared" si="0"/>
        <v>0</v>
      </c>
      <c r="S8" s="74">
        <f t="shared" si="0"/>
        <v>122604.76</v>
      </c>
      <c r="T8" s="74">
        <f t="shared" si="0"/>
        <v>75000</v>
      </c>
      <c r="U8" s="74">
        <f t="shared" si="0"/>
        <v>7745.31</v>
      </c>
      <c r="V8" s="74">
        <f t="shared" si="0"/>
        <v>0</v>
      </c>
      <c r="W8" s="74">
        <f t="shared" si="0"/>
        <v>0</v>
      </c>
      <c r="X8" s="74">
        <f t="shared" si="0"/>
        <v>6000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6000</v>
      </c>
      <c r="AC8" s="74">
        <f t="shared" si="0"/>
        <v>0</v>
      </c>
      <c r="AD8" s="74">
        <f t="shared" si="0"/>
        <v>33859.45</v>
      </c>
      <c r="AE8" s="74">
        <f t="shared" si="0"/>
        <v>1015.78</v>
      </c>
      <c r="AF8" s="74">
        <f t="shared" si="0"/>
        <v>359.75</v>
      </c>
      <c r="AG8" s="74">
        <f t="shared" si="0"/>
        <v>656.03</v>
      </c>
      <c r="AH8" s="74">
        <f t="shared" si="0"/>
        <v>44191.13</v>
      </c>
      <c r="AI8" s="105">
        <f t="shared" si="0"/>
        <v>0</v>
      </c>
      <c r="AJ8" s="74">
        <f t="shared" si="0"/>
        <v>44191.13</v>
      </c>
      <c r="AK8" s="74">
        <f t="shared" si="0"/>
        <v>0</v>
      </c>
      <c r="AL8" s="74">
        <f t="shared" si="0"/>
        <v>44847.16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44191.13</v>
      </c>
      <c r="C13" s="48">
        <f>AG8</f>
        <v>656.03</v>
      </c>
      <c r="D13" s="48">
        <f>AK8</f>
        <v>0</v>
      </c>
      <c r="E13" s="48">
        <f>B13+C13+D13</f>
        <v>44847.16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7700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L4+IFERROR(VLOOKUP($E:$E,'（居民）工资表-6月'!$E:$S,15,0),0)</f>
        <v>49060</v>
      </c>
      <c r="T4" s="91">
        <f>5000+IFERROR(VLOOKUP($E:$E,'（居民）工资表-6月'!$E:$T,16,0),0)</f>
        <v>35000</v>
      </c>
      <c r="U4" s="91">
        <f>Q4+IFERROR(VLOOKUP($E:$E,'（居民）工资表-6月'!$E:$U,17,0),0)</f>
        <v>3639.3</v>
      </c>
      <c r="V4" s="70"/>
      <c r="W4" s="70"/>
      <c r="X4" s="70">
        <v>7000</v>
      </c>
      <c r="Y4" s="70"/>
      <c r="Z4" s="70"/>
      <c r="AA4" s="70"/>
      <c r="AB4" s="90">
        <f>ROUND(SUM(V4:AA4),2)</f>
        <v>7000</v>
      </c>
      <c r="AC4" s="90">
        <f>R4+IFERROR(VLOOKUP($E:$E,'（居民）工资表-6月'!$E:$AC,25,0),0)</f>
        <v>0</v>
      </c>
      <c r="AD4" s="93">
        <f>ROUND(S4-T4-U4-AB4-AC4,2)</f>
        <v>3420.7</v>
      </c>
      <c r="AE4" s="94">
        <f>ROUND(MAX((AD4)*{0.03;0.1;0.2;0.25;0.3;0.35;0.45}-{0;2520;16920;31920;52920;85920;181920},0),2)</f>
        <v>102.62</v>
      </c>
      <c r="AF4" s="95">
        <f>IFERROR(VLOOKUP(E:E,'（居民）工资表-6月'!E:AF,28,0)+VLOOKUP(E:E,'（居民）工资表-6月'!E:AG,29,0),0)</f>
        <v>67.22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89</v>
      </c>
      <c r="D5" s="37" t="s">
        <v>87</v>
      </c>
      <c r="E5" s="413" t="s">
        <v>90</v>
      </c>
      <c r="F5" s="38" t="s">
        <v>250</v>
      </c>
      <c r="G5" s="39">
        <v>13926009696</v>
      </c>
      <c r="H5" s="40"/>
      <c r="I5" s="40"/>
      <c r="J5" s="69"/>
      <c r="K5" s="40"/>
      <c r="L5" s="70">
        <v>4745.45454545455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L5+IFERROR(VLOOKUP($E:$E,'（居民）工资表-6月'!$E:$S,15,0),0)</f>
        <v>27945.4545454546</v>
      </c>
      <c r="T5" s="91">
        <f>5000+IFERROR(VLOOKUP($E:$E,'（居民）工资表-6月'!$E:$T,16,0),0)</f>
        <v>25000</v>
      </c>
      <c r="U5" s="91">
        <f>Q5+IFERROR(VLOOKUP($E:$E,'（居民）工资表-6月'!$E:$U,17,0),0)</f>
        <v>2176.75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R5+IFERROR(VLOOKUP($E:$E,'（居民）工资表-6月'!$E:$AC,25,0),0)</f>
        <v>0</v>
      </c>
      <c r="AD5" s="93">
        <f>ROUND(S5-T5-U5-AB5-AC5,2)</f>
        <v>768.7</v>
      </c>
      <c r="AE5" s="94">
        <f>ROUND(MAX((AD5)*{0.03;0.1;0.2;0.25;0.3;0.35;0.45}-{0;2520;16920;31920;52920;85920;181920},0),2)</f>
        <v>23.06</v>
      </c>
      <c r="AF5" s="95">
        <f>IFERROR(VLOOKUP(E:E,'（居民）工资表-6月'!E:AF,28,0)+VLOOKUP(E:E,'（居民）工资表-6月'!E:AG,29,0),0)</f>
        <v>43.76</v>
      </c>
      <c r="AG5" s="95">
        <f>IF((AE5-AF5)&lt;0,0,AE5-AF5)</f>
        <v>0</v>
      </c>
      <c r="AH5" s="102">
        <f>ROUND(IF((L5-Q5-AG5)&lt;0,0,(L5-Q5-AG5)),2)</f>
        <v>4310.1</v>
      </c>
      <c r="AI5" s="103"/>
      <c r="AJ5" s="102">
        <f>AH5+AI5</f>
        <v>4310.1</v>
      </c>
      <c r="AK5" s="104"/>
      <c r="AL5" s="102">
        <f>AJ5+AG5+AK5</f>
        <v>4310.1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154</v>
      </c>
      <c r="D6" s="37" t="s">
        <v>87</v>
      </c>
      <c r="E6" s="37" t="s">
        <v>155</v>
      </c>
      <c r="F6" s="38" t="s">
        <v>249</v>
      </c>
      <c r="G6" s="39">
        <v>13944441728</v>
      </c>
      <c r="H6" s="40"/>
      <c r="I6" s="40"/>
      <c r="J6" s="69"/>
      <c r="K6" s="40"/>
      <c r="L6" s="70">
        <v>7000</v>
      </c>
      <c r="M6" s="71">
        <v>244.24</v>
      </c>
      <c r="N6" s="71">
        <v>61.06</v>
      </c>
      <c r="O6" s="71">
        <v>9.16</v>
      </c>
      <c r="P6" s="71">
        <v>79</v>
      </c>
      <c r="Q6" s="89">
        <f>ROUND(SUM(M6:P6),2)</f>
        <v>393.46</v>
      </c>
      <c r="R6" s="70">
        <v>0</v>
      </c>
      <c r="S6" s="90">
        <f>L6+IFERROR(VLOOKUP($E:$E,'（居民）工资表-6月'!$E:$S,15,0),0)</f>
        <v>28140</v>
      </c>
      <c r="T6" s="91">
        <f>5000+IFERROR(VLOOKUP($E:$E,'（居民）工资表-6月'!$E:$T,16,0),0)</f>
        <v>20000</v>
      </c>
      <c r="U6" s="91">
        <f>Q6+IFERROR(VLOOKUP($E:$E,'（居民）工资表-6月'!$E:$U,17,0),0)</f>
        <v>1967.3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R6+IFERROR(VLOOKUP($E:$E,'（居民）工资表-6月'!$E:$AC,25,0),0)</f>
        <v>0</v>
      </c>
      <c r="AD6" s="93">
        <f>ROUND(S6-T6-U6-AB6-AC6,2)</f>
        <v>6172.7</v>
      </c>
      <c r="AE6" s="94">
        <f>ROUND(MAX((AD6)*{0.03;0.1;0.2;0.25;0.3;0.35;0.45}-{0;2520;16920;31920;52920;85920;181920},0),2)</f>
        <v>185.18</v>
      </c>
      <c r="AF6" s="95">
        <f>IFERROR(VLOOKUP(E:E,'（居民）工资表-6月'!E:AF,28,0)+VLOOKUP(E:E,'（居民）工资表-6月'!E:AG,29,0),0)</f>
        <v>136.98</v>
      </c>
      <c r="AG6" s="95">
        <f>IF((AE6-AF6)&lt;0,0,AE6-AF6)</f>
        <v>48.2</v>
      </c>
      <c r="AH6" s="102">
        <f>ROUND(IF((L6-Q6-AG6)&lt;0,0,(L6-Q6-AG6)),2)</f>
        <v>6558.34</v>
      </c>
      <c r="AI6" s="103"/>
      <c r="AJ6" s="102">
        <f>AH6+AI6</f>
        <v>6558.34</v>
      </c>
      <c r="AK6" s="104"/>
      <c r="AL6" s="102">
        <f>AJ6+AG6+AK6</f>
        <v>6606.54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13" t="s">
        <v>161</v>
      </c>
      <c r="F7" s="38" t="s">
        <v>249</v>
      </c>
      <c r="G7" s="39">
        <v>18607383005</v>
      </c>
      <c r="H7" s="40"/>
      <c r="I7" s="40"/>
      <c r="J7" s="69"/>
      <c r="K7" s="40"/>
      <c r="L7" s="70">
        <v>24800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L7+IFERROR(VLOOKUP($E:$E,'（居民）工资表-6月'!$E:$S,15,0),0)</f>
        <v>61704.76</v>
      </c>
      <c r="T7" s="91">
        <f>5000+IFERROR(VLOOKUP($E:$E,'（居民）工资表-6月'!$E:$T,16,0),0)</f>
        <v>15000</v>
      </c>
      <c r="U7" s="91">
        <f>Q7+IFERROR(VLOOKUP($E:$E,'（居民）工资表-6月'!$E:$U,17,0),0)</f>
        <v>1922.67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R7+IFERROR(VLOOKUP($E:$E,'（居民）工资表-6月'!$E:$AC,25,0),0)</f>
        <v>0</v>
      </c>
      <c r="AD7" s="93">
        <f>ROUND(S7-T7-U7-AB7-AC7,2)</f>
        <v>44782.09</v>
      </c>
      <c r="AE7" s="94">
        <f>ROUND(MAX((AD7)*{0.03;0.1;0.2;0.25;0.3;0.35;0.45}-{0;2520;16920;31920;52920;85920;181920},0),2)</f>
        <v>1958.21</v>
      </c>
      <c r="AF7" s="95">
        <f>IFERROR(VLOOKUP(E:E,'（居民）工资表-6月'!E:AF,28,0)+VLOOKUP(E:E,'（居民）工资表-6月'!E:AG,29,0),0)</f>
        <v>767.82</v>
      </c>
      <c r="AG7" s="95">
        <f>IF((AE7-AF7)&lt;0,0,AE7-AF7)</f>
        <v>1190.39</v>
      </c>
      <c r="AH7" s="102">
        <f>ROUND(IF((L7-Q7-AG7)&lt;0,0,(L7-Q7-AG7)),2)</f>
        <v>22997.61</v>
      </c>
      <c r="AI7" s="103"/>
      <c r="AJ7" s="102">
        <f>AH7+AI7</f>
        <v>22997.61</v>
      </c>
      <c r="AK7" s="104"/>
      <c r="AL7" s="102">
        <f>AJ7+AG7+AK7</f>
        <v>24188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85</v>
      </c>
      <c r="C8" s="37" t="s">
        <v>251</v>
      </c>
      <c r="D8" s="37" t="s">
        <v>87</v>
      </c>
      <c r="E8" s="413" t="s">
        <v>252</v>
      </c>
      <c r="F8" s="38" t="str">
        <f>IF(MOD(MID(E8,17,1),2)=1,"男","女")</f>
        <v>女</v>
      </c>
      <c r="G8" s="39">
        <v>15360550807</v>
      </c>
      <c r="H8" s="40"/>
      <c r="I8" s="40"/>
      <c r="J8" s="69"/>
      <c r="K8" s="40"/>
      <c r="L8" s="70">
        <v>3523.63636363636</v>
      </c>
      <c r="M8" s="71"/>
      <c r="N8" s="71"/>
      <c r="O8" s="71"/>
      <c r="P8" s="71"/>
      <c r="Q8" s="89">
        <f>ROUND(SUM(M8:P8),2)</f>
        <v>0</v>
      </c>
      <c r="R8" s="70">
        <v>0</v>
      </c>
      <c r="S8" s="90">
        <f>L8+IFERROR(VLOOKUP($E:$E,'（居民）工资表-6月'!$E:$S,15,0),0)</f>
        <v>3523.63636363636</v>
      </c>
      <c r="T8" s="91">
        <f>5000+IFERROR(VLOOKUP($E:$E,'（居民）工资表-6月'!$E:$T,16,0),0)</f>
        <v>5000</v>
      </c>
      <c r="U8" s="91">
        <f>Q8+IFERROR(VLOOKUP($E:$E,'（居民）工资表-6月'!$E:$U,17,0),0)</f>
        <v>0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R8+IFERROR(VLOOKUP($E:$E,'（居民）工资表-6月'!$E:$AC,25,0),0)</f>
        <v>0</v>
      </c>
      <c r="AD8" s="93">
        <f>ROUND(S8-T8-U8-AB8-AC8,2)</f>
        <v>-1476.36</v>
      </c>
      <c r="AE8" s="94">
        <f>ROUND(MAX((AD8)*{0.03;0.1;0.2;0.25;0.3;0.35;0.45}-{0;2520;16920;31920;52920;85920;181920},0),2)</f>
        <v>0</v>
      </c>
      <c r="AF8" s="95">
        <f>IFERROR(VLOOKUP(E:E,'（居民）工资表-6月'!E:AF,28,0)+VLOOKUP(E:E,'（居民）工资表-6月'!E:AG,29,0),0)</f>
        <v>0</v>
      </c>
      <c r="AG8" s="95">
        <f>IF((AE8-AF8)&lt;0,0,AE8-AF8)</f>
        <v>0</v>
      </c>
      <c r="AH8" s="102">
        <f>ROUND(IF((L8-Q8-AG8)&lt;0,0,(L8-Q8-AG8)),2)</f>
        <v>3523.64</v>
      </c>
      <c r="AI8" s="103"/>
      <c r="AJ8" s="102">
        <f>AH8+AI8</f>
        <v>3523.64</v>
      </c>
      <c r="AK8" s="104"/>
      <c r="AL8" s="102">
        <f>AJ8+AG8+AK8</f>
        <v>3523.64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47769.0909090909</v>
      </c>
      <c r="M9" s="74">
        <f t="shared" si="0"/>
        <v>1132.48</v>
      </c>
      <c r="N9" s="74">
        <f t="shared" si="0"/>
        <v>330.56</v>
      </c>
      <c r="O9" s="74">
        <f t="shared" si="0"/>
        <v>38.67</v>
      </c>
      <c r="P9" s="74">
        <f t="shared" si="0"/>
        <v>459</v>
      </c>
      <c r="Q9" s="74">
        <f t="shared" si="0"/>
        <v>1960.71</v>
      </c>
      <c r="R9" s="74">
        <f t="shared" si="0"/>
        <v>0</v>
      </c>
      <c r="S9" s="74">
        <f t="shared" si="0"/>
        <v>170373.850909091</v>
      </c>
      <c r="T9" s="74">
        <f t="shared" si="0"/>
        <v>100000</v>
      </c>
      <c r="U9" s="74">
        <f t="shared" si="0"/>
        <v>9706.02</v>
      </c>
      <c r="V9" s="74">
        <f t="shared" si="0"/>
        <v>0</v>
      </c>
      <c r="W9" s="74">
        <f t="shared" si="0"/>
        <v>0</v>
      </c>
      <c r="X9" s="74">
        <f t="shared" si="0"/>
        <v>7000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7000</v>
      </c>
      <c r="AC9" s="74">
        <f t="shared" si="0"/>
        <v>0</v>
      </c>
      <c r="AD9" s="74">
        <f t="shared" si="0"/>
        <v>53667.83</v>
      </c>
      <c r="AE9" s="74">
        <f t="shared" si="0"/>
        <v>2269.07</v>
      </c>
      <c r="AF9" s="74">
        <f t="shared" si="0"/>
        <v>1015.78</v>
      </c>
      <c r="AG9" s="74">
        <f t="shared" si="0"/>
        <v>1273.99</v>
      </c>
      <c r="AH9" s="74">
        <f t="shared" si="0"/>
        <v>44534.39</v>
      </c>
      <c r="AI9" s="105">
        <f t="shared" si="0"/>
        <v>0</v>
      </c>
      <c r="AJ9" s="74">
        <f t="shared" si="0"/>
        <v>44534.39</v>
      </c>
      <c r="AK9" s="74">
        <f t="shared" si="0"/>
        <v>0</v>
      </c>
      <c r="AL9" s="74">
        <f t="shared" si="0"/>
        <v>45808.38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44534.39</v>
      </c>
      <c r="C14" s="48">
        <f>AG9</f>
        <v>1273.99</v>
      </c>
      <c r="D14" s="48">
        <f>AK9</f>
        <v>0</v>
      </c>
      <c r="E14" s="48">
        <f>B14+C14+D14</f>
        <v>45808.38</v>
      </c>
    </row>
    <row r="15" spans="2:5">
      <c r="B15" s="49"/>
      <c r="C15" s="49"/>
      <c r="D15" s="49"/>
      <c r="E15" s="49">
        <f>社保1!BC30</f>
        <v>37550.82</v>
      </c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18" hidden="1" customWidth="1"/>
    <col min="2" max="2" width="9.375" style="119" hidden="1" customWidth="1"/>
    <col min="3" max="3" width="9.625" style="119" hidden="1" customWidth="1"/>
    <col min="4" max="4" width="13.125" style="119" hidden="1" customWidth="1"/>
    <col min="5" max="5" width="25.75" style="118" hidden="1" customWidth="1"/>
    <col min="6" max="6" width="29.375" style="118" hidden="1" customWidth="1"/>
    <col min="7" max="7" width="10.25" style="120" hidden="1" customWidth="1"/>
    <col min="8" max="9" width="8.5" style="118" hidden="1" customWidth="1"/>
    <col min="10" max="10" width="8.5" style="118" customWidth="1"/>
    <col min="11" max="11" width="18" style="118" customWidth="1"/>
    <col min="12" max="12" width="11.25" style="118" customWidth="1"/>
    <col min="13" max="13" width="12.25" style="118" customWidth="1"/>
    <col min="14" max="14" width="8.5" style="118" customWidth="1"/>
    <col min="15" max="15" width="10.25" style="118" customWidth="1"/>
    <col min="16" max="16" width="8.5" style="118" customWidth="1"/>
    <col min="17" max="17" width="8.5" style="121" customWidth="1"/>
    <col min="18" max="18" width="10.25" style="119" customWidth="1"/>
    <col min="19" max="19" width="12.25" style="118" customWidth="1"/>
    <col min="20" max="23" width="12.5" style="118" customWidth="1"/>
    <col min="24" max="24" width="10.75" style="118" customWidth="1"/>
    <col min="25" max="25" width="12.5" style="118" customWidth="1"/>
    <col min="26" max="26" width="14.125" style="118" customWidth="1"/>
    <col min="27" max="27" width="12.5" style="118" customWidth="1"/>
    <col min="28" max="28" width="16.25" style="118" customWidth="1"/>
    <col min="29" max="29" width="12.5" style="118" customWidth="1"/>
    <col min="30" max="30" width="16.125" style="118" customWidth="1"/>
    <col min="31" max="31" width="12.25" style="118" customWidth="1"/>
    <col min="32" max="33" width="16.125" style="118" customWidth="1"/>
    <col min="34" max="34" width="20.5" style="118" customWidth="1"/>
    <col min="35" max="35" width="8.5" style="118" customWidth="1"/>
    <col min="36" max="36" width="5" style="118" customWidth="1"/>
    <col min="37" max="37" width="10.25" style="118" customWidth="1"/>
    <col min="38" max="38" width="14.25" style="122" customWidth="1"/>
    <col min="39" max="39" width="11.5" style="122" customWidth="1"/>
    <col min="40" max="40" width="13.875" style="122" customWidth="1"/>
    <col min="41" max="41" width="13.625" style="122" customWidth="1"/>
    <col min="42" max="16384" width="9" style="118"/>
  </cols>
  <sheetData>
    <row r="1" s="113" customFormat="1" ht="16.5" spans="1:41">
      <c r="A1" s="123" t="s">
        <v>18</v>
      </c>
      <c r="B1" s="124" t="s">
        <v>218</v>
      </c>
      <c r="C1" s="123" t="s">
        <v>107</v>
      </c>
      <c r="D1" s="123" t="s">
        <v>253</v>
      </c>
      <c r="E1" s="123" t="s">
        <v>254</v>
      </c>
      <c r="F1" s="124" t="s">
        <v>104</v>
      </c>
      <c r="G1" s="125" t="s">
        <v>255</v>
      </c>
      <c r="H1" s="123" t="s">
        <v>106</v>
      </c>
      <c r="I1" s="123" t="s">
        <v>256</v>
      </c>
      <c r="J1" s="124" t="s">
        <v>108</v>
      </c>
      <c r="K1" s="124" t="s">
        <v>219</v>
      </c>
      <c r="L1" s="124" t="s">
        <v>220</v>
      </c>
      <c r="M1" s="124" t="s">
        <v>244</v>
      </c>
      <c r="N1" s="124" t="s">
        <v>245</v>
      </c>
      <c r="O1" s="124" t="s">
        <v>222</v>
      </c>
      <c r="P1" s="124" t="s">
        <v>223</v>
      </c>
      <c r="Q1" s="146" t="s">
        <v>224</v>
      </c>
      <c r="R1" s="124" t="s">
        <v>225</v>
      </c>
      <c r="S1" s="147" t="s">
        <v>226</v>
      </c>
      <c r="T1" s="148" t="s">
        <v>227</v>
      </c>
      <c r="U1" s="148"/>
      <c r="V1" s="148"/>
      <c r="W1" s="148"/>
      <c r="X1" s="148"/>
      <c r="Y1" s="148"/>
      <c r="Z1" s="147" t="s">
        <v>228</v>
      </c>
      <c r="AA1" s="124" t="s">
        <v>229</v>
      </c>
      <c r="AB1" s="124"/>
      <c r="AC1" s="124"/>
      <c r="AD1" s="123" t="s">
        <v>257</v>
      </c>
      <c r="AE1" s="123" t="s">
        <v>258</v>
      </c>
      <c r="AF1" s="123" t="s">
        <v>259</v>
      </c>
      <c r="AG1" s="123" t="s">
        <v>260</v>
      </c>
      <c r="AH1" s="123" t="s">
        <v>261</v>
      </c>
      <c r="AI1" s="123" t="s">
        <v>230</v>
      </c>
      <c r="AJ1" s="123" t="s">
        <v>23</v>
      </c>
      <c r="AK1" s="155" t="s">
        <v>262</v>
      </c>
      <c r="AL1" s="156" t="s">
        <v>263</v>
      </c>
      <c r="AM1" s="156" t="s">
        <v>264</v>
      </c>
      <c r="AN1" s="157" t="s">
        <v>265</v>
      </c>
      <c r="AO1" s="157" t="s">
        <v>266</v>
      </c>
    </row>
    <row r="2" s="114" customFormat="1" ht="24" spans="1:41">
      <c r="A2" s="123"/>
      <c r="B2" s="124"/>
      <c r="C2" s="123"/>
      <c r="D2" s="123"/>
      <c r="E2" s="123"/>
      <c r="F2" s="124"/>
      <c r="G2" s="125"/>
      <c r="H2" s="123"/>
      <c r="I2" s="123"/>
      <c r="J2" s="124"/>
      <c r="K2" s="124"/>
      <c r="L2" s="124"/>
      <c r="M2" s="124"/>
      <c r="N2" s="124"/>
      <c r="O2" s="124"/>
      <c r="P2" s="124"/>
      <c r="Q2" s="146"/>
      <c r="R2" s="124"/>
      <c r="S2" s="147"/>
      <c r="T2" s="148" t="s">
        <v>231</v>
      </c>
      <c r="U2" s="148" t="s">
        <v>232</v>
      </c>
      <c r="V2" s="148" t="s">
        <v>233</v>
      </c>
      <c r="W2" s="148" t="s">
        <v>234</v>
      </c>
      <c r="X2" s="148" t="s">
        <v>235</v>
      </c>
      <c r="Y2" s="148" t="s">
        <v>236</v>
      </c>
      <c r="Z2" s="147"/>
      <c r="AA2" s="148" t="s">
        <v>237</v>
      </c>
      <c r="AB2" s="148" t="s">
        <v>238</v>
      </c>
      <c r="AC2" s="148" t="s">
        <v>239</v>
      </c>
      <c r="AD2" s="123"/>
      <c r="AE2" s="123"/>
      <c r="AF2" s="123"/>
      <c r="AG2" s="123"/>
      <c r="AH2" s="123"/>
      <c r="AI2" s="123"/>
      <c r="AJ2" s="123"/>
      <c r="AK2" s="155"/>
      <c r="AL2" s="156"/>
      <c r="AM2" s="156"/>
      <c r="AN2" s="157"/>
      <c r="AO2" s="158"/>
    </row>
    <row r="3" s="115" customFormat="1" ht="14.25" spans="1:37">
      <c r="A3" s="126">
        <v>1</v>
      </c>
      <c r="B3" s="127">
        <v>44306</v>
      </c>
      <c r="C3" s="128"/>
      <c r="D3" s="128" t="s">
        <v>267</v>
      </c>
      <c r="E3" s="126"/>
      <c r="F3" s="129" t="s">
        <v>136</v>
      </c>
      <c r="G3" s="129"/>
      <c r="H3" s="126" t="s">
        <v>138</v>
      </c>
      <c r="I3" s="126"/>
      <c r="J3" s="137" t="s">
        <v>160</v>
      </c>
      <c r="K3" s="416" t="s">
        <v>161</v>
      </c>
      <c r="L3" s="126">
        <v>18607383005</v>
      </c>
      <c r="M3" s="129"/>
      <c r="N3" s="126" t="s">
        <v>268</v>
      </c>
      <c r="O3" s="126" t="s">
        <v>269</v>
      </c>
      <c r="P3" s="126" t="s">
        <v>241</v>
      </c>
      <c r="Q3" s="127">
        <v>44296</v>
      </c>
      <c r="R3" s="126" t="s">
        <v>270</v>
      </c>
      <c r="S3" s="129" t="s">
        <v>242</v>
      </c>
      <c r="T3" s="149">
        <v>2021.05</v>
      </c>
      <c r="U3" s="126">
        <v>4000</v>
      </c>
      <c r="V3" s="126">
        <v>4000</v>
      </c>
      <c r="W3" s="126">
        <v>4000</v>
      </c>
      <c r="X3" s="126">
        <v>4000</v>
      </c>
      <c r="Y3" s="126">
        <v>4000</v>
      </c>
      <c r="Z3" s="129" t="s">
        <v>242</v>
      </c>
      <c r="AA3" s="152" t="s">
        <v>271</v>
      </c>
      <c r="AB3" s="152" t="s">
        <v>272</v>
      </c>
      <c r="AC3" s="152" t="s">
        <v>273</v>
      </c>
      <c r="AD3" s="126" t="s">
        <v>274</v>
      </c>
      <c r="AE3" s="126"/>
      <c r="AF3" s="126"/>
      <c r="AG3" s="126"/>
      <c r="AH3" s="126"/>
      <c r="AI3" s="126"/>
      <c r="AJ3" s="126"/>
      <c r="AK3" s="129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="116" customFormat="1" spans="1:37">
      <c r="A4" s="126"/>
      <c r="B4" s="127"/>
      <c r="C4" s="130"/>
      <c r="D4" s="128"/>
      <c r="E4" s="131"/>
      <c r="F4" s="129"/>
      <c r="G4" s="132"/>
      <c r="H4" s="131"/>
      <c r="I4" s="131"/>
      <c r="J4" s="139"/>
      <c r="K4" s="139"/>
      <c r="L4" s="131"/>
      <c r="M4" s="132"/>
      <c r="N4" s="131"/>
      <c r="O4" s="131"/>
      <c r="P4" s="126"/>
      <c r="Q4" s="133"/>
      <c r="R4" s="126"/>
      <c r="S4" s="129"/>
      <c r="T4" s="150"/>
      <c r="U4" s="131"/>
      <c r="V4" s="131"/>
      <c r="W4" s="131"/>
      <c r="X4" s="131"/>
      <c r="Y4" s="131"/>
      <c r="Z4" s="129"/>
      <c r="AA4" s="153"/>
      <c r="AB4" s="153"/>
      <c r="AC4" s="153"/>
      <c r="AD4" s="131"/>
      <c r="AE4" s="131"/>
      <c r="AF4" s="131"/>
      <c r="AG4" s="131"/>
      <c r="AH4" s="131"/>
      <c r="AI4" s="131"/>
      <c r="AJ4" s="131"/>
      <c r="AK4" s="129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="116" customFormat="1" spans="1:37">
      <c r="A5" s="131"/>
      <c r="B5" s="133"/>
      <c r="C5" s="130"/>
      <c r="D5" s="130"/>
      <c r="E5" s="131"/>
      <c r="F5" s="132"/>
      <c r="G5" s="132"/>
      <c r="H5" s="131"/>
      <c r="I5" s="131"/>
      <c r="J5" s="140"/>
      <c r="K5" s="140"/>
      <c r="L5" s="131"/>
      <c r="M5" s="132"/>
      <c r="N5" s="131"/>
      <c r="O5" s="131"/>
      <c r="P5" s="131"/>
      <c r="Q5" s="133"/>
      <c r="R5" s="131"/>
      <c r="S5" s="132"/>
      <c r="T5" s="131"/>
      <c r="U5" s="131"/>
      <c r="V5" s="131"/>
      <c r="W5" s="131"/>
      <c r="X5" s="131"/>
      <c r="Y5" s="131"/>
      <c r="Z5" s="132"/>
      <c r="AA5" s="153"/>
      <c r="AB5" s="153"/>
      <c r="AC5" s="153"/>
      <c r="AD5" s="131"/>
      <c r="AE5" s="131"/>
      <c r="AF5" s="131"/>
      <c r="AG5" s="131"/>
      <c r="AH5" s="131"/>
      <c r="AI5" s="131"/>
      <c r="AJ5" s="131"/>
      <c r="AK5" s="132"/>
    </row>
    <row r="6" s="116" customFormat="1" spans="1:37">
      <c r="A6" s="131"/>
      <c r="B6" s="133"/>
      <c r="C6" s="130"/>
      <c r="D6" s="130"/>
      <c r="E6" s="131"/>
      <c r="F6" s="132"/>
      <c r="G6" s="132"/>
      <c r="H6" s="131"/>
      <c r="I6" s="131"/>
      <c r="J6" s="140"/>
      <c r="K6" s="140"/>
      <c r="L6" s="131"/>
      <c r="M6" s="132"/>
      <c r="N6" s="131"/>
      <c r="O6" s="131"/>
      <c r="P6" s="131"/>
      <c r="Q6" s="133"/>
      <c r="R6" s="131"/>
      <c r="S6" s="132"/>
      <c r="T6" s="131"/>
      <c r="U6" s="131"/>
      <c r="V6" s="131"/>
      <c r="W6" s="131"/>
      <c r="X6" s="131"/>
      <c r="Y6" s="131"/>
      <c r="Z6" s="132"/>
      <c r="AA6" s="153"/>
      <c r="AB6" s="153"/>
      <c r="AC6" s="153"/>
      <c r="AD6" s="131"/>
      <c r="AE6" s="131"/>
      <c r="AF6" s="131"/>
      <c r="AG6" s="131"/>
      <c r="AH6" s="131"/>
      <c r="AI6" s="131"/>
      <c r="AJ6" s="131"/>
      <c r="AK6" s="132"/>
    </row>
    <row r="7" s="116" customFormat="1" spans="1:37">
      <c r="A7" s="131"/>
      <c r="B7" s="133"/>
      <c r="C7" s="130"/>
      <c r="D7" s="130"/>
      <c r="E7" s="131"/>
      <c r="F7" s="132"/>
      <c r="G7" s="132"/>
      <c r="H7" s="131"/>
      <c r="I7" s="131"/>
      <c r="J7" s="140"/>
      <c r="K7" s="140"/>
      <c r="L7" s="131"/>
      <c r="M7" s="132"/>
      <c r="N7" s="131"/>
      <c r="O7" s="131"/>
      <c r="P7" s="131"/>
      <c r="Q7" s="133"/>
      <c r="R7" s="131"/>
      <c r="S7" s="132"/>
      <c r="T7" s="131"/>
      <c r="U7" s="131"/>
      <c r="V7" s="131"/>
      <c r="W7" s="131"/>
      <c r="X7" s="131"/>
      <c r="Y7" s="131"/>
      <c r="Z7" s="132"/>
      <c r="AA7" s="153"/>
      <c r="AB7" s="153"/>
      <c r="AC7" s="153"/>
      <c r="AD7" s="131"/>
      <c r="AE7" s="131"/>
      <c r="AF7" s="131"/>
      <c r="AG7" s="131"/>
      <c r="AH7" s="131"/>
      <c r="AI7" s="131"/>
      <c r="AJ7" s="131"/>
      <c r="AK7" s="132"/>
    </row>
    <row r="8" s="116" customFormat="1" spans="1:37">
      <c r="A8" s="131"/>
      <c r="B8" s="133"/>
      <c r="C8" s="130"/>
      <c r="D8" s="130"/>
      <c r="E8" s="131"/>
      <c r="F8" s="132"/>
      <c r="G8" s="132"/>
      <c r="H8" s="131"/>
      <c r="I8" s="131"/>
      <c r="J8" s="140" t="s">
        <v>275</v>
      </c>
      <c r="K8" s="140"/>
      <c r="L8" s="131"/>
      <c r="M8" s="132"/>
      <c r="N8" s="131"/>
      <c r="O8" s="131"/>
      <c r="P8" s="131"/>
      <c r="Q8" s="133"/>
      <c r="R8" s="131"/>
      <c r="S8" s="132"/>
      <c r="T8" s="131"/>
      <c r="U8" s="131"/>
      <c r="V8" s="131"/>
      <c r="W8" s="131"/>
      <c r="X8" s="131"/>
      <c r="Y8" s="131"/>
      <c r="Z8" s="132"/>
      <c r="AA8" s="153"/>
      <c r="AB8" s="153"/>
      <c r="AC8" s="153"/>
      <c r="AD8" s="131"/>
      <c r="AE8" s="131"/>
      <c r="AF8" s="131"/>
      <c r="AG8" s="131"/>
      <c r="AH8" s="131"/>
      <c r="AI8" s="131"/>
      <c r="AJ8" s="131"/>
      <c r="AK8" s="132"/>
    </row>
    <row r="9" s="116" customFormat="1" ht="12.75" spans="1:37">
      <c r="A9" s="131"/>
      <c r="B9" s="133"/>
      <c r="C9" s="130"/>
      <c r="D9" s="130"/>
      <c r="E9" s="131"/>
      <c r="F9" s="132"/>
      <c r="G9" s="132"/>
      <c r="H9" s="131"/>
      <c r="I9" s="131"/>
      <c r="J9" s="131" t="s">
        <v>145</v>
      </c>
      <c r="K9" s="141" t="s">
        <v>138</v>
      </c>
      <c r="L9" s="142" t="s">
        <v>146</v>
      </c>
      <c r="M9" s="143" t="s">
        <v>89</v>
      </c>
      <c r="N9" s="411" t="s">
        <v>90</v>
      </c>
      <c r="O9" s="131"/>
      <c r="P9" s="131"/>
      <c r="Q9" s="151">
        <v>202106</v>
      </c>
      <c r="R9" s="131"/>
      <c r="S9" s="132"/>
      <c r="T9" s="131"/>
      <c r="U9" s="131"/>
      <c r="V9" s="131"/>
      <c r="W9" s="131"/>
      <c r="X9" s="131"/>
      <c r="Y9" s="131"/>
      <c r="Z9" s="132"/>
      <c r="AA9" s="153"/>
      <c r="AB9" s="153"/>
      <c r="AC9" s="153"/>
      <c r="AD9" s="131"/>
      <c r="AE9" s="131"/>
      <c r="AF9" s="131"/>
      <c r="AG9" s="131"/>
      <c r="AH9" s="131"/>
      <c r="AI9" s="131"/>
      <c r="AJ9" s="131"/>
      <c r="AK9" s="132"/>
    </row>
    <row r="10" s="116" customFormat="1" spans="1:37">
      <c r="A10" s="131"/>
      <c r="B10" s="133"/>
      <c r="C10" s="130"/>
      <c r="D10" s="130"/>
      <c r="E10" s="131"/>
      <c r="F10" s="132"/>
      <c r="G10" s="132"/>
      <c r="H10" s="131"/>
      <c r="I10" s="131"/>
      <c r="J10" s="140"/>
      <c r="K10" s="140"/>
      <c r="L10" s="131"/>
      <c r="M10" s="132"/>
      <c r="N10" s="131"/>
      <c r="O10" s="131"/>
      <c r="P10" s="131"/>
      <c r="Q10" s="133"/>
      <c r="R10" s="131"/>
      <c r="S10" s="132"/>
      <c r="T10" s="131"/>
      <c r="U10" s="131"/>
      <c r="V10" s="131"/>
      <c r="W10" s="131"/>
      <c r="X10" s="131"/>
      <c r="Y10" s="131"/>
      <c r="Z10" s="132"/>
      <c r="AA10" s="153"/>
      <c r="AB10" s="153"/>
      <c r="AC10" s="153"/>
      <c r="AD10" s="131"/>
      <c r="AE10" s="131"/>
      <c r="AF10" s="131"/>
      <c r="AG10" s="131"/>
      <c r="AH10" s="131"/>
      <c r="AI10" s="131"/>
      <c r="AJ10" s="131"/>
      <c r="AK10" s="132"/>
    </row>
    <row r="11" s="116" customFormat="1" spans="1:37">
      <c r="A11" s="131"/>
      <c r="B11" s="133"/>
      <c r="C11" s="130"/>
      <c r="D11" s="130"/>
      <c r="E11" s="131"/>
      <c r="F11" s="132"/>
      <c r="G11" s="132"/>
      <c r="H11" s="131"/>
      <c r="I11" s="131"/>
      <c r="J11" s="140"/>
      <c r="K11" s="140"/>
      <c r="L11" s="131"/>
      <c r="M11" s="132"/>
      <c r="N11" s="131"/>
      <c r="O11" s="131"/>
      <c r="P11" s="131"/>
      <c r="Q11" s="133"/>
      <c r="R11" s="131"/>
      <c r="S11" s="132"/>
      <c r="T11" s="131"/>
      <c r="U11" s="131"/>
      <c r="V11" s="131"/>
      <c r="W11" s="131"/>
      <c r="X11" s="131"/>
      <c r="Y11" s="131"/>
      <c r="Z11" s="132"/>
      <c r="AA11" s="153"/>
      <c r="AB11" s="153"/>
      <c r="AC11" s="153"/>
      <c r="AD11" s="131"/>
      <c r="AE11" s="131"/>
      <c r="AF11" s="131"/>
      <c r="AG11" s="131"/>
      <c r="AH11" s="131"/>
      <c r="AI11" s="131"/>
      <c r="AJ11" s="131"/>
      <c r="AK11" s="132"/>
    </row>
    <row r="12" s="117" customFormat="1" spans="1:41">
      <c r="A12" s="134"/>
      <c r="B12" s="135"/>
      <c r="C12" s="130"/>
      <c r="D12" s="130"/>
      <c r="E12" s="131"/>
      <c r="F12" s="132"/>
      <c r="G12" s="136"/>
      <c r="H12" s="134"/>
      <c r="I12" s="131"/>
      <c r="J12" s="140"/>
      <c r="K12" s="140"/>
      <c r="L12" s="131"/>
      <c r="M12" s="132"/>
      <c r="N12" s="134"/>
      <c r="O12" s="134"/>
      <c r="P12" s="134"/>
      <c r="Q12" s="134"/>
      <c r="R12" s="134"/>
      <c r="S12" s="132"/>
      <c r="T12" s="134"/>
      <c r="U12" s="134"/>
      <c r="V12" s="134"/>
      <c r="W12" s="134"/>
      <c r="X12" s="134"/>
      <c r="Y12" s="134"/>
      <c r="Z12" s="132"/>
      <c r="AA12" s="154"/>
      <c r="AB12" s="154"/>
      <c r="AC12" s="154"/>
      <c r="AD12" s="134"/>
      <c r="AE12" s="134"/>
      <c r="AF12" s="134"/>
      <c r="AG12" s="134"/>
      <c r="AH12" s="134"/>
      <c r="AI12" s="134"/>
      <c r="AJ12" s="134"/>
      <c r="AK12" s="132"/>
      <c r="AL12" s="116"/>
      <c r="AM12" s="116"/>
      <c r="AN12" s="116"/>
      <c r="AO12" s="116"/>
    </row>
    <row r="13" s="117" customFormat="1" spans="1:41">
      <c r="A13" s="134"/>
      <c r="B13" s="135"/>
      <c r="C13" s="130"/>
      <c r="D13" s="130"/>
      <c r="E13" s="131"/>
      <c r="F13" s="132"/>
      <c r="G13" s="136"/>
      <c r="H13" s="134"/>
      <c r="I13" s="134"/>
      <c r="J13" s="145"/>
      <c r="K13" s="145"/>
      <c r="L13" s="134"/>
      <c r="M13" s="132"/>
      <c r="N13" s="134"/>
      <c r="O13" s="134"/>
      <c r="P13" s="134"/>
      <c r="Q13" s="134"/>
      <c r="R13" s="134"/>
      <c r="S13" s="132"/>
      <c r="T13" s="134"/>
      <c r="U13" s="134"/>
      <c r="V13" s="134"/>
      <c r="W13" s="134"/>
      <c r="X13" s="134"/>
      <c r="Y13" s="134"/>
      <c r="Z13" s="132"/>
      <c r="AA13" s="154"/>
      <c r="AB13" s="154"/>
      <c r="AC13" s="154"/>
      <c r="AD13" s="134"/>
      <c r="AE13" s="134"/>
      <c r="AF13" s="134"/>
      <c r="AG13" s="134"/>
      <c r="AH13" s="134"/>
      <c r="AI13" s="134"/>
      <c r="AJ13" s="134"/>
      <c r="AK13" s="132"/>
      <c r="AL13" s="116"/>
      <c r="AM13" s="116"/>
      <c r="AN13" s="116"/>
      <c r="AO13" s="116"/>
    </row>
    <row r="14" s="117" customFormat="1" spans="1:41">
      <c r="A14" s="134"/>
      <c r="B14" s="135"/>
      <c r="C14" s="130"/>
      <c r="D14" s="130"/>
      <c r="E14" s="131"/>
      <c r="F14" s="132"/>
      <c r="G14" s="136"/>
      <c r="H14" s="134"/>
      <c r="I14" s="134"/>
      <c r="J14" s="145"/>
      <c r="K14" s="145"/>
      <c r="L14" s="134"/>
      <c r="M14" s="132"/>
      <c r="N14" s="134"/>
      <c r="O14" s="134"/>
      <c r="P14" s="134"/>
      <c r="Q14" s="134"/>
      <c r="R14" s="134"/>
      <c r="S14" s="132"/>
      <c r="T14" s="134"/>
      <c r="U14" s="134"/>
      <c r="V14" s="134"/>
      <c r="W14" s="134"/>
      <c r="X14" s="134"/>
      <c r="Y14" s="134"/>
      <c r="Z14" s="132"/>
      <c r="AA14" s="154"/>
      <c r="AB14" s="154"/>
      <c r="AC14" s="154"/>
      <c r="AD14" s="134"/>
      <c r="AE14" s="134"/>
      <c r="AF14" s="134"/>
      <c r="AG14" s="134"/>
      <c r="AH14" s="134"/>
      <c r="AI14" s="134"/>
      <c r="AJ14" s="134"/>
      <c r="AK14" s="132"/>
      <c r="AL14" s="116"/>
      <c r="AM14" s="116"/>
      <c r="AN14" s="116"/>
      <c r="AO14" s="116"/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2:J14">
    <cfRule type="duplicateValues" dxfId="2" priority="3"/>
  </conditionalFormatting>
  <conditionalFormatting sqref="J5:J8 J10:J11">
    <cfRule type="duplicateValues" dxfId="2" priority="2"/>
    <cfRule type="duplicateValues" dxfId="2" priority="1"/>
  </conditionalFormatting>
  <dataValidations count="7">
    <dataValidation type="list" allowBlank="1" showInputMessage="1" showErrorMessage="1" sqref="S3:S4 S5:S14 Z3:Z4 Z5:Z14">
      <formula1>"新参,调入"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M3:M8 M10:M14">
      <formula1>"是,否"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8660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L4+IFERROR(VLOOKUP($E:$E,'（居民）工资表-7月'!$E:$S,15,0),0)</f>
        <v>57720</v>
      </c>
      <c r="T4" s="91">
        <f>5000+IFERROR(VLOOKUP($E:$E,'（居民）工资表-7月'!$E:$T,16,0),0)</f>
        <v>40000</v>
      </c>
      <c r="U4" s="91">
        <f>Q4+IFERROR(VLOOKUP($E:$E,'（居民）工资表-7月'!$E:$U,17,0),0)</f>
        <v>4159.2</v>
      </c>
      <c r="V4" s="70"/>
      <c r="W4" s="70"/>
      <c r="X4" s="70">
        <v>8000</v>
      </c>
      <c r="Y4" s="70"/>
      <c r="Z4" s="70"/>
      <c r="AA4" s="70"/>
      <c r="AB4" s="90">
        <f>ROUND(SUM(V4:AA4),2)</f>
        <v>8000</v>
      </c>
      <c r="AC4" s="90">
        <f>R4+IFERROR(VLOOKUP($E:$E,'（居民）工资表-7月'!$E:$AC,25,0),0)</f>
        <v>0</v>
      </c>
      <c r="AD4" s="93">
        <f>ROUND(S4-T4-U4-AB4-AC4,2)</f>
        <v>5560.8</v>
      </c>
      <c r="AE4" s="94">
        <f>ROUND(MAX((AD4)*{0.03;0.1;0.2;0.25;0.3;0.35;0.45}-{0;2520;16920;31920;52920;85920;181920},0),2)</f>
        <v>166.82</v>
      </c>
      <c r="AF4" s="95">
        <f>IFERROR(VLOOKUP(E:E,'（居民）工资表-7月'!E:AF,28,0)+VLOOKUP(E:E,'（居民）工资表-7月'!E:AG,29,0),0)</f>
        <v>102.62</v>
      </c>
      <c r="AG4" s="95">
        <f>IF((AE4-AF4)&lt;0,0,AE4-AF4)</f>
        <v>64.2</v>
      </c>
      <c r="AH4" s="102">
        <f>ROUND(IF((L4-Q4-AG4)&lt;0,0,(L4-Q4-AG4)),2)</f>
        <v>8075.9</v>
      </c>
      <c r="AI4" s="103"/>
      <c r="AJ4" s="102">
        <f>AH4+AI4</f>
        <v>8075.9</v>
      </c>
      <c r="AK4" s="104"/>
      <c r="AL4" s="102">
        <f>AJ4+AG4+AK4</f>
        <v>8140.1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L5+IFERROR(VLOOKUP($E:$E,'（居民）工资表-7月'!$E:$S,15,0),0)</f>
        <v>35061</v>
      </c>
      <c r="T5" s="91">
        <f>5000+IFERROR(VLOOKUP($E:$E,'（居民）工资表-7月'!$E:$T,16,0),0)</f>
        <v>25000</v>
      </c>
      <c r="U5" s="91">
        <f>Q5+IFERROR(VLOOKUP($E:$E,'（居民）工资表-7月'!$E:$U,17,0),0)</f>
        <v>2360.76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3">
        <f>ROUND(S5-T5-U5-AB5-AC5,2)</f>
        <v>7700.24</v>
      </c>
      <c r="AE5" s="94">
        <f>ROUND(MAX((AD5)*{0.03;0.1;0.2;0.25;0.3;0.35;0.45}-{0;2520;16920;31920;52920;85920;181920},0),2)</f>
        <v>231.01</v>
      </c>
      <c r="AF5" s="95">
        <f>IFERROR(VLOOKUP(E:E,'（居民）工资表-7月'!E:AF,28,0)+VLOOKUP(E:E,'（居民）工资表-7月'!E:AG,29,0),0)</f>
        <v>185.18</v>
      </c>
      <c r="AG5" s="95">
        <f>IF((AE5-AF5)&lt;0,0,AE5-AF5)</f>
        <v>45.83</v>
      </c>
      <c r="AH5" s="102">
        <f>ROUND(IF((L5-Q5-AG5)&lt;0,0,(L5-Q5-AG5)),2)</f>
        <v>6481.71</v>
      </c>
      <c r="AI5" s="103"/>
      <c r="AJ5" s="102">
        <f>AH5+AI5</f>
        <v>6481.71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160</v>
      </c>
      <c r="D6" s="37" t="s">
        <v>87</v>
      </c>
      <c r="E6" s="413" t="s">
        <v>161</v>
      </c>
      <c r="F6" s="38" t="s">
        <v>249</v>
      </c>
      <c r="G6" s="39">
        <v>18607383005</v>
      </c>
      <c r="H6" s="40"/>
      <c r="I6" s="40"/>
      <c r="J6" s="69"/>
      <c r="K6" s="40"/>
      <c r="L6" s="70">
        <v>24800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L6+IFERROR(VLOOKUP($E:$E,'（居民）工资表-7月'!$E:$S,15,0),0)</f>
        <v>86504.76</v>
      </c>
      <c r="T6" s="91">
        <f>5000+IFERROR(VLOOKUP($E:$E,'（居民）工资表-7月'!$E:$T,16,0),0)</f>
        <v>20000</v>
      </c>
      <c r="U6" s="91">
        <f>Q6+IFERROR(VLOOKUP($E:$E,'（居民）工资表-7月'!$E:$U,17,0),0)</f>
        <v>2534.67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R6+IFERROR(VLOOKUP($E:$E,'（居民）工资表-7月'!$E:$AC,25,0),0)</f>
        <v>0</v>
      </c>
      <c r="AD6" s="93">
        <f>ROUND(S6-T6-U6-AB6-AC6,2)</f>
        <v>63970.09</v>
      </c>
      <c r="AE6" s="94">
        <f>ROUND(MAX((AD6)*{0.03;0.1;0.2;0.25;0.3;0.35;0.45}-{0;2520;16920;31920;52920;85920;181920},0),2)</f>
        <v>3877.01</v>
      </c>
      <c r="AF6" s="95">
        <f>IFERROR(VLOOKUP(E:E,'（居民）工资表-7月'!E:AF,28,0)+VLOOKUP(E:E,'（居民）工资表-7月'!E:AG,29,0),0)</f>
        <v>1958.21</v>
      </c>
      <c r="AG6" s="95">
        <f>IF((AE6-AF6)&lt;0,0,AE6-AF6)</f>
        <v>1918.8</v>
      </c>
      <c r="AH6" s="102">
        <f>ROUND(IF((L6-Q6-AG6)&lt;0,0,(L6-Q6-AG6)),2)</f>
        <v>22269.2</v>
      </c>
      <c r="AI6" s="103"/>
      <c r="AJ6" s="102">
        <f>AH6+AI6</f>
        <v>22269.2</v>
      </c>
      <c r="AK6" s="104"/>
      <c r="AL6" s="102">
        <f>AJ6+AG6+AK6</f>
        <v>24188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251</v>
      </c>
      <c r="D7" s="37" t="s">
        <v>87</v>
      </c>
      <c r="E7" s="413" t="s">
        <v>252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L7+IFERROR(VLOOKUP($E:$E,'（居民）工资表-7月'!$E:$S,15,0),0)</f>
        <v>8083.63636363636</v>
      </c>
      <c r="T7" s="91">
        <f>5000+IFERROR(VLOOKUP($E:$E,'（居民）工资表-7月'!$E:$T,16,0),0)</f>
        <v>10000</v>
      </c>
      <c r="U7" s="91">
        <f>Q7+IFERROR(VLOOKUP($E:$E,'（居民）工资表-7月'!$E:$U,17,0),0)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R7+IFERROR(VLOOKUP($E:$E,'（居民）工资表-7月'!$E:$AC,25,0),0)</f>
        <v>0</v>
      </c>
      <c r="AD7" s="93">
        <f>ROUND(S7-T7-U7-AB7-AC7,2)</f>
        <v>-1916.36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44941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187369.396363636</v>
      </c>
      <c r="T8" s="74">
        <f t="shared" si="0"/>
        <v>95000</v>
      </c>
      <c r="U8" s="74">
        <f t="shared" si="0"/>
        <v>9054.63</v>
      </c>
      <c r="V8" s="74">
        <f t="shared" si="0"/>
        <v>0</v>
      </c>
      <c r="W8" s="74">
        <f t="shared" si="0"/>
        <v>0</v>
      </c>
      <c r="X8" s="74">
        <f t="shared" si="0"/>
        <v>8000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8000</v>
      </c>
      <c r="AC8" s="74">
        <f t="shared" si="0"/>
        <v>0</v>
      </c>
      <c r="AD8" s="74">
        <f t="shared" si="0"/>
        <v>75314.77</v>
      </c>
      <c r="AE8" s="74">
        <f t="shared" si="0"/>
        <v>4274.84</v>
      </c>
      <c r="AF8" s="74">
        <f t="shared" si="0"/>
        <v>2246.01</v>
      </c>
      <c r="AG8" s="74">
        <f t="shared" si="0"/>
        <v>2028.83</v>
      </c>
      <c r="AH8" s="74">
        <f t="shared" si="0"/>
        <v>41386.81</v>
      </c>
      <c r="AI8" s="105">
        <f t="shared" si="0"/>
        <v>0</v>
      </c>
      <c r="AJ8" s="74">
        <f t="shared" si="0"/>
        <v>41386.81</v>
      </c>
      <c r="AK8" s="74">
        <f t="shared" si="0"/>
        <v>0</v>
      </c>
      <c r="AL8" s="74">
        <f t="shared" si="0"/>
        <v>43415.64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41386.81</v>
      </c>
      <c r="C13" s="48">
        <f>AG8</f>
        <v>2028.83</v>
      </c>
      <c r="D13" s="48">
        <f>AK8</f>
        <v>0</v>
      </c>
      <c r="E13" s="48">
        <f>B13+C13+D13</f>
        <v>43415.64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9780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L4+IFERROR(VLOOKUP($E:$E,'（居民）工资表-8月'!$E:$S,15,0),0)</f>
        <v>67500</v>
      </c>
      <c r="T4" s="91">
        <f>5000+IFERROR(VLOOKUP($E:$E,'（居民）工资表-8月'!$E:$T,16,0),0)</f>
        <v>45000</v>
      </c>
      <c r="U4" s="91">
        <f>Q4+IFERROR(VLOOKUP($E:$E,'（居民）工资表-8月'!$E:$U,17,0),0)</f>
        <v>4679.1</v>
      </c>
      <c r="V4" s="70"/>
      <c r="W4" s="70"/>
      <c r="X4" s="70">
        <v>9000</v>
      </c>
      <c r="Y4" s="70"/>
      <c r="Z4" s="70"/>
      <c r="AA4" s="70"/>
      <c r="AB4" s="90">
        <f>ROUND(SUM(V4:AA4),2)</f>
        <v>9000</v>
      </c>
      <c r="AC4" s="90">
        <f>R4+IFERROR(VLOOKUP($E:$E,'（居民）工资表-8月'!$E:$AC,25,0),0)</f>
        <v>0</v>
      </c>
      <c r="AD4" s="93">
        <f>ROUND(S4-T4-U4-AB4-AC4,2)</f>
        <v>8820.9</v>
      </c>
      <c r="AE4" s="94">
        <f>ROUND(MAX((AD4)*{0.03;0.1;0.2;0.25;0.3;0.35;0.45}-{0;2520;16920;31920;52920;85920;181920},0),2)</f>
        <v>264.63</v>
      </c>
      <c r="AF4" s="95">
        <f>IFERROR(VLOOKUP(E:E,'（居民）工资表-8月'!E:AF,28,0)+VLOOKUP(E:E,'（居民）工资表-8月'!E:AG,29,0),0)</f>
        <v>166.82</v>
      </c>
      <c r="AG4" s="95">
        <f>IF((AE4-AF4)&lt;0,0,AE4-AF4)</f>
        <v>97.81</v>
      </c>
      <c r="AH4" s="102">
        <f>ROUND(IF((L4-Q4-AG4)&lt;0,0,(L4-Q4-AG4)),2)</f>
        <v>9162.29</v>
      </c>
      <c r="AI4" s="103"/>
      <c r="AJ4" s="102">
        <f>AH4+AI4</f>
        <v>9162.29</v>
      </c>
      <c r="AK4" s="104"/>
      <c r="AL4" s="102">
        <f>AJ4+AG4+AK4</f>
        <v>9260.1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L5+IFERROR(VLOOKUP($E:$E,'（居民）工资表-8月'!$E:$S,15,0),0)</f>
        <v>41982</v>
      </c>
      <c r="T5" s="91">
        <f>5000+IFERROR(VLOOKUP($E:$E,'（居民）工资表-8月'!$E:$T,16,0),0)</f>
        <v>30000</v>
      </c>
      <c r="U5" s="91">
        <f>Q5+IFERROR(VLOOKUP($E:$E,'（居民）工资表-8月'!$E:$U,17,0),0)</f>
        <v>2754.22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R5+IFERROR(VLOOKUP($E:$E,'（居民）工资表-8月'!$E:$AC,25,0),0)</f>
        <v>0</v>
      </c>
      <c r="AD5" s="93">
        <f>ROUND(S5-T5-U5-AB5-AC5,2)</f>
        <v>9227.78</v>
      </c>
      <c r="AE5" s="94">
        <f>ROUND(MAX((AD5)*{0.03;0.1;0.2;0.25;0.3;0.35;0.45}-{0;2520;16920;31920;52920;85920;181920},0),2)</f>
        <v>276.83</v>
      </c>
      <c r="AF5" s="95">
        <f>IFERROR(VLOOKUP(E:E,'（居民）工资表-8月'!E:AF,28,0)+VLOOKUP(E:E,'（居民）工资表-8月'!E:AG,29,0),0)</f>
        <v>231.01</v>
      </c>
      <c r="AG5" s="95">
        <f>IF((AE5-AF5)&lt;0,0,AE5-AF5)</f>
        <v>45.82</v>
      </c>
      <c r="AH5" s="102">
        <f>ROUND(IF((L5-Q5-AG5)&lt;0,0,(L5-Q5-AG5)),2)</f>
        <v>6481.72</v>
      </c>
      <c r="AI5" s="103"/>
      <c r="AJ5" s="102">
        <f>AH5+AI5</f>
        <v>6481.72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160</v>
      </c>
      <c r="D6" s="37" t="s">
        <v>87</v>
      </c>
      <c r="E6" s="413" t="s">
        <v>161</v>
      </c>
      <c r="F6" s="38" t="s">
        <v>249</v>
      </c>
      <c r="G6" s="39">
        <v>18607383005</v>
      </c>
      <c r="H6" s="40"/>
      <c r="I6" s="40"/>
      <c r="J6" s="69"/>
      <c r="K6" s="40"/>
      <c r="L6" s="70">
        <v>22800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L6+IFERROR(VLOOKUP($E:$E,'（居民）工资表-8月'!$E:$S,15,0),0)</f>
        <v>109304.76</v>
      </c>
      <c r="T6" s="91">
        <f>5000+IFERROR(VLOOKUP($E:$E,'（居民）工资表-8月'!$E:$T,16,0),0)</f>
        <v>25000</v>
      </c>
      <c r="U6" s="91">
        <f>Q6+IFERROR(VLOOKUP($E:$E,'（居民）工资表-8月'!$E:$U,17,0),0)</f>
        <v>3146.67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R6+IFERROR(VLOOKUP($E:$E,'（居民）工资表-8月'!$E:$AC,25,0),0)</f>
        <v>0</v>
      </c>
      <c r="AD6" s="93">
        <f>ROUND(S6-T6-U6-AB6-AC6,2)</f>
        <v>81158.09</v>
      </c>
      <c r="AE6" s="94">
        <f>ROUND(MAX((AD6)*{0.03;0.1;0.2;0.25;0.3;0.35;0.45}-{0;2520;16920;31920;52920;85920;181920},0),2)</f>
        <v>5595.81</v>
      </c>
      <c r="AF6" s="95">
        <f>IFERROR(VLOOKUP(E:E,'（居民）工资表-8月'!E:AF,28,0)+VLOOKUP(E:E,'（居民）工资表-8月'!E:AG,29,0),0)</f>
        <v>3877.01</v>
      </c>
      <c r="AG6" s="95">
        <f>IF((AE6-AF6)&lt;0,0,AE6-AF6)</f>
        <v>1718.8</v>
      </c>
      <c r="AH6" s="102">
        <f>ROUND(IF((L6-Q6-AG6)&lt;0,0,(L6-Q6-AG6)),2)</f>
        <v>20469.2</v>
      </c>
      <c r="AI6" s="103"/>
      <c r="AJ6" s="102">
        <f>AH6+AI6</f>
        <v>20469.2</v>
      </c>
      <c r="AK6" s="104"/>
      <c r="AL6" s="102">
        <f>AJ6+AG6+AK6</f>
        <v>22188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251</v>
      </c>
      <c r="D7" s="37" t="s">
        <v>87</v>
      </c>
      <c r="E7" s="413" t="s">
        <v>252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L7+IFERROR(VLOOKUP($E:$E,'（居民）工资表-8月'!$E:$S,15,0),0)</f>
        <v>12643.6363636364</v>
      </c>
      <c r="T7" s="91">
        <f>5000+IFERROR(VLOOKUP($E:$E,'（居民）工资表-8月'!$E:$T,16,0),0)</f>
        <v>15000</v>
      </c>
      <c r="U7" s="91">
        <f>Q7+IFERROR(VLOOKUP($E:$E,'（居民）工资表-8月'!$E:$U,17,0),0)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R7+IFERROR(VLOOKUP($E:$E,'（居民）工资表-8月'!$E:$AC,25,0),0)</f>
        <v>0</v>
      </c>
      <c r="AD7" s="93">
        <f>ROUND(S7-T7-U7-AB7-AC7,2)</f>
        <v>-2356.36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44061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231430.396363636</v>
      </c>
      <c r="T8" s="74">
        <f t="shared" si="0"/>
        <v>115000</v>
      </c>
      <c r="U8" s="74">
        <f t="shared" si="0"/>
        <v>10579.99</v>
      </c>
      <c r="V8" s="74">
        <f t="shared" si="0"/>
        <v>0</v>
      </c>
      <c r="W8" s="74">
        <f t="shared" si="0"/>
        <v>0</v>
      </c>
      <c r="X8" s="74">
        <f t="shared" si="0"/>
        <v>9000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9000</v>
      </c>
      <c r="AC8" s="74">
        <f t="shared" si="0"/>
        <v>0</v>
      </c>
      <c r="AD8" s="74">
        <f t="shared" si="0"/>
        <v>96850.41</v>
      </c>
      <c r="AE8" s="74">
        <f t="shared" si="0"/>
        <v>6137.27</v>
      </c>
      <c r="AF8" s="74">
        <f t="shared" si="0"/>
        <v>4274.84</v>
      </c>
      <c r="AG8" s="74">
        <f t="shared" si="0"/>
        <v>1862.43</v>
      </c>
      <c r="AH8" s="74">
        <f t="shared" si="0"/>
        <v>40673.21</v>
      </c>
      <c r="AI8" s="105">
        <f t="shared" si="0"/>
        <v>0</v>
      </c>
      <c r="AJ8" s="74">
        <f t="shared" si="0"/>
        <v>40673.21</v>
      </c>
      <c r="AK8" s="74">
        <f t="shared" si="0"/>
        <v>0</v>
      </c>
      <c r="AL8" s="74">
        <f t="shared" si="0"/>
        <v>42535.64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40673.21</v>
      </c>
      <c r="C13" s="48">
        <f>AG8</f>
        <v>1862.43</v>
      </c>
      <c r="D13" s="48">
        <f>AK8</f>
        <v>0</v>
      </c>
      <c r="E13" s="48">
        <f>B13+C13+D13</f>
        <v>42535.64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9070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L4+IFERROR(VLOOKUP($E:$E,'（居民）工资表-9月'!$E:$S,15,0),0)</f>
        <v>76570</v>
      </c>
      <c r="T4" s="91">
        <f>5000+IFERROR(VLOOKUP($E:$E,'（居民）工资表-9月'!$E:$T,16,0),0)</f>
        <v>50000</v>
      </c>
      <c r="U4" s="91">
        <f>Q4+IFERROR(VLOOKUP($E:$E,'（居民）工资表-9月'!$E:$U,17,0),0)</f>
        <v>5199</v>
      </c>
      <c r="V4" s="70"/>
      <c r="W4" s="70"/>
      <c r="X4" s="70">
        <v>10000</v>
      </c>
      <c r="Y4" s="70"/>
      <c r="Z4" s="70"/>
      <c r="AA4" s="70"/>
      <c r="AB4" s="90">
        <f>ROUND(SUM(V4:AA4),2)</f>
        <v>10000</v>
      </c>
      <c r="AC4" s="90">
        <f>R4+IFERROR(VLOOKUP($E:$E,'（居民）工资表-9月'!$E:$AC,25,0),0)</f>
        <v>0</v>
      </c>
      <c r="AD4" s="93">
        <f>ROUND(S4-T4-U4-AB4-AC4,2)</f>
        <v>11371</v>
      </c>
      <c r="AE4" s="94">
        <f>ROUND(MAX((AD4)*{0.03;0.1;0.2;0.25;0.3;0.35;0.45}-{0;2520;16920;31920;52920;85920;181920},0),2)</f>
        <v>341.13</v>
      </c>
      <c r="AF4" s="95">
        <f>IFERROR(VLOOKUP(E:E,'（居民）工资表-9月'!E:AF,28,0)+VLOOKUP(E:E,'（居民）工资表-9月'!E:AG,29,0),0)</f>
        <v>264.63</v>
      </c>
      <c r="AG4" s="95">
        <f>IF((AE4-AF4)&lt;0,0,AE4-AF4)</f>
        <v>76.5</v>
      </c>
      <c r="AH4" s="102">
        <f>ROUND(IF((L4-Q4-AG4)&lt;0,0,(L4-Q4-AG4)),2)</f>
        <v>8473.6</v>
      </c>
      <c r="AI4" s="103"/>
      <c r="AJ4" s="102">
        <f>AH4+AI4</f>
        <v>8473.6</v>
      </c>
      <c r="AK4" s="104"/>
      <c r="AL4" s="102">
        <f>AJ4+AG4+AK4</f>
        <v>8550.1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>
        <v>6889.4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L5+IFERROR(VLOOKUP($E:$E,'（居民）工资表-9月'!$E:$S,15,0),0)</f>
        <v>48871.4</v>
      </c>
      <c r="T5" s="91">
        <f>5000+IFERROR(VLOOKUP($E:$E,'（居民）工资表-9月'!$E:$T,16,0),0)</f>
        <v>35000</v>
      </c>
      <c r="U5" s="91">
        <f>Q5+IFERROR(VLOOKUP($E:$E,'（居民）工资表-9月'!$E:$U,17,0),0)</f>
        <v>3147.68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R5+IFERROR(VLOOKUP($E:$E,'（居民）工资表-9月'!$E:$AC,25,0),0)</f>
        <v>0</v>
      </c>
      <c r="AD5" s="93">
        <f>ROUND(S5-T5-U5-AB5-AC5,2)</f>
        <v>10723.72</v>
      </c>
      <c r="AE5" s="94">
        <f>ROUND(MAX((AD5)*{0.03;0.1;0.2;0.25;0.3;0.35;0.45}-{0;2520;16920;31920;52920;85920;181920},0),2)</f>
        <v>321.71</v>
      </c>
      <c r="AF5" s="95">
        <f>IFERROR(VLOOKUP(E:E,'（居民）工资表-9月'!E:AF,28,0)+VLOOKUP(E:E,'（居民）工资表-9月'!E:AG,29,0),0)</f>
        <v>276.83</v>
      </c>
      <c r="AG5" s="95">
        <f>IF((AE5-AF5)&lt;0,0,AE5-AF5)</f>
        <v>44.88</v>
      </c>
      <c r="AH5" s="102">
        <f>ROUND(IF((L5-Q5-AG5)&lt;0,0,(L5-Q5-AG5)),2)</f>
        <v>6451.06</v>
      </c>
      <c r="AI5" s="103"/>
      <c r="AJ5" s="102">
        <f>AH5+AI5</f>
        <v>6451.06</v>
      </c>
      <c r="AK5" s="104"/>
      <c r="AL5" s="102">
        <f>AJ5+AG5+AK5</f>
        <v>6495.94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160</v>
      </c>
      <c r="D6" s="37" t="s">
        <v>87</v>
      </c>
      <c r="E6" s="413" t="s">
        <v>161</v>
      </c>
      <c r="F6" s="38" t="s">
        <v>249</v>
      </c>
      <c r="G6" s="39">
        <v>18607383005</v>
      </c>
      <c r="H6" s="40"/>
      <c r="I6" s="40"/>
      <c r="J6" s="69"/>
      <c r="K6" s="40"/>
      <c r="L6" s="70">
        <v>20720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L6+IFERROR(VLOOKUP($E:$E,'（居民）工资表-9月'!$E:$S,15,0),0)</f>
        <v>130024.76</v>
      </c>
      <c r="T6" s="91">
        <f>5000+IFERROR(VLOOKUP($E:$E,'（居民）工资表-9月'!$E:$T,16,0),0)</f>
        <v>30000</v>
      </c>
      <c r="U6" s="91">
        <f>Q6+IFERROR(VLOOKUP($E:$E,'（居民）工资表-9月'!$E:$U,17,0),0)</f>
        <v>3758.67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R6+IFERROR(VLOOKUP($E:$E,'（居民）工资表-9月'!$E:$AC,25,0),0)</f>
        <v>0</v>
      </c>
      <c r="AD6" s="93">
        <f>ROUND(S6-T6-U6-AB6-AC6,2)</f>
        <v>96266.09</v>
      </c>
      <c r="AE6" s="94">
        <f>ROUND(MAX((AD6)*{0.03;0.1;0.2;0.25;0.3;0.35;0.45}-{0;2520;16920;31920;52920;85920;181920},0),2)</f>
        <v>7106.61</v>
      </c>
      <c r="AF6" s="95">
        <f>IFERROR(VLOOKUP(E:E,'（居民）工资表-9月'!E:AF,28,0)+VLOOKUP(E:E,'（居民）工资表-9月'!E:AG,29,0),0)</f>
        <v>5595.81</v>
      </c>
      <c r="AG6" s="95">
        <f>IF((AE6-AF6)&lt;0,0,AE6-AF6)</f>
        <v>1510.8</v>
      </c>
      <c r="AH6" s="102">
        <f>ROUND(IF((L6-Q6-AG6)&lt;0,0,(L6-Q6-AG6)),2)</f>
        <v>18597.2</v>
      </c>
      <c r="AI6" s="103"/>
      <c r="AJ6" s="102">
        <f>AH6+AI6</f>
        <v>18597.2</v>
      </c>
      <c r="AK6" s="104"/>
      <c r="AL6" s="102">
        <f>AJ6+AG6+AK6</f>
        <v>20108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251</v>
      </c>
      <c r="D7" s="37" t="s">
        <v>87</v>
      </c>
      <c r="E7" s="413" t="s">
        <v>252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5700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L7+IFERROR(VLOOKUP($E:$E,'（居民）工资表-9月'!$E:$S,15,0),0)</f>
        <v>18343.6363636364</v>
      </c>
      <c r="T7" s="91">
        <f>5000+IFERROR(VLOOKUP($E:$E,'（居民）工资表-9月'!$E:$T,16,0),0)</f>
        <v>20000</v>
      </c>
      <c r="U7" s="91">
        <f>Q7+IFERROR(VLOOKUP($E:$E,'（居民）工资表-9月'!$E:$U,17,0),0)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R7+IFERROR(VLOOKUP($E:$E,'（居民）工资表-9月'!$E:$AC,25,0),0)</f>
        <v>0</v>
      </c>
      <c r="AD7" s="93">
        <f>ROUND(S7-T7-U7-AB7-AC7,2)</f>
        <v>-1656.36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>IF((AE7-AF7)&lt;0,0,AE7-AF7)</f>
        <v>0</v>
      </c>
      <c r="AH7" s="102">
        <f>ROUND(IF((L7-Q7-AG7)&lt;0,0,(L7-Q7-AG7)),2)</f>
        <v>5700</v>
      </c>
      <c r="AI7" s="103"/>
      <c r="AJ7" s="102">
        <f>AH7+AI7</f>
        <v>5700</v>
      </c>
      <c r="AK7" s="104"/>
      <c r="AL7" s="102">
        <f>AJ7+AG7+AK7</f>
        <v>5700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91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42379.4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273809.796363636</v>
      </c>
      <c r="T8" s="74">
        <f t="shared" si="0"/>
        <v>135000</v>
      </c>
      <c r="U8" s="74">
        <f t="shared" si="0"/>
        <v>12105.35</v>
      </c>
      <c r="V8" s="74">
        <f t="shared" si="0"/>
        <v>0</v>
      </c>
      <c r="W8" s="74">
        <f t="shared" si="0"/>
        <v>0</v>
      </c>
      <c r="X8" s="74">
        <f t="shared" si="0"/>
        <v>10000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10000</v>
      </c>
      <c r="AC8" s="74">
        <f t="shared" si="0"/>
        <v>0</v>
      </c>
      <c r="AD8" s="74">
        <f t="shared" si="0"/>
        <v>116704.45</v>
      </c>
      <c r="AE8" s="74">
        <f t="shared" si="0"/>
        <v>7769.45</v>
      </c>
      <c r="AF8" s="74">
        <f t="shared" si="0"/>
        <v>6137.27</v>
      </c>
      <c r="AG8" s="74">
        <f t="shared" si="0"/>
        <v>1632.18</v>
      </c>
      <c r="AH8" s="74">
        <f t="shared" si="0"/>
        <v>39221.86</v>
      </c>
      <c r="AI8" s="105">
        <f t="shared" si="0"/>
        <v>0</v>
      </c>
      <c r="AJ8" s="74">
        <f t="shared" si="0"/>
        <v>39221.86</v>
      </c>
      <c r="AK8" s="74">
        <f t="shared" si="0"/>
        <v>0</v>
      </c>
      <c r="AL8" s="74">
        <f t="shared" si="0"/>
        <v>40854.04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64</v>
      </c>
      <c r="C12" s="47" t="s">
        <v>92</v>
      </c>
      <c r="D12" s="47" t="s">
        <v>65</v>
      </c>
      <c r="E12" s="47" t="s">
        <v>93</v>
      </c>
      <c r="AD12" s="10"/>
    </row>
    <row r="13" ht="18.75" customHeight="1" spans="2:5">
      <c r="B13" s="48">
        <f>AJ8</f>
        <v>39221.86</v>
      </c>
      <c r="C13" s="48">
        <f>AG8</f>
        <v>1632.18</v>
      </c>
      <c r="D13" s="48">
        <f>AK8</f>
        <v>0</v>
      </c>
      <c r="E13" s="48">
        <f>B13+C13+D13</f>
        <v>40854.04</v>
      </c>
    </row>
    <row r="14" spans="2:5">
      <c r="B14" s="49"/>
      <c r="C14" s="49"/>
      <c r="D14" s="49"/>
      <c r="E14" s="49"/>
    </row>
    <row r="15" s="14" customFormat="1" spans="1:35">
      <c r="A15" s="50" t="s">
        <v>94</v>
      </c>
      <c r="B15" s="51" t="s">
        <v>95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96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97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98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99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100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101</v>
      </c>
    </row>
    <row r="23" spans="2:2">
      <c r="B23" s="59" t="s">
        <v>102</v>
      </c>
    </row>
    <row r="24" spans="2:2">
      <c r="B24" s="59" t="s">
        <v>103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2" priority="2" stopIfTrue="1"/>
  </conditionalFormatting>
  <conditionalFormatting sqref="B15:B19">
    <cfRule type="duplicateValues" dxfId="2" priority="3" stopIfTrue="1"/>
  </conditionalFormatting>
  <conditionalFormatting sqref="B23:B24">
    <cfRule type="duplicateValues" dxfId="2" priority="1" stopIfTrue="1"/>
  </conditionalFormatting>
  <conditionalFormatting sqref="C12:C14">
    <cfRule type="duplicateValues" dxfId="2" priority="4" stopIfTrue="1"/>
    <cfRule type="expression" dxfId="3" priority="5" stopIfTrue="1">
      <formula>AND(COUNTIF($B$8:$B$65444,C12)+COUNTIF($B$1:$B$3,C12)&gt;1,NOT(ISBLANK(C12)))</formula>
    </cfRule>
    <cfRule type="expression" dxfId="3" priority="6" stopIfTrue="1">
      <formula>AND(COUNTIF($B$19:$B$65395,C12)+COUNTIF($B$1:$B$18,C12)&gt;1,NOT(ISBLANK(C12)))</formula>
    </cfRule>
    <cfRule type="expression" dxfId="3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10400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L4+IFERROR(VLOOKUP($E:$E,'（居民）工资表-10月'!$E:$S,15,0),0)</f>
        <v>86970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5718.9</v>
      </c>
      <c r="V4" s="70"/>
      <c r="W4" s="70"/>
      <c r="X4" s="70">
        <v>11000</v>
      </c>
      <c r="Y4" s="70"/>
      <c r="Z4" s="70"/>
      <c r="AA4" s="70"/>
      <c r="AB4" s="90">
        <f>ROUND(SUM(V4:AA4),2)</f>
        <v>11000</v>
      </c>
      <c r="AC4" s="90">
        <f>R4+IFERROR(VLOOKUP($E:$E,'（居民）工资表-10月'!$E:$AC,25,0),0)</f>
        <v>0</v>
      </c>
      <c r="AD4" s="93">
        <f>ROUND(S4-T4-U4-AB4-AC4,2)</f>
        <v>15251.1</v>
      </c>
      <c r="AE4" s="94">
        <f>ROUND(MAX((AD4)*{0.03;0.1;0.2;0.25;0.3;0.35;0.45}-{0;2520;16920;31920;52920;85920;181920},0),2)</f>
        <v>457.53</v>
      </c>
      <c r="AF4" s="95">
        <f>IFERROR(VLOOKUP(E:E,'（居民）工资表-10月'!E:AF,28,0)+VLOOKUP(E:E,'（居民）工资表-10月'!E:AG,29,0),0)</f>
        <v>341.13</v>
      </c>
      <c r="AG4" s="95">
        <f>IF((AE4-AF4)&lt;0,0,AE4-AF4)</f>
        <v>116.4</v>
      </c>
      <c r="AH4" s="102">
        <f>ROUND(IF((L4-Q4-AG4)&lt;0,0,(L4-Q4-AG4)),2)</f>
        <v>9763.7</v>
      </c>
      <c r="AI4" s="103"/>
      <c r="AJ4" s="102">
        <f>AH4+AI4</f>
        <v>9763.7</v>
      </c>
      <c r="AK4" s="104"/>
      <c r="AL4" s="102">
        <f>AJ4+AG4+AK4</f>
        <v>9880.1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>
        <v>7000</v>
      </c>
      <c r="M5" s="71">
        <f>268.81+24.57*4</f>
        <v>367.09</v>
      </c>
      <c r="N5" s="71">
        <v>61.06</v>
      </c>
      <c r="O5" s="71">
        <f>10.08+0.92*4</f>
        <v>13.76</v>
      </c>
      <c r="P5" s="71">
        <v>79</v>
      </c>
      <c r="Q5" s="89">
        <f>ROUND(SUM(M5:P5),2)</f>
        <v>520.91</v>
      </c>
      <c r="R5" s="70">
        <v>0</v>
      </c>
      <c r="S5" s="90">
        <f>L5+IFERROR(VLOOKUP($E:$E,'（居民）工资表-10月'!$E:$S,15,0),0)</f>
        <v>55871.4</v>
      </c>
      <c r="T5" s="91">
        <f>5000+IFERROR(VLOOKUP($E:$E,'（居民）工资表-10月'!$E:$T,16,0),0)</f>
        <v>40000</v>
      </c>
      <c r="U5" s="91">
        <f>Q5+IFERROR(VLOOKUP($E:$E,'（居民）工资表-10月'!$E:$U,17,0),0)</f>
        <v>3668.59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R5+IFERROR(VLOOKUP($E:$E,'（居民）工资表-10月'!$E:$AC,25,0),0)</f>
        <v>0</v>
      </c>
      <c r="AD5" s="93">
        <f>ROUND(S5-T5-U5-AB5-AC5,2)</f>
        <v>12202.81</v>
      </c>
      <c r="AE5" s="94">
        <f>ROUND(MAX((AD5)*{0.03;0.1;0.2;0.25;0.3;0.35;0.45}-{0;2520;16920;31920;52920;85920;181920},0),2)</f>
        <v>366.08</v>
      </c>
      <c r="AF5" s="95">
        <f>IFERROR(VLOOKUP(E:E,'（居民）工资表-10月'!E:AF,28,0)+VLOOKUP(E:E,'（居民）工资表-10月'!E:AG,29,0),0)</f>
        <v>321.71</v>
      </c>
      <c r="AG5" s="95">
        <f>IF((AE5-AF5)&lt;0,0,AE5-AF5)</f>
        <v>44.37</v>
      </c>
      <c r="AH5" s="102">
        <f>ROUND(IF((L5-Q5-AG5)&lt;0,0,(L5-Q5-AG5)),2)</f>
        <v>6434.72</v>
      </c>
      <c r="AI5" s="103"/>
      <c r="AJ5" s="102">
        <f>AH5+AI5</f>
        <v>6434.72</v>
      </c>
      <c r="AK5" s="104"/>
      <c r="AL5" s="102">
        <f>AJ5+AG5+AK5</f>
        <v>6479.09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251</v>
      </c>
      <c r="D6" s="37" t="s">
        <v>87</v>
      </c>
      <c r="E6" s="413" t="s">
        <v>252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L6+IFERROR(VLOOKUP($E:$E,'（居民）工资表-10月'!$E:$S,15,0),0)</f>
        <v>24043.6363636364</v>
      </c>
      <c r="T6" s="91">
        <f>5000+IFERROR(VLOOKUP($E:$E,'（居民）工资表-10月'!$E:$T,16,0),0)</f>
        <v>25000</v>
      </c>
      <c r="U6" s="91">
        <f>Q6+IFERROR(VLOOKUP($E:$E,'（居民）工资表-10月'!$E:$U,17,0),0)</f>
        <v>599.74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R6+IFERROR(VLOOKUP($E:$E,'（居民）工资表-10月'!$E:$AC,25,0),0)</f>
        <v>0</v>
      </c>
      <c r="AD6" s="93">
        <f>ROUND(S6-T6-U6-AB6-AC6,2)</f>
        <v>-1556.1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13" t="s">
        <v>161</v>
      </c>
      <c r="F7" s="38" t="s">
        <v>249</v>
      </c>
      <c r="G7" s="39">
        <v>18607383005</v>
      </c>
      <c r="H7" s="40"/>
      <c r="I7" s="40"/>
      <c r="J7" s="69"/>
      <c r="K7" s="40"/>
      <c r="L7" s="70">
        <v>25000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L7+IFERROR(VLOOKUP($E:$E,'（居民）工资表-10月'!$E:$S,15,0),0)</f>
        <v>155024.76</v>
      </c>
      <c r="T7" s="91">
        <f>5000+IFERROR(VLOOKUP($E:$E,'（居民）工资表-10月'!$E:$T,16,0),0)</f>
        <v>35000</v>
      </c>
      <c r="U7" s="91">
        <f>Q7+IFERROR(VLOOKUP($E:$E,'（居民）工资表-10月'!$E:$U,17,0),0)</f>
        <v>4370.67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R7+IFERROR(VLOOKUP($E:$E,'（居民）工资表-10月'!$E:$AC,25,0),0)</f>
        <v>0</v>
      </c>
      <c r="AD7" s="93">
        <f>ROUND(S7-T7-U7-AB7-AC7,2)</f>
        <v>115654.09</v>
      </c>
      <c r="AE7" s="94">
        <f>ROUND(MAX((AD7)*{0.03;0.1;0.2;0.25;0.3;0.35;0.45}-{0;2520;16920;31920;52920;85920;181920},0),2)</f>
        <v>9045.41</v>
      </c>
      <c r="AF7" s="95">
        <f>IFERROR(VLOOKUP(E:E,'（居民）工资表-10月'!E:AF,28,0)+VLOOKUP(E:E,'（居民）工资表-10月'!E:AG,29,0),0)</f>
        <v>7106.61</v>
      </c>
      <c r="AG7" s="95">
        <f>IF((AE7-AF7)&lt;0,0,AE7-AF7)</f>
        <v>1938.8</v>
      </c>
      <c r="AH7" s="102">
        <f>ROUND(IF((L7-Q7-AG7)&lt;0,0,(L7-Q7-AG7)),2)</f>
        <v>22449.2</v>
      </c>
      <c r="AI7" s="103"/>
      <c r="AJ7" s="102">
        <f>AH7+AI7</f>
        <v>22449.2</v>
      </c>
      <c r="AK7" s="104"/>
      <c r="AL7" s="102">
        <f>AJ7+AG7+AK7</f>
        <v>24388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IF(SUMPRODUCT(N(E$1:E$6=E7))&gt;1,"重复","不")</f>
        <v>不</v>
      </c>
      <c r="AT7" s="111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85</v>
      </c>
      <c r="C8" s="37" t="s">
        <v>276</v>
      </c>
      <c r="D8" s="37" t="s">
        <v>87</v>
      </c>
      <c r="E8" s="37" t="s">
        <v>277</v>
      </c>
      <c r="F8" s="38" t="s">
        <v>249</v>
      </c>
      <c r="G8" s="39">
        <v>13373825180</v>
      </c>
      <c r="H8" s="40"/>
      <c r="I8" s="40"/>
      <c r="J8" s="69"/>
      <c r="K8" s="40"/>
      <c r="L8" s="70">
        <v>25000</v>
      </c>
      <c r="M8" s="71">
        <f>261.04*2</f>
        <v>522.08</v>
      </c>
      <c r="N8" s="71">
        <f>57.18*2+32.5</f>
        <v>146.86</v>
      </c>
      <c r="O8" s="71">
        <f>9.1*2</f>
        <v>18.2</v>
      </c>
      <c r="P8" s="71">
        <f>85*2</f>
        <v>170</v>
      </c>
      <c r="Q8" s="89">
        <f>ROUND(SUM(M8:P8),2)</f>
        <v>857.14</v>
      </c>
      <c r="R8" s="70">
        <v>0</v>
      </c>
      <c r="S8" s="90">
        <f>L8+IFERROR(VLOOKUP($E:$E,'（居民）工资表-10月'!$E:$S,15,0),0)</f>
        <v>25000</v>
      </c>
      <c r="T8" s="91">
        <f>5000+IFERROR(VLOOKUP($E:$E,'（居民）工资表-10月'!$E:$T,16,0),0)</f>
        <v>5000</v>
      </c>
      <c r="U8" s="91">
        <f>Q8+IFERROR(VLOOKUP($E:$E,'（居民）工资表-10月'!$E:$U,17,0),0)</f>
        <v>857.14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R8+IFERROR(VLOOKUP($E:$E,'（居民）工资表-10月'!$E:$AC,25,0),0)</f>
        <v>0</v>
      </c>
      <c r="AD8" s="93">
        <f>ROUND(S8-T8-U8-AB8-AC8,2)</f>
        <v>19142.86</v>
      </c>
      <c r="AE8" s="94">
        <f>ROUND(MAX((AD8)*{0.03;0.1;0.2;0.25;0.3;0.35;0.45}-{0;2520;16920;31920;52920;85920;181920},0),2)</f>
        <v>574.29</v>
      </c>
      <c r="AF8" s="95">
        <f>IFERROR(VLOOKUP(E:E,'（居民）工资表-10月'!E:AF,28,0)+VLOOKUP(E:E,'（居民）工资表-10月'!E:AG,29,0),0)</f>
        <v>0</v>
      </c>
      <c r="AG8" s="95">
        <f>IF((AE8-AF8)&lt;0,0,AE8-AF8)</f>
        <v>574.29</v>
      </c>
      <c r="AH8" s="102">
        <f>ROUND(IF((L8-Q8-AG8)&lt;0,0,(L8-Q8-AG8)),2)</f>
        <v>23568.57</v>
      </c>
      <c r="AI8" s="103"/>
      <c r="AJ8" s="102">
        <f>AH8+AI8</f>
        <v>23568.57</v>
      </c>
      <c r="AK8" s="104"/>
      <c r="AL8" s="102">
        <f>AJ8+AG8+AK8</f>
        <v>24142.86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IF(SUMPRODUCT(N(E$1:E$6=E8))&gt;1,"重复","不")</f>
        <v>不</v>
      </c>
      <c r="AT8" s="111" t="str">
        <f>IF(SUMPRODUCT(N(AO$1:AO$6=AO8))&gt;1,"重复","不")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>SUM(L4:L8)</f>
        <v>73100</v>
      </c>
      <c r="M9" s="74">
        <f t="shared" ref="M9:AL9" si="0">SUM(M4:M8)</f>
        <v>1840.21</v>
      </c>
      <c r="N9" s="74">
        <f t="shared" si="0"/>
        <v>477.42</v>
      </c>
      <c r="O9" s="74">
        <f t="shared" si="0"/>
        <v>58.06</v>
      </c>
      <c r="P9" s="74">
        <f t="shared" si="0"/>
        <v>734</v>
      </c>
      <c r="Q9" s="74">
        <f t="shared" si="0"/>
        <v>3109.69</v>
      </c>
      <c r="R9" s="74">
        <f t="shared" si="0"/>
        <v>0</v>
      </c>
      <c r="S9" s="74">
        <f t="shared" si="0"/>
        <v>346909.796363636</v>
      </c>
      <c r="T9" s="74">
        <f t="shared" si="0"/>
        <v>160000</v>
      </c>
      <c r="U9" s="74">
        <f t="shared" si="0"/>
        <v>15215.04</v>
      </c>
      <c r="V9" s="74">
        <f t="shared" si="0"/>
        <v>0</v>
      </c>
      <c r="W9" s="74">
        <f t="shared" si="0"/>
        <v>0</v>
      </c>
      <c r="X9" s="74">
        <f t="shared" si="0"/>
        <v>11000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11000</v>
      </c>
      <c r="AC9" s="74">
        <f t="shared" si="0"/>
        <v>0</v>
      </c>
      <c r="AD9" s="74">
        <f t="shared" si="0"/>
        <v>160694.76</v>
      </c>
      <c r="AE9" s="74">
        <f t="shared" si="0"/>
        <v>10443.31</v>
      </c>
      <c r="AF9" s="74">
        <f t="shared" si="0"/>
        <v>7769.45</v>
      </c>
      <c r="AG9" s="74">
        <f t="shared" si="0"/>
        <v>2673.86</v>
      </c>
      <c r="AH9" s="74">
        <f t="shared" si="0"/>
        <v>67316.45</v>
      </c>
      <c r="AI9" s="74">
        <f t="shared" si="0"/>
        <v>0</v>
      </c>
      <c r="AJ9" s="74">
        <f t="shared" si="0"/>
        <v>67316.45</v>
      </c>
      <c r="AK9" s="74">
        <f t="shared" si="0"/>
        <v>0</v>
      </c>
      <c r="AL9" s="74">
        <f t="shared" si="0"/>
        <v>69990.31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67316.45</v>
      </c>
      <c r="C14" s="48">
        <f>AG9</f>
        <v>2673.86</v>
      </c>
      <c r="D14" s="48">
        <f>AK9</f>
        <v>0</v>
      </c>
      <c r="E14" s="48">
        <f>B14+C14+D14</f>
        <v>69990.31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278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9280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</f>
        <v>9280</v>
      </c>
      <c r="T4" s="91">
        <v>5000</v>
      </c>
      <c r="U4" s="91">
        <f>Q4</f>
        <v>519.9</v>
      </c>
      <c r="V4" s="70">
        <v>1000</v>
      </c>
      <c r="W4" s="70"/>
      <c r="X4" s="70">
        <v>1000</v>
      </c>
      <c r="Y4" s="70"/>
      <c r="Z4" s="70"/>
      <c r="AA4" s="70"/>
      <c r="AB4" s="90">
        <f>ROUND(SUM(V4:AA4),2)</f>
        <v>2000</v>
      </c>
      <c r="AC4" s="90">
        <f>R4</f>
        <v>0</v>
      </c>
      <c r="AD4" s="93">
        <f>ROUND(S4-T4-U4-AB4-AC4,2)</f>
        <v>1760.1</v>
      </c>
      <c r="AE4" s="94">
        <f>ROUND(MAX((AD4)*{0.03;0.1;0.2;0.25;0.3;0.35;0.45}-{0;2520;16920;31920;52920;85920;181920},0),2)</f>
        <v>52.8</v>
      </c>
      <c r="AF4" s="95">
        <v>0</v>
      </c>
      <c r="AG4" s="95">
        <f>IF((AE4-AF4)&lt;0,0,AE4-AF4)</f>
        <v>52.8</v>
      </c>
      <c r="AH4" s="102">
        <f>ROUND(IF((L4-Q4-AG4)&lt;0,0,(L4-Q4-AG4)),2)</f>
        <v>8707.3</v>
      </c>
      <c r="AI4" s="103"/>
      <c r="AJ4" s="102">
        <f>AH4+AI4</f>
        <v>8707.3</v>
      </c>
      <c r="AK4" s="104"/>
      <c r="AL4" s="102">
        <f>AJ4+AG4+AK4</f>
        <v>8760.1</v>
      </c>
      <c r="AM4" s="104"/>
      <c r="AN4" s="104"/>
      <c r="AO4" s="104" t="s">
        <v>279</v>
      </c>
      <c r="AP4" s="104" t="s">
        <v>280</v>
      </c>
      <c r="AQ4" s="104" t="s">
        <v>281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278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10.08</v>
      </c>
      <c r="O5" s="71">
        <v>61.06</v>
      </c>
      <c r="P5" s="71">
        <v>79</v>
      </c>
      <c r="Q5" s="89">
        <f>ROUND(SUM(M5:P5),2)</f>
        <v>418.95</v>
      </c>
      <c r="R5" s="70">
        <v>0</v>
      </c>
      <c r="S5" s="90">
        <f>L5</f>
        <v>7000</v>
      </c>
      <c r="T5" s="91">
        <v>5000</v>
      </c>
      <c r="U5" s="91">
        <f>Q5</f>
        <v>418.95</v>
      </c>
      <c r="V5" s="70"/>
      <c r="W5" s="70"/>
      <c r="X5" s="70">
        <v>1000</v>
      </c>
      <c r="Y5" s="70"/>
      <c r="Z5" s="70"/>
      <c r="AA5" s="70"/>
      <c r="AB5" s="90">
        <f>ROUND(SUM(V5:AA5),2)</f>
        <v>1000</v>
      </c>
      <c r="AC5" s="90">
        <f>R5</f>
        <v>0</v>
      </c>
      <c r="AD5" s="93">
        <f>ROUND(S5-T5-U5-AB5-AC5,2)</f>
        <v>581.05</v>
      </c>
      <c r="AE5" s="94">
        <f>ROUND(MAX((AD5)*{0.03;0.1;0.2;0.25;0.3;0.35;0.45}-{0;2520;16920;31920;52920;85920;181920},0),2)</f>
        <v>17.43</v>
      </c>
      <c r="AF5" s="95">
        <v>0</v>
      </c>
      <c r="AG5" s="95">
        <f>IF((AE5-AF5)&lt;0,0,AE5-AF5)</f>
        <v>17.43</v>
      </c>
      <c r="AH5" s="102">
        <f>ROUND(IF((L5-Q5-AG5)&lt;0,0,(L5-Q5-AG5)),2)</f>
        <v>6563.62</v>
      </c>
      <c r="AI5" s="103"/>
      <c r="AJ5" s="102">
        <f>AH5+AI5</f>
        <v>6563.62</v>
      </c>
      <c r="AK5" s="104"/>
      <c r="AL5" s="102">
        <f>AJ5+AG5+AK5</f>
        <v>6581.05</v>
      </c>
      <c r="AM5" s="104"/>
      <c r="AN5" s="104"/>
      <c r="AO5" s="104" t="s">
        <v>279</v>
      </c>
      <c r="AP5" s="104" t="s">
        <v>280</v>
      </c>
      <c r="AQ5" s="104" t="s">
        <v>281</v>
      </c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278</v>
      </c>
      <c r="C6" s="37" t="s">
        <v>251</v>
      </c>
      <c r="D6" s="37" t="s">
        <v>87</v>
      </c>
      <c r="E6" s="413" t="s">
        <v>252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</f>
        <v>5700</v>
      </c>
      <c r="T6" s="91">
        <v>5000</v>
      </c>
      <c r="U6" s="91">
        <f>Q6</f>
        <v>599.74</v>
      </c>
      <c r="V6" s="70"/>
      <c r="W6" s="70"/>
      <c r="X6" s="70"/>
      <c r="Y6" s="70">
        <v>1500</v>
      </c>
      <c r="Z6" s="70"/>
      <c r="AA6" s="70"/>
      <c r="AB6" s="90">
        <f>ROUND(SUM(V6:AA6),2)</f>
        <v>1500</v>
      </c>
      <c r="AC6" s="90">
        <f>R6</f>
        <v>0</v>
      </c>
      <c r="AD6" s="93">
        <f>ROUND(S6-T6-U6-AB6-AC6,2)</f>
        <v>-1399.74</v>
      </c>
      <c r="AE6" s="94">
        <f>ROUND(MAX((AD6)*{0.03;0.1;0.2;0.25;0.3;0.35;0.45}-{0;2520;16920;31920;52920;85920;181920},0),2)</f>
        <v>0</v>
      </c>
      <c r="AF6" s="95"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 t="s">
        <v>279</v>
      </c>
      <c r="AP6" s="104" t="s">
        <v>280</v>
      </c>
      <c r="AQ6" s="104" t="s">
        <v>281</v>
      </c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278</v>
      </c>
      <c r="C7" s="37" t="s">
        <v>160</v>
      </c>
      <c r="D7" s="37" t="s">
        <v>87</v>
      </c>
      <c r="E7" s="413" t="s">
        <v>161</v>
      </c>
      <c r="F7" s="38" t="s">
        <v>249</v>
      </c>
      <c r="G7" s="39">
        <v>18607383005</v>
      </c>
      <c r="H7" s="40"/>
      <c r="I7" s="40"/>
      <c r="J7" s="69"/>
      <c r="K7" s="40"/>
      <c r="L7" s="70">
        <v>31000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</f>
        <v>31000</v>
      </c>
      <c r="T7" s="91">
        <v>5000</v>
      </c>
      <c r="U7" s="91">
        <f>Q7</f>
        <v>612</v>
      </c>
      <c r="V7" s="70">
        <v>2000</v>
      </c>
      <c r="W7" s="70">
        <v>1000</v>
      </c>
      <c r="X7" s="70"/>
      <c r="Y7" s="70"/>
      <c r="Z7" s="70"/>
      <c r="AA7" s="70"/>
      <c r="AB7" s="90">
        <f>ROUND(SUM(V7:AA7),2)</f>
        <v>3000</v>
      </c>
      <c r="AC7" s="90">
        <f>R7</f>
        <v>0</v>
      </c>
      <c r="AD7" s="93">
        <f>ROUND(S7-T7-U7-AB7-AC7,2)</f>
        <v>22388</v>
      </c>
      <c r="AE7" s="94">
        <f>ROUND(MAX((AD7)*{0.03;0.1;0.2;0.25;0.3;0.35;0.45}-{0;2520;16920;31920;52920;85920;181920},0),2)</f>
        <v>671.64</v>
      </c>
      <c r="AF7" s="95">
        <v>0</v>
      </c>
      <c r="AG7" s="95">
        <f>IF((AE7-AF7)&lt;0,0,AE7-AF7)</f>
        <v>671.64</v>
      </c>
      <c r="AH7" s="102">
        <f>ROUND(IF((L7-Q7-AG7)&lt;0,0,(L7-Q7-AG7)),2)</f>
        <v>29716.36</v>
      </c>
      <c r="AI7" s="103"/>
      <c r="AJ7" s="102">
        <f>AH7+AI7</f>
        <v>29716.36</v>
      </c>
      <c r="AK7" s="104"/>
      <c r="AL7" s="102">
        <f>AJ7+AG7+AK7</f>
        <v>30388</v>
      </c>
      <c r="AM7" s="104"/>
      <c r="AN7" s="104"/>
      <c r="AO7" s="104" t="s">
        <v>279</v>
      </c>
      <c r="AP7" s="104" t="s">
        <v>280</v>
      </c>
      <c r="AQ7" s="104" t="s">
        <v>281</v>
      </c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278</v>
      </c>
      <c r="C8" s="37" t="s">
        <v>276</v>
      </c>
      <c r="D8" s="37" t="s">
        <v>87</v>
      </c>
      <c r="E8" s="37" t="s">
        <v>277</v>
      </c>
      <c r="F8" s="38" t="s">
        <v>249</v>
      </c>
      <c r="G8" s="39">
        <v>13373825180</v>
      </c>
      <c r="H8" s="40"/>
      <c r="I8" s="40"/>
      <c r="J8" s="69"/>
      <c r="K8" s="40"/>
      <c r="L8" s="70">
        <v>26739</v>
      </c>
      <c r="M8" s="71">
        <v>261.04</v>
      </c>
      <c r="N8" s="71">
        <v>9.1</v>
      </c>
      <c r="O8" s="71">
        <v>57.18</v>
      </c>
      <c r="P8" s="71">
        <v>85</v>
      </c>
      <c r="Q8" s="89">
        <f>ROUND(SUM(M8:P8),2)</f>
        <v>412.32</v>
      </c>
      <c r="R8" s="70">
        <v>0</v>
      </c>
      <c r="S8" s="90">
        <f>L8</f>
        <v>26739</v>
      </c>
      <c r="T8" s="91">
        <v>5000</v>
      </c>
      <c r="U8" s="91">
        <f>Q8</f>
        <v>412.32</v>
      </c>
      <c r="V8" s="70">
        <v>1000</v>
      </c>
      <c r="W8" s="70">
        <v>1000</v>
      </c>
      <c r="X8" s="70">
        <v>1000</v>
      </c>
      <c r="Y8" s="70"/>
      <c r="Z8" s="70"/>
      <c r="AA8" s="70"/>
      <c r="AB8" s="90">
        <f>ROUND(SUM(V8:AA8),2)</f>
        <v>3000</v>
      </c>
      <c r="AC8" s="90">
        <f>R8</f>
        <v>0</v>
      </c>
      <c r="AD8" s="93">
        <f>ROUND(S8-T8-U8-AB8-AC8,2)</f>
        <v>18326.68</v>
      </c>
      <c r="AE8" s="94">
        <f>ROUND(MAX((AD8)*{0.03;0.1;0.2;0.25;0.3;0.35;0.45}-{0;2520;16920;31920;52920;85920;181920},0),2)</f>
        <v>549.8</v>
      </c>
      <c r="AF8" s="95">
        <v>0</v>
      </c>
      <c r="AG8" s="95">
        <f>IF((AE8-AF8)&lt;0,0,AE8-AF8)</f>
        <v>549.8</v>
      </c>
      <c r="AH8" s="102">
        <f>ROUND(IF((L8-Q8-AG8)&lt;0,0,(L8-Q8-AG8)),2)</f>
        <v>25776.88</v>
      </c>
      <c r="AI8" s="103"/>
      <c r="AJ8" s="102">
        <f>AH8+AI8</f>
        <v>25776.88</v>
      </c>
      <c r="AK8" s="104"/>
      <c r="AL8" s="102">
        <f>AJ8+AG8+AK8</f>
        <v>26326.68</v>
      </c>
      <c r="AM8" s="104"/>
      <c r="AN8" s="104"/>
      <c r="AO8" s="104" t="s">
        <v>279</v>
      </c>
      <c r="AP8" s="104" t="s">
        <v>280</v>
      </c>
      <c r="AQ8" s="104" t="s">
        <v>281</v>
      </c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79719</v>
      </c>
      <c r="M9" s="74">
        <f t="shared" si="0"/>
        <v>1480.89</v>
      </c>
      <c r="N9" s="74">
        <f t="shared" si="0"/>
        <v>288.68</v>
      </c>
      <c r="O9" s="74">
        <f t="shared" si="0"/>
        <v>144.34</v>
      </c>
      <c r="P9" s="74">
        <f t="shared" si="0"/>
        <v>649</v>
      </c>
      <c r="Q9" s="74">
        <f t="shared" si="0"/>
        <v>2562.91</v>
      </c>
      <c r="R9" s="74">
        <f t="shared" si="0"/>
        <v>0</v>
      </c>
      <c r="S9" s="74">
        <f t="shared" si="0"/>
        <v>79719</v>
      </c>
      <c r="T9" s="74">
        <f t="shared" si="0"/>
        <v>25000</v>
      </c>
      <c r="U9" s="74">
        <f t="shared" si="0"/>
        <v>2562.91</v>
      </c>
      <c r="V9" s="74">
        <f t="shared" si="0"/>
        <v>4000</v>
      </c>
      <c r="W9" s="74">
        <f t="shared" si="0"/>
        <v>2000</v>
      </c>
      <c r="X9" s="74">
        <f t="shared" si="0"/>
        <v>3000</v>
      </c>
      <c r="Y9" s="74">
        <f t="shared" si="0"/>
        <v>1500</v>
      </c>
      <c r="Z9" s="74">
        <f t="shared" si="0"/>
        <v>0</v>
      </c>
      <c r="AA9" s="74">
        <f t="shared" si="0"/>
        <v>0</v>
      </c>
      <c r="AB9" s="74">
        <f t="shared" si="0"/>
        <v>10500</v>
      </c>
      <c r="AC9" s="74">
        <f t="shared" si="0"/>
        <v>0</v>
      </c>
      <c r="AD9" s="74">
        <f t="shared" si="0"/>
        <v>41656.09</v>
      </c>
      <c r="AE9" s="74">
        <f t="shared" si="0"/>
        <v>1291.67</v>
      </c>
      <c r="AF9" s="74">
        <f t="shared" si="0"/>
        <v>0</v>
      </c>
      <c r="AG9" s="74">
        <f t="shared" si="0"/>
        <v>1291.67</v>
      </c>
      <c r="AH9" s="74">
        <f t="shared" si="0"/>
        <v>75864.42</v>
      </c>
      <c r="AI9" s="105">
        <f t="shared" si="0"/>
        <v>0</v>
      </c>
      <c r="AJ9" s="74">
        <f t="shared" si="0"/>
        <v>75864.42</v>
      </c>
      <c r="AK9" s="74">
        <f t="shared" si="0"/>
        <v>0</v>
      </c>
      <c r="AL9" s="74">
        <f t="shared" si="0"/>
        <v>77156.09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75864.42</v>
      </c>
      <c r="C14" s="48">
        <f>AG9</f>
        <v>1291.67</v>
      </c>
      <c r="D14" s="48">
        <f>AK9</f>
        <v>0</v>
      </c>
      <c r="E14" s="48">
        <f>B14+C14+D14</f>
        <v>77156.09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10" stopIfTrue="1"/>
  </conditionalFormatting>
  <conditionalFormatting sqref="B16:B20">
    <cfRule type="duplicateValues" dxfId="2" priority="1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17" stopIfTrue="1"/>
    <cfRule type="expression" dxfId="3" priority="19" stopIfTrue="1">
      <formula>AND(COUNTIF($B$9:$B$65445,C13)+COUNTIF($B$1:$B$3,C13)&gt;1,NOT(ISBLANK(C13)))</formula>
    </cfRule>
    <cfRule type="expression" dxfId="3" priority="21" stopIfTrue="1">
      <formula>AND(COUNTIF($B$20:$B$65396,C13)+COUNTIF($B$1:$B$19,C13)&gt;1,NOT(ISBLANK(C13)))</formula>
    </cfRule>
    <cfRule type="expression" dxfId="3" priority="23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>
        <v>8000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L4+IFERROR(VLOOKUP($E:$E,'（居民）工资表-11月'!$E:$S,15,0),0)</f>
        <v>94970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6238.8</v>
      </c>
      <c r="V4" s="70"/>
      <c r="W4" s="70"/>
      <c r="X4" s="70">
        <v>12000</v>
      </c>
      <c r="Y4" s="70"/>
      <c r="Z4" s="70"/>
      <c r="AA4" s="70"/>
      <c r="AB4" s="90">
        <f>ROUND(SUM(V4:AA4),2)</f>
        <v>12000</v>
      </c>
      <c r="AC4" s="90">
        <f>R4+IFERROR(VLOOKUP($E:$E,'（居民）工资表-11月'!$E:$AC,25,0),0)</f>
        <v>0</v>
      </c>
      <c r="AD4" s="93">
        <f>ROUND(S4-T4-U4-AB4-AC4,2)</f>
        <v>16731.2</v>
      </c>
      <c r="AE4" s="94">
        <f>ROUND(MAX((AD4)*{0.03;0.1;0.2;0.25;0.3;0.35;0.45}-{0;2520;16920;31920;52920;85920;181920},0),2)</f>
        <v>501.94</v>
      </c>
      <c r="AF4" s="95">
        <f>IFERROR(VLOOKUP(E:E,'（居民）工资表-11月'!E:AF,28,0)+VLOOKUP(E:E,'（居民）工资表-11月'!E:AG,29,0),0)</f>
        <v>457.53</v>
      </c>
      <c r="AG4" s="95">
        <f>IF((AE4-AF4)&lt;0,0,AE4-AF4)</f>
        <v>44.41</v>
      </c>
      <c r="AH4" s="102">
        <f>ROUND(IF((L4-Q4-AG4)&lt;0,0,(L4-Q4-AG4)),2)</f>
        <v>7435.69</v>
      </c>
      <c r="AI4" s="103"/>
      <c r="AJ4" s="102">
        <f>AH4+AI4</f>
        <v>7435.69</v>
      </c>
      <c r="AK4" s="104"/>
      <c r="AL4" s="102">
        <f>AJ4+AG4+AK4</f>
        <v>7480.1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85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10.08</v>
      </c>
      <c r="O5" s="71">
        <v>61.06</v>
      </c>
      <c r="P5" s="71">
        <v>79</v>
      </c>
      <c r="Q5" s="89">
        <f>ROUND(SUM(M5:P5),2)</f>
        <v>418.95</v>
      </c>
      <c r="R5" s="70">
        <v>0</v>
      </c>
      <c r="S5" s="90">
        <f>L5+IFERROR(VLOOKUP($E:$E,'（居民）工资表-11月'!$E:$S,15,0),0)</f>
        <v>62871.4</v>
      </c>
      <c r="T5" s="91">
        <f>5000+IFERROR(VLOOKUP($E:$E,'（居民）工资表-11月'!$E:$T,16,0),0)</f>
        <v>45000</v>
      </c>
      <c r="U5" s="91">
        <f>Q5+IFERROR(VLOOKUP($E:$E,'（居民）工资表-11月'!$E:$U,17,0),0)</f>
        <v>4087.54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R5+IFERROR(VLOOKUP($E:$E,'（居民）工资表-11月'!$E:$AC,25,0),0)</f>
        <v>0</v>
      </c>
      <c r="AD5" s="93">
        <f>ROUND(S5-T5-U5-AB5-AC5,2)</f>
        <v>13783.86</v>
      </c>
      <c r="AE5" s="94">
        <f>ROUND(MAX((AD5)*{0.03;0.1;0.2;0.25;0.3;0.35;0.45}-{0;2520;16920;31920;52920;85920;181920},0),2)</f>
        <v>413.52</v>
      </c>
      <c r="AF5" s="95">
        <f>IFERROR(VLOOKUP(E:E,'（居民）工资表-11月'!E:AF,28,0)+VLOOKUP(E:E,'（居民）工资表-11月'!E:AG,29,0),0)</f>
        <v>366.08</v>
      </c>
      <c r="AG5" s="95">
        <f>IF((AE5-AF5)&lt;0,0,AE5-AF5)</f>
        <v>47.44</v>
      </c>
      <c r="AH5" s="102">
        <f>ROUND(IF((L5-Q5-AG5)&lt;0,0,(L5-Q5-AG5)),2)</f>
        <v>6533.61</v>
      </c>
      <c r="AI5" s="103"/>
      <c r="AJ5" s="102">
        <f>AH5+AI5</f>
        <v>6533.61</v>
      </c>
      <c r="AK5" s="104"/>
      <c r="AL5" s="102">
        <f>AJ5+AG5+AK5</f>
        <v>6581.05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85</v>
      </c>
      <c r="C6" s="37" t="s">
        <v>251</v>
      </c>
      <c r="D6" s="37" t="s">
        <v>87</v>
      </c>
      <c r="E6" s="413" t="s">
        <v>252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L6+IFERROR(VLOOKUP($E:$E,'（居民）工资表-11月'!$E:$S,15,0),0)</f>
        <v>29743.6363636364</v>
      </c>
      <c r="T6" s="91">
        <f>5000+IFERROR(VLOOKUP($E:$E,'（居民）工资表-11月'!$E:$T,16,0),0)</f>
        <v>30000</v>
      </c>
      <c r="U6" s="91">
        <f>Q6+IFERROR(VLOOKUP($E:$E,'（居民）工资表-11月'!$E:$U,17,0),0)</f>
        <v>1199.48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R6+IFERROR(VLOOKUP($E:$E,'（居民）工资表-11月'!$E:$AC,25,0),0)</f>
        <v>0</v>
      </c>
      <c r="AD6" s="93">
        <f>ROUND(S6-T6-U6-AB6-AC6,2)</f>
        <v>-1455.84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>IF((AE6-AF6)&lt;0,0,AE6-AF6)</f>
        <v>0</v>
      </c>
      <c r="AH6" s="102">
        <f>ROUND(IF((L6-Q6-AG6)&lt;0,0,(L6-Q6-AG6)),2)</f>
        <v>5100.26</v>
      </c>
      <c r="AI6" s="103"/>
      <c r="AJ6" s="102">
        <f>AH6+AI6</f>
        <v>5100.26</v>
      </c>
      <c r="AK6" s="104"/>
      <c r="AL6" s="102">
        <f>AJ6+AG6+AK6</f>
        <v>5100.26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85</v>
      </c>
      <c r="C7" s="37" t="s">
        <v>160</v>
      </c>
      <c r="D7" s="37" t="s">
        <v>87</v>
      </c>
      <c r="E7" s="413" t="s">
        <v>161</v>
      </c>
      <c r="F7" s="38" t="s">
        <v>249</v>
      </c>
      <c r="G7" s="39">
        <v>18607383005</v>
      </c>
      <c r="H7" s="40"/>
      <c r="I7" s="40"/>
      <c r="J7" s="69"/>
      <c r="K7" s="40"/>
      <c r="L7" s="70">
        <v>25000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L7+IFERROR(VLOOKUP($E:$E,'（居民）工资表-11月'!$E:$S,15,0),0)</f>
        <v>180024.76</v>
      </c>
      <c r="T7" s="91">
        <f>5000+IFERROR(VLOOKUP($E:$E,'（居民）工资表-11月'!$E:$T,16,0),0)</f>
        <v>40000</v>
      </c>
      <c r="U7" s="91">
        <f>Q7+IFERROR(VLOOKUP($E:$E,'（居民）工资表-11月'!$E:$U,17,0),0)</f>
        <v>4982.67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R7+IFERROR(VLOOKUP($E:$E,'（居民）工资表-11月'!$E:$AC,25,0),0)</f>
        <v>0</v>
      </c>
      <c r="AD7" s="93">
        <f>ROUND(S7-T7-U7-AB7-AC7,2)</f>
        <v>135042.09</v>
      </c>
      <c r="AE7" s="94">
        <f>ROUND(MAX((AD7)*{0.03;0.1;0.2;0.25;0.3;0.35;0.45}-{0;2520;16920;31920;52920;85920;181920},0),2)</f>
        <v>10984.21</v>
      </c>
      <c r="AF7" s="95">
        <f>IFERROR(VLOOKUP(E:E,'（居民）工资表-11月'!E:AF,28,0)+VLOOKUP(E:E,'（居民）工资表-11月'!E:AG,29,0),0)</f>
        <v>9045.41</v>
      </c>
      <c r="AG7" s="95">
        <f>IF((AE7-AF7)&lt;0,0,AE7-AF7)</f>
        <v>1938.8</v>
      </c>
      <c r="AH7" s="102">
        <f>ROUND(IF((L7-Q7-AG7)&lt;0,0,(L7-Q7-AG7)),2)</f>
        <v>22449.2</v>
      </c>
      <c r="AI7" s="103"/>
      <c r="AJ7" s="102">
        <f>AH7+AI7</f>
        <v>22449.2</v>
      </c>
      <c r="AK7" s="104"/>
      <c r="AL7" s="102">
        <f>AJ7+AG7+AK7</f>
        <v>24388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85</v>
      </c>
      <c r="C8" s="37" t="s">
        <v>276</v>
      </c>
      <c r="D8" s="37" t="s">
        <v>87</v>
      </c>
      <c r="E8" s="37" t="s">
        <v>277</v>
      </c>
      <c r="F8" s="38" t="s">
        <v>249</v>
      </c>
      <c r="G8" s="39">
        <v>13373825180</v>
      </c>
      <c r="H8" s="40"/>
      <c r="I8" s="40"/>
      <c r="J8" s="69"/>
      <c r="K8" s="40"/>
      <c r="L8" s="70">
        <v>25000</v>
      </c>
      <c r="M8" s="71">
        <v>261.04</v>
      </c>
      <c r="N8" s="71">
        <v>9.1</v>
      </c>
      <c r="O8" s="71">
        <v>57.18</v>
      </c>
      <c r="P8" s="71">
        <v>85</v>
      </c>
      <c r="Q8" s="89">
        <f>ROUND(SUM(M8:P8),2)</f>
        <v>412.32</v>
      </c>
      <c r="R8" s="70">
        <v>0</v>
      </c>
      <c r="S8" s="90">
        <f>L8+IFERROR(VLOOKUP($E:$E,'（居民）工资表-11月'!$E:$S,15,0),0)</f>
        <v>50000</v>
      </c>
      <c r="T8" s="91">
        <f>5000+IFERROR(VLOOKUP($E:$E,'（居民）工资表-11月'!$E:$T,16,0),0)</f>
        <v>10000</v>
      </c>
      <c r="U8" s="91">
        <f>Q8+IFERROR(VLOOKUP($E:$E,'（居民）工资表-11月'!$E:$U,17,0),0)</f>
        <v>1269.46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R8+IFERROR(VLOOKUP($E:$E,'（居民）工资表-11月'!$E:$AC,25,0),0)</f>
        <v>0</v>
      </c>
      <c r="AD8" s="93">
        <f>ROUND(S8-T8-U8-AB8-AC8,2)</f>
        <v>38730.54</v>
      </c>
      <c r="AE8" s="94">
        <f>ROUND(MAX((AD8)*{0.03;0.1;0.2;0.25;0.3;0.35;0.45}-{0;2520;16920;31920;52920;85920;181920},0),2)</f>
        <v>1353.05</v>
      </c>
      <c r="AF8" s="95">
        <f>IFERROR(VLOOKUP(E:E,'（居民）工资表-11月'!E:AF,28,0)+VLOOKUP(E:E,'（居民）工资表-11月'!E:AG,29,0),0)</f>
        <v>574.29</v>
      </c>
      <c r="AG8" s="95">
        <f>IF((AE8-AF8)&lt;0,0,AE8-AF8)</f>
        <v>778.76</v>
      </c>
      <c r="AH8" s="102">
        <f>ROUND(IF((L8-Q8-AG8)&lt;0,0,(L8-Q8-AG8)),2)</f>
        <v>23808.92</v>
      </c>
      <c r="AI8" s="103"/>
      <c r="AJ8" s="102">
        <f>AH8+AI8</f>
        <v>23808.92</v>
      </c>
      <c r="AK8" s="104"/>
      <c r="AL8" s="102">
        <f>AJ8+AG8+AK8</f>
        <v>24587.68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70700</v>
      </c>
      <c r="M9" s="74">
        <f t="shared" si="0"/>
        <v>1480.89</v>
      </c>
      <c r="N9" s="74">
        <f t="shared" si="0"/>
        <v>288.68</v>
      </c>
      <c r="O9" s="74">
        <f t="shared" si="0"/>
        <v>144.34</v>
      </c>
      <c r="P9" s="74">
        <f t="shared" si="0"/>
        <v>649</v>
      </c>
      <c r="Q9" s="74">
        <f t="shared" si="0"/>
        <v>2562.91</v>
      </c>
      <c r="R9" s="74">
        <f t="shared" si="0"/>
        <v>0</v>
      </c>
      <c r="S9" s="74">
        <f t="shared" si="0"/>
        <v>417609.796363636</v>
      </c>
      <c r="T9" s="74">
        <f t="shared" si="0"/>
        <v>185000</v>
      </c>
      <c r="U9" s="74">
        <f t="shared" si="0"/>
        <v>17777.95</v>
      </c>
      <c r="V9" s="74">
        <f t="shared" si="0"/>
        <v>0</v>
      </c>
      <c r="W9" s="74">
        <f t="shared" si="0"/>
        <v>0</v>
      </c>
      <c r="X9" s="74">
        <f t="shared" si="0"/>
        <v>12000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12000</v>
      </c>
      <c r="AC9" s="74">
        <f t="shared" si="0"/>
        <v>0</v>
      </c>
      <c r="AD9" s="74">
        <f t="shared" si="0"/>
        <v>202831.85</v>
      </c>
      <c r="AE9" s="74">
        <f t="shared" si="0"/>
        <v>13252.72</v>
      </c>
      <c r="AF9" s="74">
        <f t="shared" si="0"/>
        <v>10443.31</v>
      </c>
      <c r="AG9" s="74">
        <f t="shared" si="0"/>
        <v>2809.41</v>
      </c>
      <c r="AH9" s="74">
        <f t="shared" si="0"/>
        <v>65327.68</v>
      </c>
      <c r="AI9" s="105">
        <f t="shared" si="0"/>
        <v>0</v>
      </c>
      <c r="AJ9" s="74">
        <f t="shared" si="0"/>
        <v>65327.68</v>
      </c>
      <c r="AK9" s="74">
        <f t="shared" si="0"/>
        <v>0</v>
      </c>
      <c r="AL9" s="74">
        <f t="shared" si="0"/>
        <v>68137.09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65327.68</v>
      </c>
      <c r="C14" s="48">
        <f>AG9</f>
        <v>2809.41</v>
      </c>
      <c r="D14" s="48">
        <f>AK9</f>
        <v>0</v>
      </c>
      <c r="E14" s="48">
        <f>B14+C14+D14</f>
        <v>68137.09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21" sqref="F21:F22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278</v>
      </c>
      <c r="C4" s="37" t="s">
        <v>86</v>
      </c>
      <c r="D4" s="37" t="s">
        <v>87</v>
      </c>
      <c r="E4" s="37" t="s">
        <v>88</v>
      </c>
      <c r="F4" s="38" t="s">
        <v>249</v>
      </c>
      <c r="G4" s="39">
        <v>18035163638</v>
      </c>
      <c r="H4" s="40"/>
      <c r="I4" s="40"/>
      <c r="J4" s="69"/>
      <c r="K4" s="40"/>
      <c r="L4" s="70"/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9280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-3759.8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52.8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1</v>
      </c>
      <c r="B5" s="37" t="s">
        <v>278</v>
      </c>
      <c r="C5" s="37" t="s">
        <v>154</v>
      </c>
      <c r="D5" s="37" t="s">
        <v>87</v>
      </c>
      <c r="E5" s="37" t="s">
        <v>155</v>
      </c>
      <c r="F5" s="38" t="s">
        <v>249</v>
      </c>
      <c r="G5" s="39">
        <v>13944441728</v>
      </c>
      <c r="H5" s="40"/>
      <c r="I5" s="40"/>
      <c r="J5" s="69"/>
      <c r="K5" s="40"/>
      <c r="L5" s="70"/>
      <c r="M5" s="71">
        <v>268.81</v>
      </c>
      <c r="N5" s="71">
        <v>10.08</v>
      </c>
      <c r="O5" s="71">
        <v>61.06</v>
      </c>
      <c r="P5" s="71">
        <v>79</v>
      </c>
      <c r="Q5" s="89">
        <f>ROUND(SUM(M5:P5),2)</f>
        <v>418.95</v>
      </c>
      <c r="R5" s="70">
        <v>0</v>
      </c>
      <c r="S5" s="90">
        <f>L5+IFERROR(VLOOKUP($E:$E,'（居民）工资表-1月'!$E:$S,15,0),0)</f>
        <v>7000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837.9</v>
      </c>
      <c r="V5" s="70"/>
      <c r="W5" s="70"/>
      <c r="X5" s="70">
        <v>2000</v>
      </c>
      <c r="Y5" s="70"/>
      <c r="Z5" s="70"/>
      <c r="AA5" s="70"/>
      <c r="AB5" s="90">
        <f>ROUND(SUM(V5:AA5),2)</f>
        <v>2000</v>
      </c>
      <c r="AC5" s="90">
        <f>R5+IFERROR(VLOOKUP($E:$E,'（居民）工资表-1月'!$E:$AC,25,0),0)</f>
        <v>0</v>
      </c>
      <c r="AD5" s="93">
        <f>ROUND(S5-T5-U5-AB5-AC5,2)</f>
        <v>-5837.9</v>
      </c>
      <c r="AE5" s="94">
        <f>ROUND(MAX((AD5)*{0.03;0.1;0.2;0.25;0.3;0.35;0.45}-{0;2520;16920;31920;52920;85920;181920},0),2)</f>
        <v>0</v>
      </c>
      <c r="AF5" s="95">
        <f>IFERROR(VLOOKUP(E:E,'（居民）工资表-1月'!E:AF,28,0)+VLOOKUP(E:E,'（居民）工资表-1月'!E:AG,29,0),0)</f>
        <v>17.43</v>
      </c>
      <c r="AG5" s="95">
        <f>IF((AE5-AF5)&lt;0,0,AE5-AF5)</f>
        <v>0</v>
      </c>
      <c r="AH5" s="102">
        <f>ROUND(IF((L5-Q5-AG5)&lt;0,0,(L5-Q5-AG5)),2)</f>
        <v>0</v>
      </c>
      <c r="AI5" s="103"/>
      <c r="AJ5" s="102">
        <f>AH5+AI5</f>
        <v>0</v>
      </c>
      <c r="AK5" s="104"/>
      <c r="AL5" s="102">
        <f>AJ5+AG5+AK5</f>
        <v>0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1</v>
      </c>
      <c r="B6" s="37" t="s">
        <v>278</v>
      </c>
      <c r="C6" s="37" t="s">
        <v>251</v>
      </c>
      <c r="D6" s="37" t="s">
        <v>87</v>
      </c>
      <c r="E6" s="413" t="s">
        <v>252</v>
      </c>
      <c r="F6" s="38" t="str">
        <f>IF(MOD(MID(E6,17,1),2)=1,"男","女")</f>
        <v>女</v>
      </c>
      <c r="G6" s="39">
        <v>15360550807</v>
      </c>
      <c r="H6" s="40"/>
      <c r="I6" s="40"/>
      <c r="J6" s="69"/>
      <c r="K6" s="40"/>
      <c r="L6" s="70"/>
      <c r="M6" s="71">
        <v>367.04</v>
      </c>
      <c r="N6" s="71">
        <v>123.5</v>
      </c>
      <c r="O6" s="71">
        <v>4.2</v>
      </c>
      <c r="P6" s="71">
        <v>105</v>
      </c>
      <c r="Q6" s="89">
        <f>ROUND(SUM(M6:P6),2)</f>
        <v>599.74</v>
      </c>
      <c r="R6" s="70">
        <v>0</v>
      </c>
      <c r="S6" s="90">
        <f>L6+IFERROR(VLOOKUP($E:$E,'（居民）工资表-1月'!$E:$S,15,0),0)</f>
        <v>5700</v>
      </c>
      <c r="T6" s="91">
        <f>5000+IFERROR(VLOOKUP($E:$E,'（居民）工资表-1月'!$E:$T,16,0),0)</f>
        <v>10000</v>
      </c>
      <c r="U6" s="91">
        <f>Q6+IFERROR(VLOOKUP($E:$E,'（居民）工资表-1月'!$E:$U,17,0),0)</f>
        <v>1199.48</v>
      </c>
      <c r="V6" s="70"/>
      <c r="W6" s="70"/>
      <c r="X6" s="70">
        <v>2000</v>
      </c>
      <c r="Y6" s="70"/>
      <c r="Z6" s="70"/>
      <c r="AA6" s="70"/>
      <c r="AB6" s="90">
        <f>ROUND(SUM(V6:AA6),2)</f>
        <v>2000</v>
      </c>
      <c r="AC6" s="90">
        <f>R6+IFERROR(VLOOKUP($E:$E,'（居民）工资表-1月'!$E:$AC,25,0),0)</f>
        <v>0</v>
      </c>
      <c r="AD6" s="93">
        <f>ROUND(S6-T6-U6-AB6-AC6,2)</f>
        <v>-7499.48</v>
      </c>
      <c r="AE6" s="94">
        <f>ROUND(MAX((AD6)*{0.03;0.1;0.2;0.25;0.3;0.35;0.45}-{0;2520;16920;31920;52920;85920;181920},0),2)</f>
        <v>0</v>
      </c>
      <c r="AF6" s="95">
        <f>IFERROR(VLOOKUP(E:E,'（居民）工资表-1月'!E:AF,28,0)+VLOOKUP(E:E,'（居民）工资表-1月'!E:AG,29,0),0)</f>
        <v>0</v>
      </c>
      <c r="AG6" s="95">
        <f>IF((AE6-AF6)&lt;0,0,AE6-AF6)</f>
        <v>0</v>
      </c>
      <c r="AH6" s="102">
        <f>ROUND(IF((L6-Q6-AG6)&lt;0,0,(L6-Q6-AG6)),2)</f>
        <v>0</v>
      </c>
      <c r="AI6" s="103"/>
      <c r="AJ6" s="102">
        <f>AH6+AI6</f>
        <v>0</v>
      </c>
      <c r="AK6" s="104"/>
      <c r="AL6" s="102">
        <f>AJ6+AG6+AK6</f>
        <v>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1</v>
      </c>
      <c r="B7" s="37" t="s">
        <v>278</v>
      </c>
      <c r="C7" s="37" t="s">
        <v>160</v>
      </c>
      <c r="D7" s="37" t="s">
        <v>87</v>
      </c>
      <c r="E7" s="413" t="s">
        <v>161</v>
      </c>
      <c r="F7" s="38" t="s">
        <v>249</v>
      </c>
      <c r="G7" s="39">
        <v>18607383005</v>
      </c>
      <c r="H7" s="40"/>
      <c r="I7" s="40"/>
      <c r="J7" s="69"/>
      <c r="K7" s="40"/>
      <c r="L7" s="70"/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L7+IFERROR(VLOOKUP($E:$E,'（居民）工资表-1月'!$E:$S,15,0),0)</f>
        <v>31000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1224</v>
      </c>
      <c r="V7" s="70"/>
      <c r="W7" s="70"/>
      <c r="X7" s="70">
        <v>2000</v>
      </c>
      <c r="Y7" s="70"/>
      <c r="Z7" s="70"/>
      <c r="AA7" s="70"/>
      <c r="AB7" s="90">
        <f>ROUND(SUM(V7:AA7),2)</f>
        <v>2000</v>
      </c>
      <c r="AC7" s="90">
        <f>R7+IFERROR(VLOOKUP($E:$E,'（居民）工资表-1月'!$E:$AC,25,0),0)</f>
        <v>0</v>
      </c>
      <c r="AD7" s="93">
        <f>ROUND(S7-T7-U7-AB7-AC7,2)</f>
        <v>17776</v>
      </c>
      <c r="AE7" s="94">
        <f>ROUND(MAX((AD7)*{0.03;0.1;0.2;0.25;0.3;0.35;0.45}-{0;2520;16920;31920;52920;85920;181920},0),2)</f>
        <v>533.28</v>
      </c>
      <c r="AF7" s="95">
        <f>IFERROR(VLOOKUP(E:E,'（居民）工资表-1月'!E:AF,28,0)+VLOOKUP(E:E,'（居民）工资表-1月'!E:AG,29,0),0)</f>
        <v>671.64</v>
      </c>
      <c r="AG7" s="95">
        <f>IF((AE7-AF7)&lt;0,0,AE7-AF7)</f>
        <v>0</v>
      </c>
      <c r="AH7" s="102">
        <f>ROUND(IF((L7-Q7-AG7)&lt;0,0,(L7-Q7-AG7)),2)</f>
        <v>0</v>
      </c>
      <c r="AI7" s="103"/>
      <c r="AJ7" s="102">
        <f>AH7+AI7</f>
        <v>0</v>
      </c>
      <c r="AK7" s="104"/>
      <c r="AL7" s="102">
        <f>AJ7+AG7+AK7</f>
        <v>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1</v>
      </c>
      <c r="B8" s="37" t="s">
        <v>278</v>
      </c>
      <c r="C8" s="37" t="s">
        <v>276</v>
      </c>
      <c r="D8" s="37" t="s">
        <v>87</v>
      </c>
      <c r="E8" s="37" t="s">
        <v>277</v>
      </c>
      <c r="F8" s="38" t="s">
        <v>249</v>
      </c>
      <c r="G8" s="39">
        <v>13373825180</v>
      </c>
      <c r="H8" s="40"/>
      <c r="I8" s="40"/>
      <c r="J8" s="69"/>
      <c r="K8" s="40"/>
      <c r="L8" s="70"/>
      <c r="M8" s="71">
        <v>261.04</v>
      </c>
      <c r="N8" s="71">
        <v>9.1</v>
      </c>
      <c r="O8" s="71">
        <v>57.18</v>
      </c>
      <c r="P8" s="71">
        <v>85</v>
      </c>
      <c r="Q8" s="89">
        <f>ROUND(SUM(M8:P8),2)</f>
        <v>412.32</v>
      </c>
      <c r="R8" s="70">
        <v>0</v>
      </c>
      <c r="S8" s="90">
        <f>L8+IFERROR(VLOOKUP($E:$E,'（居民）工资表-1月'!$E:$S,15,0),0)</f>
        <v>26739</v>
      </c>
      <c r="T8" s="91">
        <f>5000+IFERROR(VLOOKUP($E:$E,'（居民）工资表-1月'!$E:$T,16,0),0)</f>
        <v>10000</v>
      </c>
      <c r="U8" s="91">
        <f>Q8+IFERROR(VLOOKUP($E:$E,'（居民）工资表-1月'!$E:$U,17,0),0)</f>
        <v>824.64</v>
      </c>
      <c r="V8" s="70"/>
      <c r="W8" s="70"/>
      <c r="X8" s="70">
        <v>2000</v>
      </c>
      <c r="Y8" s="70"/>
      <c r="Z8" s="70"/>
      <c r="AA8" s="70"/>
      <c r="AB8" s="90">
        <f>ROUND(SUM(V8:AA8),2)</f>
        <v>2000</v>
      </c>
      <c r="AC8" s="90">
        <f>R8+IFERROR(VLOOKUP($E:$E,'（居民）工资表-1月'!$E:$AC,25,0),0)</f>
        <v>0</v>
      </c>
      <c r="AD8" s="93">
        <f>ROUND(S8-T8-U8-AB8-AC8,2)</f>
        <v>13914.36</v>
      </c>
      <c r="AE8" s="94">
        <f>ROUND(MAX((AD8)*{0.03;0.1;0.2;0.25;0.3;0.35;0.45}-{0;2520;16920;31920;52920;85920;181920},0),2)</f>
        <v>417.43</v>
      </c>
      <c r="AF8" s="95">
        <f>IFERROR(VLOOKUP(E:E,'（居民）工资表-1月'!E:AF,28,0)+VLOOKUP(E:E,'（居民）工资表-1月'!E:AG,29,0),0)</f>
        <v>549.8</v>
      </c>
      <c r="AG8" s="95">
        <f>IF((AE8-AF8)&lt;0,0,AE8-AF8)</f>
        <v>0</v>
      </c>
      <c r="AH8" s="102">
        <f>ROUND(IF((L8-Q8-AG8)&lt;0,0,(L8-Q8-AG8)),2)</f>
        <v>0</v>
      </c>
      <c r="AI8" s="103"/>
      <c r="AJ8" s="102">
        <f>AH8+AI8</f>
        <v>0</v>
      </c>
      <c r="AK8" s="104"/>
      <c r="AL8" s="102">
        <f>AJ8+AG8+AK8</f>
        <v>0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91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0</v>
      </c>
      <c r="M9" s="74">
        <f t="shared" si="0"/>
        <v>1480.89</v>
      </c>
      <c r="N9" s="74">
        <f t="shared" si="0"/>
        <v>288.68</v>
      </c>
      <c r="O9" s="74">
        <f t="shared" si="0"/>
        <v>144.34</v>
      </c>
      <c r="P9" s="74">
        <f t="shared" si="0"/>
        <v>649</v>
      </c>
      <c r="Q9" s="74">
        <f t="shared" si="0"/>
        <v>2562.91</v>
      </c>
      <c r="R9" s="74">
        <f t="shared" si="0"/>
        <v>0</v>
      </c>
      <c r="S9" s="74">
        <f t="shared" si="0"/>
        <v>79719</v>
      </c>
      <c r="T9" s="74">
        <f t="shared" si="0"/>
        <v>50000</v>
      </c>
      <c r="U9" s="74">
        <f t="shared" si="0"/>
        <v>5125.82</v>
      </c>
      <c r="V9" s="74">
        <f t="shared" si="0"/>
        <v>0</v>
      </c>
      <c r="W9" s="74">
        <f t="shared" si="0"/>
        <v>0</v>
      </c>
      <c r="X9" s="74">
        <f t="shared" si="0"/>
        <v>10000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10000</v>
      </c>
      <c r="AC9" s="74">
        <f t="shared" si="0"/>
        <v>0</v>
      </c>
      <c r="AD9" s="74">
        <f t="shared" si="0"/>
        <v>14593.18</v>
      </c>
      <c r="AE9" s="74">
        <f t="shared" si="0"/>
        <v>950.71</v>
      </c>
      <c r="AF9" s="74">
        <f t="shared" si="0"/>
        <v>1291.67</v>
      </c>
      <c r="AG9" s="74">
        <f t="shared" si="0"/>
        <v>0</v>
      </c>
      <c r="AH9" s="74">
        <f t="shared" si="0"/>
        <v>0</v>
      </c>
      <c r="AI9" s="105">
        <f t="shared" si="0"/>
        <v>0</v>
      </c>
      <c r="AJ9" s="74">
        <f t="shared" si="0"/>
        <v>0</v>
      </c>
      <c r="AK9" s="74">
        <f t="shared" si="0"/>
        <v>0</v>
      </c>
      <c r="AL9" s="74">
        <f t="shared" si="0"/>
        <v>0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64</v>
      </c>
      <c r="C13" s="47" t="s">
        <v>92</v>
      </c>
      <c r="D13" s="47" t="s">
        <v>65</v>
      </c>
      <c r="E13" s="47" t="s">
        <v>93</v>
      </c>
      <c r="AD13" s="10"/>
    </row>
    <row r="14" ht="18.75" customHeight="1" spans="2:5">
      <c r="B14" s="48">
        <f>AJ9</f>
        <v>0</v>
      </c>
      <c r="C14" s="48">
        <f>AG9</f>
        <v>0</v>
      </c>
      <c r="D14" s="48">
        <f>AK9</f>
        <v>0</v>
      </c>
      <c r="E14" s="48">
        <f>B14+C14+D14</f>
        <v>0</v>
      </c>
    </row>
    <row r="15" spans="2:5">
      <c r="B15" s="49"/>
      <c r="C15" s="49"/>
      <c r="D15" s="49"/>
      <c r="E15" s="49"/>
    </row>
    <row r="16" s="14" customFormat="1" spans="1:35">
      <c r="A16" s="50" t="s">
        <v>94</v>
      </c>
      <c r="B16" s="51" t="s">
        <v>95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96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97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98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99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100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101</v>
      </c>
    </row>
    <row r="24" spans="2:2">
      <c r="B24" s="59" t="s">
        <v>102</v>
      </c>
    </row>
    <row r="25" spans="2:2">
      <c r="B25" s="59" t="s">
        <v>103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2" priority="2" stopIfTrue="1"/>
  </conditionalFormatting>
  <conditionalFormatting sqref="B16:B20">
    <cfRule type="duplicateValues" dxfId="2" priority="3" stopIfTrue="1"/>
  </conditionalFormatting>
  <conditionalFormatting sqref="B24:B25">
    <cfRule type="duplicateValues" dxfId="2" priority="1" stopIfTrue="1"/>
  </conditionalFormatting>
  <conditionalFormatting sqref="C13:C15">
    <cfRule type="duplicateValues" dxfId="2" priority="4" stopIfTrue="1"/>
    <cfRule type="expression" dxfId="3" priority="5" stopIfTrue="1">
      <formula>AND(COUNTIF($B$9:$B$65445,C13)+COUNTIF($B$1:$B$3,C13)&gt;1,NOT(ISBLANK(C13)))</formula>
    </cfRule>
    <cfRule type="expression" dxfId="3" priority="6" stopIfTrue="1">
      <formula>AND(COUNTIF($B$20:$B$65396,C13)+COUNTIF($B$1:$B$19,C13)&gt;1,NOT(ISBLANK(C13)))</formula>
    </cfRule>
    <cfRule type="expression" dxfId="3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282</v>
      </c>
      <c r="C1" s="1"/>
      <c r="D1" s="1"/>
      <c r="E1" s="1"/>
    </row>
    <row r="2" ht="21" spans="2:2">
      <c r="B2" s="2"/>
    </row>
    <row r="3" ht="27.75" customHeight="1" spans="2:5">
      <c r="B3" s="3" t="s">
        <v>283</v>
      </c>
      <c r="C3" s="4" t="s">
        <v>284</v>
      </c>
      <c r="D3" s="4" t="s">
        <v>285</v>
      </c>
      <c r="E3" s="4" t="s">
        <v>286</v>
      </c>
    </row>
    <row r="4" ht="29.25" customHeight="1" spans="2:5">
      <c r="B4" s="5">
        <v>1</v>
      </c>
      <c r="C4" s="6" t="s">
        <v>287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288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289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290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291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292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293</v>
      </c>
      <c r="D10" s="7">
        <v>0.45</v>
      </c>
      <c r="E10" s="8">
        <v>181920</v>
      </c>
    </row>
    <row r="13" ht="57" customHeight="1" spans="2:5">
      <c r="B13" s="1" t="s">
        <v>294</v>
      </c>
      <c r="C13" s="1"/>
      <c r="D13" s="1"/>
      <c r="E13" s="1"/>
    </row>
    <row r="14" ht="21" spans="2:2">
      <c r="B14" s="2"/>
    </row>
    <row r="15" ht="27.75" customHeight="1" spans="2:5">
      <c r="B15" s="3" t="s">
        <v>283</v>
      </c>
      <c r="C15" s="4" t="s">
        <v>295</v>
      </c>
      <c r="D15" s="4" t="s">
        <v>285</v>
      </c>
      <c r="E15" s="4" t="s">
        <v>286</v>
      </c>
    </row>
    <row r="16" ht="29.25" customHeight="1" spans="2:5">
      <c r="B16" s="5">
        <v>1</v>
      </c>
      <c r="C16" s="6" t="s">
        <v>296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297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298</v>
      </c>
      <c r="D18" s="7">
        <v>0.4</v>
      </c>
      <c r="E18" s="8">
        <v>7000</v>
      </c>
    </row>
    <row r="21" ht="47.25" customHeight="1" spans="2:5">
      <c r="B21" s="1" t="s">
        <v>299</v>
      </c>
      <c r="C21" s="1"/>
      <c r="D21" s="1"/>
      <c r="E21" s="1"/>
    </row>
    <row r="22" ht="21" spans="2:2">
      <c r="B22" s="2"/>
    </row>
    <row r="23" ht="27.75" customHeight="1" spans="2:5">
      <c r="B23" s="3" t="s">
        <v>283</v>
      </c>
      <c r="C23" s="4" t="s">
        <v>300</v>
      </c>
      <c r="D23" s="4" t="s">
        <v>285</v>
      </c>
      <c r="E23" s="4" t="s">
        <v>286</v>
      </c>
    </row>
    <row r="24" ht="29.25" customHeight="1" spans="2:5">
      <c r="B24" s="5">
        <v>1</v>
      </c>
      <c r="C24" s="6" t="s">
        <v>301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302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303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304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305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306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307</v>
      </c>
      <c r="D30" s="7">
        <v>0.45</v>
      </c>
      <c r="E30" s="8">
        <v>15160</v>
      </c>
    </row>
    <row r="35" ht="57" customHeight="1" spans="2:5">
      <c r="B35" s="9" t="s">
        <v>308</v>
      </c>
      <c r="C35" s="9"/>
      <c r="D35" s="9"/>
      <c r="E35" s="9"/>
    </row>
    <row r="36" ht="14.25"/>
    <row r="37" ht="21.75" customHeight="1" spans="2:5">
      <c r="B37" s="3" t="s">
        <v>283</v>
      </c>
      <c r="C37" s="4" t="s">
        <v>309</v>
      </c>
      <c r="D37" s="4" t="s">
        <v>310</v>
      </c>
      <c r="E37" s="4" t="s">
        <v>286</v>
      </c>
    </row>
    <row r="38" ht="21.75" customHeight="1" spans="2:5">
      <c r="B38" s="5">
        <v>1</v>
      </c>
      <c r="C38" s="6" t="s">
        <v>301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302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303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304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305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306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307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0">
    <comment s:ref="C1" rgbClr="19C8BC"/>
    <comment s:ref="H1" rgbClr="19C8BC"/>
    <comment s:ref="I1" rgbClr="19C8BC"/>
    <comment s:ref="L1" rgbClr="19C8BC"/>
    <comment s:ref="S1" rgbClr="19C8BC"/>
    <comment s:ref="M2" rgbClr="19C8BC"/>
    <comment s:ref="T2" rgbClr="19C8BC"/>
    <comment s:ref="D6" rgbClr="3BC768"/>
    <comment s:ref="J6" rgbClr="3BC768"/>
    <comment s:ref="K6" rgbClr="3BC768"/>
    <comment s:ref="L6" rgbClr="3BC768"/>
    <comment s:ref="O6" rgbClr="3BC768"/>
  </commentList>
  <commentList sheetStid="19"/>
  <commentList sheetStid="20"/>
  <commentList sheetStid="29"/>
  <commentList sheetStid="21"/>
  <commentList sheetStid="22"/>
  <commentList sheetStid="23"/>
  <commentList sheetStid="24"/>
  <commentList sheetStid="1"/>
  <commentList sheetStid="25"/>
  <commentList sheetStid="15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付款通知</vt:lpstr>
      <vt:lpstr>（居民）工资表-3月</vt:lpstr>
      <vt:lpstr>社保</vt:lpstr>
      <vt:lpstr>（居民）工资表-4月</vt:lpstr>
      <vt:lpstr>（居民）工资表-5月</vt:lpstr>
      <vt:lpstr>社保1</vt:lpstr>
      <vt:lpstr>增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2022-04-28T03:07:10Z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2052-11.1.0.11636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