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9810" tabRatio="609" activeTab="3"/>
  </bookViews>
  <sheets>
    <sheet name="付款通知" sheetId="26" r:id="rId1"/>
    <sheet name="社保" sheetId="27" state="hidden" r:id="rId2"/>
    <sheet name="（居民）工资表-5月" sheetId="18" state="hidden" r:id="rId3"/>
    <sheet name="社保1" sheetId="28" r:id="rId4"/>
    <sheet name="（居民）工资表-6月" sheetId="19" state="hidden" r:id="rId5"/>
    <sheet name="（居民）工资表-7月" sheetId="20" state="hidden" r:id="rId6"/>
    <sheet name="增减" sheetId="29" state="hidden" r:id="rId7"/>
    <sheet name="（居民）工资表-8月" sheetId="21" state="hidden" r:id="rId8"/>
    <sheet name="（居民）工资表-9月" sheetId="22" state="hidden" r:id="rId9"/>
    <sheet name="（居民）工资表-10月" sheetId="23" state="hidden" r:id="rId10"/>
    <sheet name="（居民）工资表-11月" sheetId="24" state="hidden" r:id="rId11"/>
    <sheet name="（居民）工资表-1月" sheetId="1" state="hidden" r:id="rId12"/>
    <sheet name="（居民）工资表-12月" sheetId="25" state="hidden" r:id="rId13"/>
    <sheet name="（居民）工资表-2月" sheetId="15" state="hidden" r:id="rId14"/>
    <sheet name="（居民）工资表-3月" sheetId="16" state="hidden" r:id="rId15"/>
    <sheet name="（居民）工资表-4月" sheetId="17" r:id="rId16"/>
    <sheet name="增" sheetId="30" r:id="rId17"/>
    <sheet name="Sheet1" sheetId="14" state="hidden" r:id="rId18"/>
  </sheets>
  <definedNames>
    <definedName name="_xlnm._FilterDatabase" localSheetId="9" hidden="1">'（居民）工资表-10月'!$A$3:$AT$8</definedName>
    <definedName name="_xlnm._FilterDatabase" localSheetId="10" hidden="1">'（居民）工资表-11月'!$A$3:$AT$9</definedName>
    <definedName name="_xlnm._FilterDatabase" localSheetId="12" hidden="1">'（居民）工资表-12月'!$A$3:$AT$9</definedName>
    <definedName name="_xlnm._FilterDatabase" localSheetId="11" hidden="1">'（居民）工资表-1月'!$A$3:$AT$9</definedName>
    <definedName name="_xlnm._FilterDatabase" localSheetId="13" hidden="1">'（居民）工资表-2月'!$A$3:$AT$13</definedName>
    <definedName name="_xlnm._FilterDatabase" localSheetId="14" hidden="1">'（居民）工资表-3月'!$A$3:$AT$14</definedName>
    <definedName name="_xlnm._FilterDatabase" localSheetId="15" hidden="1">'（居民）工资表-4月'!$A$3:$AT$13</definedName>
    <definedName name="_xlnm._FilterDatabase" localSheetId="2" hidden="1">'（居民）工资表-5月'!$A$3:$AT$8</definedName>
    <definedName name="_xlnm._FilterDatabase" localSheetId="4" hidden="1">'（居民）工资表-6月'!$A$3:$AT$8</definedName>
    <definedName name="_xlnm._FilterDatabase" localSheetId="5" hidden="1">'（居民）工资表-7月'!$A$3:$AT$9</definedName>
    <definedName name="_xlnm._FilterDatabase" localSheetId="7" hidden="1">'（居民）工资表-8月'!$A$3:$AT$8</definedName>
    <definedName name="_xlnm._FilterDatabase" localSheetId="8" hidden="1">'（居民）工资表-9月'!$A$3:$AT$8</definedName>
    <definedName name="_xlnm._FilterDatabase" localSheetId="3" hidden="1">社保1!$A$2:$BH$12</definedName>
    <definedName name="_xlnm.Print_Area" localSheetId="9">'（居民）工资表-10月'!$A$1:$AT$14</definedName>
    <definedName name="_xlnm.Print_Area" localSheetId="10">'（居民）工资表-11月'!$A$1:$AT$15</definedName>
    <definedName name="_xlnm.Print_Area" localSheetId="12">'（居民）工资表-12月'!$A$1:$AT$15</definedName>
    <definedName name="_xlnm.Print_Area" localSheetId="11">'（居民）工资表-1月'!$A$1:$AT$15</definedName>
    <definedName name="_xlnm.Print_Area" localSheetId="13">'（居民）工资表-2月'!$A$1:$AT$19</definedName>
    <definedName name="_xlnm.Print_Area" localSheetId="14">'（居民）工资表-3月'!$A$1:$AT$20</definedName>
    <definedName name="_xlnm.Print_Area" localSheetId="15">'（居民）工资表-4月'!$A$1:$AT$19</definedName>
    <definedName name="_xlnm.Print_Area" localSheetId="2">'（居民）工资表-5月'!$A$1:$AT$14</definedName>
    <definedName name="_xlnm.Print_Area" localSheetId="4">'（居民）工资表-6月'!$A$1:$AT$14</definedName>
    <definedName name="_xlnm.Print_Area" localSheetId="5">'（居民）工资表-7月'!$A$1:$AT$15</definedName>
    <definedName name="_xlnm.Print_Area" localSheetId="7">'（居民）工资表-8月'!$A$1:$AT$14</definedName>
    <definedName name="_xlnm.Print_Area" localSheetId="8">'（居民）工资表-9月'!$A$1:$AT$14</definedName>
  </definedNames>
  <calcPr calcId="144525"/>
</workbook>
</file>

<file path=xl/calcChain.xml><?xml version="1.0" encoding="utf-8"?>
<calcChain xmlns="http://schemas.openxmlformats.org/spreadsheetml/2006/main">
  <c r="AK13" i="17" l="1"/>
  <c r="D18" i="17" s="1"/>
  <c r="AI13" i="17"/>
  <c r="AA13" i="17"/>
  <c r="Z13" i="17"/>
  <c r="Y13" i="17"/>
  <c r="X13" i="17"/>
  <c r="W13" i="17"/>
  <c r="V13" i="17"/>
  <c r="R13" i="17"/>
  <c r="P13" i="17"/>
  <c r="O13" i="17"/>
  <c r="N13" i="17"/>
  <c r="M13" i="17"/>
  <c r="L13" i="17"/>
  <c r="AB11" i="17"/>
  <c r="Q11" i="17"/>
  <c r="AF10" i="17"/>
  <c r="AC10" i="17"/>
  <c r="AB10" i="17"/>
  <c r="U10" i="17"/>
  <c r="T10" i="17"/>
  <c r="S10" i="17"/>
  <c r="Q10" i="17"/>
  <c r="AB9" i="17"/>
  <c r="Q9" i="17"/>
  <c r="AB8" i="17"/>
  <c r="Q8" i="17"/>
  <c r="AT7" i="17"/>
  <c r="AS7" i="17"/>
  <c r="AR7" i="17"/>
  <c r="AB7" i="17"/>
  <c r="Q7" i="17"/>
  <c r="AT6" i="17"/>
  <c r="AS6" i="17"/>
  <c r="AR6" i="17"/>
  <c r="AF6" i="17"/>
  <c r="AC6" i="17"/>
  <c r="AB6" i="17"/>
  <c r="T6" i="17"/>
  <c r="S6" i="17"/>
  <c r="Q6" i="17"/>
  <c r="U6" i="17" s="1"/>
  <c r="AT5" i="17"/>
  <c r="AS5" i="17"/>
  <c r="AR5" i="17"/>
  <c r="AF5" i="17"/>
  <c r="AC5" i="17"/>
  <c r="AB5" i="17"/>
  <c r="AB13" i="17" s="1"/>
  <c r="U5" i="17"/>
  <c r="T5" i="17"/>
  <c r="S5" i="17"/>
  <c r="Q5" i="17"/>
  <c r="AT4" i="17"/>
  <c r="AS4" i="17"/>
  <c r="AR4" i="17"/>
  <c r="AF4" i="17"/>
  <c r="AC4" i="17"/>
  <c r="AB4" i="17"/>
  <c r="T4" i="17"/>
  <c r="S4" i="17"/>
  <c r="Q4" i="17"/>
  <c r="U4" i="17" s="1"/>
  <c r="E19" i="16"/>
  <c r="D19" i="16"/>
  <c r="C19" i="16"/>
  <c r="B19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AT12" i="16"/>
  <c r="AS12" i="16"/>
  <c r="AR12" i="16"/>
  <c r="AL12" i="16"/>
  <c r="AJ12" i="16"/>
  <c r="AH12" i="16"/>
  <c r="AG12" i="16"/>
  <c r="AF12" i="16"/>
  <c r="AE12" i="16"/>
  <c r="AD12" i="16"/>
  <c r="AC12" i="16"/>
  <c r="AB12" i="16"/>
  <c r="U12" i="16"/>
  <c r="T12" i="16"/>
  <c r="S12" i="16"/>
  <c r="Q12" i="16"/>
  <c r="AT11" i="16"/>
  <c r="AS11" i="16"/>
  <c r="AR11" i="16"/>
  <c r="AL11" i="16"/>
  <c r="AJ11" i="16"/>
  <c r="AH11" i="16"/>
  <c r="AG11" i="16"/>
  <c r="AF11" i="16"/>
  <c r="AE11" i="16"/>
  <c r="AD11" i="16"/>
  <c r="AC11" i="16"/>
  <c r="AB11" i="16"/>
  <c r="U11" i="16"/>
  <c r="T11" i="16"/>
  <c r="S11" i="16"/>
  <c r="Q11" i="16"/>
  <c r="AT10" i="16"/>
  <c r="AS10" i="16"/>
  <c r="AR10" i="16"/>
  <c r="AL10" i="16"/>
  <c r="AJ10" i="16"/>
  <c r="AH10" i="16"/>
  <c r="AG10" i="16"/>
  <c r="AF10" i="16"/>
  <c r="AE10" i="16"/>
  <c r="AD10" i="16"/>
  <c r="AC10" i="16"/>
  <c r="AB10" i="16"/>
  <c r="U10" i="16"/>
  <c r="T10" i="16"/>
  <c r="S10" i="16"/>
  <c r="Q10" i="16"/>
  <c r="AT9" i="16"/>
  <c r="AS9" i="16"/>
  <c r="AR9" i="16"/>
  <c r="AL9" i="16"/>
  <c r="AJ9" i="16"/>
  <c r="AH9" i="16"/>
  <c r="AG9" i="16"/>
  <c r="AF9" i="16"/>
  <c r="AE9" i="16"/>
  <c r="AD9" i="16"/>
  <c r="AC9" i="16"/>
  <c r="AB9" i="16"/>
  <c r="U9" i="16"/>
  <c r="T9" i="16"/>
  <c r="S9" i="16"/>
  <c r="Q9" i="16"/>
  <c r="AT8" i="16"/>
  <c r="AS8" i="16"/>
  <c r="AR8" i="16"/>
  <c r="AL8" i="16"/>
  <c r="AJ8" i="16"/>
  <c r="AH8" i="16"/>
  <c r="AG8" i="16"/>
  <c r="AF8" i="16"/>
  <c r="AE8" i="16"/>
  <c r="AD8" i="16"/>
  <c r="AC8" i="16"/>
  <c r="AB8" i="16"/>
  <c r="U8" i="16"/>
  <c r="T8" i="16"/>
  <c r="S8" i="16"/>
  <c r="Q8" i="16"/>
  <c r="L8" i="16"/>
  <c r="AT7" i="16"/>
  <c r="AS7" i="16"/>
  <c r="AR7" i="16"/>
  <c r="AL7" i="16"/>
  <c r="AJ7" i="16"/>
  <c r="AH7" i="16"/>
  <c r="AG7" i="16"/>
  <c r="AF7" i="16"/>
  <c r="AE7" i="16"/>
  <c r="AD7" i="16"/>
  <c r="AC7" i="16"/>
  <c r="AB7" i="16"/>
  <c r="U7" i="16"/>
  <c r="T7" i="16"/>
  <c r="S7" i="16"/>
  <c r="Q7" i="16"/>
  <c r="AT6" i="16"/>
  <c r="AS6" i="16"/>
  <c r="AR6" i="16"/>
  <c r="AL6" i="16"/>
  <c r="AJ6" i="16"/>
  <c r="AH6" i="16"/>
  <c r="AG6" i="16"/>
  <c r="AF6" i="16"/>
  <c r="AE6" i="16"/>
  <c r="AD6" i="16"/>
  <c r="AC6" i="16"/>
  <c r="AB6" i="16"/>
  <c r="U6" i="16"/>
  <c r="T6" i="16"/>
  <c r="S6" i="16"/>
  <c r="Q6" i="16"/>
  <c r="F6" i="16"/>
  <c r="AT5" i="16"/>
  <c r="AS5" i="16"/>
  <c r="AR5" i="16"/>
  <c r="AL5" i="16"/>
  <c r="AJ5" i="16"/>
  <c r="AH5" i="16"/>
  <c r="AG5" i="16"/>
  <c r="AF5" i="16"/>
  <c r="AE5" i="16"/>
  <c r="AD5" i="16"/>
  <c r="AC5" i="16"/>
  <c r="AB5" i="16"/>
  <c r="U5" i="16"/>
  <c r="T5" i="16"/>
  <c r="S5" i="16"/>
  <c r="Q5" i="16"/>
  <c r="AT4" i="16"/>
  <c r="AS4" i="16"/>
  <c r="AR4" i="16"/>
  <c r="AL4" i="16"/>
  <c r="AJ4" i="16"/>
  <c r="AH4" i="16"/>
  <c r="AG4" i="16"/>
  <c r="AF4" i="16"/>
  <c r="AE4" i="16"/>
  <c r="AD4" i="16"/>
  <c r="AC4" i="16"/>
  <c r="AB4" i="16"/>
  <c r="U4" i="16"/>
  <c r="T4" i="16"/>
  <c r="S4" i="16"/>
  <c r="Q4" i="16"/>
  <c r="E18" i="15"/>
  <c r="D18" i="15"/>
  <c r="C18" i="15"/>
  <c r="B18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AT12" i="15"/>
  <c r="AS12" i="15"/>
  <c r="AR12" i="15"/>
  <c r="AL12" i="15"/>
  <c r="AJ12" i="15"/>
  <c r="AH12" i="15"/>
  <c r="AG12" i="15"/>
  <c r="AF12" i="15"/>
  <c r="AE12" i="15"/>
  <c r="AD12" i="15"/>
  <c r="AC12" i="15"/>
  <c r="AB12" i="15"/>
  <c r="U12" i="15"/>
  <c r="T12" i="15"/>
  <c r="S12" i="15"/>
  <c r="Q12" i="15"/>
  <c r="AT11" i="15"/>
  <c r="AS11" i="15"/>
  <c r="AR11" i="15"/>
  <c r="AL11" i="15"/>
  <c r="AJ11" i="15"/>
  <c r="AH11" i="15"/>
  <c r="AG11" i="15"/>
  <c r="AF11" i="15"/>
  <c r="AE11" i="15"/>
  <c r="AD11" i="15"/>
  <c r="AC11" i="15"/>
  <c r="AB11" i="15"/>
  <c r="U11" i="15"/>
  <c r="T11" i="15"/>
  <c r="S11" i="15"/>
  <c r="Q11" i="15"/>
  <c r="AT10" i="15"/>
  <c r="AS10" i="15"/>
  <c r="AR10" i="15"/>
  <c r="AL10" i="15"/>
  <c r="AJ10" i="15"/>
  <c r="AH10" i="15"/>
  <c r="AG10" i="15"/>
  <c r="AF10" i="15"/>
  <c r="AE10" i="15"/>
  <c r="AD10" i="15"/>
  <c r="AC10" i="15"/>
  <c r="AB10" i="15"/>
  <c r="U10" i="15"/>
  <c r="T10" i="15"/>
  <c r="S10" i="15"/>
  <c r="Q10" i="15"/>
  <c r="AT9" i="15"/>
  <c r="AS9" i="15"/>
  <c r="AR9" i="15"/>
  <c r="AL9" i="15"/>
  <c r="AJ9" i="15"/>
  <c r="AH9" i="15"/>
  <c r="AG9" i="15"/>
  <c r="AF9" i="15"/>
  <c r="AE9" i="15"/>
  <c r="AD9" i="15"/>
  <c r="AC9" i="15"/>
  <c r="AB9" i="15"/>
  <c r="U9" i="15"/>
  <c r="T9" i="15"/>
  <c r="S9" i="15"/>
  <c r="Q9" i="15"/>
  <c r="AT8" i="15"/>
  <c r="AS8" i="15"/>
  <c r="AR8" i="15"/>
  <c r="AL8" i="15"/>
  <c r="AJ8" i="15"/>
  <c r="AH8" i="15"/>
  <c r="AG8" i="15"/>
  <c r="AF8" i="15"/>
  <c r="AE8" i="15"/>
  <c r="AD8" i="15"/>
  <c r="AC8" i="15"/>
  <c r="AB8" i="15"/>
  <c r="U8" i="15"/>
  <c r="T8" i="15"/>
  <c r="S8" i="15"/>
  <c r="Q8" i="15"/>
  <c r="AT7" i="15"/>
  <c r="AS7" i="15"/>
  <c r="AR7" i="15"/>
  <c r="AL7" i="15"/>
  <c r="AJ7" i="15"/>
  <c r="AH7" i="15"/>
  <c r="AG7" i="15"/>
  <c r="AF7" i="15"/>
  <c r="AE7" i="15"/>
  <c r="AD7" i="15"/>
  <c r="AC7" i="15"/>
  <c r="AB7" i="15"/>
  <c r="U7" i="15"/>
  <c r="T7" i="15"/>
  <c r="S7" i="15"/>
  <c r="Q7" i="15"/>
  <c r="AT6" i="15"/>
  <c r="AS6" i="15"/>
  <c r="AR6" i="15"/>
  <c r="AL6" i="15"/>
  <c r="AJ6" i="15"/>
  <c r="AH6" i="15"/>
  <c r="AG6" i="15"/>
  <c r="AF6" i="15"/>
  <c r="AE6" i="15"/>
  <c r="AD6" i="15"/>
  <c r="AC6" i="15"/>
  <c r="AB6" i="15"/>
  <c r="U6" i="15"/>
  <c r="T6" i="15"/>
  <c r="S6" i="15"/>
  <c r="Q6" i="15"/>
  <c r="F6" i="15"/>
  <c r="AT5" i="15"/>
  <c r="AS5" i="15"/>
  <c r="AR5" i="15"/>
  <c r="AL5" i="15"/>
  <c r="AJ5" i="15"/>
  <c r="AH5" i="15"/>
  <c r="AG5" i="15"/>
  <c r="AF5" i="15"/>
  <c r="AE5" i="15"/>
  <c r="AD5" i="15"/>
  <c r="AC5" i="15"/>
  <c r="AB5" i="15"/>
  <c r="U5" i="15"/>
  <c r="T5" i="15"/>
  <c r="S5" i="15"/>
  <c r="Q5" i="15"/>
  <c r="AT4" i="15"/>
  <c r="AS4" i="15"/>
  <c r="AR4" i="15"/>
  <c r="AL4" i="15"/>
  <c r="AJ4" i="15"/>
  <c r="AH4" i="15"/>
  <c r="AG4" i="15"/>
  <c r="AF4" i="15"/>
  <c r="AE4" i="15"/>
  <c r="AD4" i="15"/>
  <c r="AC4" i="15"/>
  <c r="AB4" i="15"/>
  <c r="U4" i="15"/>
  <c r="T4" i="15"/>
  <c r="S4" i="15"/>
  <c r="Q4" i="15"/>
  <c r="U1" i="15"/>
  <c r="D14" i="25"/>
  <c r="AK9" i="25"/>
  <c r="AI9" i="25"/>
  <c r="AB9" i="25"/>
  <c r="AA9" i="25"/>
  <c r="Z9" i="25"/>
  <c r="Y9" i="25"/>
  <c r="X9" i="25"/>
  <c r="W9" i="25"/>
  <c r="V9" i="25"/>
  <c r="R9" i="25"/>
  <c r="Q9" i="25"/>
  <c r="P9" i="25"/>
  <c r="O9" i="25"/>
  <c r="N9" i="25"/>
  <c r="M9" i="25"/>
  <c r="L9" i="25"/>
  <c r="AT8" i="25"/>
  <c r="AS8" i="25"/>
  <c r="AR8" i="25"/>
  <c r="AB8" i="25"/>
  <c r="Q8" i="25"/>
  <c r="AT7" i="25"/>
  <c r="AS7" i="25"/>
  <c r="AR7" i="25"/>
  <c r="AB7" i="25"/>
  <c r="Q7" i="25"/>
  <c r="O7" i="25"/>
  <c r="N7" i="25"/>
  <c r="M7" i="25"/>
  <c r="AT6" i="25"/>
  <c r="AS6" i="25"/>
  <c r="AR6" i="25"/>
  <c r="AB6" i="25"/>
  <c r="Q6" i="25"/>
  <c r="F6" i="25"/>
  <c r="AT5" i="25"/>
  <c r="AS5" i="25"/>
  <c r="AR5" i="25"/>
  <c r="AB5" i="25"/>
  <c r="Q5" i="25"/>
  <c r="AT4" i="25"/>
  <c r="AS4" i="25"/>
  <c r="AR4" i="25"/>
  <c r="AB4" i="25"/>
  <c r="Q4" i="25"/>
  <c r="E14" i="1"/>
  <c r="D14" i="1"/>
  <c r="C14" i="1"/>
  <c r="B14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AT8" i="1"/>
  <c r="AS8" i="1"/>
  <c r="AR8" i="1"/>
  <c r="AL8" i="1"/>
  <c r="AJ8" i="1"/>
  <c r="AH8" i="1"/>
  <c r="AG8" i="1"/>
  <c r="AE8" i="1"/>
  <c r="AD8" i="1"/>
  <c r="AC8" i="1"/>
  <c r="AB8" i="1"/>
  <c r="U8" i="1"/>
  <c r="S8" i="1"/>
  <c r="Q8" i="1"/>
  <c r="AT7" i="1"/>
  <c r="AS7" i="1"/>
  <c r="AR7" i="1"/>
  <c r="AL7" i="1"/>
  <c r="AJ7" i="1"/>
  <c r="AH7" i="1"/>
  <c r="AG7" i="1"/>
  <c r="AE7" i="1"/>
  <c r="AD7" i="1"/>
  <c r="AC7" i="1"/>
  <c r="AB7" i="1"/>
  <c r="U7" i="1"/>
  <c r="S7" i="1"/>
  <c r="Q7" i="1"/>
  <c r="O7" i="1"/>
  <c r="N7" i="1"/>
  <c r="M7" i="1"/>
  <c r="AT6" i="1"/>
  <c r="AS6" i="1"/>
  <c r="AR6" i="1"/>
  <c r="AL6" i="1"/>
  <c r="AJ6" i="1"/>
  <c r="AH6" i="1"/>
  <c r="AG6" i="1"/>
  <c r="AE6" i="1"/>
  <c r="AD6" i="1"/>
  <c r="AC6" i="1"/>
  <c r="AB6" i="1"/>
  <c r="U6" i="1"/>
  <c r="S6" i="1"/>
  <c r="Q6" i="1"/>
  <c r="F6" i="1"/>
  <c r="AT5" i="1"/>
  <c r="AS5" i="1"/>
  <c r="AR5" i="1"/>
  <c r="AL5" i="1"/>
  <c r="AJ5" i="1"/>
  <c r="AH5" i="1"/>
  <c r="AG5" i="1"/>
  <c r="AE5" i="1"/>
  <c r="AD5" i="1"/>
  <c r="AC5" i="1"/>
  <c r="AB5" i="1"/>
  <c r="U5" i="1"/>
  <c r="S5" i="1"/>
  <c r="Q5" i="1"/>
  <c r="AT4" i="1"/>
  <c r="AS4" i="1"/>
  <c r="AR4" i="1"/>
  <c r="AL4" i="1"/>
  <c r="AJ4" i="1"/>
  <c r="AH4" i="1"/>
  <c r="AG4" i="1"/>
  <c r="AE4" i="1"/>
  <c r="AD4" i="1"/>
  <c r="AC4" i="1"/>
  <c r="AB4" i="1"/>
  <c r="U4" i="1"/>
  <c r="S4" i="1"/>
  <c r="Q4" i="1"/>
  <c r="D14" i="24"/>
  <c r="AK9" i="24"/>
  <c r="AI9" i="24"/>
  <c r="AB9" i="24"/>
  <c r="AA9" i="24"/>
  <c r="Z9" i="24"/>
  <c r="Y9" i="24"/>
  <c r="X9" i="24"/>
  <c r="W9" i="24"/>
  <c r="V9" i="24"/>
  <c r="R9" i="24"/>
  <c r="Q9" i="24"/>
  <c r="P9" i="24"/>
  <c r="O9" i="24"/>
  <c r="N9" i="24"/>
  <c r="M9" i="24"/>
  <c r="L9" i="24"/>
  <c r="AT8" i="24"/>
  <c r="AS8" i="24"/>
  <c r="AR8" i="24"/>
  <c r="AB8" i="24"/>
  <c r="Q8" i="24"/>
  <c r="P8" i="24"/>
  <c r="O8" i="24"/>
  <c r="N8" i="24"/>
  <c r="M8" i="24"/>
  <c r="AT7" i="24"/>
  <c r="AS7" i="24"/>
  <c r="AR7" i="24"/>
  <c r="AB7" i="24"/>
  <c r="Q7" i="24"/>
  <c r="O7" i="24"/>
  <c r="N7" i="24"/>
  <c r="M7" i="24"/>
  <c r="AT6" i="24"/>
  <c r="AS6" i="24"/>
  <c r="AR6" i="24"/>
  <c r="AB6" i="24"/>
  <c r="Q6" i="24"/>
  <c r="F6" i="24"/>
  <c r="AT5" i="24"/>
  <c r="AS5" i="24"/>
  <c r="AR5" i="24"/>
  <c r="AB5" i="24"/>
  <c r="Q5" i="24"/>
  <c r="O5" i="24"/>
  <c r="M5" i="24"/>
  <c r="AT4" i="24"/>
  <c r="AS4" i="24"/>
  <c r="AR4" i="24"/>
  <c r="AB4" i="24"/>
  <c r="Q4" i="24"/>
  <c r="D13" i="23"/>
  <c r="AK8" i="23"/>
  <c r="AI8" i="23"/>
  <c r="AB8" i="23"/>
  <c r="AA8" i="23"/>
  <c r="Z8" i="23"/>
  <c r="Y8" i="23"/>
  <c r="X8" i="23"/>
  <c r="W8" i="23"/>
  <c r="V8" i="23"/>
  <c r="R8" i="23"/>
  <c r="Q8" i="23"/>
  <c r="P8" i="23"/>
  <c r="O8" i="23"/>
  <c r="N8" i="23"/>
  <c r="M8" i="23"/>
  <c r="L8" i="23"/>
  <c r="AT7" i="23"/>
  <c r="AS7" i="23"/>
  <c r="AR7" i="23"/>
  <c r="AB7" i="23"/>
  <c r="Q7" i="23"/>
  <c r="F7" i="23"/>
  <c r="AT6" i="23"/>
  <c r="AS6" i="23"/>
  <c r="AR6" i="23"/>
  <c r="AB6" i="23"/>
  <c r="Q6" i="23"/>
  <c r="O6" i="23"/>
  <c r="N6" i="23"/>
  <c r="M6" i="23"/>
  <c r="AT5" i="23"/>
  <c r="AS5" i="23"/>
  <c r="AR5" i="23"/>
  <c r="AB5" i="23"/>
  <c r="Q5" i="23"/>
  <c r="AT4" i="23"/>
  <c r="AS4" i="23"/>
  <c r="AR4" i="23"/>
  <c r="AB4" i="23"/>
  <c r="Q4" i="23"/>
  <c r="D13" i="22"/>
  <c r="AK8" i="22"/>
  <c r="AI8" i="22"/>
  <c r="AB8" i="22"/>
  <c r="AA8" i="22"/>
  <c r="Z8" i="22"/>
  <c r="Y8" i="22"/>
  <c r="X8" i="22"/>
  <c r="W8" i="22"/>
  <c r="V8" i="22"/>
  <c r="R8" i="22"/>
  <c r="Q8" i="22"/>
  <c r="P8" i="22"/>
  <c r="O8" i="22"/>
  <c r="N8" i="22"/>
  <c r="M8" i="22"/>
  <c r="L8" i="22"/>
  <c r="AT7" i="22"/>
  <c r="AS7" i="22"/>
  <c r="AR7" i="22"/>
  <c r="AB7" i="22"/>
  <c r="Q7" i="22"/>
  <c r="F7" i="22"/>
  <c r="AT6" i="22"/>
  <c r="AS6" i="22"/>
  <c r="AR6" i="22"/>
  <c r="AB6" i="22"/>
  <c r="Q6" i="22"/>
  <c r="O6" i="22"/>
  <c r="N6" i="22"/>
  <c r="M6" i="22"/>
  <c r="AT5" i="22"/>
  <c r="AS5" i="22"/>
  <c r="AR5" i="22"/>
  <c r="AB5" i="22"/>
  <c r="Q5" i="22"/>
  <c r="AT4" i="22"/>
  <c r="AS4" i="22"/>
  <c r="AR4" i="22"/>
  <c r="AB4" i="22"/>
  <c r="Q4" i="22"/>
  <c r="D13" i="21"/>
  <c r="AK8" i="21"/>
  <c r="AI8" i="21"/>
  <c r="AB8" i="21"/>
  <c r="AA8" i="21"/>
  <c r="Z8" i="21"/>
  <c r="Y8" i="21"/>
  <c r="X8" i="21"/>
  <c r="W8" i="21"/>
  <c r="V8" i="21"/>
  <c r="R8" i="21"/>
  <c r="Q8" i="21"/>
  <c r="P8" i="21"/>
  <c r="O8" i="21"/>
  <c r="N8" i="21"/>
  <c r="M8" i="21"/>
  <c r="L8" i="21"/>
  <c r="AT7" i="21"/>
  <c r="AS7" i="21"/>
  <c r="AR7" i="21"/>
  <c r="AB7" i="21"/>
  <c r="Q7" i="21"/>
  <c r="F7" i="21"/>
  <c r="AT6" i="21"/>
  <c r="AS6" i="21"/>
  <c r="AR6" i="21"/>
  <c r="AB6" i="21"/>
  <c r="Q6" i="21"/>
  <c r="O6" i="21"/>
  <c r="N6" i="21"/>
  <c r="M6" i="21"/>
  <c r="AT5" i="21"/>
  <c r="AS5" i="21"/>
  <c r="AR5" i="21"/>
  <c r="AB5" i="21"/>
  <c r="Q5" i="21"/>
  <c r="AT4" i="21"/>
  <c r="AS4" i="21"/>
  <c r="AR4" i="21"/>
  <c r="AB4" i="21"/>
  <c r="Q4" i="21"/>
  <c r="AK4" i="29"/>
  <c r="AK3" i="29"/>
  <c r="D14" i="20"/>
  <c r="AK9" i="20"/>
  <c r="AI9" i="20"/>
  <c r="AB9" i="20"/>
  <c r="AA9" i="20"/>
  <c r="Z9" i="20"/>
  <c r="Y9" i="20"/>
  <c r="X9" i="20"/>
  <c r="W9" i="20"/>
  <c r="V9" i="20"/>
  <c r="R9" i="20"/>
  <c r="Q9" i="20"/>
  <c r="P9" i="20"/>
  <c r="O9" i="20"/>
  <c r="N9" i="20"/>
  <c r="M9" i="20"/>
  <c r="L9" i="20"/>
  <c r="AT8" i="20"/>
  <c r="AS8" i="20"/>
  <c r="AR8" i="20"/>
  <c r="AB8" i="20"/>
  <c r="Q8" i="20"/>
  <c r="F8" i="20"/>
  <c r="AT7" i="20"/>
  <c r="AS7" i="20"/>
  <c r="AR7" i="20"/>
  <c r="AB7" i="20"/>
  <c r="Q7" i="20"/>
  <c r="O7" i="20"/>
  <c r="N7" i="20"/>
  <c r="M7" i="20"/>
  <c r="AT6" i="20"/>
  <c r="AS6" i="20"/>
  <c r="AR6" i="20"/>
  <c r="AB6" i="20"/>
  <c r="Q6" i="20"/>
  <c r="AT5" i="20"/>
  <c r="AS5" i="20"/>
  <c r="AR5" i="20"/>
  <c r="AB5" i="20"/>
  <c r="Q5" i="20"/>
  <c r="AT4" i="20"/>
  <c r="AS4" i="20"/>
  <c r="AR4" i="20"/>
  <c r="AB4" i="20"/>
  <c r="Q4" i="20"/>
  <c r="D13" i="19"/>
  <c r="AK8" i="19"/>
  <c r="AI8" i="19"/>
  <c r="AB8" i="19"/>
  <c r="AA8" i="19"/>
  <c r="Z8" i="19"/>
  <c r="Y8" i="19"/>
  <c r="X8" i="19"/>
  <c r="W8" i="19"/>
  <c r="V8" i="19"/>
  <c r="R8" i="19"/>
  <c r="Q8" i="19"/>
  <c r="P8" i="19"/>
  <c r="O8" i="19"/>
  <c r="N8" i="19"/>
  <c r="M8" i="19"/>
  <c r="L8" i="19"/>
  <c r="AT7" i="19"/>
  <c r="AS7" i="19"/>
  <c r="AR7" i="19"/>
  <c r="AB7" i="19"/>
  <c r="Q7" i="19"/>
  <c r="O7" i="19"/>
  <c r="N7" i="19"/>
  <c r="M7" i="19"/>
  <c r="AT6" i="19"/>
  <c r="AS6" i="19"/>
  <c r="AR6" i="19"/>
  <c r="AB6" i="19"/>
  <c r="Q6" i="19"/>
  <c r="AT5" i="19"/>
  <c r="AS5" i="19"/>
  <c r="AR5" i="19"/>
  <c r="AB5" i="19"/>
  <c r="Q5" i="19"/>
  <c r="AT4" i="19"/>
  <c r="AS4" i="19"/>
  <c r="AR4" i="19"/>
  <c r="AB4" i="19"/>
  <c r="Q4" i="19"/>
  <c r="BC16" i="28"/>
  <c r="BB14" i="28"/>
  <c r="BB15" i="28" s="1"/>
  <c r="G22" i="26" s="1"/>
  <c r="BA14" i="28"/>
  <c r="AY14" i="28"/>
  <c r="AR14" i="28"/>
  <c r="AR15" i="28" s="1"/>
  <c r="AQ14" i="28"/>
  <c r="AQ15" i="28" s="1"/>
  <c r="AP14" i="28"/>
  <c r="AP15" i="28" s="1"/>
  <c r="AO14" i="28"/>
  <c r="AO15" i="28" s="1"/>
  <c r="AN14" i="28"/>
  <c r="AN15" i="28" s="1"/>
  <c r="AM14" i="28"/>
  <c r="AM15" i="28" s="1"/>
  <c r="AL14" i="28"/>
  <c r="AL15" i="28" s="1"/>
  <c r="AJ14" i="28"/>
  <c r="AJ15" i="28" s="1"/>
  <c r="AH14" i="28"/>
  <c r="AH15" i="28" s="1"/>
  <c r="AG14" i="28"/>
  <c r="AG15" i="28" s="1"/>
  <c r="AE14" i="28"/>
  <c r="AE15" i="28" s="1"/>
  <c r="AD14" i="28"/>
  <c r="AD15" i="28" s="1"/>
  <c r="AB14" i="28"/>
  <c r="AB15" i="28" s="1"/>
  <c r="AA14" i="28"/>
  <c r="AA15" i="28" s="1"/>
  <c r="Y14" i="28"/>
  <c r="Y15" i="28" s="1"/>
  <c r="W14" i="28"/>
  <c r="W15" i="28" s="1"/>
  <c r="V14" i="28"/>
  <c r="V15" i="28" s="1"/>
  <c r="T14" i="28"/>
  <c r="T15" i="28" s="1"/>
  <c r="R14" i="28"/>
  <c r="R15" i="28" s="1"/>
  <c r="Q14" i="28"/>
  <c r="Q15" i="28" s="1"/>
  <c r="O14" i="28"/>
  <c r="O15" i="28" s="1"/>
  <c r="M14" i="28"/>
  <c r="M15" i="28" s="1"/>
  <c r="L14" i="28"/>
  <c r="L15" i="28" s="1"/>
  <c r="AK12" i="28"/>
  <c r="AV12" i="28" s="1"/>
  <c r="AI12" i="28"/>
  <c r="AU12" i="28" s="1"/>
  <c r="AF12" i="28"/>
  <c r="AC12" i="28"/>
  <c r="Z12" i="28"/>
  <c r="X12" i="28"/>
  <c r="U12" i="28"/>
  <c r="S12" i="28"/>
  <c r="P12" i="28"/>
  <c r="N12" i="28"/>
  <c r="AK11" i="28"/>
  <c r="AV11" i="28" s="1"/>
  <c r="AI11" i="28"/>
  <c r="AU11" i="28" s="1"/>
  <c r="AF11" i="28"/>
  <c r="AC11" i="28"/>
  <c r="Z11" i="28"/>
  <c r="X11" i="28"/>
  <c r="U11" i="28"/>
  <c r="S11" i="28"/>
  <c r="P11" i="28"/>
  <c r="N11" i="28"/>
  <c r="AK10" i="28"/>
  <c r="AV10" i="28" s="1"/>
  <c r="AI10" i="28"/>
  <c r="AU10" i="28" s="1"/>
  <c r="AF10" i="28"/>
  <c r="AC10" i="28"/>
  <c r="Z10" i="28"/>
  <c r="X10" i="28"/>
  <c r="U10" i="28"/>
  <c r="S10" i="28"/>
  <c r="P10" i="28"/>
  <c r="N10" i="28"/>
  <c r="AK9" i="28"/>
  <c r="AV9" i="28" s="1"/>
  <c r="AI9" i="28"/>
  <c r="AU9" i="28" s="1"/>
  <c r="AF9" i="28"/>
  <c r="AC9" i="28"/>
  <c r="Z9" i="28"/>
  <c r="X9" i="28"/>
  <c r="U9" i="28"/>
  <c r="S9" i="28"/>
  <c r="P9" i="28"/>
  <c r="N9" i="28"/>
  <c r="AK8" i="28"/>
  <c r="AV8" i="28" s="1"/>
  <c r="AI8" i="28"/>
  <c r="AU8" i="28" s="1"/>
  <c r="AF8" i="28"/>
  <c r="AC8" i="28"/>
  <c r="Z8" i="28"/>
  <c r="X8" i="28"/>
  <c r="U8" i="28"/>
  <c r="S8" i="28"/>
  <c r="P8" i="28"/>
  <c r="N8" i="28"/>
  <c r="AK7" i="28"/>
  <c r="AV7" i="28" s="1"/>
  <c r="AI7" i="28"/>
  <c r="AU7" i="28" s="1"/>
  <c r="AF7" i="28"/>
  <c r="AC7" i="28"/>
  <c r="Z7" i="28"/>
  <c r="X7" i="28"/>
  <c r="U7" i="28"/>
  <c r="S7" i="28"/>
  <c r="P7" i="28"/>
  <c r="N7" i="28"/>
  <c r="AK6" i="28"/>
  <c r="AV6" i="28" s="1"/>
  <c r="AI6" i="28"/>
  <c r="AU6" i="28" s="1"/>
  <c r="AF6" i="28"/>
  <c r="AC6" i="28"/>
  <c r="Z6" i="28"/>
  <c r="X6" i="28"/>
  <c r="U6" i="28"/>
  <c r="S6" i="28"/>
  <c r="P6" i="28"/>
  <c r="N6" i="28"/>
  <c r="AK5" i="28"/>
  <c r="AV5" i="28" s="1"/>
  <c r="AI5" i="28"/>
  <c r="AU5" i="28" s="1"/>
  <c r="AF5" i="28"/>
  <c r="AC5" i="28"/>
  <c r="Z5" i="28"/>
  <c r="X5" i="28"/>
  <c r="U5" i="28"/>
  <c r="S5" i="28"/>
  <c r="P5" i="28"/>
  <c r="N5" i="28"/>
  <c r="AK4" i="28"/>
  <c r="AV4" i="28" s="1"/>
  <c r="AI4" i="28"/>
  <c r="AU4" i="28" s="1"/>
  <c r="AF4" i="28"/>
  <c r="AC4" i="28"/>
  <c r="Z4" i="28"/>
  <c r="X4" i="28"/>
  <c r="U4" i="28"/>
  <c r="S4" i="28"/>
  <c r="P4" i="28"/>
  <c r="N4" i="28"/>
  <c r="AK3" i="28"/>
  <c r="AV3" i="28" s="1"/>
  <c r="AI3" i="28"/>
  <c r="AU3" i="28" s="1"/>
  <c r="AF3" i="28"/>
  <c r="AC3" i="28"/>
  <c r="Z3" i="28"/>
  <c r="X3" i="28"/>
  <c r="U3" i="28"/>
  <c r="S3" i="28"/>
  <c r="P3" i="28"/>
  <c r="N3" i="28"/>
  <c r="D13" i="18"/>
  <c r="AK8" i="18"/>
  <c r="AI8" i="18"/>
  <c r="AB8" i="18"/>
  <c r="AA8" i="18"/>
  <c r="Z8" i="18"/>
  <c r="Y8" i="18"/>
  <c r="X8" i="18"/>
  <c r="W8" i="18"/>
  <c r="V8" i="18"/>
  <c r="R8" i="18"/>
  <c r="Q8" i="18"/>
  <c r="P8" i="18"/>
  <c r="O8" i="18"/>
  <c r="N8" i="18"/>
  <c r="M8" i="18"/>
  <c r="L8" i="18"/>
  <c r="AT7" i="18"/>
  <c r="AS7" i="18"/>
  <c r="AR7" i="18"/>
  <c r="AB7" i="18"/>
  <c r="Q7" i="18"/>
  <c r="F7" i="18"/>
  <c r="AT6" i="18"/>
  <c r="AS6" i="18"/>
  <c r="AR6" i="18"/>
  <c r="AB6" i="18"/>
  <c r="Q6" i="18"/>
  <c r="P6" i="18"/>
  <c r="O6" i="18"/>
  <c r="N6" i="18"/>
  <c r="M6" i="18"/>
  <c r="F6" i="18"/>
  <c r="AT5" i="18"/>
  <c r="AS5" i="18"/>
  <c r="AR5" i="18"/>
  <c r="AB5" i="18"/>
  <c r="Q5" i="18"/>
  <c r="F5" i="18"/>
  <c r="AT4" i="18"/>
  <c r="AS4" i="18"/>
  <c r="AR4" i="18"/>
  <c r="AB4" i="18"/>
  <c r="Q4" i="18"/>
  <c r="F4" i="18"/>
  <c r="BC18" i="27"/>
  <c r="BB18" i="27"/>
  <c r="AZ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BC15" i="27"/>
  <c r="AZ15" i="27"/>
  <c r="AX15" i="27"/>
  <c r="AW15" i="27"/>
  <c r="AV15" i="27"/>
  <c r="AU15" i="27"/>
  <c r="AT15" i="27"/>
  <c r="AS15" i="27"/>
  <c r="AK15" i="27"/>
  <c r="AI15" i="27"/>
  <c r="AF15" i="27"/>
  <c r="AC15" i="27"/>
  <c r="Z15" i="27"/>
  <c r="X15" i="27"/>
  <c r="U15" i="27"/>
  <c r="S15" i="27"/>
  <c r="P15" i="27"/>
  <c r="N15" i="27"/>
  <c r="BC14" i="27"/>
  <c r="AZ14" i="27"/>
  <c r="AX14" i="27"/>
  <c r="AW14" i="27"/>
  <c r="AV14" i="27"/>
  <c r="AU14" i="27"/>
  <c r="AT14" i="27"/>
  <c r="AS14" i="27"/>
  <c r="AK14" i="27"/>
  <c r="AI14" i="27"/>
  <c r="AF14" i="27"/>
  <c r="AC14" i="27"/>
  <c r="Z14" i="27"/>
  <c r="X14" i="27"/>
  <c r="U14" i="27"/>
  <c r="S14" i="27"/>
  <c r="P14" i="27"/>
  <c r="N14" i="27"/>
  <c r="BC13" i="27"/>
  <c r="AZ13" i="27"/>
  <c r="AX13" i="27"/>
  <c r="AW13" i="27"/>
  <c r="AV13" i="27"/>
  <c r="AU13" i="27"/>
  <c r="AT13" i="27"/>
  <c r="AS13" i="27"/>
  <c r="AK13" i="27"/>
  <c r="AI13" i="27"/>
  <c r="AF13" i="27"/>
  <c r="AC13" i="27"/>
  <c r="Z13" i="27"/>
  <c r="X13" i="27"/>
  <c r="U13" i="27"/>
  <c r="S13" i="27"/>
  <c r="P13" i="27"/>
  <c r="N13" i="27"/>
  <c r="BC12" i="27"/>
  <c r="AZ12" i="27"/>
  <c r="AX12" i="27"/>
  <c r="AW12" i="27"/>
  <c r="AV12" i="27"/>
  <c r="AU12" i="27"/>
  <c r="AT12" i="27"/>
  <c r="AS12" i="27"/>
  <c r="AK12" i="27"/>
  <c r="AI12" i="27"/>
  <c r="AF12" i="27"/>
  <c r="AC12" i="27"/>
  <c r="Z12" i="27"/>
  <c r="X12" i="27"/>
  <c r="U12" i="27"/>
  <c r="S12" i="27"/>
  <c r="P12" i="27"/>
  <c r="N12" i="27"/>
  <c r="BC11" i="27"/>
  <c r="AX11" i="27"/>
  <c r="AW11" i="27"/>
  <c r="AV11" i="27"/>
  <c r="AU11" i="27"/>
  <c r="AT11" i="27"/>
  <c r="AS11" i="27"/>
  <c r="AF11" i="27"/>
  <c r="AD11" i="27"/>
  <c r="BC10" i="27"/>
  <c r="AX10" i="27"/>
  <c r="AW10" i="27"/>
  <c r="AV10" i="27"/>
  <c r="AU10" i="27"/>
  <c r="AT10" i="27"/>
  <c r="AS10" i="27"/>
  <c r="AF10" i="27"/>
  <c r="AD10" i="27"/>
  <c r="BC9" i="27"/>
  <c r="AX9" i="27"/>
  <c r="AW9" i="27"/>
  <c r="AV9" i="27"/>
  <c r="AU9" i="27"/>
  <c r="AT9" i="27"/>
  <c r="AS9" i="27"/>
  <c r="AF9" i="27"/>
  <c r="AD9" i="27"/>
  <c r="BC8" i="27"/>
  <c r="AZ8" i="27"/>
  <c r="AX8" i="27"/>
  <c r="AW8" i="27"/>
  <c r="AV8" i="27"/>
  <c r="AU8" i="27"/>
  <c r="AT8" i="27"/>
  <c r="AS8" i="27"/>
  <c r="AF8" i="27"/>
  <c r="AC8" i="27"/>
  <c r="Z8" i="27"/>
  <c r="X8" i="27"/>
  <c r="U8" i="27"/>
  <c r="S8" i="27"/>
  <c r="P8" i="27"/>
  <c r="N8" i="27"/>
  <c r="BC7" i="27"/>
  <c r="AZ7" i="27"/>
  <c r="AX7" i="27"/>
  <c r="AW7" i="27"/>
  <c r="AV7" i="27"/>
  <c r="AU7" i="27"/>
  <c r="AT7" i="27"/>
  <c r="AS7" i="27"/>
  <c r="AF7" i="27"/>
  <c r="AC7" i="27"/>
  <c r="Z7" i="27"/>
  <c r="X7" i="27"/>
  <c r="U7" i="27"/>
  <c r="S7" i="27"/>
  <c r="P7" i="27"/>
  <c r="N7" i="27"/>
  <c r="BC6" i="27"/>
  <c r="AZ6" i="27"/>
  <c r="AX6" i="27"/>
  <c r="AW6" i="27"/>
  <c r="AV6" i="27"/>
  <c r="AU6" i="27"/>
  <c r="AT6" i="27"/>
  <c r="AS6" i="27"/>
  <c r="AF6" i="27"/>
  <c r="AC6" i="27"/>
  <c r="Z6" i="27"/>
  <c r="X6" i="27"/>
  <c r="U6" i="27"/>
  <c r="S6" i="27"/>
  <c r="P6" i="27"/>
  <c r="N6" i="27"/>
  <c r="BC5" i="27"/>
  <c r="AZ5" i="27"/>
  <c r="AX5" i="27"/>
  <c r="AW5" i="27"/>
  <c r="AV5" i="27"/>
  <c r="AU5" i="27"/>
  <c r="AT5" i="27"/>
  <c r="AS5" i="27"/>
  <c r="AK5" i="27"/>
  <c r="AI5" i="27"/>
  <c r="AF5" i="27"/>
  <c r="Z5" i="27"/>
  <c r="X5" i="27"/>
  <c r="U5" i="27"/>
  <c r="S5" i="27"/>
  <c r="P5" i="27"/>
  <c r="N5" i="27"/>
  <c r="BC4" i="27"/>
  <c r="AZ4" i="27"/>
  <c r="AX4" i="27"/>
  <c r="AW4" i="27"/>
  <c r="AV4" i="27"/>
  <c r="AU4" i="27"/>
  <c r="AT4" i="27"/>
  <c r="AS4" i="27"/>
  <c r="AK4" i="27"/>
  <c r="AI4" i="27"/>
  <c r="AF4" i="27"/>
  <c r="Z4" i="27"/>
  <c r="X4" i="27"/>
  <c r="U4" i="27"/>
  <c r="S4" i="27"/>
  <c r="P4" i="27"/>
  <c r="N4" i="27"/>
  <c r="BC3" i="27"/>
  <c r="AZ3" i="27"/>
  <c r="AX3" i="27"/>
  <c r="AW3" i="27"/>
  <c r="AV3" i="27"/>
  <c r="AU3" i="27"/>
  <c r="AT3" i="27"/>
  <c r="AS3" i="27"/>
  <c r="AK3" i="27"/>
  <c r="AI3" i="27"/>
  <c r="AF3" i="27"/>
  <c r="Z3" i="27"/>
  <c r="X3" i="27"/>
  <c r="U3" i="27"/>
  <c r="S3" i="27"/>
  <c r="P3" i="27"/>
  <c r="N3" i="27"/>
  <c r="Q13" i="17" l="1"/>
  <c r="AZ3" i="28"/>
  <c r="AZ5" i="28"/>
  <c r="AZ11" i="28"/>
  <c r="AS8" i="28"/>
  <c r="AW8" i="28" s="1"/>
  <c r="AZ10" i="28"/>
  <c r="AS11" i="28"/>
  <c r="AT8" i="28"/>
  <c r="AZ7" i="28"/>
  <c r="Z14" i="28"/>
  <c r="Z15" i="28" s="1"/>
  <c r="AT3" i="28"/>
  <c r="AT4" i="28"/>
  <c r="AW4" i="28" s="1"/>
  <c r="AT5" i="28"/>
  <c r="AT6" i="28"/>
  <c r="AT7" i="28"/>
  <c r="AT9" i="28"/>
  <c r="AT10" i="28"/>
  <c r="AS12" i="28"/>
  <c r="AZ12" i="28"/>
  <c r="AD5" i="17"/>
  <c r="AE5" i="17" s="1"/>
  <c r="AG5" i="17" s="1"/>
  <c r="AH5" i="17" s="1"/>
  <c r="AJ5" i="17" s="1"/>
  <c r="AL5" i="17" s="1"/>
  <c r="AD4" i="17"/>
  <c r="AE4" i="17" s="1"/>
  <c r="AG4" i="17" s="1"/>
  <c r="AH4" i="17" s="1"/>
  <c r="AJ4" i="17" s="1"/>
  <c r="AL4" i="17" s="1"/>
  <c r="AD6" i="17"/>
  <c r="AE6" i="17" s="1"/>
  <c r="AG6" i="17" s="1"/>
  <c r="AH6" i="17" s="1"/>
  <c r="AJ6" i="17" s="1"/>
  <c r="AL6" i="17" s="1"/>
  <c r="AS10" i="28"/>
  <c r="S14" i="28"/>
  <c r="S15" i="28" s="1"/>
  <c r="AS3" i="28"/>
  <c r="AS4" i="28"/>
  <c r="AZ4" i="28"/>
  <c r="AS5" i="28"/>
  <c r="AX5" i="28" s="1"/>
  <c r="BC5" i="28" s="1"/>
  <c r="AS6" i="28"/>
  <c r="AW6" i="28" s="1"/>
  <c r="AZ6" i="28"/>
  <c r="AS7" i="28"/>
  <c r="AS9" i="28"/>
  <c r="AZ9" i="28"/>
  <c r="AT11" i="28"/>
  <c r="AT12" i="28"/>
  <c r="AD10" i="17"/>
  <c r="AE10" i="17" s="1"/>
  <c r="AG10" i="17" s="1"/>
  <c r="AH10" i="17" s="1"/>
  <c r="AJ10" i="17" s="1"/>
  <c r="AL10" i="17" s="1"/>
  <c r="P14" i="28"/>
  <c r="P15" i="28" s="1"/>
  <c r="AU14" i="28"/>
  <c r="AU15" i="28" s="1"/>
  <c r="AI14" i="28"/>
  <c r="AI15" i="28" s="1"/>
  <c r="AZ8" i="28"/>
  <c r="N14" i="28"/>
  <c r="N15" i="28" s="1"/>
  <c r="X14" i="28"/>
  <c r="X15" i="28" s="1"/>
  <c r="AK14" i="28"/>
  <c r="AK15" i="28" s="1"/>
  <c r="AF14" i="28"/>
  <c r="AF15" i="28" s="1"/>
  <c r="U14" i="28"/>
  <c r="U15" i="28" s="1"/>
  <c r="AC14" i="28"/>
  <c r="AC15" i="28" s="1"/>
  <c r="AW3" i="28" l="1"/>
  <c r="AX8" i="28"/>
  <c r="BC8" i="28" s="1"/>
  <c r="AW11" i="28"/>
  <c r="AX11" i="28"/>
  <c r="BC11" i="28" s="1"/>
  <c r="AX10" i="28"/>
  <c r="BC10" i="28" s="1"/>
  <c r="AW7" i="28"/>
  <c r="AS14" i="28"/>
  <c r="AS15" i="28" s="1"/>
  <c r="AT14" i="28"/>
  <c r="AT15" i="28" s="1"/>
  <c r="AX9" i="28"/>
  <c r="BC9" i="28" s="1"/>
  <c r="AX4" i="28"/>
  <c r="BC4" i="28" s="1"/>
  <c r="AX7" i="28"/>
  <c r="BC7" i="28" s="1"/>
  <c r="AX12" i="28"/>
  <c r="BC12" i="28" s="1"/>
  <c r="AW10" i="28"/>
  <c r="AW12" i="28"/>
  <c r="AW5" i="28"/>
  <c r="AW9" i="28"/>
  <c r="AX6" i="28"/>
  <c r="BC6" i="28" s="1"/>
  <c r="AX3" i="28"/>
  <c r="BC3" i="28" s="1"/>
  <c r="AV14" i="28"/>
  <c r="AV15" i="28" s="1"/>
  <c r="AZ14" i="28"/>
  <c r="AZ15" i="28" s="1"/>
  <c r="G20" i="26" s="1"/>
  <c r="AX14" i="28" l="1"/>
  <c r="AX15" i="28" s="1"/>
  <c r="G19" i="26" s="1"/>
  <c r="AW14" i="28"/>
  <c r="AW15" i="28" s="1"/>
  <c r="BC14" i="28"/>
  <c r="BC15" i="28" s="1"/>
  <c r="E19" i="17" l="1"/>
  <c r="E20" i="16"/>
  <c r="E15" i="20"/>
  <c r="AF11" i="17" l="1"/>
  <c r="T9" i="17"/>
  <c r="U8" i="17"/>
  <c r="U7" i="17"/>
  <c r="U11" i="17"/>
  <c r="AC9" i="17"/>
  <c r="S9" i="17"/>
  <c r="T8" i="17"/>
  <c r="T7" i="17"/>
  <c r="T11" i="17"/>
  <c r="AF9" i="17"/>
  <c r="AC8" i="17"/>
  <c r="S8" i="17"/>
  <c r="AC7" i="17"/>
  <c r="S7" i="17"/>
  <c r="AC11" i="17"/>
  <c r="S11" i="17"/>
  <c r="U9" i="17"/>
  <c r="AF8" i="17"/>
  <c r="AF7" i="17"/>
  <c r="AD11" i="17" l="1"/>
  <c r="AE11" i="17" s="1"/>
  <c r="AG11" i="17" s="1"/>
  <c r="AH11" i="17" s="1"/>
  <c r="AJ11" i="17" s="1"/>
  <c r="AL11" i="17" s="1"/>
  <c r="T13" i="17"/>
  <c r="AD8" i="17"/>
  <c r="AE8" i="17" s="1"/>
  <c r="AG8" i="17" s="1"/>
  <c r="AH8" i="17" s="1"/>
  <c r="AJ8" i="17" s="1"/>
  <c r="AL8" i="17" s="1"/>
  <c r="AD7" i="17"/>
  <c r="S13" i="17"/>
  <c r="AD9" i="17"/>
  <c r="AE9" i="17" s="1"/>
  <c r="AG9" i="17" s="1"/>
  <c r="AH9" i="17" s="1"/>
  <c r="AJ9" i="17" s="1"/>
  <c r="AL9" i="17" s="1"/>
  <c r="AC13" i="17"/>
  <c r="AF13" i="17"/>
  <c r="U13" i="17"/>
  <c r="AE7" i="17" l="1"/>
  <c r="AD13" i="17"/>
  <c r="AG7" i="17" l="1"/>
  <c r="AE13" i="17"/>
  <c r="AH7" i="17" l="1"/>
  <c r="AG13" i="17"/>
  <c r="C18" i="17" s="1"/>
  <c r="AJ7" i="17" l="1"/>
  <c r="AH13" i="17"/>
  <c r="AL7" i="17" l="1"/>
  <c r="AL13" i="17" s="1"/>
  <c r="AJ13" i="17"/>
  <c r="B18" i="17" s="1"/>
  <c r="E18" i="17" s="1"/>
  <c r="AC7" i="18" l="1"/>
  <c r="AC7" i="19" s="1"/>
  <c r="AC7" i="20" s="1"/>
  <c r="AC6" i="21" s="1"/>
  <c r="AC6" i="22" s="1"/>
  <c r="AC6" i="23" s="1"/>
  <c r="AC7" i="24" s="1"/>
  <c r="AC7" i="25" s="1"/>
  <c r="T7" i="18"/>
  <c r="T7" i="19" s="1"/>
  <c r="T7" i="20" s="1"/>
  <c r="T6" i="21" s="1"/>
  <c r="T6" i="22" s="1"/>
  <c r="T6" i="23" s="1"/>
  <c r="T7" i="24" s="1"/>
  <c r="T7" i="25" s="1"/>
  <c r="U7" i="18"/>
  <c r="U7" i="19" s="1"/>
  <c r="U7" i="20" s="1"/>
  <c r="U6" i="21" s="1"/>
  <c r="U6" i="22" s="1"/>
  <c r="U6" i="23" s="1"/>
  <c r="U7" i="24" s="1"/>
  <c r="U7" i="25" s="1"/>
  <c r="S7" i="18"/>
  <c r="AF7" i="18"/>
  <c r="AC6" i="18"/>
  <c r="AC6" i="19" s="1"/>
  <c r="AC6" i="20" s="1"/>
  <c r="AC5" i="21" s="1"/>
  <c r="AC5" i="22" s="1"/>
  <c r="AC5" i="23" s="1"/>
  <c r="AC5" i="24" s="1"/>
  <c r="AC5" i="25" s="1"/>
  <c r="U6" i="18"/>
  <c r="U6" i="19" s="1"/>
  <c r="U6" i="20" s="1"/>
  <c r="U5" i="21" s="1"/>
  <c r="U5" i="22" s="1"/>
  <c r="U5" i="23" s="1"/>
  <c r="U5" i="24" s="1"/>
  <c r="U5" i="25" s="1"/>
  <c r="S6" i="18"/>
  <c r="T6" i="18"/>
  <c r="T6" i="19" s="1"/>
  <c r="T6" i="20" s="1"/>
  <c r="T5" i="21" s="1"/>
  <c r="T5" i="22" s="1"/>
  <c r="T5" i="23" s="1"/>
  <c r="T5" i="24" s="1"/>
  <c r="T5" i="25" s="1"/>
  <c r="AF6" i="18"/>
  <c r="S4" i="18"/>
  <c r="U4" i="18"/>
  <c r="U4" i="19" s="1"/>
  <c r="AC4" i="18"/>
  <c r="AC4" i="19" s="1"/>
  <c r="AC4" i="20" s="1"/>
  <c r="AC4" i="21" s="1"/>
  <c r="AC4" i="22" s="1"/>
  <c r="AC4" i="23" s="1"/>
  <c r="AC4" i="24" s="1"/>
  <c r="AC4" i="25" s="1"/>
  <c r="T4" i="18"/>
  <c r="T4" i="19" s="1"/>
  <c r="T4" i="20" s="1"/>
  <c r="T4" i="21" s="1"/>
  <c r="T4" i="22" s="1"/>
  <c r="T4" i="23" s="1"/>
  <c r="T4" i="24" s="1"/>
  <c r="T4" i="25" s="1"/>
  <c r="AF4" i="18"/>
  <c r="U5" i="18"/>
  <c r="G18" i="26"/>
  <c r="G21" i="26" s="1"/>
  <c r="G24" i="26" s="1"/>
  <c r="AC5" i="18"/>
  <c r="S5" i="18"/>
  <c r="AF5" i="18"/>
  <c r="T5" i="18"/>
  <c r="S7" i="19" l="1"/>
  <c r="AD7" i="18"/>
  <c r="AE7" i="18" s="1"/>
  <c r="AG7" i="18" s="1"/>
  <c r="AH7" i="18" s="1"/>
  <c r="AJ7" i="18" s="1"/>
  <c r="AL7" i="18" s="1"/>
  <c r="AF7" i="19"/>
  <c r="S6" i="19"/>
  <c r="AD6" i="18"/>
  <c r="AE6" i="18" s="1"/>
  <c r="AG6" i="18" s="1"/>
  <c r="AH6" i="18" s="1"/>
  <c r="AJ6" i="18" s="1"/>
  <c r="AL6" i="18" s="1"/>
  <c r="AF6" i="19"/>
  <c r="U4" i="20"/>
  <c r="S4" i="19"/>
  <c r="S4" i="20" s="1"/>
  <c r="S4" i="21" s="1"/>
  <c r="AD4" i="18"/>
  <c r="AE4" i="18" s="1"/>
  <c r="AG4" i="18" s="1"/>
  <c r="S5" i="19"/>
  <c r="AD5" i="18"/>
  <c r="S8" i="18"/>
  <c r="AC5" i="19"/>
  <c r="AC8" i="18"/>
  <c r="T5" i="19"/>
  <c r="T8" i="18"/>
  <c r="G25" i="26"/>
  <c r="E9" i="26"/>
  <c r="D10" i="26"/>
  <c r="E8" i="26" s="1"/>
  <c r="AF8" i="18"/>
  <c r="U5" i="19"/>
  <c r="U8" i="18"/>
  <c r="S7" i="20" l="1"/>
  <c r="AD7" i="19"/>
  <c r="AE7" i="19" s="1"/>
  <c r="AG7" i="19" s="1"/>
  <c r="AH7" i="19" s="1"/>
  <c r="AJ7" i="19" s="1"/>
  <c r="AL7" i="19" s="1"/>
  <c r="AD6" i="19"/>
  <c r="AE6" i="19" s="1"/>
  <c r="AG6" i="19" s="1"/>
  <c r="S6" i="20"/>
  <c r="AD4" i="20"/>
  <c r="AE4" i="20" s="1"/>
  <c r="U4" i="21"/>
  <c r="U4" i="22" s="1"/>
  <c r="AF4" i="19"/>
  <c r="AH4" i="18"/>
  <c r="AJ4" i="18" s="1"/>
  <c r="AL4" i="18" s="1"/>
  <c r="S4" i="22"/>
  <c r="S4" i="23" s="1"/>
  <c r="AD4" i="19"/>
  <c r="AE4" i="19" s="1"/>
  <c r="AG4" i="19" s="1"/>
  <c r="U5" i="20"/>
  <c r="U8" i="19"/>
  <c r="AE5" i="18"/>
  <c r="AD8" i="18"/>
  <c r="T5" i="20"/>
  <c r="T8" i="19"/>
  <c r="AC5" i="20"/>
  <c r="AC8" i="19"/>
  <c r="AD5" i="19"/>
  <c r="S5" i="20"/>
  <c r="S8" i="19"/>
  <c r="AD4" i="21" l="1"/>
  <c r="AE4" i="21" s="1"/>
  <c r="S6" i="21"/>
  <c r="AD7" i="20"/>
  <c r="AE7" i="20" s="1"/>
  <c r="AG7" i="20" s="1"/>
  <c r="AH7" i="20" s="1"/>
  <c r="AJ7" i="20" s="1"/>
  <c r="AL7" i="20" s="1"/>
  <c r="AF7" i="20"/>
  <c r="AH6" i="19"/>
  <c r="AJ6" i="19" s="1"/>
  <c r="AL6" i="19" s="1"/>
  <c r="AF6" i="20"/>
  <c r="S5" i="21"/>
  <c r="AD6" i="20"/>
  <c r="AE6" i="20" s="1"/>
  <c r="AD4" i="22"/>
  <c r="AE4" i="22" s="1"/>
  <c r="U4" i="23"/>
  <c r="U4" i="24" s="1"/>
  <c r="AF4" i="20"/>
  <c r="AG4" i="20" s="1"/>
  <c r="AH4" i="19"/>
  <c r="AJ4" i="19" s="1"/>
  <c r="AL4" i="19" s="1"/>
  <c r="S4" i="24"/>
  <c r="S4" i="25" s="1"/>
  <c r="AG5" i="18"/>
  <c r="AE8" i="18"/>
  <c r="AD5" i="20"/>
  <c r="AE5" i="19"/>
  <c r="AD8" i="19"/>
  <c r="AF6" i="21" l="1"/>
  <c r="AD6" i="21"/>
  <c r="AE6" i="21" s="1"/>
  <c r="S6" i="22"/>
  <c r="AD5" i="21"/>
  <c r="AE5" i="21" s="1"/>
  <c r="S5" i="22"/>
  <c r="AD4" i="23"/>
  <c r="AE4" i="23" s="1"/>
  <c r="AG6" i="20"/>
  <c r="AH6" i="20" s="1"/>
  <c r="AJ6" i="20" s="1"/>
  <c r="AL6" i="20" s="1"/>
  <c r="AD4" i="24"/>
  <c r="AE4" i="24" s="1"/>
  <c r="U4" i="25"/>
  <c r="AD4" i="25" s="1"/>
  <c r="AE4" i="25" s="1"/>
  <c r="AF4" i="21"/>
  <c r="AG4" i="21" s="1"/>
  <c r="AH4" i="20"/>
  <c r="AJ4" i="20" s="1"/>
  <c r="AL4" i="20" s="1"/>
  <c r="AE8" i="19"/>
  <c r="AH5" i="18"/>
  <c r="AG8" i="18"/>
  <c r="C13" i="18" s="1"/>
  <c r="AF5" i="19"/>
  <c r="AE5" i="20"/>
  <c r="AF5" i="21" l="1"/>
  <c r="AF5" i="22" s="1"/>
  <c r="AD6" i="22"/>
  <c r="AE6" i="22" s="1"/>
  <c r="S6" i="23"/>
  <c r="AG6" i="21"/>
  <c r="AH6" i="21" s="1"/>
  <c r="AJ6" i="21" s="1"/>
  <c r="AL6" i="21" s="1"/>
  <c r="AF6" i="22"/>
  <c r="S5" i="23"/>
  <c r="AD5" i="22"/>
  <c r="AE5" i="22" s="1"/>
  <c r="AG5" i="21"/>
  <c r="AH5" i="21" s="1"/>
  <c r="AJ5" i="21" s="1"/>
  <c r="AL5" i="21" s="1"/>
  <c r="AF4" i="22"/>
  <c r="AG4" i="22" s="1"/>
  <c r="AH4" i="21"/>
  <c r="AJ4" i="21" s="1"/>
  <c r="AL4" i="21" s="1"/>
  <c r="AJ5" i="18"/>
  <c r="AH8" i="18"/>
  <c r="AF8" i="19"/>
  <c r="AG5" i="19"/>
  <c r="AF5" i="20" s="1"/>
  <c r="S7" i="24" l="1"/>
  <c r="AD6" i="23"/>
  <c r="AE6" i="23" s="1"/>
  <c r="AG6" i="22"/>
  <c r="AH6" i="22" s="1"/>
  <c r="AJ6" i="22" s="1"/>
  <c r="AL6" i="22" s="1"/>
  <c r="AG5" i="22"/>
  <c r="AH5" i="22" s="1"/>
  <c r="AJ5" i="22" s="1"/>
  <c r="AL5" i="22" s="1"/>
  <c r="AF5" i="23"/>
  <c r="S5" i="24"/>
  <c r="AD5" i="23"/>
  <c r="AE5" i="23" s="1"/>
  <c r="AF4" i="23"/>
  <c r="AG4" i="23" s="1"/>
  <c r="AH4" i="22"/>
  <c r="AJ4" i="22" s="1"/>
  <c r="AL4" i="22" s="1"/>
  <c r="AL5" i="18"/>
  <c r="AL8" i="18" s="1"/>
  <c r="AJ8" i="18"/>
  <c r="B13" i="18" s="1"/>
  <c r="E13" i="18" s="1"/>
  <c r="AH5" i="19"/>
  <c r="AG8" i="19"/>
  <c r="C13" i="19" s="1"/>
  <c r="AG5" i="20"/>
  <c r="AF6" i="23" l="1"/>
  <c r="S7" i="25"/>
  <c r="AD7" i="25" s="1"/>
  <c r="AE7" i="25" s="1"/>
  <c r="AD7" i="24"/>
  <c r="AE7" i="24" s="1"/>
  <c r="S5" i="25"/>
  <c r="AD5" i="25" s="1"/>
  <c r="AE5" i="25" s="1"/>
  <c r="AD5" i="24"/>
  <c r="AE5" i="24" s="1"/>
  <c r="AG5" i="23"/>
  <c r="AH5" i="23" s="1"/>
  <c r="AJ5" i="23" s="1"/>
  <c r="AL5" i="23" s="1"/>
  <c r="AF4" i="24"/>
  <c r="AG4" i="24" s="1"/>
  <c r="AH4" i="23"/>
  <c r="AJ4" i="23" s="1"/>
  <c r="AL4" i="23" s="1"/>
  <c r="AH5" i="20"/>
  <c r="AJ5" i="19"/>
  <c r="AH8" i="19"/>
  <c r="AG6" i="23" l="1"/>
  <c r="AH6" i="23" s="1"/>
  <c r="AJ6" i="23" s="1"/>
  <c r="AL6" i="23" s="1"/>
  <c r="AF7" i="24"/>
  <c r="AF5" i="24"/>
  <c r="AF4" i="25"/>
  <c r="AG4" i="25" s="1"/>
  <c r="AH4" i="25" s="1"/>
  <c r="AJ4" i="25" s="1"/>
  <c r="AL4" i="25" s="1"/>
  <c r="AH4" i="24"/>
  <c r="AJ4" i="24" s="1"/>
  <c r="AL4" i="24" s="1"/>
  <c r="AL5" i="19"/>
  <c r="AL8" i="19" s="1"/>
  <c r="AJ8" i="19"/>
  <c r="B13" i="19" s="1"/>
  <c r="E13" i="19" s="1"/>
  <c r="AJ5" i="20"/>
  <c r="AF7" i="25" l="1"/>
  <c r="AG7" i="25" s="1"/>
  <c r="AH7" i="25" s="1"/>
  <c r="AJ7" i="25" s="1"/>
  <c r="AL7" i="25" s="1"/>
  <c r="AG7" i="24"/>
  <c r="AH7" i="24" s="1"/>
  <c r="AJ7" i="24" s="1"/>
  <c r="AL7" i="24" s="1"/>
  <c r="AG5" i="24"/>
  <c r="AH5" i="24" s="1"/>
  <c r="AJ5" i="24" s="1"/>
  <c r="AL5" i="24" s="1"/>
  <c r="AL5" i="20"/>
  <c r="AF8" i="20"/>
  <c r="U8" i="20"/>
  <c r="AC8" i="20"/>
  <c r="S8" i="20"/>
  <c r="T8" i="20"/>
  <c r="AF5" i="25" l="1"/>
  <c r="AG5" i="25" s="1"/>
  <c r="AH5" i="25" s="1"/>
  <c r="AJ5" i="25" s="1"/>
  <c r="AL5" i="25" s="1"/>
  <c r="U7" i="21"/>
  <c r="U9" i="20"/>
  <c r="T7" i="21"/>
  <c r="T9" i="20"/>
  <c r="S7" i="21"/>
  <c r="AD8" i="20"/>
  <c r="S9" i="20"/>
  <c r="AF9" i="20"/>
  <c r="AC7" i="21"/>
  <c r="AC9" i="20"/>
  <c r="T7" i="22" l="1"/>
  <c r="T8" i="21"/>
  <c r="AC7" i="22"/>
  <c r="AC8" i="21"/>
  <c r="AE8" i="20"/>
  <c r="AD9" i="20"/>
  <c r="AD7" i="21"/>
  <c r="S7" i="22"/>
  <c r="S8" i="21"/>
  <c r="U7" i="22"/>
  <c r="U8" i="21"/>
  <c r="AE7" i="21" l="1"/>
  <c r="AD8" i="21"/>
  <c r="S7" i="23"/>
  <c r="AD7" i="22"/>
  <c r="S8" i="22"/>
  <c r="AC7" i="23"/>
  <c r="AC8" i="22"/>
  <c r="U7" i="23"/>
  <c r="U8" i="22"/>
  <c r="AG8" i="20"/>
  <c r="AE9" i="20"/>
  <c r="T7" i="23"/>
  <c r="T8" i="22"/>
  <c r="T6" i="24" l="1"/>
  <c r="T8" i="23"/>
  <c r="U6" i="24"/>
  <c r="U8" i="23"/>
  <c r="AE7" i="22"/>
  <c r="AD8" i="22"/>
  <c r="AC6" i="24"/>
  <c r="AC8" i="23"/>
  <c r="S6" i="24"/>
  <c r="AD7" i="23"/>
  <c r="S8" i="23"/>
  <c r="AH8" i="20"/>
  <c r="AG9" i="20"/>
  <c r="C14" i="20" s="1"/>
  <c r="AF7" i="21"/>
  <c r="AG7" i="21" s="1"/>
  <c r="AE8" i="21"/>
  <c r="U6" i="25" l="1"/>
  <c r="AE8" i="22"/>
  <c r="AJ8" i="20"/>
  <c r="AH9" i="20"/>
  <c r="AH7" i="21"/>
  <c r="AG8" i="21"/>
  <c r="C13" i="21" s="1"/>
  <c r="AF7" i="22"/>
  <c r="AF8" i="21"/>
  <c r="AE7" i="23"/>
  <c r="AD8" i="23"/>
  <c r="AC6" i="25"/>
  <c r="S6" i="25"/>
  <c r="AD6" i="24"/>
  <c r="T6" i="25"/>
  <c r="AF8" i="22" l="1"/>
  <c r="AL8" i="20"/>
  <c r="AL9" i="20" s="1"/>
  <c r="AJ9" i="20"/>
  <c r="B14" i="20" s="1"/>
  <c r="E14" i="20" s="1"/>
  <c r="AE6" i="24"/>
  <c r="AE8" i="23"/>
  <c r="AJ7" i="21"/>
  <c r="AH8" i="21"/>
  <c r="AG7" i="22"/>
  <c r="AF7" i="23" s="1"/>
  <c r="AG7" i="23" s="1"/>
  <c r="AD6" i="25"/>
  <c r="AH7" i="23" l="1"/>
  <c r="AG8" i="23"/>
  <c r="C13" i="23" s="1"/>
  <c r="AE6" i="25"/>
  <c r="AL7" i="21"/>
  <c r="AL8" i="21" s="1"/>
  <c r="AJ8" i="21"/>
  <c r="B13" i="21" s="1"/>
  <c r="E13" i="21" s="1"/>
  <c r="AH7" i="22"/>
  <c r="AG8" i="22"/>
  <c r="C13" i="22" s="1"/>
  <c r="AF6" i="24"/>
  <c r="AF8" i="23"/>
  <c r="AF6" i="25" l="1"/>
  <c r="AG6" i="25" s="1"/>
  <c r="AJ7" i="22"/>
  <c r="AH8" i="22"/>
  <c r="AG6" i="24"/>
  <c r="AJ7" i="23"/>
  <c r="AH8" i="23"/>
  <c r="AH6" i="25" l="1"/>
  <c r="AH6" i="24"/>
  <c r="AL7" i="23"/>
  <c r="AL8" i="23" s="1"/>
  <c r="AJ8" i="23"/>
  <c r="B13" i="23" s="1"/>
  <c r="E13" i="23" s="1"/>
  <c r="AL7" i="22"/>
  <c r="AL8" i="22" s="1"/>
  <c r="AJ8" i="22"/>
  <c r="B13" i="22" s="1"/>
  <c r="E13" i="22" s="1"/>
  <c r="AJ6" i="24" l="1"/>
  <c r="T8" i="24"/>
  <c r="AC8" i="24"/>
  <c r="S8" i="24"/>
  <c r="AF8" i="24"/>
  <c r="U8" i="24"/>
  <c r="AJ6" i="25"/>
  <c r="AL6" i="25" l="1"/>
  <c r="AC8" i="25"/>
  <c r="AC9" i="25" s="1"/>
  <c r="AC9" i="24"/>
  <c r="U8" i="25"/>
  <c r="U9" i="25" s="1"/>
  <c r="U9" i="24"/>
  <c r="T8" i="25"/>
  <c r="T9" i="25" s="1"/>
  <c r="T9" i="24"/>
  <c r="AF9" i="24"/>
  <c r="AD8" i="24"/>
  <c r="S8" i="25"/>
  <c r="S9" i="24"/>
  <c r="AL6" i="24"/>
  <c r="AE8" i="24" l="1"/>
  <c r="AD9" i="24"/>
  <c r="AD8" i="25"/>
  <c r="S9" i="25"/>
  <c r="AE8" i="25" l="1"/>
  <c r="AD9" i="25"/>
  <c r="AG8" i="24"/>
  <c r="AE9" i="24"/>
  <c r="AH8" i="24" l="1"/>
  <c r="AG9" i="24"/>
  <c r="C14" i="24" s="1"/>
  <c r="AF8" i="25"/>
  <c r="AF9" i="25" s="1"/>
  <c r="AE9" i="25"/>
  <c r="AG8" i="25" l="1"/>
  <c r="AJ8" i="24"/>
  <c r="AH9" i="24"/>
  <c r="AL8" i="24" l="1"/>
  <c r="AL9" i="24" s="1"/>
  <c r="AJ9" i="24"/>
  <c r="B14" i="24" s="1"/>
  <c r="E14" i="24" s="1"/>
  <c r="AH8" i="25"/>
  <c r="AG9" i="25"/>
  <c r="C14" i="25" s="1"/>
  <c r="AJ8" i="25" l="1"/>
  <c r="AH9" i="25"/>
  <c r="AL8" i="25" l="1"/>
  <c r="AL9" i="25" s="1"/>
  <c r="AJ9" i="25"/>
  <c r="B14" i="25" s="1"/>
  <c r="E14" i="25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family val="3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
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7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<sst xmlns="http://schemas.openxmlformats.org/spreadsheetml/2006/main" count="1689" uniqueCount="272">
  <si>
    <t>付款通知书</t>
  </si>
  <si>
    <t>尊敬的客户：北京创联致信科技有限公司</t>
  </si>
  <si>
    <t>根据贵公司与我公司所签订的服务协议，请贵公司在2022年4月6日之前按照下列表格内容支付相关款项.</t>
  </si>
  <si>
    <t>本 期 应 付 款 汇 总 结 算 明 细</t>
  </si>
  <si>
    <t>汇款信息：</t>
  </si>
  <si>
    <t>本期应付款合计（小写）：</t>
  </si>
  <si>
    <t>本期应付款合计（大写）：</t>
  </si>
  <si>
    <t>本期款项合计：</t>
  </si>
  <si>
    <t>尾数调整：</t>
  </si>
  <si>
    <t>预收款(+)：</t>
  </si>
  <si>
    <r>
      <rPr>
        <sz val="10"/>
        <color indexed="8"/>
        <rFont val="宋体"/>
        <family val="3"/>
        <charset val="134"/>
      </rPr>
      <t>工资保证金</t>
    </r>
    <r>
      <rPr>
        <sz val="10"/>
        <color indexed="8"/>
        <rFont val="宋体"/>
        <family val="3"/>
        <charset val="134"/>
      </rPr>
      <t>(+)</t>
    </r>
    <r>
      <rPr>
        <sz val="10"/>
        <color indexed="8"/>
        <rFont val="宋体"/>
        <family val="3"/>
        <charset val="134"/>
      </rPr>
      <t>：</t>
    </r>
  </si>
  <si>
    <t>本期减免服务费(+)：</t>
  </si>
  <si>
    <r>
      <rPr>
        <sz val="10"/>
        <color indexed="8"/>
        <rFont val="宋体"/>
        <family val="3"/>
        <charset val="134"/>
      </rPr>
      <t>上期预收款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</si>
  <si>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r>
      <rPr>
        <sz val="10"/>
        <color indexed="8"/>
        <rFont val="宋体"/>
        <family val="3"/>
        <charset val="134"/>
      </rPr>
      <t>自划金额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</si>
  <si>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</si>
  <si>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</si>
  <si>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</si>
  <si>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</si>
  <si>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</si>
  <si>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</si>
  <si>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</si>
  <si>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</si>
  <si>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</si>
  <si>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</si>
  <si>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</si>
  <si>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</si>
  <si>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</si>
  <si>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</si>
  <si>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</si>
  <si>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</si>
  <si>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</si>
  <si>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</si>
  <si>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</si>
  <si>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</si>
  <si>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</si>
  <si>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</si>
  <si>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</si>
  <si>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</si>
  <si>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</si>
  <si>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</si>
  <si>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</si>
  <si>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</si>
  <si>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</si>
  <si>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</si>
  <si>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</si>
  <si>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</si>
  <si>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</si>
  <si>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</si>
  <si>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</si>
  <si>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</si>
  <si>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</si>
  <si>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</si>
  <si>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</si>
  <si>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</si>
  <si>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</si>
  <si>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</si>
  <si>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</si>
  <si>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</si>
  <si>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</si>
  <si>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</si>
  <si>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</si>
  <si>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</si>
  <si>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</si>
  <si>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</si>
  <si>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</si>
  <si>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</si>
  <si>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</si>
  <si>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</si>
  <si>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</si>
  <si>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</si>
  <si>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</si>
  <si>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</si>
  <si>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</si>
  <si>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</si>
  <si>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</si>
  <si>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</si>
  <si>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</si>
  <si>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</si>
  <si>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</si>
  <si>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</si>
  <si>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</si>
  <si>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</si>
  <si>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</si>
  <si>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</si>
  <si>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</si>
  <si>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</si>
  <si>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</si>
  <si>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</si>
  <si>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</si>
  <si>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</si>
  <si>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</si>
  <si>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</si>
  <si>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</si>
  <si>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</si>
  <si>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</si>
  <si>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</si>
  <si>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</si>
  <si>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</si>
  <si>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</si>
  <si>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</si>
  <si>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</si>
  <si>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</si>
  <si>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</si>
  <si>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</si>
  <si>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</si>
  <si>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</si>
  <si>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</si>
  <si>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</si>
  <si>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</si>
  <si>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</si>
  <si>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</si>
  <si>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</si>
  <si>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</si>
  <si>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</si>
  <si>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</si>
  <si>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</si>
  <si>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</si>
  <si>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</si>
  <si>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</si>
  <si>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</si>
  <si>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</si>
  <si>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</si>
  <si>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</si>
  <si>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</si>
  <si>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</si>
  <si>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</si>
  <si>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</si>
  <si>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</si>
  <si>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</si>
  <si>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</si>
  <si>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</si>
  <si>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</si>
  <si>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</si>
  <si>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</si>
  <si>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</si>
  <si>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</si>
  <si>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</si>
  <si>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</si>
  <si>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</si>
  <si>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</si>
  <si>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</si>
  <si>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</si>
  <si>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</si>
  <si>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</si>
  <si>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身份证</t>
  </si>
  <si>
    <t>莫文太</t>
  </si>
  <si>
    <t>430822198211098211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</si>
  <si>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</si>
  <si>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</si>
  <si>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</si>
  <si>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</si>
  <si>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</si>
  <si>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</si>
  <si>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</si>
  <si>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</si>
  <si>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</si>
  <si>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</si>
  <si>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</si>
  <si>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</si>
  <si>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202204</t>
  </si>
  <si>
    <t>202201</t>
  </si>
  <si>
    <t>长沙</t>
  </si>
  <si>
    <t>谢锋明</t>
  </si>
  <si>
    <t>43022319780815051X</t>
  </si>
  <si>
    <t>梁敏霞</t>
  </si>
  <si>
    <t>440883199611084547</t>
  </si>
  <si>
    <t>郑州</t>
  </si>
  <si>
    <t>楚华锋</t>
  </si>
  <si>
    <t>410183199311189538</t>
  </si>
  <si>
    <t>202205</t>
  </si>
  <si>
    <t>张铭</t>
  </si>
  <si>
    <t>411402199905127632</t>
  </si>
  <si>
    <t>王明贤</t>
  </si>
  <si>
    <t>411322199302132416</t>
  </si>
  <si>
    <t>何仪华</t>
  </si>
  <si>
    <t>412726198606097916</t>
  </si>
  <si>
    <t>芮瑞</t>
  </si>
  <si>
    <t>411221198610113536</t>
  </si>
  <si>
    <t>姚远</t>
  </si>
  <si>
    <t>410102198812110135</t>
  </si>
  <si>
    <t>桑柳成</t>
  </si>
  <si>
    <t>410521199111257519</t>
  </si>
  <si>
    <t>男</t>
  </si>
  <si>
    <t>女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</si>
  <si>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</si>
  <si>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</si>
  <si>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</si>
  <si>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</si>
  <si>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</si>
  <si>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</si>
  <si>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</si>
  <si>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</si>
  <si>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</si>
  <si>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</si>
  <si>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</si>
  <si>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</si>
  <si>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</si>
  <si>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</si>
  <si>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</si>
  <si>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</si>
  <si>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</si>
  <si>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</si>
  <si>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</si>
  <si>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</si>
  <si>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</si>
  <si>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</si>
  <si>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</si>
  <si>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</si>
  <si>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</si>
  <si>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</si>
  <si>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</si>
  <si>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</si>
  <si>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</si>
  <si>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</si>
  <si>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</si>
  <si>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</si>
  <si>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</si>
  <si>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</si>
  <si>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</si>
  <si>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</si>
  <si>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</si>
  <si>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北京易才博普奥</t>
  </si>
  <si>
    <t>湖南长沙</t>
  </si>
  <si>
    <t>本地农村</t>
  </si>
  <si>
    <t>长春</t>
  </si>
  <si>
    <t>调入</t>
  </si>
  <si>
    <t>2021.05</t>
  </si>
  <si>
    <t>5%</t>
  </si>
  <si>
    <t>4000</t>
  </si>
  <si>
    <t>是</t>
  </si>
  <si>
    <t>减</t>
  </si>
  <si>
    <t>创联致信（上月工资上月社保账单费用）</t>
  </si>
  <si>
    <t>622848 0018992539579</t>
  </si>
  <si>
    <t>中国农业银行北京永丰路支行</t>
  </si>
  <si>
    <t>农行</t>
  </si>
  <si>
    <t>15537954009</t>
  </si>
  <si>
    <t>15713680881</t>
  </si>
  <si>
    <t>15938792012</t>
  </si>
  <si>
    <t>张明亮</t>
  </si>
  <si>
    <t>41042219910810183X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</si>
  <si>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</si>
  <si>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</si>
  <si>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</si>
  <si>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</si>
  <si>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</si>
  <si>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</si>
  <si>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</si>
  <si>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</si>
  <si>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</si>
  <si>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</si>
  <si>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</si>
  <si>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</si>
  <si>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</si>
  <si>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</si>
  <si>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</si>
  <si>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</si>
  <si>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</si>
  <si>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</si>
  <si>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</si>
  <si>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</si>
  <si>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</si>
  <si>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</si>
  <si>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</si>
  <si>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</si>
  <si>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</si>
  <si>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</si>
  <si>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</si>
  <si>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</si>
  <si>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</si>
  <si>
    <t>账户全称：北京易才博普奥管理顾问有限公司</t>
    <phoneticPr fontId="112" type="noConversion"/>
  </si>
  <si>
    <t>开户银行：中国工商银行股份有限公司北京商务中心区支行</t>
    <phoneticPr fontId="112" type="noConversion"/>
  </si>
  <si>
    <t>银行账号：0200080609200135470</t>
    <phoneticPr fontId="1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</si>
</sst>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7" formatCode="0.00_ "/>
    <numFmt numFmtId="179" formatCode="[DBNum2][$-804]General"/>
    <numFmt numFmtId="180" formatCode="0_);[Red]\(0\)"/>
    <numFmt numFmtId="181" formatCode="0.00_);\(0.00\)"/>
    <numFmt numFmtId="182" formatCode="[$-10432]yyyy/mm/dd;@"/>
    <numFmt numFmtId="183" formatCode="0.00_);[Red]\(0.00\)"/>
    <numFmt numFmtId="184" formatCode="#,##0_);[Red]\(#,##0\)"/>
    <numFmt numFmtId="185" formatCode="#,##0.00_);[Red]\(#,##0.00\)"/>
    <numFmt numFmtId="186" formatCode="0.00;[Red]0.00"/>
    <numFmt numFmtId="187" formatCode="General\ &quot;年&quot;"/>
    <numFmt numFmtId="188" formatCode="&quot;$&quot;0_ "/>
    <numFmt numFmtId="189" formatCode="&quot;$&quot;#,##0_ ;[Red]\-&quot;$&quot;#,##0_ "/>
  </numFmts>
  <fonts count="113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  <charset val="134"/>
    </font>
    <font>
      <b/>
      <sz val="12"/>
      <color rgb="FFFF0000"/>
      <name val="Arial Unicode MS"/>
      <family val="2"/>
      <charset val="134"/>
    </font>
    <font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Arial Unicode MS"/>
      <family val="2"/>
      <charset val="134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微软雅黑"/>
      <family val="2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.5"/>
      <color rgb="FF191F25"/>
      <name val="宋体"/>
      <family val="3"/>
      <charset val="134"/>
    </font>
    <font>
      <sz val="10"/>
      <color rgb="FF171A1D"/>
      <name val="Segoe UI"/>
      <family val="2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10"/>
      <color theme="1"/>
      <name val="宋体"/>
      <family val="3"/>
      <charset val="134"/>
      <scheme val="minor"/>
    </font>
    <font>
      <b/>
      <sz val="10"/>
      <color indexed="10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6"/>
      <name val="Arial"/>
      <family val="2"/>
    </font>
    <font>
      <sz val="6"/>
      <color indexed="8"/>
      <name val="Arial"/>
      <family val="2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family val="2"/>
    </font>
    <font>
      <sz val="9"/>
      <color rgb="FF191F25"/>
      <name val="Segoe UI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9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6"/>
      <color rgb="FFFF0000"/>
      <name val="Arial"/>
      <family val="2"/>
    </font>
    <font>
      <sz val="10"/>
      <color rgb="FFFF0000"/>
      <name val="SimSun"/>
      <charset val="134"/>
    </font>
    <font>
      <sz val="10.5"/>
      <color rgb="FFFF0000"/>
      <name val="宋体"/>
      <family val="3"/>
      <charset val="134"/>
    </font>
    <font>
      <sz val="9"/>
      <color rgb="FFFF0000"/>
      <name val="Segoe UI"/>
      <family val="2"/>
    </font>
    <font>
      <sz val="10"/>
      <color rgb="FFFF0000"/>
      <name val="宋体"/>
      <family val="3"/>
      <charset val="134"/>
      <scheme val="major"/>
    </font>
    <font>
      <sz val="9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Arial"/>
      <family val="2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family val="3"/>
      <charset val="134"/>
    </font>
    <font>
      <sz val="9"/>
      <color indexed="0"/>
      <name val="宋体-PUA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-PUA"/>
      <charset val="134"/>
    </font>
    <font>
      <b/>
      <sz val="12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family val="3"/>
      <charset val="134"/>
    </font>
    <font>
      <i/>
      <sz val="11"/>
      <color indexed="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Helv"/>
      <family val="2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Geneva"/>
      <family val="1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43">
    <xf numFmtId="0" fontId="0" fillId="0" borderId="0">
      <alignment vertical="center"/>
    </xf>
    <xf numFmtId="0" fontId="100" fillId="0" borderId="5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75" fillId="0" borderId="0">
      <alignment vertical="center"/>
    </xf>
    <xf numFmtId="0" fontId="92" fillId="15" borderId="49" applyNumberFormat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95" fillId="15" borderId="53" applyNumberFormat="0" applyAlignment="0" applyProtection="0">
      <alignment vertical="center"/>
    </xf>
    <xf numFmtId="0" fontId="89" fillId="0" borderId="0"/>
    <xf numFmtId="0" fontId="9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9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111" fillId="0" borderId="0">
      <alignment vertical="center"/>
    </xf>
    <xf numFmtId="0" fontId="90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2" fillId="0" borderId="0"/>
    <xf numFmtId="0" fontId="10" fillId="16" borderId="50" applyNumberFormat="0" applyFont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9" fillId="0" borderId="0">
      <alignment vertical="center"/>
    </xf>
    <xf numFmtId="0" fontId="10" fillId="16" borderId="50" applyNumberFormat="0" applyFont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89" fillId="0" borderId="0">
      <alignment vertical="center"/>
    </xf>
    <xf numFmtId="0" fontId="103" fillId="3" borderId="56" applyNumberFormat="0" applyAlignment="0" applyProtection="0">
      <alignment vertical="center"/>
    </xf>
    <xf numFmtId="0" fontId="89" fillId="0" borderId="0"/>
    <xf numFmtId="0" fontId="10" fillId="16" borderId="50" applyNumberFormat="0" applyFont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5" fillId="0" borderId="0"/>
    <xf numFmtId="0" fontId="92" fillId="15" borderId="49" applyNumberFormat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1" fillId="26" borderId="0" applyNumberFormat="0" applyBorder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5" fillId="0" borderId="0"/>
    <xf numFmtId="0" fontId="105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5" fillId="0" borderId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89" fillId="0" borderId="0">
      <alignment vertical="center"/>
    </xf>
    <xf numFmtId="0" fontId="75" fillId="0" borderId="0"/>
    <xf numFmtId="0" fontId="10" fillId="25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89" fillId="0" borderId="0"/>
    <xf numFmtId="0" fontId="10" fillId="0" borderId="0"/>
    <xf numFmtId="0" fontId="10" fillId="25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8" fillId="22" borderId="53" applyNumberFormat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1" fillId="0" borderId="0"/>
    <xf numFmtId="0" fontId="9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89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79" fontId="89" fillId="0" borderId="0"/>
    <xf numFmtId="0" fontId="95" fillId="15" borderId="5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3" fillId="3" borderId="56" applyNumberFormat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3" fillId="3" borderId="56" applyNumberFormat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8" fillId="22" borderId="53" applyNumberFormat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8" fillId="22" borderId="5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1" fillId="26" borderId="0" applyNumberFormat="0" applyBorder="0" applyAlignment="0" applyProtection="0">
      <alignment vertical="center"/>
    </xf>
    <xf numFmtId="0" fontId="95" fillId="15" borderId="5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1" fillId="26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0" borderId="0">
      <alignment vertical="center"/>
    </xf>
    <xf numFmtId="0" fontId="90" fillId="20" borderId="0" applyNumberFormat="0" applyBorder="0" applyAlignment="0" applyProtection="0">
      <alignment vertical="center"/>
    </xf>
    <xf numFmtId="0" fontId="111" fillId="0" borderId="0">
      <alignment vertical="center"/>
    </xf>
    <xf numFmtId="0" fontId="90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9" fillId="0" borderId="0">
      <alignment vertical="center"/>
    </xf>
    <xf numFmtId="0" fontId="90" fillId="20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89" fillId="0" borderId="0">
      <alignment vertical="center"/>
    </xf>
    <xf numFmtId="0" fontId="90" fillId="14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90" fillId="19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7" fontId="10" fillId="0" borderId="0">
      <alignment vertical="center"/>
    </xf>
    <xf numFmtId="0" fontId="104" fillId="27" borderId="0" applyNumberFormat="0" applyBorder="0" applyAlignment="0" applyProtection="0">
      <alignment vertical="center"/>
    </xf>
    <xf numFmtId="9" fontId="10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6" fillId="0" borderId="54" applyNumberFormat="0" applyFill="0" applyAlignment="0" applyProtection="0">
      <alignment vertical="center"/>
    </xf>
    <xf numFmtId="0" fontId="96" fillId="0" borderId="54" applyNumberFormat="0" applyFill="0" applyAlignment="0" applyProtection="0">
      <alignment vertical="center"/>
    </xf>
    <xf numFmtId="0" fontId="96" fillId="0" borderId="54" applyNumberFormat="0" applyFill="0" applyAlignment="0" applyProtection="0">
      <alignment vertical="center"/>
    </xf>
    <xf numFmtId="0" fontId="96" fillId="0" borderId="54" applyNumberFormat="0" applyFill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96" fillId="0" borderId="54" applyNumberFormat="0" applyFill="0" applyAlignment="0" applyProtection="0">
      <alignment vertical="center"/>
    </xf>
    <xf numFmtId="0" fontId="96" fillId="0" borderId="54" applyNumberFormat="0" applyFill="0" applyAlignment="0" applyProtection="0">
      <alignment vertical="center"/>
    </xf>
    <xf numFmtId="0" fontId="96" fillId="0" borderId="54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10" fillId="0" borderId="0">
      <alignment vertical="center"/>
    </xf>
    <xf numFmtId="0" fontId="94" fillId="0" borderId="52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93" fillId="0" borderId="51" applyNumberFormat="0" applyFill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93" fillId="0" borderId="51" applyNumberFormat="0" applyFill="0" applyAlignment="0" applyProtection="0">
      <alignment vertical="center"/>
    </xf>
    <xf numFmtId="0" fontId="93" fillId="0" borderId="51" applyNumberFormat="0" applyFill="0" applyAlignment="0" applyProtection="0">
      <alignment vertical="center"/>
    </xf>
    <xf numFmtId="0" fontId="93" fillId="0" borderId="51" applyNumberFormat="0" applyFill="0" applyAlignment="0" applyProtection="0">
      <alignment vertical="center"/>
    </xf>
    <xf numFmtId="0" fontId="99" fillId="0" borderId="0"/>
    <xf numFmtId="0" fontId="93" fillId="0" borderId="51" applyNumberFormat="0" applyFill="0" applyAlignment="0" applyProtection="0">
      <alignment vertical="center"/>
    </xf>
    <xf numFmtId="0" fontId="93" fillId="0" borderId="51" applyNumberFormat="0" applyFill="0" applyAlignment="0" applyProtection="0">
      <alignment vertical="center"/>
    </xf>
    <xf numFmtId="0" fontId="93" fillId="0" borderId="51" applyNumberFormat="0" applyFill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104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89" fillId="0" borderId="0">
      <alignment vertical="center"/>
    </xf>
    <xf numFmtId="0" fontId="10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90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7" fillId="0" borderId="0" applyNumberFormat="0" applyFill="0" applyBorder="0" applyProtection="0">
      <alignment vertical="top" wrapText="1"/>
    </xf>
    <xf numFmtId="0" fontId="7" fillId="0" borderId="0">
      <alignment vertical="center"/>
    </xf>
    <xf numFmtId="0" fontId="10" fillId="0" borderId="0"/>
    <xf numFmtId="0" fontId="10" fillId="0" borderId="0"/>
    <xf numFmtId="0" fontId="98" fillId="22" borderId="53" applyNumberFormat="0" applyAlignment="0" applyProtection="0">
      <alignment vertical="center"/>
    </xf>
    <xf numFmtId="0" fontId="7" fillId="0" borderId="0">
      <alignment vertical="center"/>
    </xf>
    <xf numFmtId="0" fontId="99" fillId="0" borderId="0"/>
    <xf numFmtId="0" fontId="98" fillId="22" borderId="53" applyNumberFormat="0" applyAlignment="0" applyProtection="0">
      <alignment vertical="center"/>
    </xf>
    <xf numFmtId="0" fontId="89" fillId="0" borderId="0">
      <alignment vertical="center"/>
    </xf>
    <xf numFmtId="0" fontId="18" fillId="0" borderId="0">
      <alignment vertical="center"/>
    </xf>
    <xf numFmtId="0" fontId="10" fillId="0" borderId="0"/>
    <xf numFmtId="0" fontId="98" fillId="22" borderId="53" applyNumberFormat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90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90" fillId="14" borderId="0" applyNumberFormat="0" applyBorder="0" applyAlignment="0" applyProtection="0">
      <alignment vertical="center"/>
    </xf>
    <xf numFmtId="0" fontId="10" fillId="0" borderId="0"/>
    <xf numFmtId="0" fontId="90" fillId="14" borderId="0" applyNumberFormat="0" applyBorder="0" applyAlignment="0" applyProtection="0">
      <alignment vertical="center"/>
    </xf>
    <xf numFmtId="0" fontId="89" fillId="0" borderId="0"/>
    <xf numFmtId="0" fontId="90" fillId="14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10" fillId="0" borderId="0">
      <alignment vertical="center"/>
    </xf>
    <xf numFmtId="0" fontId="101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1" fillId="0" borderId="0">
      <alignment vertical="center"/>
    </xf>
    <xf numFmtId="0" fontId="90" fillId="29" borderId="0" applyNumberFormat="0" applyBorder="0" applyAlignment="0" applyProtection="0">
      <alignment vertical="center"/>
    </xf>
    <xf numFmtId="0" fontId="111" fillId="0" borderId="0">
      <alignment vertical="center"/>
    </xf>
    <xf numFmtId="0" fontId="90" fillId="29" borderId="0" applyNumberFormat="0" applyBorder="0" applyAlignment="0" applyProtection="0">
      <alignment vertical="center"/>
    </xf>
    <xf numFmtId="0" fontId="111" fillId="0" borderId="0">
      <alignment vertical="center"/>
    </xf>
    <xf numFmtId="0" fontId="89" fillId="0" borderId="0"/>
    <xf numFmtId="0" fontId="89" fillId="0" borderId="0"/>
    <xf numFmtId="0" fontId="98" fillId="22" borderId="53" applyNumberFormat="0" applyAlignment="0" applyProtection="0">
      <alignment vertical="center"/>
    </xf>
    <xf numFmtId="0" fontId="10" fillId="0" borderId="0">
      <alignment vertical="center"/>
    </xf>
    <xf numFmtId="0" fontId="89" fillId="0" borderId="0"/>
    <xf numFmtId="0" fontId="90" fillId="33" borderId="0" applyNumberFormat="0" applyBorder="0" applyAlignment="0" applyProtection="0">
      <alignment vertical="center"/>
    </xf>
    <xf numFmtId="0" fontId="75" fillId="0" borderId="0">
      <alignment vertical="center"/>
    </xf>
    <xf numFmtId="0" fontId="111" fillId="0" borderId="0">
      <alignment vertical="center"/>
    </xf>
    <xf numFmtId="0" fontId="10" fillId="16" borderId="50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9" fillId="0" borderId="0"/>
    <xf numFmtId="0" fontId="105" fillId="28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105" fillId="28" borderId="0" applyNumberFormat="0" applyBorder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103" fillId="3" borderId="56" applyNumberFormat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75" fillId="0" borderId="0"/>
    <xf numFmtId="0" fontId="90" fillId="31" borderId="0" applyNumberFormat="0" applyBorder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103" fillId="3" borderId="56" applyNumberFormat="0" applyAlignment="0" applyProtection="0">
      <alignment vertical="center"/>
    </xf>
    <xf numFmtId="0" fontId="103" fillId="3" borderId="56" applyNumberFormat="0" applyAlignment="0" applyProtection="0">
      <alignment vertical="center"/>
    </xf>
    <xf numFmtId="0" fontId="103" fillId="3" borderId="56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0" fontId="90" fillId="24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8" fillId="22" borderId="53" applyNumberFormat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8" fillId="22" borderId="53" applyNumberFormat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101" fillId="26" borderId="0" applyNumberFormat="0" applyBorder="0" applyAlignment="0" applyProtection="0">
      <alignment vertical="center"/>
    </xf>
    <xf numFmtId="0" fontId="101" fillId="26" borderId="0" applyNumberFormat="0" applyBorder="0" applyAlignment="0" applyProtection="0">
      <alignment vertical="center"/>
    </xf>
    <xf numFmtId="0" fontId="101" fillId="26" borderId="0" applyNumberFormat="0" applyBorder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92" fillId="15" borderId="49" applyNumberFormat="0" applyAlignment="0" applyProtection="0">
      <alignment vertical="center"/>
    </xf>
    <xf numFmtId="0" fontId="102" fillId="0" borderId="0"/>
    <xf numFmtId="0" fontId="98" fillId="22" borderId="53" applyNumberFormat="0" applyAlignment="0" applyProtection="0">
      <alignment vertical="center"/>
    </xf>
    <xf numFmtId="0" fontId="102" fillId="0" borderId="0"/>
    <xf numFmtId="0" fontId="98" fillId="22" borderId="53" applyNumberFormat="0" applyAlignment="0" applyProtection="0">
      <alignment vertical="center"/>
    </xf>
    <xf numFmtId="0" fontId="98" fillId="22" borderId="53" applyNumberFormat="0" applyAlignment="0" applyProtection="0">
      <alignment vertical="center"/>
    </xf>
    <xf numFmtId="0" fontId="98" fillId="22" borderId="53" applyNumberFormat="0" applyAlignment="0" applyProtection="0">
      <alignment vertical="center"/>
    </xf>
    <xf numFmtId="0" fontId="98" fillId="22" borderId="53" applyNumberFormat="0" applyAlignment="0" applyProtection="0">
      <alignment vertical="center"/>
    </xf>
    <xf numFmtId="0" fontId="108" fillId="0" borderId="0"/>
    <xf numFmtId="0" fontId="75" fillId="0" borderId="0"/>
    <xf numFmtId="0" fontId="102" fillId="0" borderId="0"/>
    <xf numFmtId="0" fontId="102" fillId="0" borderId="0"/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10" fillId="16" borderId="50" applyNumberFormat="0" applyFont="0" applyAlignment="0" applyProtection="0">
      <alignment vertical="center"/>
    </xf>
    <xf numFmtId="0" fontId="89" fillId="0" borderId="0"/>
    <xf numFmtId="0" fontId="109" fillId="0" borderId="0" applyNumberFormat="0" applyFill="0" applyBorder="0" applyAlignment="0" applyProtection="0">
      <alignment vertical="center"/>
    </xf>
    <xf numFmtId="38" fontId="89" fillId="0" borderId="0" applyFont="0" applyFill="0" applyBorder="0" applyAlignment="0" applyProtection="0">
      <alignment vertical="center"/>
    </xf>
    <xf numFmtId="0" fontId="29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179" fontId="9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49" fontId="8" fillId="4" borderId="6" xfId="316" applyNumberFormat="1" applyFont="1" applyFill="1" applyBorder="1" applyAlignment="1" applyProtection="1">
      <alignment horizontal="center" vertical="center" wrapText="1"/>
    </xf>
    <xf numFmtId="9" fontId="7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261" applyBorder="1">
      <alignment vertical="center"/>
    </xf>
    <xf numFmtId="0" fontId="11" fillId="0" borderId="0" xfId="261" applyNumberFormat="1" applyFont="1" applyFill="1" applyBorder="1" applyAlignment="1" applyProtection="1">
      <alignment horizontal="center" vertical="center"/>
    </xf>
    <xf numFmtId="0" fontId="10" fillId="0" borderId="0" xfId="261" applyFill="1">
      <alignment vertical="center"/>
    </xf>
    <xf numFmtId="0" fontId="10" fillId="0" borderId="0" xfId="261" applyNumberFormat="1" applyFont="1" applyFill="1" applyBorder="1" applyAlignment="1" applyProtection="1">
      <alignment horizontal="center" vertical="center" shrinkToFit="1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0" xfId="261">
      <alignment vertical="center"/>
    </xf>
    <xf numFmtId="0" fontId="10" fillId="0" borderId="0" xfId="261" applyNumberFormat="1">
      <alignment vertical="center"/>
    </xf>
    <xf numFmtId="0" fontId="10" fillId="0" borderId="0" xfId="261" applyNumberFormat="1" applyAlignment="1">
      <alignment horizontal="center" vertical="center"/>
    </xf>
    <xf numFmtId="14" fontId="10" fillId="0" borderId="0" xfId="261" applyNumberFormat="1">
      <alignment vertical="center"/>
    </xf>
    <xf numFmtId="183" fontId="10" fillId="0" borderId="0" xfId="261" applyNumberFormat="1">
      <alignment vertical="center"/>
    </xf>
    <xf numFmtId="184" fontId="12" fillId="0" borderId="0" xfId="63" applyNumberFormat="1" applyFont="1" applyFill="1" applyBorder="1" applyAlignment="1" applyProtection="1">
      <alignment vertical="center"/>
    </xf>
    <xf numFmtId="184" fontId="13" fillId="0" borderId="0" xfId="63" applyNumberFormat="1" applyFont="1" applyFill="1" applyBorder="1" applyAlignment="1" applyProtection="1">
      <alignment vertical="center"/>
    </xf>
    <xf numFmtId="184" fontId="14" fillId="0" borderId="0" xfId="63" applyNumberFormat="1" applyFont="1" applyFill="1" applyBorder="1" applyAlignment="1" applyProtection="1">
      <alignment vertical="center"/>
    </xf>
    <xf numFmtId="184" fontId="14" fillId="0" borderId="0" xfId="63" applyNumberFormat="1" applyFont="1" applyFill="1" applyBorder="1" applyAlignment="1" applyProtection="1">
      <alignment horizontal="center" vertical="top"/>
    </xf>
    <xf numFmtId="0" fontId="10" fillId="0" borderId="0" xfId="261" applyNumberFormat="1" applyFont="1" applyFill="1" applyBorder="1" applyAlignment="1" applyProtection="1">
      <alignment horizontal="center" vertical="center"/>
    </xf>
    <xf numFmtId="0" fontId="10" fillId="0" borderId="0" xfId="261" applyNumberFormat="1" applyBorder="1" applyAlignment="1">
      <alignment horizontal="center" vertical="center"/>
    </xf>
    <xf numFmtId="184" fontId="7" fillId="0" borderId="10" xfId="261" applyNumberFormat="1" applyFont="1" applyFill="1" applyBorder="1" applyAlignment="1" applyProtection="1">
      <alignment horizontal="center" vertical="center"/>
    </xf>
    <xf numFmtId="0" fontId="18" fillId="0" borderId="6" xfId="261" applyFont="1" applyFill="1" applyBorder="1" applyAlignment="1">
      <alignment horizontal="center" vertical="center" wrapText="1"/>
    </xf>
    <xf numFmtId="49" fontId="19" fillId="7" borderId="11" xfId="261" applyNumberFormat="1" applyFont="1" applyFill="1" applyBorder="1" applyAlignment="1">
      <alignment horizontal="center" vertical="center" wrapText="1"/>
    </xf>
    <xf numFmtId="0" fontId="10" fillId="0" borderId="6" xfId="261" applyNumberFormat="1" applyFont="1" applyFill="1" applyBorder="1" applyAlignment="1">
      <alignment horizontal="center" vertical="center"/>
    </xf>
    <xf numFmtId="0" fontId="10" fillId="0" borderId="11" xfId="261" applyFill="1" applyBorder="1">
      <alignment vertical="center"/>
    </xf>
    <xf numFmtId="0" fontId="10" fillId="0" borderId="6" xfId="261" applyNumberFormat="1" applyFill="1" applyBorder="1" applyAlignment="1">
      <alignment horizontal="center" vertical="center"/>
    </xf>
    <xf numFmtId="184" fontId="7" fillId="7" borderId="10" xfId="261" applyNumberFormat="1" applyFont="1" applyFill="1" applyBorder="1" applyAlignment="1" applyProtection="1">
      <alignment horizontal="center" vertical="center" shrinkToFit="1"/>
    </xf>
    <xf numFmtId="184" fontId="20" fillId="7" borderId="6" xfId="261" applyNumberFormat="1" applyFont="1" applyFill="1" applyBorder="1" applyAlignment="1" applyProtection="1">
      <alignment horizontal="center" vertical="center" shrinkToFit="1"/>
    </xf>
    <xf numFmtId="184" fontId="20" fillId="7" borderId="6" xfId="261" applyNumberFormat="1" applyFont="1" applyFill="1" applyBorder="1" applyAlignment="1" applyProtection="1">
      <alignment horizontal="center" vertical="top" shrinkToFit="1"/>
    </xf>
    <xf numFmtId="0" fontId="19" fillId="7" borderId="6" xfId="261" applyNumberFormat="1" applyFont="1" applyFill="1" applyBorder="1" applyAlignment="1">
      <alignment horizontal="center" vertical="center" shrinkToFit="1"/>
    </xf>
    <xf numFmtId="0" fontId="10" fillId="7" borderId="6" xfId="261" applyNumberFormat="1" applyFont="1" applyFill="1" applyBorder="1" applyAlignment="1" applyProtection="1">
      <alignment horizontal="center" vertical="center" shrinkToFit="1"/>
    </xf>
    <xf numFmtId="0" fontId="10" fillId="7" borderId="6" xfId="261" applyNumberFormat="1" applyFill="1" applyBorder="1" applyAlignment="1">
      <alignment horizontal="center" vertical="center" shrinkToFit="1"/>
    </xf>
    <xf numFmtId="0" fontId="10" fillId="6" borderId="6" xfId="261" applyFont="1" applyFill="1" applyBorder="1" applyAlignment="1">
      <alignment horizontal="center" vertical="center"/>
    </xf>
    <xf numFmtId="183" fontId="10" fillId="7" borderId="6" xfId="261" applyNumberFormat="1" applyFont="1" applyFill="1" applyBorder="1" applyAlignment="1">
      <alignment horizontal="center" vertical="center"/>
    </xf>
    <xf numFmtId="185" fontId="10" fillId="0" borderId="0" xfId="261" applyNumberFormat="1" applyFont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185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5" fillId="0" borderId="0" xfId="261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Fill="1" applyBorder="1" applyAlignment="1" applyProtection="1">
      <alignment vertical="center"/>
    </xf>
    <xf numFmtId="14" fontId="10" fillId="0" borderId="0" xfId="261" applyNumberFormat="1" applyBorder="1">
      <alignment vertical="center"/>
    </xf>
    <xf numFmtId="184" fontId="14" fillId="0" borderId="0" xfId="63" applyNumberFormat="1" applyFont="1" applyFill="1" applyBorder="1" applyAlignment="1" applyProtection="1">
      <alignment horizontal="center" vertical="center"/>
    </xf>
    <xf numFmtId="0" fontId="16" fillId="6" borderId="6" xfId="354" applyNumberFormat="1" applyFont="1" applyFill="1" applyBorder="1" applyAlignment="1" applyProtection="1">
      <alignment horizontal="center" vertical="center" wrapText="1"/>
    </xf>
    <xf numFmtId="14" fontId="10" fillId="0" borderId="11" xfId="261" applyNumberFormat="1" applyFill="1" applyBorder="1">
      <alignment vertical="center"/>
    </xf>
    <xf numFmtId="177" fontId="7" fillId="0" borderId="6" xfId="261" applyNumberFormat="1" applyFont="1" applyFill="1" applyBorder="1" applyAlignment="1">
      <alignment vertical="center"/>
    </xf>
    <xf numFmtId="177" fontId="7" fillId="0" borderId="6" xfId="261" applyNumberFormat="1" applyFont="1" applyFill="1" applyBorder="1" applyAlignment="1">
      <alignment horizontal="center" vertical="center"/>
    </xf>
    <xf numFmtId="177" fontId="7" fillId="0" borderId="6" xfId="261" applyNumberFormat="1" applyFont="1" applyFill="1" applyBorder="1">
      <alignment vertical="center"/>
    </xf>
    <xf numFmtId="0" fontId="10" fillId="7" borderId="11" xfId="261" applyNumberFormat="1" applyFont="1" applyFill="1" applyBorder="1" applyAlignment="1" applyProtection="1">
      <alignment horizontal="center" vertical="center" shrinkToFit="1"/>
    </xf>
    <xf numFmtId="14" fontId="10" fillId="7" borderId="11" xfId="261" applyNumberFormat="1" applyFont="1" applyFill="1" applyBorder="1" applyAlignment="1" applyProtection="1">
      <alignment horizontal="center" vertical="center" shrinkToFit="1"/>
    </xf>
    <xf numFmtId="185" fontId="20" fillId="7" borderId="6" xfId="261" applyNumberFormat="1" applyFont="1" applyFill="1" applyBorder="1" applyAlignment="1" applyProtection="1">
      <alignment horizontal="center" vertical="center" shrinkToFit="1"/>
    </xf>
    <xf numFmtId="14" fontId="10" fillId="0" borderId="0" xfId="0" applyNumberFormat="1" applyFont="1" applyFill="1" applyBorder="1" applyAlignment="1" applyProtection="1">
      <alignment vertical="center"/>
    </xf>
    <xf numFmtId="180" fontId="10" fillId="0" borderId="0" xfId="0" applyNumberFormat="1" applyFont="1" applyFill="1" applyBorder="1" applyAlignment="1" applyProtection="1">
      <alignment vertical="center"/>
    </xf>
    <xf numFmtId="14" fontId="10" fillId="0" borderId="0" xfId="0" applyNumberFormat="1" applyFont="1" applyFill="1" applyBorder="1" applyAlignment="1" applyProtection="1">
      <alignment horizontal="left" vertical="center" wrapText="1"/>
    </xf>
    <xf numFmtId="18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14" fontId="10" fillId="0" borderId="0" xfId="0" applyNumberFormat="1" applyFont="1" applyFill="1" applyBorder="1" applyAlignment="1" applyProtection="1">
      <alignment vertical="center" wrapText="1"/>
    </xf>
    <xf numFmtId="180" fontId="10" fillId="0" borderId="0" xfId="0" applyNumberFormat="1" applyFont="1" applyFill="1" applyBorder="1" applyAlignment="1" applyProtection="1">
      <alignment vertical="center" wrapText="1"/>
    </xf>
    <xf numFmtId="14" fontId="24" fillId="0" borderId="0" xfId="0" applyNumberFormat="1" applyFont="1" applyFill="1" applyBorder="1" applyAlignment="1" applyProtection="1">
      <alignment vertical="center" wrapText="1"/>
    </xf>
    <xf numFmtId="177" fontId="0" fillId="0" borderId="0" xfId="261" applyNumberFormat="1" applyFont="1" applyFill="1" applyBorder="1" applyAlignment="1">
      <alignment horizontal="left" vertical="center"/>
    </xf>
    <xf numFmtId="0" fontId="17" fillId="6" borderId="6" xfId="354" applyNumberFormat="1" applyFont="1" applyFill="1" applyBorder="1" applyAlignment="1" applyProtection="1">
      <alignment horizontal="center" vertical="center" wrapText="1"/>
    </xf>
    <xf numFmtId="177" fontId="7" fillId="7" borderId="6" xfId="261" applyNumberFormat="1" applyFont="1" applyFill="1" applyBorder="1">
      <alignment vertical="center"/>
    </xf>
    <xf numFmtId="177" fontId="7" fillId="7" borderId="13" xfId="261" applyNumberFormat="1" applyFont="1" applyFill="1" applyBorder="1" applyAlignment="1">
      <alignment horizontal="center" vertical="center"/>
    </xf>
    <xf numFmtId="177" fontId="7" fillId="7" borderId="13" xfId="261" applyNumberFormat="1" applyFont="1" applyFill="1" applyBorder="1">
      <alignment vertical="center"/>
    </xf>
    <xf numFmtId="185" fontId="7" fillId="7" borderId="13" xfId="261" applyNumberFormat="1" applyFont="1" applyFill="1" applyBorder="1" applyAlignment="1" applyProtection="1">
      <alignment horizontal="center" vertical="center"/>
    </xf>
    <xf numFmtId="183" fontId="23" fillId="7" borderId="6" xfId="244" applyNumberFormat="1" applyFont="1" applyFill="1" applyBorder="1" applyAlignment="1" applyProtection="1">
      <alignment horizontal="center" vertical="center"/>
    </xf>
    <xf numFmtId="183" fontId="28" fillId="7" borderId="6" xfId="354" applyNumberFormat="1" applyFont="1" applyFill="1" applyBorder="1" applyAlignment="1" applyProtection="1">
      <alignment horizontal="center" vertical="center"/>
    </xf>
    <xf numFmtId="185" fontId="7" fillId="0" borderId="0" xfId="261" applyNumberFormat="1" applyFont="1" applyFill="1" applyBorder="1" applyAlignment="1" applyProtection="1">
      <alignment horizontal="center" vertical="center"/>
    </xf>
    <xf numFmtId="183" fontId="14" fillId="0" borderId="0" xfId="63" applyNumberFormat="1" applyFont="1" applyFill="1" applyBorder="1" applyAlignment="1" applyProtection="1">
      <alignment horizontal="center" vertical="center" wrapText="1"/>
    </xf>
    <xf numFmtId="185" fontId="7" fillId="7" borderId="6" xfId="261" applyNumberFormat="1" applyFont="1" applyFill="1" applyBorder="1" applyAlignment="1" applyProtection="1">
      <alignment horizontal="center" vertical="center"/>
    </xf>
    <xf numFmtId="183" fontId="19" fillId="0" borderId="6" xfId="261" applyNumberFormat="1" applyFont="1" applyFill="1" applyBorder="1" applyAlignment="1">
      <alignment horizontal="center" vertical="center" wrapText="1"/>
    </xf>
    <xf numFmtId="185" fontId="7" fillId="0" borderId="6" xfId="261" applyNumberFormat="1" applyFont="1" applyFill="1" applyBorder="1" applyAlignment="1" applyProtection="1">
      <alignment horizontal="center" vertical="center"/>
    </xf>
    <xf numFmtId="185" fontId="7" fillId="7" borderId="6" xfId="261" applyNumberFormat="1" applyFont="1" applyFill="1" applyBorder="1" applyAlignment="1" applyProtection="1">
      <alignment horizontal="center" vertical="center" shrinkToFit="1"/>
    </xf>
    <xf numFmtId="185" fontId="10" fillId="0" borderId="0" xfId="261" applyNumberFormat="1">
      <alignment vertical="center"/>
    </xf>
    <xf numFmtId="183" fontId="10" fillId="0" borderId="0" xfId="0" applyNumberFormat="1" applyFont="1" applyFill="1" applyBorder="1" applyAlignment="1" applyProtection="1">
      <alignment vertical="center"/>
    </xf>
    <xf numFmtId="49" fontId="10" fillId="0" borderId="0" xfId="261" applyNumberFormat="1" applyFont="1" applyFill="1" applyBorder="1" applyAlignment="1" applyProtection="1">
      <alignment horizontal="center" vertical="center"/>
    </xf>
    <xf numFmtId="0" fontId="28" fillId="7" borderId="6" xfId="261" applyFont="1" applyFill="1" applyBorder="1" applyAlignment="1">
      <alignment horizontal="center" vertical="center"/>
    </xf>
    <xf numFmtId="0" fontId="28" fillId="7" borderId="6" xfId="261" applyFont="1" applyFill="1" applyBorder="1" applyAlignment="1">
      <alignment horizontal="center" vertical="center" shrinkToFit="1"/>
    </xf>
    <xf numFmtId="0" fontId="29" fillId="9" borderId="6" xfId="225" applyFont="1" applyFill="1" applyBorder="1" applyAlignment="1">
      <alignment horizontal="left" vertical="center"/>
    </xf>
    <xf numFmtId="49" fontId="29" fillId="0" borderId="6" xfId="225" applyNumberFormat="1" applyFont="1" applyBorder="1" applyAlignment="1" applyProtection="1">
      <protection locked="0"/>
    </xf>
    <xf numFmtId="0" fontId="10" fillId="0" borderId="11" xfId="261" applyFont="1" applyFill="1" applyBorder="1" applyAlignment="1">
      <alignment vertical="center"/>
    </xf>
    <xf numFmtId="14" fontId="10" fillId="0" borderId="11" xfId="261" applyNumberFormat="1" applyFont="1" applyFill="1" applyBorder="1" applyAlignment="1">
      <alignment vertical="center"/>
    </xf>
    <xf numFmtId="0" fontId="7" fillId="0" borderId="6" xfId="261" applyNumberFormat="1" applyFont="1" applyFill="1" applyBorder="1">
      <alignment vertical="center"/>
    </xf>
    <xf numFmtId="183" fontId="20" fillId="7" borderId="6" xfId="261" applyNumberFormat="1" applyFont="1" applyFill="1" applyBorder="1" applyAlignment="1" applyProtection="1">
      <alignment horizontal="center" vertical="center" shrinkToFit="1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4" fontId="7" fillId="0" borderId="0" xfId="0" applyNumberFormat="1" applyFont="1" applyFill="1" applyBorder="1" applyAlignment="1" applyProtection="1">
      <alignment horizontal="left" vertical="center"/>
      <protection locked="0"/>
    </xf>
    <xf numFmtId="180" fontId="7" fillId="0" borderId="0" xfId="0" applyNumberFormat="1" applyFont="1" applyFill="1" applyBorder="1" applyAlignment="1" applyProtection="1">
      <alignment horizontal="left" vertical="center"/>
      <protection locked="0"/>
    </xf>
    <xf numFmtId="182" fontId="7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14" fontId="31" fillId="0" borderId="6" xfId="0" applyNumberFormat="1" applyFont="1" applyFill="1" applyBorder="1" applyAlignment="1" applyProtection="1">
      <alignment horizontal="center" vertical="center"/>
      <protection locked="0"/>
    </xf>
    <xf numFmtId="49" fontId="31" fillId="9" borderId="6" xfId="0" applyNumberFormat="1" applyFont="1" applyFill="1" applyBorder="1" applyAlignment="1" applyProtection="1">
      <alignment horizontal="center" vertical="center"/>
    </xf>
    <xf numFmtId="49" fontId="31" fillId="0" borderId="6" xfId="0" applyNumberFormat="1" applyFont="1" applyFill="1" applyBorder="1" applyAlignment="1" applyProtection="1">
      <alignment horizontal="center" vertical="center"/>
    </xf>
    <xf numFmtId="49" fontId="19" fillId="9" borderId="6" xfId="0" applyNumberFormat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49" fontId="19" fillId="0" borderId="6" xfId="0" applyNumberFormat="1" applyFont="1" applyFill="1" applyBorder="1" applyAlignment="1" applyProtection="1">
      <alignment horizontal="center" vertical="center"/>
    </xf>
    <xf numFmtId="14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32" fillId="0" borderId="6" xfId="0" applyFont="1" applyFill="1" applyBorder="1" applyAlignment="1" applyProtection="1">
      <alignment horizontal="center" vertical="center"/>
      <protection locked="0"/>
    </xf>
    <xf numFmtId="14" fontId="32" fillId="0" borderId="6" xfId="0" applyNumberFormat="1" applyFont="1" applyFill="1" applyBorder="1" applyAlignment="1" applyProtection="1">
      <alignment horizontal="center" vertical="center"/>
      <protection locked="0"/>
    </xf>
    <xf numFmtId="180" fontId="32" fillId="0" borderId="6" xfId="0" applyNumberFormat="1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vertical="center"/>
      <protection locked="0"/>
    </xf>
    <xf numFmtId="0" fontId="19" fillId="0" borderId="6" xfId="0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center"/>
    </xf>
    <xf numFmtId="49" fontId="36" fillId="0" borderId="6" xfId="0" applyNumberFormat="1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49" fontId="38" fillId="0" borderId="6" xfId="0" applyNumberFormat="1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49" fontId="27" fillId="3" borderId="6" xfId="316" applyNumberFormat="1" applyFont="1" applyFill="1" applyBorder="1" applyAlignment="1" applyProtection="1">
      <alignment horizontal="center" vertical="center" wrapText="1"/>
    </xf>
    <xf numFmtId="177" fontId="31" fillId="0" borderId="6" xfId="0" applyNumberFormat="1" applyFont="1" applyFill="1" applyBorder="1" applyAlignment="1" applyProtection="1">
      <alignment horizontal="center" vertical="center"/>
      <protection locked="0"/>
    </xf>
    <xf numFmtId="177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49" fontId="31" fillId="0" borderId="6" xfId="0" applyNumberFormat="1" applyFont="1" applyFill="1" applyBorder="1" applyAlignment="1" applyProtection="1">
      <alignment horizontal="center" vertical="center"/>
      <protection locked="0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49" fontId="32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2" fillId="1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36" fillId="0" borderId="6" xfId="0" applyFont="1" applyFill="1" applyBorder="1" applyAlignment="1">
      <alignment horizontal="center"/>
    </xf>
    <xf numFmtId="0" fontId="36" fillId="10" borderId="6" xfId="0" applyFont="1" applyFill="1" applyBorder="1" applyAlignment="1">
      <alignment horizontal="center"/>
    </xf>
    <xf numFmtId="49" fontId="36" fillId="10" borderId="6" xfId="0" applyNumberFormat="1" applyFont="1" applyFill="1" applyBorder="1" applyAlignment="1">
      <alignment horizontal="center" vertical="center"/>
    </xf>
    <xf numFmtId="0" fontId="19" fillId="10" borderId="6" xfId="0" applyFont="1" applyFill="1" applyBorder="1" applyAlignment="1" applyProtection="1">
      <alignment horizontal="center" vertical="center"/>
      <protection locked="0"/>
    </xf>
    <xf numFmtId="49" fontId="36" fillId="10" borderId="6" xfId="0" applyNumberFormat="1" applyFont="1" applyFill="1" applyBorder="1" applyAlignment="1">
      <alignment horizontal="center"/>
    </xf>
    <xf numFmtId="0" fontId="37" fillId="10" borderId="6" xfId="0" applyFont="1" applyFill="1" applyBorder="1" applyAlignment="1">
      <alignment horizontal="center" vertical="center"/>
    </xf>
    <xf numFmtId="49" fontId="38" fillId="10" borderId="6" xfId="0" applyNumberFormat="1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center"/>
    </xf>
    <xf numFmtId="49" fontId="47" fillId="0" borderId="14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49" fontId="47" fillId="0" borderId="10" xfId="0" applyNumberFormat="1" applyFont="1" applyFill="1" applyBorder="1" applyAlignment="1">
      <alignment horizontal="center"/>
    </xf>
    <xf numFmtId="49" fontId="48" fillId="0" borderId="15" xfId="0" applyNumberFormat="1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49" fontId="50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Fill="1" applyBorder="1" applyAlignment="1">
      <alignment horizontal="center"/>
    </xf>
    <xf numFmtId="0" fontId="22" fillId="11" borderId="16" xfId="0" applyFont="1" applyFill="1" applyBorder="1" applyAlignment="1">
      <alignment horizontal="left" vertical="center"/>
    </xf>
    <xf numFmtId="4" fontId="22" fillId="11" borderId="17" xfId="0" applyNumberFormat="1" applyFont="1" applyFill="1" applyBorder="1" applyAlignment="1">
      <alignment horizontal="right" vertical="center"/>
    </xf>
    <xf numFmtId="4" fontId="22" fillId="11" borderId="10" xfId="0" applyNumberFormat="1" applyFont="1" applyFill="1" applyBorder="1" applyAlignment="1">
      <alignment horizontal="right" vertical="center"/>
    </xf>
    <xf numFmtId="4" fontId="22" fillId="11" borderId="15" xfId="0" applyNumberFormat="1" applyFont="1" applyFill="1" applyBorder="1" applyAlignment="1">
      <alignment horizontal="right" vertical="center"/>
    </xf>
    <xf numFmtId="0" fontId="22" fillId="11" borderId="18" xfId="0" applyFont="1" applyFill="1" applyBorder="1" applyAlignment="1">
      <alignment horizontal="left" vertical="center"/>
    </xf>
    <xf numFmtId="4" fontId="22" fillId="11" borderId="19" xfId="0" applyNumberFormat="1" applyFont="1" applyFill="1" applyBorder="1" applyAlignment="1">
      <alignment horizontal="right" vertical="center"/>
    </xf>
    <xf numFmtId="4" fontId="22" fillId="11" borderId="20" xfId="0" applyNumberFormat="1" applyFont="1" applyFill="1" applyBorder="1" applyAlignment="1">
      <alignment horizontal="right" vertical="center"/>
    </xf>
    <xf numFmtId="4" fontId="22" fillId="11" borderId="21" xfId="0" applyNumberFormat="1" applyFont="1" applyFill="1" applyBorder="1" applyAlignment="1">
      <alignment horizontal="right" vertical="center"/>
    </xf>
    <xf numFmtId="0" fontId="10" fillId="0" borderId="0" xfId="0" applyFont="1" applyFill="1" applyAlignment="1"/>
    <xf numFmtId="0" fontId="49" fillId="0" borderId="0" xfId="0" applyFont="1" applyFill="1" applyAlignment="1">
      <alignment vertical="center"/>
    </xf>
    <xf numFmtId="0" fontId="23" fillId="11" borderId="6" xfId="0" applyFont="1" applyFill="1" applyBorder="1" applyAlignment="1">
      <alignment horizontal="center" vertical="center" wrapText="1"/>
    </xf>
    <xf numFmtId="0" fontId="47" fillId="0" borderId="15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/>
    </xf>
    <xf numFmtId="4" fontId="22" fillId="11" borderId="22" xfId="0" applyNumberFormat="1" applyFont="1" applyFill="1" applyBorder="1" applyAlignment="1">
      <alignment horizontal="right" vertical="center"/>
    </xf>
    <xf numFmtId="0" fontId="47" fillId="6" borderId="15" xfId="0" applyFont="1" applyFill="1" applyBorder="1" applyAlignment="1">
      <alignment horizontal="center"/>
    </xf>
    <xf numFmtId="0" fontId="48" fillId="6" borderId="15" xfId="0" applyFont="1" applyFill="1" applyBorder="1" applyAlignment="1">
      <alignment horizontal="center"/>
    </xf>
    <xf numFmtId="0" fontId="42" fillId="0" borderId="6" xfId="0" applyFont="1" applyFill="1" applyBorder="1" applyAlignment="1">
      <alignment vertical="center"/>
    </xf>
    <xf numFmtId="0" fontId="42" fillId="10" borderId="6" xfId="0" applyFont="1" applyFill="1" applyBorder="1" applyAlignment="1">
      <alignment vertical="center"/>
    </xf>
    <xf numFmtId="0" fontId="43" fillId="0" borderId="15" xfId="0" applyFont="1" applyFill="1" applyBorder="1" applyAlignment="1">
      <alignment vertical="center"/>
    </xf>
    <xf numFmtId="0" fontId="23" fillId="11" borderId="6" xfId="0" applyNumberFormat="1" applyFont="1" applyFill="1" applyBorder="1" applyAlignment="1">
      <alignment horizontal="center" vertical="center" wrapText="1"/>
    </xf>
    <xf numFmtId="186" fontId="51" fillId="0" borderId="6" xfId="0" applyNumberFormat="1" applyFont="1" applyFill="1" applyBorder="1" applyAlignment="1">
      <alignment horizontal="left" vertical="center"/>
    </xf>
    <xf numFmtId="0" fontId="36" fillId="0" borderId="6" xfId="0" applyNumberFormat="1" applyFont="1" applyFill="1" applyBorder="1" applyAlignment="1">
      <alignment horizontal="center"/>
    </xf>
    <xf numFmtId="186" fontId="51" fillId="10" borderId="6" xfId="0" applyNumberFormat="1" applyFont="1" applyFill="1" applyBorder="1" applyAlignment="1">
      <alignment horizontal="left" vertical="center"/>
    </xf>
    <xf numFmtId="0" fontId="36" fillId="10" borderId="6" xfId="0" applyNumberFormat="1" applyFont="1" applyFill="1" applyBorder="1" applyAlignment="1">
      <alignment horizontal="center"/>
    </xf>
    <xf numFmtId="49" fontId="47" fillId="0" borderId="15" xfId="0" applyNumberFormat="1" applyFont="1" applyFill="1" applyBorder="1" applyAlignment="1">
      <alignment horizontal="center" vertical="center"/>
    </xf>
    <xf numFmtId="186" fontId="52" fillId="0" borderId="15" xfId="0" applyNumberFormat="1" applyFont="1" applyFill="1" applyBorder="1" applyAlignment="1">
      <alignment horizontal="left" vertical="center"/>
    </xf>
    <xf numFmtId="0" fontId="47" fillId="0" borderId="15" xfId="0" applyNumberFormat="1" applyFont="1" applyFill="1" applyBorder="1" applyAlignment="1">
      <alignment horizontal="center"/>
    </xf>
    <xf numFmtId="0" fontId="22" fillId="11" borderId="22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/>
    <xf numFmtId="4" fontId="29" fillId="0" borderId="6" xfId="0" applyNumberFormat="1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>
      <alignment horizontal="center" vertical="center" wrapText="1"/>
    </xf>
    <xf numFmtId="4" fontId="29" fillId="10" borderId="6" xfId="0" applyNumberFormat="1" applyFont="1" applyFill="1" applyBorder="1" applyAlignment="1">
      <alignment horizontal="center" vertical="center" wrapText="1"/>
    </xf>
    <xf numFmtId="0" fontId="29" fillId="10" borderId="6" xfId="0" applyNumberFormat="1" applyFont="1" applyFill="1" applyBorder="1" applyAlignment="1">
      <alignment horizontal="center" vertical="center" wrapText="1"/>
    </xf>
    <xf numFmtId="49" fontId="54" fillId="0" borderId="13" xfId="0" applyNumberFormat="1" applyFont="1" applyFill="1" applyBorder="1" applyAlignment="1">
      <alignment horizontal="center"/>
    </xf>
    <xf numFmtId="49" fontId="54" fillId="10" borderId="13" xfId="0" applyNumberFormat="1" applyFont="1" applyFill="1" applyBorder="1" applyAlignment="1">
      <alignment horizontal="center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14" xfId="0" applyNumberFormat="1" applyFont="1" applyFill="1" applyBorder="1" applyAlignment="1">
      <alignment horizontal="center" vertical="center" wrapText="1"/>
    </xf>
    <xf numFmtId="0" fontId="23" fillId="0" borderId="15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/>
    </xf>
    <xf numFmtId="4" fontId="53" fillId="11" borderId="6" xfId="0" applyNumberFormat="1" applyFont="1" applyFill="1" applyBorder="1" applyAlignment="1">
      <alignment horizontal="right" vertical="center"/>
    </xf>
    <xf numFmtId="4" fontId="53" fillId="11" borderId="4" xfId="0" applyNumberFormat="1" applyFont="1" applyFill="1" applyBorder="1" applyAlignment="1">
      <alignment horizontal="right" vertical="center"/>
    </xf>
    <xf numFmtId="0" fontId="46" fillId="0" borderId="0" xfId="0" applyFont="1" applyFill="1" applyAlignment="1"/>
    <xf numFmtId="177" fontId="10" fillId="0" borderId="0" xfId="0" applyNumberFormat="1" applyFont="1" applyFill="1" applyAlignment="1">
      <alignment vertical="center"/>
    </xf>
    <xf numFmtId="0" fontId="36" fillId="0" borderId="24" xfId="0" applyFont="1" applyFill="1" applyBorder="1" applyAlignment="1">
      <alignment horizontal="center"/>
    </xf>
    <xf numFmtId="49" fontId="36" fillId="0" borderId="24" xfId="0" applyNumberFormat="1" applyFont="1" applyFill="1" applyBorder="1" applyAlignment="1">
      <alignment horizontal="center" vertical="center"/>
    </xf>
    <xf numFmtId="0" fontId="55" fillId="0" borderId="0" xfId="0" applyFont="1" applyFill="1" applyAlignment="1">
      <alignment vertical="center"/>
    </xf>
    <xf numFmtId="0" fontId="55" fillId="10" borderId="0" xfId="0" applyFont="1" applyFill="1" applyAlignment="1">
      <alignment vertical="center"/>
    </xf>
    <xf numFmtId="0" fontId="29" fillId="9" borderId="11" xfId="309" applyFont="1" applyFill="1" applyBorder="1" applyAlignment="1">
      <alignment horizontal="left" vertical="center"/>
    </xf>
    <xf numFmtId="0" fontId="56" fillId="0" borderId="0" xfId="0" applyFont="1" applyFill="1" applyAlignment="1">
      <alignment vertical="center"/>
    </xf>
    <xf numFmtId="0" fontId="57" fillId="0" borderId="6" xfId="0" applyFont="1" applyFill="1" applyBorder="1" applyAlignment="1">
      <alignment horizontal="center"/>
    </xf>
    <xf numFmtId="49" fontId="57" fillId="0" borderId="6" xfId="0" applyNumberFormat="1" applyFont="1" applyFill="1" applyBorder="1" applyAlignment="1">
      <alignment horizontal="center" vertical="center"/>
    </xf>
    <xf numFmtId="49" fontId="57" fillId="0" borderId="6" xfId="0" applyNumberFormat="1" applyFont="1" applyFill="1" applyBorder="1" applyAlignment="1">
      <alignment horizontal="center"/>
    </xf>
    <xf numFmtId="0" fontId="58" fillId="0" borderId="6" xfId="0" applyFont="1" applyFill="1" applyBorder="1" applyAlignment="1">
      <alignment horizontal="center" vertical="center"/>
    </xf>
    <xf numFmtId="49" fontId="59" fillId="0" borderId="6" xfId="0" applyNumberFormat="1" applyFont="1" applyFill="1" applyBorder="1" applyAlignment="1">
      <alignment horizontal="center" vertical="center"/>
    </xf>
    <xf numFmtId="0" fontId="57" fillId="6" borderId="6" xfId="0" applyFont="1" applyFill="1" applyBorder="1" applyAlignment="1">
      <alignment horizontal="center"/>
    </xf>
    <xf numFmtId="0" fontId="56" fillId="0" borderId="6" xfId="0" applyFont="1" applyFill="1" applyBorder="1" applyAlignment="1">
      <alignment vertical="center"/>
    </xf>
    <xf numFmtId="186" fontId="60" fillId="0" borderId="6" xfId="0" applyNumberFormat="1" applyFont="1" applyFill="1" applyBorder="1" applyAlignment="1">
      <alignment horizontal="left" vertical="center"/>
    </xf>
    <xf numFmtId="0" fontId="57" fillId="0" borderId="6" xfId="0" applyNumberFormat="1" applyFont="1" applyFill="1" applyBorder="1" applyAlignment="1">
      <alignment horizontal="center"/>
    </xf>
    <xf numFmtId="4" fontId="61" fillId="0" borderId="6" xfId="0" applyNumberFormat="1" applyFont="1" applyFill="1" applyBorder="1" applyAlignment="1">
      <alignment horizontal="center" vertical="center" wrapText="1"/>
    </xf>
    <xf numFmtId="0" fontId="61" fillId="0" borderId="6" xfId="0" applyNumberFormat="1" applyFont="1" applyFill="1" applyBorder="1" applyAlignment="1">
      <alignment horizontal="center" vertical="center" wrapText="1"/>
    </xf>
    <xf numFmtId="49" fontId="62" fillId="0" borderId="13" xfId="0" applyNumberFormat="1" applyFont="1" applyFill="1" applyBorder="1" applyAlignment="1">
      <alignment horizontal="center"/>
    </xf>
    <xf numFmtId="0" fontId="36" fillId="0" borderId="23" xfId="0" applyFont="1" applyFill="1" applyBorder="1" applyAlignment="1">
      <alignment horizontal="center"/>
    </xf>
    <xf numFmtId="0" fontId="63" fillId="0" borderId="0" xfId="0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65" fillId="12" borderId="0" xfId="442" applyNumberFormat="1" applyFont="1" applyFill="1" applyBorder="1" applyAlignment="1" applyProtection="1">
      <alignment horizontal="center" vertical="center"/>
      <protection locked="0"/>
    </xf>
    <xf numFmtId="0" fontId="65" fillId="12" borderId="0" xfId="442" applyNumberFormat="1" applyFont="1" applyFill="1" applyBorder="1" applyAlignment="1" applyProtection="1">
      <alignment horizontal="left" vertical="center"/>
      <protection locked="0"/>
    </xf>
    <xf numFmtId="0" fontId="66" fillId="12" borderId="0" xfId="442" applyNumberFormat="1" applyFont="1" applyFill="1" applyBorder="1" applyAlignment="1" applyProtection="1">
      <alignment horizontal="center" vertical="center"/>
      <protection locked="0"/>
    </xf>
    <xf numFmtId="0" fontId="67" fillId="12" borderId="0" xfId="442" applyNumberFormat="1" applyFont="1" applyFill="1" applyBorder="1" applyAlignment="1" applyProtection="1">
      <alignment horizontal="left" vertical="center"/>
      <protection locked="0"/>
    </xf>
    <xf numFmtId="0" fontId="29" fillId="12" borderId="0" xfId="0" applyFont="1" applyFill="1" applyBorder="1" applyAlignment="1" applyProtection="1">
      <alignment horizontal="right" vertical="center"/>
      <protection locked="0"/>
    </xf>
    <xf numFmtId="49" fontId="68" fillId="12" borderId="0" xfId="441" applyNumberFormat="1" applyFont="1" applyFill="1" applyBorder="1" applyAlignment="1" applyProtection="1">
      <alignment horizontal="left" vertical="center"/>
      <protection locked="0"/>
    </xf>
    <xf numFmtId="0" fontId="55" fillId="12" borderId="0" xfId="0" applyFont="1" applyFill="1" applyBorder="1" applyAlignment="1" applyProtection="1">
      <alignment horizontal="left" vertical="center"/>
      <protection locked="0"/>
    </xf>
    <xf numFmtId="0" fontId="69" fillId="12" borderId="0" xfId="442" applyFont="1" applyFill="1" applyBorder="1" applyAlignment="1">
      <alignment horizontal="right" vertical="center"/>
    </xf>
    <xf numFmtId="14" fontId="70" fillId="12" borderId="0" xfId="0" applyNumberFormat="1" applyFont="1" applyFill="1" applyBorder="1" applyAlignment="1" applyProtection="1">
      <alignment horizontal="left" vertical="center"/>
      <protection locked="0"/>
    </xf>
    <xf numFmtId="0" fontId="70" fillId="12" borderId="0" xfId="0" applyFont="1" applyFill="1" applyBorder="1" applyAlignment="1" applyProtection="1">
      <alignment horizontal="right" vertical="center"/>
      <protection locked="0"/>
    </xf>
    <xf numFmtId="0" fontId="71" fillId="12" borderId="0" xfId="0" applyFont="1" applyFill="1" applyBorder="1" applyAlignment="1">
      <alignment horizontal="left" vertical="center"/>
    </xf>
    <xf numFmtId="0" fontId="67" fillId="12" borderId="0" xfId="442" applyNumberFormat="1" applyFont="1" applyFill="1" applyBorder="1" applyAlignment="1" applyProtection="1">
      <alignment horizontal="center" vertical="center"/>
      <protection locked="0"/>
    </xf>
    <xf numFmtId="0" fontId="71" fillId="12" borderId="0" xfId="0" applyFont="1" applyFill="1" applyBorder="1" applyAlignment="1" applyProtection="1">
      <alignment horizontal="left" vertical="center"/>
      <protection locked="0"/>
    </xf>
    <xf numFmtId="0" fontId="72" fillId="12" borderId="0" xfId="442" applyNumberFormat="1" applyFont="1" applyFill="1" applyBorder="1" applyAlignment="1" applyProtection="1">
      <alignment horizontal="center" vertical="center"/>
      <protection locked="0"/>
    </xf>
    <xf numFmtId="188" fontId="70" fillId="12" borderId="0" xfId="441" applyNumberFormat="1" applyFont="1" applyFill="1" applyBorder="1" applyAlignment="1" applyProtection="1">
      <alignment horizontal="left" vertical="center"/>
      <protection locked="0"/>
    </xf>
    <xf numFmtId="43" fontId="75" fillId="12" borderId="10" xfId="0" applyNumberFormat="1" applyFont="1" applyFill="1" applyBorder="1" applyAlignment="1" applyProtection="1">
      <alignment horizontal="left" vertical="center" shrinkToFit="1"/>
    </xf>
    <xf numFmtId="43" fontId="75" fillId="12" borderId="37" xfId="0" applyNumberFormat="1" applyFont="1" applyFill="1" applyBorder="1" applyAlignment="1" applyProtection="1">
      <alignment horizontal="left" vertical="center" shrinkToFit="1"/>
      <protection locked="0"/>
    </xf>
    <xf numFmtId="43" fontId="75" fillId="12" borderId="6" xfId="0" applyNumberFormat="1" applyFont="1" applyFill="1" applyBorder="1" applyAlignment="1" applyProtection="1">
      <alignment horizontal="left" vertical="center" shrinkToFit="1"/>
      <protection locked="0"/>
    </xf>
    <xf numFmtId="43" fontId="75" fillId="12" borderId="39" xfId="0" applyNumberFormat="1" applyFont="1" applyFill="1" applyBorder="1" applyAlignment="1" applyProtection="1">
      <alignment horizontal="left" vertical="center" shrinkToFit="1"/>
      <protection locked="0"/>
    </xf>
    <xf numFmtId="43" fontId="75" fillId="12" borderId="41" xfId="441" applyNumberFormat="1" applyFont="1" applyFill="1" applyBorder="1" applyAlignment="1" applyProtection="1">
      <alignment horizontal="left" vertical="center" shrinkToFit="1"/>
      <protection locked="0"/>
    </xf>
    <xf numFmtId="43" fontId="75" fillId="12" borderId="45" xfId="441" applyNumberFormat="1" applyFont="1" applyFill="1" applyBorder="1" applyAlignment="1" applyProtection="1">
      <alignment horizontal="left" vertical="center" shrinkToFit="1"/>
      <protection locked="0"/>
    </xf>
    <xf numFmtId="187" fontId="76" fillId="12" borderId="0" xfId="441" applyNumberFormat="1" applyFont="1" applyFill="1" applyBorder="1" applyAlignment="1" applyProtection="1">
      <alignment horizontal="left" vertical="center"/>
      <protection locked="0"/>
    </xf>
    <xf numFmtId="0" fontId="77" fillId="0" borderId="25" xfId="439" applyFont="1" applyFill="1" applyBorder="1" applyAlignment="1">
      <alignment horizontal="center" vertical="center" wrapText="1"/>
    </xf>
    <xf numFmtId="0" fontId="77" fillId="0" borderId="46" xfId="439" applyFont="1" applyFill="1" applyBorder="1" applyAlignment="1">
      <alignment horizontal="center" vertical="center" wrapText="1"/>
    </xf>
    <xf numFmtId="180" fontId="77" fillId="0" borderId="46" xfId="439" applyNumberFormat="1" applyFont="1" applyFill="1" applyBorder="1" applyAlignment="1">
      <alignment horizontal="center" vertical="center" wrapText="1"/>
    </xf>
    <xf numFmtId="181" fontId="77" fillId="0" borderId="46" xfId="439" applyNumberFormat="1" applyFont="1" applyFill="1" applyBorder="1" applyAlignment="1">
      <alignment horizontal="center" vertical="center" wrapText="1"/>
    </xf>
    <xf numFmtId="0" fontId="77" fillId="0" borderId="47" xfId="439" applyFont="1" applyFill="1" applyBorder="1" applyAlignment="1">
      <alignment horizontal="center" vertical="center" wrapText="1"/>
    </xf>
    <xf numFmtId="0" fontId="54" fillId="0" borderId="38" xfId="439" applyFont="1" applyFill="1" applyBorder="1" applyAlignment="1">
      <alignment horizontal="center" vertical="center"/>
    </xf>
    <xf numFmtId="0" fontId="54" fillId="0" borderId="6" xfId="439" applyFont="1" applyFill="1" applyBorder="1" applyAlignment="1">
      <alignment horizontal="center" vertical="center"/>
    </xf>
    <xf numFmtId="180" fontId="54" fillId="0" borderId="6" xfId="439" applyNumberFormat="1" applyFont="1" applyFill="1" applyBorder="1" applyAlignment="1">
      <alignment horizontal="center" vertical="center"/>
    </xf>
    <xf numFmtId="181" fontId="54" fillId="0" borderId="6" xfId="439" applyNumberFormat="1" applyFont="1" applyFill="1" applyBorder="1" applyAlignment="1">
      <alignment horizontal="right" vertical="center"/>
    </xf>
    <xf numFmtId="0" fontId="54" fillId="0" borderId="39" xfId="439" applyFont="1" applyFill="1" applyBorder="1" applyAlignment="1">
      <alignment horizontal="left" vertical="center"/>
    </xf>
    <xf numFmtId="43" fontId="54" fillId="0" borderId="6" xfId="439" applyNumberFormat="1" applyFont="1" applyFill="1" applyBorder="1" applyAlignment="1">
      <alignment vertical="center"/>
    </xf>
    <xf numFmtId="43" fontId="54" fillId="0" borderId="6" xfId="439" applyNumberFormat="1" applyFont="1" applyFill="1" applyBorder="1" applyAlignment="1">
      <alignment horizontal="center" vertical="center"/>
    </xf>
    <xf numFmtId="0" fontId="54" fillId="0" borderId="39" xfId="439" applyFont="1" applyFill="1" applyBorder="1" applyAlignment="1">
      <alignment vertical="center" wrapText="1"/>
    </xf>
    <xf numFmtId="181" fontId="78" fillId="0" borderId="6" xfId="439" applyNumberFormat="1" applyFont="1" applyFill="1" applyBorder="1" applyAlignment="1">
      <alignment horizontal="right" vertical="center"/>
    </xf>
    <xf numFmtId="0" fontId="54" fillId="0" borderId="39" xfId="439" applyFont="1" applyFill="1" applyBorder="1" applyAlignment="1">
      <alignment vertical="center"/>
    </xf>
    <xf numFmtId="0" fontId="54" fillId="0" borderId="6" xfId="439" applyFont="1" applyFill="1" applyBorder="1" applyAlignment="1">
      <alignment horizontal="center" vertical="center" wrapText="1"/>
    </xf>
    <xf numFmtId="181" fontId="41" fillId="13" borderId="6" xfId="439" applyNumberFormat="1" applyFont="1" applyFill="1" applyBorder="1" applyAlignment="1">
      <alignment vertical="center"/>
    </xf>
    <xf numFmtId="0" fontId="54" fillId="13" borderId="39" xfId="439" applyFont="1" applyFill="1" applyBorder="1" applyAlignment="1">
      <alignment horizontal="left" vertical="center"/>
    </xf>
    <xf numFmtId="181" fontId="41" fillId="13" borderId="41" xfId="439" applyNumberFormat="1" applyFont="1" applyFill="1" applyBorder="1" applyAlignment="1">
      <alignment vertical="center"/>
    </xf>
    <xf numFmtId="0" fontId="54" fillId="13" borderId="45" xfId="439" applyFont="1" applyFill="1" applyBorder="1" applyAlignment="1">
      <alignment horizontal="left" vertical="center"/>
    </xf>
    <xf numFmtId="188" fontId="70" fillId="12" borderId="0" xfId="441" applyNumberFormat="1" applyFont="1" applyFill="1" applyBorder="1" applyAlignment="1" applyProtection="1">
      <alignment horizontal="right" vertical="center"/>
      <protection locked="0"/>
    </xf>
    <xf numFmtId="0" fontId="23" fillId="12" borderId="0" xfId="442" applyFont="1" applyFill="1" applyBorder="1" applyAlignment="1">
      <alignment horizontal="right" vertical="center"/>
    </xf>
    <xf numFmtId="14" fontId="68" fillId="12" borderId="0" xfId="0" applyNumberFormat="1" applyFont="1" applyFill="1" applyBorder="1" applyAlignment="1" applyProtection="1">
      <alignment horizontal="left" vertical="center"/>
      <protection locked="0"/>
    </xf>
    <xf numFmtId="0" fontId="79" fillId="12" borderId="0" xfId="442" applyNumberFormat="1" applyFont="1" applyFill="1" applyBorder="1" applyAlignment="1" applyProtection="1">
      <alignment horizontal="right" vertical="center"/>
      <protection locked="0"/>
    </xf>
    <xf numFmtId="0" fontId="80" fillId="12" borderId="0" xfId="442" applyNumberFormat="1" applyFont="1" applyFill="1" applyBorder="1" applyAlignment="1" applyProtection="1">
      <alignment horizontal="left" vertical="center"/>
      <protection locked="0"/>
    </xf>
    <xf numFmtId="0" fontId="82" fillId="12" borderId="0" xfId="442" applyNumberFormat="1" applyFont="1" applyFill="1" applyBorder="1" applyAlignment="1" applyProtection="1">
      <alignment horizontal="left" vertical="center"/>
      <protection locked="0"/>
    </xf>
    <xf numFmtId="0" fontId="83" fillId="12" borderId="0" xfId="442" applyNumberFormat="1" applyFont="1" applyFill="1" applyBorder="1" applyAlignment="1" applyProtection="1">
      <alignment horizontal="left" vertical="center"/>
      <protection locked="0"/>
    </xf>
    <xf numFmtId="0" fontId="84" fillId="12" borderId="0" xfId="442" applyNumberFormat="1" applyFont="1" applyFill="1" applyBorder="1" applyAlignment="1" applyProtection="1">
      <alignment horizontal="left" vertical="center"/>
      <protection locked="0"/>
    </xf>
    <xf numFmtId="0" fontId="85" fillId="12" borderId="0" xfId="442" applyNumberFormat="1" applyFont="1" applyFill="1" applyBorder="1" applyAlignment="1" applyProtection="1">
      <alignment horizontal="left" vertical="center"/>
      <protection locked="0"/>
    </xf>
    <xf numFmtId="0" fontId="84" fillId="12" borderId="0" xfId="442" applyNumberFormat="1" applyFont="1" applyFill="1" applyBorder="1" applyAlignment="1" applyProtection="1">
      <alignment horizontal="right" vertical="center"/>
      <protection locked="0"/>
    </xf>
    <xf numFmtId="49" fontId="86" fillId="12" borderId="0" xfId="442" applyNumberFormat="1" applyFont="1" applyFill="1" applyBorder="1" applyAlignment="1" applyProtection="1">
      <alignment horizontal="left" vertical="center"/>
      <protection locked="0"/>
    </xf>
    <xf numFmtId="0" fontId="87" fillId="12" borderId="0" xfId="0" applyFont="1" applyFill="1" applyBorder="1" applyAlignment="1">
      <alignment horizontal="left" vertical="center"/>
    </xf>
    <xf numFmtId="0" fontId="88" fillId="12" borderId="0" xfId="0" applyFont="1" applyFill="1" applyAlignment="1">
      <alignment vertical="center"/>
    </xf>
    <xf numFmtId="49" fontId="76" fillId="12" borderId="0" xfId="441" applyNumberFormat="1" applyFont="1" applyFill="1" applyBorder="1" applyAlignment="1" applyProtection="1">
      <alignment horizontal="left" vertical="center"/>
      <protection locked="0"/>
    </xf>
    <xf numFmtId="49" fontId="69" fillId="12" borderId="0" xfId="442" applyNumberFormat="1" applyFont="1" applyFill="1" applyBorder="1" applyAlignment="1" applyProtection="1">
      <alignment horizontal="left" vertical="center"/>
      <protection locked="0"/>
    </xf>
    <xf numFmtId="49" fontId="70" fillId="12" borderId="0" xfId="441" applyNumberFormat="1" applyFont="1" applyFill="1" applyBorder="1" applyAlignment="1" applyProtection="1">
      <alignment horizontal="left" vertical="center"/>
      <protection locked="0"/>
    </xf>
    <xf numFmtId="49" fontId="38" fillId="0" borderId="6" xfId="0" quotePrefix="1" applyNumberFormat="1" applyFont="1" applyFill="1" applyBorder="1" applyAlignment="1">
      <alignment horizontal="center" vertical="center"/>
    </xf>
    <xf numFmtId="49" fontId="59" fillId="0" borderId="6" xfId="0" quotePrefix="1" applyNumberFormat="1" applyFont="1" applyFill="1" applyBorder="1" applyAlignment="1">
      <alignment horizontal="center" vertical="center"/>
    </xf>
    <xf numFmtId="49" fontId="29" fillId="0" borderId="6" xfId="225" quotePrefix="1" applyNumberFormat="1" applyFont="1" applyBorder="1" applyAlignment="1" applyProtection="1">
      <protection locked="0"/>
    </xf>
    <xf numFmtId="0" fontId="18" fillId="0" borderId="6" xfId="261" quotePrefix="1" applyFont="1" applyFill="1" applyBorder="1" applyAlignment="1">
      <alignment horizontal="center" vertical="center" wrapText="1"/>
    </xf>
    <xf numFmtId="0" fontId="35" fillId="0" borderId="0" xfId="0" quotePrefix="1" applyFont="1" applyFill="1" applyAlignment="1">
      <alignment vertical="center"/>
    </xf>
    <xf numFmtId="0" fontId="64" fillId="12" borderId="0" xfId="442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left" vertical="center"/>
    </xf>
    <xf numFmtId="0" fontId="71" fillId="12" borderId="0" xfId="0" applyFont="1" applyFill="1" applyAlignment="1">
      <alignment horizontal="left" vertical="center"/>
    </xf>
    <xf numFmtId="0" fontId="73" fillId="12" borderId="25" xfId="0" applyFont="1" applyFill="1" applyBorder="1" applyAlignment="1" applyProtection="1">
      <alignment horizontal="center" vertical="center"/>
      <protection locked="0"/>
    </xf>
    <xf numFmtId="0" fontId="73" fillId="12" borderId="26" xfId="0" applyFont="1" applyFill="1" applyBorder="1" applyAlignment="1" applyProtection="1">
      <alignment horizontal="center" vertical="center"/>
      <protection locked="0"/>
    </xf>
    <xf numFmtId="0" fontId="81" fillId="12" borderId="0" xfId="442" applyNumberFormat="1" applyFont="1" applyFill="1" applyBorder="1" applyAlignment="1" applyProtection="1">
      <alignment horizontal="right" vertical="center"/>
      <protection locked="0"/>
    </xf>
    <xf numFmtId="0" fontId="17" fillId="12" borderId="27" xfId="440" applyNumberFormat="1" applyFont="1" applyFill="1" applyBorder="1" applyAlignment="1" applyProtection="1">
      <alignment horizontal="left" vertical="center"/>
      <protection locked="0"/>
    </xf>
    <xf numFmtId="0" fontId="17" fillId="12" borderId="10" xfId="440" applyNumberFormat="1" applyFont="1" applyFill="1" applyBorder="1" applyAlignment="1" applyProtection="1">
      <alignment horizontal="left" vertical="center"/>
      <protection locked="0"/>
    </xf>
    <xf numFmtId="43" fontId="74" fillId="12" borderId="11" xfId="0" applyNumberFormat="1" applyFont="1" applyFill="1" applyBorder="1" applyAlignment="1" applyProtection="1">
      <alignment horizontal="left" vertical="center" shrinkToFit="1"/>
    </xf>
    <xf numFmtId="43" fontId="74" fillId="12" borderId="12" xfId="0" applyNumberFormat="1" applyFont="1" applyFill="1" applyBorder="1" applyAlignment="1" applyProtection="1">
      <alignment horizontal="left" vertical="center" shrinkToFit="1"/>
    </xf>
    <xf numFmtId="43" fontId="74" fillId="12" borderId="28" xfId="0" applyNumberFormat="1" applyFont="1" applyFill="1" applyBorder="1" applyAlignment="1" applyProtection="1">
      <alignment horizontal="left" vertical="center" shrinkToFit="1"/>
    </xf>
    <xf numFmtId="0" fontId="85" fillId="12" borderId="0" xfId="442" applyNumberFormat="1" applyFont="1" applyFill="1" applyBorder="1" applyAlignment="1" applyProtection="1">
      <alignment horizontal="left" vertical="center"/>
      <protection locked="0"/>
    </xf>
    <xf numFmtId="0" fontId="17" fillId="12" borderId="29" xfId="440" applyNumberFormat="1" applyFont="1" applyFill="1" applyBorder="1" applyAlignment="1" applyProtection="1">
      <alignment horizontal="left" vertical="center"/>
      <protection locked="0"/>
    </xf>
    <xf numFmtId="0" fontId="17" fillId="12" borderId="30" xfId="440" applyNumberFormat="1" applyFont="1" applyFill="1" applyBorder="1" applyAlignment="1" applyProtection="1">
      <alignment horizontal="left" vertical="center"/>
      <protection locked="0"/>
    </xf>
    <xf numFmtId="179" fontId="74" fillId="12" borderId="31" xfId="0" applyNumberFormat="1" applyFont="1" applyFill="1" applyBorder="1" applyAlignment="1" applyProtection="1">
      <alignment horizontal="right" vertical="center" shrinkToFit="1"/>
    </xf>
    <xf numFmtId="179" fontId="74" fillId="12" borderId="32" xfId="0" applyNumberFormat="1" applyFont="1" applyFill="1" applyBorder="1" applyAlignment="1" applyProtection="1">
      <alignment horizontal="right" vertical="center" shrinkToFit="1"/>
    </xf>
    <xf numFmtId="179" fontId="74" fillId="12" borderId="33" xfId="0" applyNumberFormat="1" applyFont="1" applyFill="1" applyBorder="1" applyAlignment="1" applyProtection="1">
      <alignment horizontal="right" vertical="center" shrinkToFit="1"/>
    </xf>
    <xf numFmtId="0" fontId="71" fillId="12" borderId="0" xfId="96" applyFont="1" applyFill="1" applyBorder="1" applyAlignment="1">
      <alignment horizontal="left" vertical="center"/>
    </xf>
    <xf numFmtId="0" fontId="71" fillId="12" borderId="0" xfId="96" applyFont="1" applyFill="1" applyAlignment="1">
      <alignment horizontal="left" vertical="center"/>
    </xf>
    <xf numFmtId="0" fontId="28" fillId="12" borderId="27" xfId="441" applyNumberFormat="1" applyFont="1" applyFill="1" applyBorder="1" applyAlignment="1" applyProtection="1">
      <alignment horizontal="left" vertical="center"/>
      <protection locked="0"/>
    </xf>
    <xf numFmtId="0" fontId="28" fillId="12" borderId="10" xfId="441" applyNumberFormat="1" applyFont="1" applyFill="1" applyBorder="1" applyAlignment="1" applyProtection="1">
      <alignment horizontal="left" vertical="center"/>
      <protection locked="0"/>
    </xf>
    <xf numFmtId="0" fontId="28" fillId="12" borderId="34" xfId="441" applyNumberFormat="1" applyFont="1" applyFill="1" applyBorder="1" applyAlignment="1" applyProtection="1">
      <alignment horizontal="left" vertical="center"/>
      <protection locked="0"/>
    </xf>
    <xf numFmtId="0" fontId="28" fillId="12" borderId="35" xfId="441" applyNumberFormat="1" applyFont="1" applyFill="1" applyBorder="1" applyAlignment="1" applyProtection="1">
      <alignment horizontal="left" vertical="center"/>
      <protection locked="0"/>
    </xf>
    <xf numFmtId="0" fontId="28" fillId="12" borderId="36" xfId="441" applyNumberFormat="1" applyFont="1" applyFill="1" applyBorder="1" applyAlignment="1" applyProtection="1">
      <alignment horizontal="left" vertical="center"/>
      <protection locked="0"/>
    </xf>
    <xf numFmtId="0" fontId="71" fillId="12" borderId="0" xfId="96" applyFont="1" applyFill="1" applyBorder="1" applyAlignment="1">
      <alignment horizontal="left" vertical="center" wrapText="1"/>
    </xf>
    <xf numFmtId="0" fontId="71" fillId="12" borderId="0" xfId="96" applyFont="1" applyFill="1" applyAlignment="1">
      <alignment horizontal="left" vertical="center" wrapText="1"/>
    </xf>
    <xf numFmtId="0" fontId="7" fillId="12" borderId="38" xfId="115" applyFont="1" applyFill="1" applyBorder="1" applyAlignment="1">
      <alignment vertical="center"/>
    </xf>
    <xf numFmtId="0" fontId="7" fillId="12" borderId="6" xfId="115" applyFont="1" applyFill="1" applyBorder="1" applyAlignment="1">
      <alignment vertical="center"/>
    </xf>
    <xf numFmtId="0" fontId="7" fillId="12" borderId="11" xfId="115" applyFont="1" applyFill="1" applyBorder="1" applyAlignment="1">
      <alignment horizontal="left" vertical="center"/>
    </xf>
    <xf numFmtId="0" fontId="7" fillId="12" borderId="12" xfId="115" applyFont="1" applyFill="1" applyBorder="1" applyAlignment="1">
      <alignment horizontal="left" vertical="center"/>
    </xf>
    <xf numFmtId="0" fontId="7" fillId="12" borderId="13" xfId="115" applyFont="1" applyFill="1" applyBorder="1" applyAlignment="1">
      <alignment horizontal="left" vertical="center"/>
    </xf>
    <xf numFmtId="49" fontId="23" fillId="12" borderId="0" xfId="442" applyNumberFormat="1" applyFont="1" applyFill="1" applyBorder="1" applyAlignment="1" applyProtection="1">
      <alignment horizontal="left" vertical="center"/>
      <protection locked="0"/>
    </xf>
    <xf numFmtId="0" fontId="7" fillId="12" borderId="40" xfId="115" applyFont="1" applyFill="1" applyBorder="1" applyAlignment="1">
      <alignment vertical="center"/>
    </xf>
    <xf numFmtId="0" fontId="7" fillId="12" borderId="41" xfId="115" applyFont="1" applyFill="1" applyBorder="1" applyAlignment="1">
      <alignment vertical="center"/>
    </xf>
    <xf numFmtId="189" fontId="28" fillId="12" borderId="42" xfId="441" applyNumberFormat="1" applyFont="1" applyFill="1" applyBorder="1" applyAlignment="1" applyProtection="1">
      <alignment horizontal="left" vertical="center"/>
      <protection locked="0"/>
    </xf>
    <xf numFmtId="189" fontId="28" fillId="12" borderId="43" xfId="441" applyNumberFormat="1" applyFont="1" applyFill="1" applyBorder="1" applyAlignment="1" applyProtection="1">
      <alignment horizontal="left" vertical="center"/>
      <protection locked="0"/>
    </xf>
    <xf numFmtId="189" fontId="28" fillId="12" borderId="44" xfId="441" applyNumberFormat="1" applyFont="1" applyFill="1" applyBorder="1" applyAlignment="1" applyProtection="1">
      <alignment horizontal="left" vertical="center"/>
      <protection locked="0"/>
    </xf>
    <xf numFmtId="49" fontId="29" fillId="12" borderId="0" xfId="441" applyNumberFormat="1" applyFont="1" applyFill="1" applyBorder="1" applyAlignment="1" applyProtection="1">
      <alignment horizontal="left" vertical="center"/>
      <protection locked="0"/>
    </xf>
    <xf numFmtId="0" fontId="66" fillId="12" borderId="0" xfId="442" applyNumberFormat="1" applyFont="1" applyFill="1" applyBorder="1" applyAlignment="1" applyProtection="1">
      <alignment horizontal="center" vertical="center"/>
      <protection locked="0"/>
    </xf>
    <xf numFmtId="0" fontId="77" fillId="0" borderId="46" xfId="439" applyFont="1" applyFill="1" applyBorder="1" applyAlignment="1">
      <alignment horizontal="center" vertical="center" wrapText="1"/>
    </xf>
    <xf numFmtId="43" fontId="54" fillId="0" borderId="6" xfId="439" applyNumberFormat="1" applyFont="1" applyFill="1" applyBorder="1" applyAlignment="1">
      <alignment horizontal="left" vertical="center"/>
    </xf>
    <xf numFmtId="43" fontId="78" fillId="0" borderId="6" xfId="439" applyNumberFormat="1" applyFont="1" applyFill="1" applyBorder="1" applyAlignment="1">
      <alignment horizontal="center" vertical="center"/>
    </xf>
    <xf numFmtId="10" fontId="78" fillId="0" borderId="6" xfId="439" applyNumberFormat="1" applyFont="1" applyFill="1" applyBorder="1" applyAlignment="1">
      <alignment horizontal="center" vertical="center"/>
    </xf>
    <xf numFmtId="0" fontId="41" fillId="13" borderId="38" xfId="439" applyFont="1" applyFill="1" applyBorder="1" applyAlignment="1">
      <alignment horizontal="center" vertical="center"/>
    </xf>
    <xf numFmtId="0" fontId="41" fillId="13" borderId="6" xfId="439" applyFont="1" applyFill="1" applyBorder="1" applyAlignment="1">
      <alignment horizontal="center" vertical="center"/>
    </xf>
    <xf numFmtId="0" fontId="41" fillId="13" borderId="40" xfId="439" applyFont="1" applyFill="1" applyBorder="1" applyAlignment="1">
      <alignment horizontal="center" vertical="center"/>
    </xf>
    <xf numFmtId="0" fontId="41" fillId="13" borderId="41" xfId="439" applyFont="1" applyFill="1" applyBorder="1" applyAlignment="1">
      <alignment horizontal="center" vertical="center"/>
    </xf>
    <xf numFmtId="0" fontId="54" fillId="0" borderId="6" xfId="439" applyFont="1" applyFill="1" applyBorder="1" applyAlignment="1">
      <alignment horizontal="center" vertical="center"/>
    </xf>
    <xf numFmtId="0" fontId="7" fillId="12" borderId="0" xfId="0" applyFont="1" applyFill="1" applyAlignment="1">
      <alignment horizontal="left" vertical="center" wrapText="1"/>
    </xf>
    <xf numFmtId="0" fontId="25" fillId="11" borderId="6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22" fillId="11" borderId="6" xfId="0" applyNumberFormat="1" applyFont="1" applyFill="1" applyBorder="1" applyAlignment="1">
      <alignment horizontal="center" vertical="center" wrapText="1"/>
    </xf>
    <xf numFmtId="4" fontId="29" fillId="0" borderId="6" xfId="0" applyNumberFormat="1" applyFont="1" applyFill="1" applyBorder="1" applyAlignment="1">
      <alignment horizontal="center" vertical="center" wrapText="1"/>
    </xf>
    <xf numFmtId="4" fontId="61" fillId="0" borderId="6" xfId="0" applyNumberFormat="1" applyFont="1" applyFill="1" applyBorder="1" applyAlignment="1">
      <alignment horizontal="center" vertical="center" wrapText="1"/>
    </xf>
    <xf numFmtId="4" fontId="22" fillId="11" borderId="15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26" fillId="11" borderId="6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/>
    <xf numFmtId="0" fontId="24" fillId="11" borderId="6" xfId="0" applyFont="1" applyFill="1" applyBorder="1" applyAlignment="1">
      <alignment horizontal="center" vertical="center" wrapText="1"/>
    </xf>
    <xf numFmtId="0" fontId="53" fillId="11" borderId="13" xfId="0" applyFont="1" applyFill="1" applyBorder="1" applyAlignment="1">
      <alignment horizontal="center" vertical="center" wrapText="1"/>
    </xf>
    <xf numFmtId="177" fontId="27" fillId="8" borderId="0" xfId="261" applyNumberFormat="1" applyFont="1" applyFill="1" applyBorder="1" applyAlignment="1">
      <alignment horizontal="center" vertical="center"/>
    </xf>
    <xf numFmtId="0" fontId="16" fillId="6" borderId="11" xfId="354" applyNumberFormat="1" applyFont="1" applyFill="1" applyBorder="1" applyAlignment="1" applyProtection="1">
      <alignment horizontal="center" vertical="center" wrapText="1"/>
    </xf>
    <xf numFmtId="0" fontId="16" fillId="6" borderId="12" xfId="354" applyNumberFormat="1" applyFont="1" applyFill="1" applyBorder="1" applyAlignment="1" applyProtection="1">
      <alignment horizontal="center" vertical="center" wrapText="1"/>
    </xf>
    <xf numFmtId="0" fontId="16" fillId="6" borderId="13" xfId="354" applyNumberFormat="1" applyFont="1" applyFill="1" applyBorder="1" applyAlignment="1" applyProtection="1">
      <alignment horizontal="center" vertical="center" wrapText="1"/>
    </xf>
    <xf numFmtId="0" fontId="17" fillId="6" borderId="11" xfId="354" applyNumberFormat="1" applyFont="1" applyFill="1" applyBorder="1" applyAlignment="1" applyProtection="1">
      <alignment horizontal="center" vertical="center" wrapText="1"/>
    </xf>
    <xf numFmtId="0" fontId="17" fillId="6" borderId="12" xfId="354" applyNumberFormat="1" applyFont="1" applyFill="1" applyBorder="1" applyAlignment="1" applyProtection="1">
      <alignment horizontal="center" vertical="center" wrapText="1"/>
    </xf>
    <xf numFmtId="0" fontId="17" fillId="6" borderId="13" xfId="354" applyNumberFormat="1" applyFont="1" applyFill="1" applyBorder="1" applyAlignment="1" applyProtection="1">
      <alignment horizontal="center" vertical="center" wrapText="1"/>
    </xf>
    <xf numFmtId="184" fontId="15" fillId="6" borderId="5" xfId="63" applyNumberFormat="1" applyFont="1" applyFill="1" applyBorder="1" applyAlignment="1" applyProtection="1">
      <alignment horizontal="center" vertical="center"/>
    </xf>
    <xf numFmtId="184" fontId="15" fillId="6" borderId="10" xfId="63" applyNumberFormat="1" applyFont="1" applyFill="1" applyBorder="1" applyAlignment="1" applyProtection="1">
      <alignment horizontal="center" vertical="center"/>
    </xf>
    <xf numFmtId="184" fontId="12" fillId="6" borderId="5" xfId="63" applyNumberFormat="1" applyFont="1" applyFill="1" applyBorder="1" applyAlignment="1" applyProtection="1">
      <alignment horizontal="center" vertical="center"/>
    </xf>
    <xf numFmtId="184" fontId="12" fillId="6" borderId="10" xfId="63" applyNumberFormat="1" applyFont="1" applyFill="1" applyBorder="1" applyAlignment="1" applyProtection="1">
      <alignment horizontal="center" vertical="center"/>
    </xf>
    <xf numFmtId="0" fontId="12" fillId="6" borderId="5" xfId="63" applyNumberFormat="1" applyFont="1" applyFill="1" applyBorder="1" applyAlignment="1" applyProtection="1">
      <alignment horizontal="center" vertical="center" wrapText="1"/>
    </xf>
    <xf numFmtId="0" fontId="12" fillId="6" borderId="10" xfId="63" applyNumberFormat="1" applyFont="1" applyFill="1" applyBorder="1" applyAlignment="1" applyProtection="1">
      <alignment horizontal="center" vertical="center" wrapText="1"/>
    </xf>
    <xf numFmtId="0" fontId="16" fillId="6" borderId="5" xfId="354" applyNumberFormat="1" applyFont="1" applyFill="1" applyBorder="1" applyAlignment="1" applyProtection="1">
      <alignment horizontal="center" vertical="center" wrapText="1"/>
    </xf>
    <xf numFmtId="0" fontId="16" fillId="6" borderId="10" xfId="354" applyNumberFormat="1" applyFont="1" applyFill="1" applyBorder="1" applyAlignment="1" applyProtection="1">
      <alignment horizontal="center" vertical="center" wrapText="1"/>
    </xf>
    <xf numFmtId="0" fontId="17" fillId="6" borderId="5" xfId="354" applyNumberFormat="1" applyFont="1" applyFill="1" applyBorder="1" applyAlignment="1" applyProtection="1">
      <alignment horizontal="center" vertical="center" wrapText="1"/>
    </xf>
    <xf numFmtId="0" fontId="17" fillId="6" borderId="10" xfId="354" applyNumberFormat="1" applyFont="1" applyFill="1" applyBorder="1" applyAlignment="1" applyProtection="1">
      <alignment horizontal="center" vertical="center" wrapText="1"/>
    </xf>
    <xf numFmtId="14" fontId="16" fillId="6" borderId="5" xfId="354" applyNumberFormat="1" applyFont="1" applyFill="1" applyBorder="1" applyAlignment="1" applyProtection="1">
      <alignment horizontal="center" vertical="center" wrapText="1"/>
    </xf>
    <xf numFmtId="14" fontId="16" fillId="6" borderId="10" xfId="354" applyNumberFormat="1" applyFont="1" applyFill="1" applyBorder="1" applyAlignment="1" applyProtection="1">
      <alignment horizontal="center" vertical="center" wrapText="1"/>
    </xf>
    <xf numFmtId="183" fontId="17" fillId="6" borderId="5" xfId="354" applyNumberFormat="1" applyFont="1" applyFill="1" applyBorder="1" applyAlignment="1" applyProtection="1">
      <alignment horizontal="center" vertical="center" wrapText="1"/>
    </xf>
    <xf numFmtId="183" fontId="17" fillId="6" borderId="10" xfId="354" applyNumberFormat="1" applyFont="1" applyFill="1" applyBorder="1" applyAlignment="1" applyProtection="1">
      <alignment horizontal="center" vertical="center" wrapText="1"/>
    </xf>
    <xf numFmtId="0" fontId="15" fillId="6" borderId="5" xfId="63" applyNumberFormat="1" applyFont="1" applyFill="1" applyBorder="1" applyAlignment="1" applyProtection="1">
      <alignment horizontal="center" vertical="center" wrapText="1"/>
    </xf>
    <xf numFmtId="0" fontId="15" fillId="6" borderId="10" xfId="63" applyNumberFormat="1" applyFont="1" applyFill="1" applyBorder="1" applyAlignment="1" applyProtection="1">
      <alignment horizontal="center" vertical="center" wrapText="1"/>
    </xf>
    <xf numFmtId="183" fontId="12" fillId="6" borderId="5" xfId="63" applyNumberFormat="1" applyFont="1" applyFill="1" applyBorder="1" applyAlignment="1" applyProtection="1">
      <alignment horizontal="center" vertical="center" wrapText="1"/>
    </xf>
    <xf numFmtId="183" fontId="12" fillId="6" borderId="10" xfId="63" applyNumberFormat="1" applyFont="1" applyFill="1" applyBorder="1" applyAlignment="1" applyProtection="1">
      <alignment horizontal="center" vertical="center" wrapText="1"/>
    </xf>
    <xf numFmtId="49" fontId="16" fillId="6" borderId="5" xfId="354" applyNumberFormat="1" applyFont="1" applyFill="1" applyBorder="1" applyAlignment="1" applyProtection="1">
      <alignment horizontal="center" vertical="center" wrapText="1"/>
    </xf>
    <xf numFmtId="49" fontId="16" fillId="6" borderId="10" xfId="354" applyNumberFormat="1" applyFont="1" applyFill="1" applyBorder="1" applyAlignment="1" applyProtection="1">
      <alignment horizontal="center" vertical="center" wrapText="1"/>
    </xf>
    <xf numFmtId="4" fontId="29" fillId="10" borderId="6" xfId="0" applyNumberFormat="1" applyFont="1" applyFill="1" applyBorder="1" applyAlignment="1">
      <alignment horizontal="center" vertical="center" wrapText="1"/>
    </xf>
    <xf numFmtId="49" fontId="27" fillId="3" borderId="6" xfId="316" applyNumberFormat="1" applyFont="1" applyFill="1" applyBorder="1" applyAlignment="1" applyProtection="1">
      <alignment horizontal="center" vertical="center" wrapText="1"/>
    </xf>
    <xf numFmtId="49" fontId="27" fillId="3" borderId="6" xfId="363" applyNumberFormat="1" applyFont="1" applyFill="1" applyBorder="1" applyAlignment="1" applyProtection="1">
      <alignment horizontal="center" vertical="center" wrapText="1"/>
    </xf>
    <xf numFmtId="49" fontId="33" fillId="3" borderId="6" xfId="363" applyNumberFormat="1" applyFont="1" applyFill="1" applyBorder="1" applyAlignment="1" applyProtection="1">
      <alignment horizontal="center" vertical="center" wrapText="1"/>
    </xf>
    <xf numFmtId="180" fontId="33" fillId="3" borderId="6" xfId="363" applyNumberFormat="1" applyFont="1" applyFill="1" applyBorder="1" applyAlignment="1" applyProtection="1">
      <alignment horizontal="center" vertical="center" wrapText="1"/>
    </xf>
    <xf numFmtId="182" fontId="27" fillId="3" borderId="6" xfId="363" applyNumberFormat="1" applyFont="1" applyFill="1" applyBorder="1" applyAlignment="1" applyProtection="1">
      <alignment horizontal="center" vertical="center" wrapText="1"/>
    </xf>
    <xf numFmtId="49" fontId="40" fillId="3" borderId="6" xfId="363" applyNumberFormat="1" applyFont="1" applyFill="1" applyBorder="1" applyAlignment="1" applyProtection="1">
      <alignment horizontal="center" vertical="center" wrapText="1"/>
    </xf>
    <xf numFmtId="49" fontId="33" fillId="5" borderId="6" xfId="316" applyNumberFormat="1" applyFont="1" applyFill="1" applyBorder="1" applyAlignment="1" applyProtection="1">
      <alignment horizontal="center" vertical="center" wrapText="1"/>
    </xf>
    <xf numFmtId="0" fontId="41" fillId="6" borderId="6" xfId="316" applyFont="1" applyFill="1" applyBorder="1" applyAlignment="1" applyProtection="1">
      <alignment horizontal="center" vertical="center" wrapText="1"/>
    </xf>
    <xf numFmtId="0" fontId="41" fillId="6" borderId="6" xfId="0" applyFont="1" applyFill="1" applyBorder="1" applyAlignment="1" applyProtection="1">
      <alignment horizontal="center" vertical="center" wrapText="1"/>
    </xf>
    <xf numFmtId="0" fontId="41" fillId="6" borderId="6" xfId="0" applyFont="1" applyFill="1" applyBorder="1" applyAlignment="1" applyProtection="1">
      <alignment horizontal="center" vertical="center"/>
    </xf>
    <xf numFmtId="49" fontId="8" fillId="4" borderId="6" xfId="316" applyNumberFormat="1" applyFont="1" applyFill="1" applyBorder="1" applyAlignment="1" applyProtection="1">
      <alignment horizontal="center" vertical="center" wrapText="1"/>
    </xf>
    <xf numFmtId="49" fontId="8" fillId="4" borderId="6" xfId="363" applyNumberFormat="1" applyFont="1" applyFill="1" applyBorder="1" applyAlignment="1" applyProtection="1">
      <alignment horizontal="center" vertical="center" wrapText="1"/>
    </xf>
    <xf numFmtId="49" fontId="8" fillId="3" borderId="5" xfId="363" applyNumberFormat="1" applyFont="1" applyFill="1" applyBorder="1" applyAlignment="1" applyProtection="1">
      <alignment horizontal="center" vertical="center" wrapText="1"/>
    </xf>
    <xf numFmtId="49" fontId="8" fillId="3" borderId="7" xfId="363" applyNumberFormat="1" applyFont="1" applyFill="1" applyBorder="1" applyAlignment="1" applyProtection="1">
      <alignment horizontal="center" vertical="center" wrapText="1"/>
    </xf>
    <xf numFmtId="49" fontId="8" fillId="3" borderId="6" xfId="363" applyNumberFormat="1" applyFont="1" applyFill="1" applyBorder="1" applyAlignment="1" applyProtection="1">
      <alignment horizontal="center" vertical="center" wrapText="1"/>
    </xf>
    <xf numFmtId="49" fontId="8" fillId="4" borderId="5" xfId="363" applyNumberFormat="1" applyFont="1" applyFill="1" applyBorder="1" applyAlignment="1" applyProtection="1">
      <alignment horizontal="center" vertical="center" wrapText="1"/>
    </xf>
    <xf numFmtId="49" fontId="8" fillId="4" borderId="7" xfId="363" applyNumberFormat="1" applyFont="1" applyFill="1" applyBorder="1" applyAlignment="1" applyProtection="1">
      <alignment horizontal="center" vertical="center" wrapText="1"/>
    </xf>
    <xf numFmtId="180" fontId="8" fillId="3" borderId="6" xfId="363" applyNumberFormat="1" applyFont="1" applyFill="1" applyBorder="1" applyAlignment="1" applyProtection="1">
      <alignment horizontal="center" vertical="center" wrapText="1"/>
    </xf>
    <xf numFmtId="182" fontId="8" fillId="4" borderId="6" xfId="363" applyNumberFormat="1" applyFont="1" applyFill="1" applyBorder="1" applyAlignment="1" applyProtection="1">
      <alignment horizontal="center" vertical="center" wrapText="1"/>
    </xf>
    <xf numFmtId="49" fontId="8" fillId="3" borderId="8" xfId="363" applyNumberFormat="1" applyFont="1" applyFill="1" applyBorder="1" applyAlignment="1" applyProtection="1">
      <alignment horizontal="center" vertical="center" wrapText="1"/>
    </xf>
    <xf numFmtId="49" fontId="8" fillId="3" borderId="9" xfId="363" applyNumberFormat="1" applyFont="1" applyFill="1" applyBorder="1" applyAlignment="1" applyProtection="1">
      <alignment horizontal="center" vertical="center" wrapText="1"/>
    </xf>
    <xf numFmtId="49" fontId="8" fillId="5" borderId="6" xfId="316" applyNumberFormat="1" applyFont="1" applyFill="1" applyBorder="1" applyAlignment="1" applyProtection="1">
      <alignment horizontal="center" vertical="center" wrapText="1"/>
    </xf>
    <xf numFmtId="0" fontId="8" fillId="6" borderId="6" xfId="316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3">
    <cellStyle name=" 3]_x000d__x000a_Zoomed=1_x000d__x000a_Row=128_x000d__x000a_Column=101_x000d__x000a_Height=300_x000d__x000a_Width=301_x000d__x000a_FontName=System_x000d__x000a_FontStyle=1_x000d__x000a_FontSize=12_x000d__x000a_PrtFontNa" xfId="36"/>
    <cellStyle name="??&amp;O龡&amp;H?_x0008_??_x0007__x0001__x0001_" xfId="41"/>
    <cellStyle name="??_x005f_x0011_?_x005f_x0010_?" xfId="63"/>
    <cellStyle name="_ET_STYLE_NoName_00_" xfId="54"/>
    <cellStyle name="_ET_STYLE_NoName_00__北区长促工资1004_3" xfId="64"/>
    <cellStyle name="_ET_STYLE_NoName_00__南区长促工资1004_5" xfId="58"/>
    <cellStyle name="_ET_STYLE_NoName_-01_ 3 3 3 2" xfId="5"/>
    <cellStyle name="0,0_x000a__x000a_NA_x000a__x000a_" xfId="67"/>
    <cellStyle name="0,0_x000d__x000a_NA_x000d__x000a_" xfId="22"/>
    <cellStyle name="20% - 强调文字颜色 1 2" xfId="2"/>
    <cellStyle name="20% - 强调文字颜色 1 2 2" xfId="69"/>
    <cellStyle name="20% - 强调文字颜色 1 2 3" xfId="59"/>
    <cellStyle name="20% - 强调文字颜色 1 3" xfId="61"/>
    <cellStyle name="20% - 强调文字颜色 1 3 2" xfId="65"/>
    <cellStyle name="20% - 强调文字颜色 1 4" xfId="60"/>
    <cellStyle name="20% - 强调文字颜色 1 5" xfId="56"/>
    <cellStyle name="20% - 强调文字颜色 2 2" xfId="71"/>
    <cellStyle name="20% - 强调文字颜色 2 2 2" xfId="73"/>
    <cellStyle name="20% - 强调文字颜色 2 2 3" xfId="75"/>
    <cellStyle name="20% - 强调文字颜色 2 3" xfId="77"/>
    <cellStyle name="20% - 强调文字颜色 2 3 2" xfId="79"/>
    <cellStyle name="20% - 强调文字颜色 2 4" xfId="81"/>
    <cellStyle name="20% - 强调文字颜色 2 5" xfId="83"/>
    <cellStyle name="20% - 强调文字颜色 3 2" xfId="85"/>
    <cellStyle name="20% - 强调文字颜色 3 2 2" xfId="87"/>
    <cellStyle name="20% - 强调文字颜色 3 2 3" xfId="89"/>
    <cellStyle name="20% - 强调文字颜色 3 3" xfId="32"/>
    <cellStyle name="20% - 强调文字颜色 3 3 2" xfId="52"/>
    <cellStyle name="20% - 强调文字颜色 3 4" xfId="92"/>
    <cellStyle name="20% - 强调文字颜色 3 5" xfId="94"/>
    <cellStyle name="20% - 强调文字颜色 4 2" xfId="97"/>
    <cellStyle name="20% - 强调文字颜色 4 2 2" xfId="100"/>
    <cellStyle name="20% - 强调文字颜色 4 2 3" xfId="103"/>
    <cellStyle name="20% - 强调文字颜色 4 3" xfId="106"/>
    <cellStyle name="20% - 强调文字颜色 4 3 2" xfId="108"/>
    <cellStyle name="20% - 强调文字颜色 4 4" xfId="111"/>
    <cellStyle name="20% - 强调文字颜色 4 5" xfId="15"/>
    <cellStyle name="20% - 强调文字颜色 5 2" xfId="113"/>
    <cellStyle name="20% - 强调文字颜色 5 2 2" xfId="116"/>
    <cellStyle name="20% - 强调文字颜色 5 2 3" xfId="117"/>
    <cellStyle name="20% - 强调文字颜色 5 3" xfId="119"/>
    <cellStyle name="20% - 强调文字颜色 5 3 2" xfId="122"/>
    <cellStyle name="20% - 强调文字颜色 5 4" xfId="124"/>
    <cellStyle name="20% - 强调文字颜色 5 5" xfId="126"/>
    <cellStyle name="20% - 强调文字颜色 6 2" xfId="127"/>
    <cellStyle name="20% - 强调文字颜色 6 2 2" xfId="129"/>
    <cellStyle name="20% - 强调文字颜色 6 2 3" xfId="131"/>
    <cellStyle name="20% - 强调文字颜色 6 3" xfId="132"/>
    <cellStyle name="20% - 强调文字颜色 6 3 2" xfId="134"/>
    <cellStyle name="20% - 强调文字颜色 6 4" xfId="137"/>
    <cellStyle name="20% - 强调文字颜色 6 5" xfId="140"/>
    <cellStyle name="3232" xfId="115"/>
    <cellStyle name="40% - 强调文字颜色 1 2" xfId="141"/>
    <cellStyle name="40% - 强调文字颜色 1 2 2" xfId="142"/>
    <cellStyle name="40% - 强调文字颜色 1 2 3" xfId="143"/>
    <cellStyle name="40% - 强调文字颜色 1 3" xfId="144"/>
    <cellStyle name="40% - 强调文字颜色 1 3 2" xfId="145"/>
    <cellStyle name="40% - 强调文字颜色 1 4" xfId="146"/>
    <cellStyle name="40% - 强调文字颜色 1 5" xfId="147"/>
    <cellStyle name="40% - 强调文字颜色 2 2" xfId="57"/>
    <cellStyle name="40% - 强调文字颜色 2 2 2" xfId="148"/>
    <cellStyle name="40% - 强调文字颜色 2 2 3" xfId="149"/>
    <cellStyle name="40% - 强调文字颜色 2 3" xfId="150"/>
    <cellStyle name="40% - 强调文字颜色 2 3 2" xfId="151"/>
    <cellStyle name="40% - 强调文字颜色 2 4" xfId="152"/>
    <cellStyle name="40% - 强调文字颜色 2 5" xfId="153"/>
    <cellStyle name="40% - 强调文字颜色 3 2" xfId="155"/>
    <cellStyle name="40% - 强调文字颜色 3 2 2" xfId="157"/>
    <cellStyle name="40% - 强调文字颜色 3 2 3" xfId="158"/>
    <cellStyle name="40% - 强调文字颜色 3 3" xfId="160"/>
    <cellStyle name="40% - 强调文字颜色 3 3 2" xfId="162"/>
    <cellStyle name="40% - 强调文字颜色 3 4" xfId="165"/>
    <cellStyle name="40% - 强调文字颜色 3 5" xfId="166"/>
    <cellStyle name="40% - 强调文字颜色 4 2" xfId="26"/>
    <cellStyle name="40% - 强调文字颜色 4 2 2" xfId="171"/>
    <cellStyle name="40% - 强调文字颜色 4 2 3" xfId="175"/>
    <cellStyle name="40% - 强调文字颜色 4 3" xfId="178"/>
    <cellStyle name="40% - 强调文字颜色 4 3 2" xfId="40"/>
    <cellStyle name="40% - 强调文字颜色 4 4" xfId="128"/>
    <cellStyle name="40% - 强调文字颜色 4 5" xfId="130"/>
    <cellStyle name="40% - 强调文字颜色 5 2" xfId="181"/>
    <cellStyle name="40% - 强调文字颜色 5 2 2" xfId="139"/>
    <cellStyle name="40% - 强调文字颜色 5 2 3" xfId="183"/>
    <cellStyle name="40% - 强调文字颜色 5 3" xfId="185"/>
    <cellStyle name="40% - 强调文字颜色 5 3 2" xfId="187"/>
    <cellStyle name="40% - 强调文字颜色 5 4" xfId="133"/>
    <cellStyle name="40% - 强调文字颜色 5 5" xfId="188"/>
    <cellStyle name="40% - 强调文字颜色 6 2" xfId="191"/>
    <cellStyle name="40% - 强调文字颜色 6 2 2" xfId="192"/>
    <cellStyle name="40% - 强调文字颜色 6 2 3" xfId="193"/>
    <cellStyle name="40% - 强调文字颜色 6 3" xfId="196"/>
    <cellStyle name="40% - 强调文字颜色 6 3 2" xfId="198"/>
    <cellStyle name="40% - 强调文字颜色 6 4" xfId="201"/>
    <cellStyle name="40% - 强调文字颜色 6 5" xfId="30"/>
    <cellStyle name="60% - 强调文字颜色 1 2" xfId="91"/>
    <cellStyle name="60% - 强调文字颜色 1 2 2" xfId="202"/>
    <cellStyle name="60% - 强调文字颜色 1 2 3" xfId="203"/>
    <cellStyle name="60% - 强调文字颜色 1 3" xfId="93"/>
    <cellStyle name="60% - 强调文字颜色 1 3 2" xfId="204"/>
    <cellStyle name="60% - 强调文字颜色 1 4" xfId="205"/>
    <cellStyle name="60% - 强调文字颜色 1 5" xfId="208"/>
    <cellStyle name="60% - 强调文字颜色 2 2" xfId="110"/>
    <cellStyle name="60% - 强调文字颜色 2 2 2" xfId="20"/>
    <cellStyle name="60% - 强调文字颜色 2 2 3" xfId="209"/>
    <cellStyle name="60% - 强调文字颜色 2 3" xfId="14"/>
    <cellStyle name="60% - 强调文字颜色 2 3 2" xfId="212"/>
    <cellStyle name="60% - 强调文字颜色 2 4" xfId="214"/>
    <cellStyle name="60% - 强调文字颜色 2 5" xfId="217"/>
    <cellStyle name="60% - 强调文字颜色 3 2" xfId="123"/>
    <cellStyle name="60% - 强调文字颜色 3 2 2" xfId="219"/>
    <cellStyle name="60% - 强调文字颜色 3 2 3" xfId="220"/>
    <cellStyle name="60% - 强调文字颜色 3 3" xfId="125"/>
    <cellStyle name="60% - 强调文字颜色 3 3 2" xfId="221"/>
    <cellStyle name="60% - 强调文字颜色 3 4" xfId="222"/>
    <cellStyle name="60% - 强调文字颜色 3 5" xfId="223"/>
    <cellStyle name="60% - 强调文字颜色 4 2" xfId="136"/>
    <cellStyle name="60% - 强调文字颜色 4 2 2" xfId="200"/>
    <cellStyle name="60% - 强调文字颜色 4 2 3" xfId="29"/>
    <cellStyle name="60% - 强调文字颜色 4 3" xfId="138"/>
    <cellStyle name="60% - 强调文字颜色 4 3 2" xfId="224"/>
    <cellStyle name="60% - 强调文字颜色 4 4" xfId="182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6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2"/>
    <cellStyle name="60% - 强调文字颜色 6 4" xfId="241"/>
    <cellStyle name="60% - 强调文字颜色 6 5" xfId="242"/>
    <cellStyle name="Comma_SALARYBJ" xfId="244"/>
    <cellStyle name="Normal_08'前程工资8月" xfId="238"/>
    <cellStyle name="百分比 2" xfId="246"/>
    <cellStyle name="百分比 2 2" xfId="247"/>
    <cellStyle name="百分比 3" xfId="121"/>
    <cellStyle name="百分比 4" xfId="21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3"/>
    <cellStyle name="标题 4 2 3" xfId="276"/>
    <cellStyle name="标题 4 3" xfId="278"/>
    <cellStyle name="标题 4 3 2" xfId="280"/>
    <cellStyle name="标题 4 4" xfId="170"/>
    <cellStyle name="标题 4 5" xfId="174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2"/>
    <cellStyle name="差 3" xfId="297"/>
    <cellStyle name="差 3 2" xfId="298"/>
    <cellStyle name="差 4" xfId="245"/>
    <cellStyle name="差 5" xfId="120"/>
    <cellStyle name="常规" xfId="0" builtinId="0"/>
    <cellStyle name="常规 11" xfId="261"/>
    <cellStyle name="常规 11 2" xfId="299"/>
    <cellStyle name="常规 11 3" xfId="301"/>
    <cellStyle name="常规 12" xfId="302"/>
    <cellStyle name="常规 12 2" xfId="303"/>
    <cellStyle name="常规 12 3" xfId="304"/>
    <cellStyle name="常规 14" xfId="306"/>
    <cellStyle name="常规 14 2" xfId="307"/>
    <cellStyle name="常规 14 3" xfId="308"/>
    <cellStyle name="常规 2" xfId="309"/>
    <cellStyle name="常规 2 2" xfId="310"/>
    <cellStyle name="常规 2 2 2" xfId="311"/>
    <cellStyle name="常规 2 2 2 2" xfId="312"/>
    <cellStyle name="常规 2 2 3" xfId="313"/>
    <cellStyle name="常规 2 3" xfId="315"/>
    <cellStyle name="常规 2 3 2" xfId="318"/>
    <cellStyle name="常规 2 3 2 2" xfId="300"/>
    <cellStyle name="常规 2 3 2 3" xfId="68"/>
    <cellStyle name="常规 2 3 3" xfId="319"/>
    <cellStyle name="常规 2 3 4" xfId="320"/>
    <cellStyle name="常规 2 4" xfId="322"/>
    <cellStyle name="常规 2 4 2" xfId="323"/>
    <cellStyle name="常规 2 5" xfId="325"/>
    <cellStyle name="常规 2 5 2" xfId="327"/>
    <cellStyle name="常规 2 6" xfId="329"/>
    <cellStyle name="常规 2 6 2" xfId="331"/>
    <cellStyle name="常规 2 6 2 2" xfId="332"/>
    <cellStyle name="常规 25" xfId="163"/>
    <cellStyle name="常规 27" xfId="333"/>
    <cellStyle name="常规 3" xfId="96"/>
    <cellStyle name="常规 3 2" xfId="99"/>
    <cellStyle name="常规 3 2 2" xfId="335"/>
    <cellStyle name="常规 3 3" xfId="102"/>
    <cellStyle name="常规 3 3 2" xfId="336"/>
    <cellStyle name="常规 3 3 3" xfId="337"/>
    <cellStyle name="常规 3 4" xfId="338"/>
    <cellStyle name="常规 3 4 2" xfId="339"/>
    <cellStyle name="常规 3 4 3" xfId="9"/>
    <cellStyle name="常规 3 5" xfId="341"/>
    <cellStyle name="常规 3 5 2" xfId="343"/>
    <cellStyle name="常规 3 5 3" xfId="236"/>
    <cellStyle name="常规 4" xfId="105"/>
    <cellStyle name="常规 4 2" xfId="107"/>
    <cellStyle name="常规 4 2 2" xfId="345"/>
    <cellStyle name="常规 4 3" xfId="347"/>
    <cellStyle name="常规 4 4" xfId="344"/>
    <cellStyle name="常规 5" xfId="109"/>
    <cellStyle name="常规 5 2" xfId="19"/>
    <cellStyle name="常规 6" xfId="13"/>
    <cellStyle name="常规 6 2" xfId="211"/>
    <cellStyle name="常规 7" xfId="213"/>
    <cellStyle name="常规 7 2" xfId="348"/>
    <cellStyle name="常规 7 3" xfId="11"/>
    <cellStyle name="常规 8" xfId="216"/>
    <cellStyle name="常规 8 2" xfId="34"/>
    <cellStyle name="常规 8 3" xfId="27"/>
    <cellStyle name="常规 8 4" xfId="350"/>
    <cellStyle name="常规 9" xfId="351"/>
    <cellStyle name="常规_0705 UL South CS meeting (chonghua)" xfId="439"/>
    <cellStyle name="常规_Sheet1" xfId="363"/>
    <cellStyle name="常规_创联至信12年工资表sn803808" xfId="225"/>
    <cellStyle name="常规_付款通知书智联（神数系统）" xfId="354"/>
    <cellStyle name="常规_全国客服表格" xfId="316"/>
    <cellStyle name="好 2" xfId="55"/>
    <cellStyle name="好 2 2" xfId="355"/>
    <cellStyle name="好 2 3" xfId="180"/>
    <cellStyle name="好 3" xfId="356"/>
    <cellStyle name="好 3 2" xfId="258"/>
    <cellStyle name="好 4" xfId="357"/>
    <cellStyle name="好 5" xfId="266"/>
    <cellStyle name="汇总 2" xfId="358"/>
    <cellStyle name="汇总 2 2" xfId="277"/>
    <cellStyle name="汇总 2 2 2" xfId="279"/>
    <cellStyle name="汇总 2 3" xfId="169"/>
    <cellStyle name="汇总 2 3 2" xfId="360"/>
    <cellStyle name="汇总 2 4" xfId="173"/>
    <cellStyle name="汇总 3" xfId="252"/>
    <cellStyle name="汇总 3 2" xfId="286"/>
    <cellStyle name="汇总 3 2 2" xfId="45"/>
    <cellStyle name="汇总 3 3" xfId="39"/>
    <cellStyle name="汇总 4" xfId="361"/>
    <cellStyle name="汇总 4 2" xfId="4"/>
    <cellStyle name="汇总 5" xfId="362"/>
    <cellStyle name="汇总 5 2" xfId="365"/>
    <cellStyle name="计算 2" xfId="10"/>
    <cellStyle name="计算 2 2" xfId="154"/>
    <cellStyle name="计算 2 2 2" xfId="156"/>
    <cellStyle name="计算 2 3" xfId="159"/>
    <cellStyle name="计算 2 3 2" xfId="161"/>
    <cellStyle name="计算 2 4" xfId="164"/>
    <cellStyle name="计算 3" xfId="46"/>
    <cellStyle name="计算 3 2" xfId="25"/>
    <cellStyle name="计算 3 2 2" xfId="168"/>
    <cellStyle name="计算 3 3" xfId="177"/>
    <cellStyle name="计算 4" xfId="47"/>
    <cellStyle name="计算 4 2" xfId="179"/>
    <cellStyle name="计算 5" xfId="51"/>
    <cellStyle name="计算 5 2" xfId="190"/>
    <cellStyle name="检查单元格 2" xfId="167"/>
    <cellStyle name="检查单元格 2 2" xfId="359"/>
    <cellStyle name="检查单元格 2 3" xfId="366"/>
    <cellStyle name="检查单元格 3" xfId="172"/>
    <cellStyle name="检查单元格 3 2" xfId="35"/>
    <cellStyle name="检查单元格 4" xfId="367"/>
    <cellStyle name="检查单元格 5" xfId="368"/>
    <cellStyle name="解释性文本 2" xfId="369"/>
    <cellStyle name="解释性文本 2 2" xfId="16"/>
    <cellStyle name="解释性文本 2 3" xfId="281"/>
    <cellStyle name="解释性文本 3" xfId="197"/>
    <cellStyle name="解释性文本 3 2" xfId="370"/>
    <cellStyle name="解释性文本 4" xfId="371"/>
    <cellStyle name="解释性文本 5" xfId="294"/>
    <cellStyle name="警告文本 2" xfId="353"/>
    <cellStyle name="警告文本 2 2" xfId="207"/>
    <cellStyle name="警告文本 2 3" xfId="243"/>
    <cellStyle name="警告文本 3" xfId="373"/>
    <cellStyle name="警告文本 3 2" xfId="215"/>
    <cellStyle name="警告文本 4" xfId="374"/>
    <cellStyle name="警告文本 5" xfId="375"/>
    <cellStyle name="链接单元格 2" xfId="377"/>
    <cellStyle name="链接单元格 2 2" xfId="379"/>
    <cellStyle name="链接单元格 2 3" xfId="380"/>
    <cellStyle name="链接单元格 3" xfId="38"/>
    <cellStyle name="链接单元格 3 2" xfId="1"/>
    <cellStyle name="链接单元格 4" xfId="43"/>
    <cellStyle name="链接单元格 5" xfId="7"/>
    <cellStyle name="千位分隔 2" xfId="381"/>
    <cellStyle name="千位分隔 2 2" xfId="382"/>
    <cellStyle name="千位分隔 3" xfId="274"/>
    <cellStyle name="强调文字颜色 1 2" xfId="383"/>
    <cellStyle name="强调文字颜色 1 2 2" xfId="384"/>
    <cellStyle name="强调文字颜色 1 2 3" xfId="18"/>
    <cellStyle name="强调文字颜色 1 3" xfId="385"/>
    <cellStyle name="强调文字颜色 1 3 2" xfId="386"/>
    <cellStyle name="强调文字颜色 1 4" xfId="283"/>
    <cellStyle name="强调文字颜色 1 5" xfId="285"/>
    <cellStyle name="强调文字颜色 2 2" xfId="387"/>
    <cellStyle name="强调文字颜色 2 2 2" xfId="388"/>
    <cellStyle name="强调文字颜色 2 2 3" xfId="218"/>
    <cellStyle name="强调文字颜色 2 3" xfId="389"/>
    <cellStyle name="强调文字颜色 2 3 2" xfId="8"/>
    <cellStyle name="强调文字颜色 2 4" xfId="289"/>
    <cellStyle name="强调文字颜色 2 5" xfId="3"/>
    <cellStyle name="强调文字颜色 3 2" xfId="391"/>
    <cellStyle name="强调文字颜色 3 2 2" xfId="195"/>
    <cellStyle name="强调文字颜色 3 2 3" xfId="199"/>
    <cellStyle name="强调文字颜色 3 3" xfId="392"/>
    <cellStyle name="强调文字颜色 3 3 2" xfId="305"/>
    <cellStyle name="强调文字颜色 3 4" xfId="393"/>
    <cellStyle name="强调文字颜色 3 5" xfId="364"/>
    <cellStyle name="强调文字颜色 4 2" xfId="324"/>
    <cellStyle name="强调文字颜色 4 2 2" xfId="326"/>
    <cellStyle name="强调文字颜色 4 2 3" xfId="228"/>
    <cellStyle name="强调文字颜色 4 3" xfId="328"/>
    <cellStyle name="强调文字颜色 4 3 2" xfId="330"/>
    <cellStyle name="强调文字颜色 4 4" xfId="394"/>
    <cellStyle name="强调文字颜色 4 5" xfId="396"/>
    <cellStyle name="强调文字颜色 5 2" xfId="340"/>
    <cellStyle name="强调文字颜色 5 2 2" xfId="342"/>
    <cellStyle name="强调文字颜色 5 2 3" xfId="235"/>
    <cellStyle name="强调文字颜色 5 3" xfId="397"/>
    <cellStyle name="强调文字颜色 5 3 2" xfId="398"/>
    <cellStyle name="强调文字颜色 5 4" xfId="399"/>
    <cellStyle name="强调文字颜色 5 5" xfId="66"/>
    <cellStyle name="强调文字颜色 6 2" xfId="400"/>
    <cellStyle name="强调文字颜色 6 2 2" xfId="401"/>
    <cellStyle name="强调文字颜色 6 2 3" xfId="402"/>
    <cellStyle name="强调文字颜色 6 3" xfId="403"/>
    <cellStyle name="强调文字颜色 6 3 2" xfId="349"/>
    <cellStyle name="强调文字颜色 6 4" xfId="404"/>
    <cellStyle name="强调文字颜色 6 5" xfId="405"/>
    <cellStyle name="适中 2" xfId="50"/>
    <cellStyle name="适中 2 2" xfId="189"/>
    <cellStyle name="适中 2 3" xfId="194"/>
    <cellStyle name="适中 3" xfId="406"/>
    <cellStyle name="适中 3 2" xfId="407"/>
    <cellStyle name="适中 4" xfId="334"/>
    <cellStyle name="适中 5" xfId="408"/>
    <cellStyle name="输出 2" xfId="42"/>
    <cellStyle name="输出 2 2" xfId="70"/>
    <cellStyle name="输出 2 2 2" xfId="72"/>
    <cellStyle name="输出 2 2 2 2" xfId="409"/>
    <cellStyle name="输出 2 2 3" xfId="74"/>
    <cellStyle name="输出 2 3" xfId="76"/>
    <cellStyle name="输出 2 3 2" xfId="78"/>
    <cellStyle name="输出 2 3 2 2" xfId="410"/>
    <cellStyle name="输出 2 3 3" xfId="411"/>
    <cellStyle name="输出 2 4" xfId="80"/>
    <cellStyle name="输出 2 4 2" xfId="24"/>
    <cellStyle name="输出 2 5" xfId="82"/>
    <cellStyle name="输出 3" xfId="6"/>
    <cellStyle name="输出 3 2" xfId="84"/>
    <cellStyle name="输出 3 2 2" xfId="86"/>
    <cellStyle name="输出 3 2 2 2" xfId="412"/>
    <cellStyle name="输出 3 2 3" xfId="88"/>
    <cellStyle name="输出 3 3" xfId="31"/>
    <cellStyle name="输出 3 3 2" xfId="49"/>
    <cellStyle name="输出 3 4" xfId="90"/>
    <cellStyle name="输出 4" xfId="44"/>
    <cellStyle name="输出 4 2" xfId="95"/>
    <cellStyle name="输出 4 2 2" xfId="98"/>
    <cellStyle name="输出 4 3" xfId="104"/>
    <cellStyle name="输出 5" xfId="33"/>
    <cellStyle name="输出 5 2" xfId="112"/>
    <cellStyle name="输出 5 2 2" xfId="114"/>
    <cellStyle name="输出 5 3" xfId="118"/>
    <cellStyle name="输入 2" xfId="395"/>
    <cellStyle name="输入 2 2" xfId="414"/>
    <cellStyle name="输入 2 2 2" xfId="176"/>
    <cellStyle name="输入 2 3" xfId="416"/>
    <cellStyle name="输入 2 3 2" xfId="184"/>
    <cellStyle name="输入 2 4" xfId="390"/>
    <cellStyle name="输入 3" xfId="417"/>
    <cellStyle name="输入 3 2" xfId="314"/>
    <cellStyle name="输入 3 2 2" xfId="317"/>
    <cellStyle name="输入 3 3" xfId="321"/>
    <cellStyle name="输入 4" xfId="418"/>
    <cellStyle name="输入 4 2" xfId="101"/>
    <cellStyle name="输入 5" xfId="419"/>
    <cellStyle name="输入 5 2" xfId="346"/>
    <cellStyle name="㼿㼿㼿㼿? 2" xfId="442"/>
    <cellStyle name="㼿㼿㼿㼿㼿" xfId="440"/>
    <cellStyle name="㼿㼿㼿㼿㼿㼿㼿" xfId="441"/>
    <cellStyle name="样式 1" xfId="270"/>
    <cellStyle name="样式 1 2" xfId="420"/>
    <cellStyle name="样式 2" xfId="421"/>
    <cellStyle name="样式 2 2" xfId="422"/>
    <cellStyle name="样式 2 3" xfId="423"/>
    <cellStyle name="样式 2 4" xfId="413"/>
    <cellStyle name="样式 2 5" xfId="415"/>
    <cellStyle name="注释 2" xfId="210"/>
    <cellStyle name="注释 2 2" xfId="424"/>
    <cellStyle name="注释 2 2 2" xfId="425"/>
    <cellStyle name="注释 2 2 2 2" xfId="426"/>
    <cellStyle name="注释 2 2 3" xfId="427"/>
    <cellStyle name="注释 2 3" xfId="28"/>
    <cellStyle name="注释 2 3 2" xfId="376"/>
    <cellStyle name="注释 2 3 2 2" xfId="378"/>
    <cellStyle name="注释 2 3 3" xfId="37"/>
    <cellStyle name="注释 2 4" xfId="428"/>
    <cellStyle name="注释 2 4 2" xfId="291"/>
    <cellStyle name="注释 2 5" xfId="429"/>
    <cellStyle name="注释 3" xfId="430"/>
    <cellStyle name="注释 3 2" xfId="431"/>
    <cellStyle name="注释 3 2 2" xfId="23"/>
    <cellStyle name="注释 3 2 2 2" xfId="135"/>
    <cellStyle name="注释 3 2 3" xfId="48"/>
    <cellStyle name="注释 3 3" xfId="432"/>
    <cellStyle name="注释 3 3 2" xfId="433"/>
    <cellStyle name="注释 3 4" xfId="434"/>
    <cellStyle name="注释 4" xfId="435"/>
    <cellStyle name="注释 4 2" xfId="436"/>
    <cellStyle name="注释 4 2 2" xfId="437"/>
    <cellStyle name="注释 4 3" xfId="438"/>
    <cellStyle name="注释 5" xfId="17"/>
    <cellStyle name="注释 5 2" xfId="352"/>
    <cellStyle name="注释 5 2 2" xfId="206"/>
    <cellStyle name="注释 5 3" xfId="372"/>
  </cellStyles>
  <dxfs count="102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79EBA7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topLeftCell="A7" workbookViewId="0">
      <selection activeCell="B31" sqref="B31"/>
    </sheetView>
  </sheetViews>
  <sheetFormatPr defaultColWidth="9" defaultRowHeight="13.5"/>
  <cols>
    <col min="1" max="2" width="9" style="223"/>
    <col min="3" max="3" width="10.75" style="223" customWidth="1"/>
    <col min="4" max="4" width="16.75" style="223" customWidth="1"/>
    <col min="5" max="5" width="11.75" style="223" customWidth="1"/>
    <col min="6" max="6" width="9" style="223"/>
    <col min="7" max="7" width="10.75" style="223" customWidth="1"/>
    <col min="8" max="12" width="9" style="223"/>
    <col min="13" max="13" width="9.5" style="223" customWidth="1"/>
    <col min="14" max="14" width="16.5" style="223" customWidth="1"/>
    <col min="15" max="16384" width="9" style="223"/>
  </cols>
  <sheetData>
    <row r="1" spans="1:14" ht="25.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4.25">
      <c r="A2" s="224"/>
      <c r="B2" s="225"/>
      <c r="C2" s="225"/>
      <c r="D2" s="226"/>
      <c r="E2" s="226"/>
      <c r="F2" s="226"/>
      <c r="G2" s="224"/>
      <c r="H2" s="224"/>
      <c r="I2" s="224"/>
      <c r="J2" s="226"/>
      <c r="K2" s="226"/>
      <c r="L2" s="226"/>
      <c r="M2" s="226"/>
      <c r="N2" s="226"/>
    </row>
    <row r="3" spans="1:14">
      <c r="A3" s="227"/>
      <c r="B3" s="228"/>
      <c r="C3" s="229"/>
      <c r="D3" s="230"/>
      <c r="E3" s="231"/>
      <c r="F3" s="231"/>
      <c r="G3" s="232"/>
      <c r="H3" s="233"/>
      <c r="I3" s="228"/>
      <c r="J3" s="229"/>
      <c r="K3" s="230"/>
      <c r="L3" s="266"/>
      <c r="M3" s="226"/>
      <c r="N3" s="226"/>
    </row>
    <row r="4" spans="1:14">
      <c r="A4" s="227"/>
      <c r="B4" s="288" t="s">
        <v>1</v>
      </c>
      <c r="C4" s="288"/>
      <c r="D4" s="288"/>
      <c r="E4" s="288"/>
      <c r="F4" s="289"/>
      <c r="G4" s="234"/>
      <c r="H4" s="233"/>
      <c r="K4" s="226"/>
      <c r="L4" s="267"/>
      <c r="M4" s="268"/>
      <c r="N4" s="226"/>
    </row>
    <row r="5" spans="1:14">
      <c r="A5" s="235"/>
      <c r="B5" s="236" t="s">
        <v>2</v>
      </c>
      <c r="C5" s="230"/>
      <c r="D5" s="230"/>
      <c r="E5" s="230"/>
      <c r="F5" s="230"/>
      <c r="G5" s="230"/>
      <c r="H5" s="237"/>
      <c r="I5" s="233"/>
      <c r="J5" s="228"/>
      <c r="K5" s="229"/>
      <c r="L5" s="266"/>
      <c r="M5" s="226"/>
      <c r="N5" s="226"/>
    </row>
    <row r="6" spans="1:14" ht="9.75" customHeight="1">
      <c r="A6" s="238"/>
      <c r="B6" s="238"/>
      <c r="C6" s="238"/>
      <c r="D6" s="238"/>
      <c r="E6" s="238"/>
      <c r="F6" s="238"/>
      <c r="G6" s="238"/>
      <c r="H6" s="238"/>
      <c r="I6" s="269"/>
      <c r="J6" s="269"/>
      <c r="K6" s="270"/>
      <c r="L6" s="270"/>
      <c r="M6" s="270"/>
      <c r="N6" s="270"/>
    </row>
    <row r="7" spans="1:14" ht="14.25">
      <c r="A7" s="238"/>
      <c r="B7" s="290" t="s">
        <v>3</v>
      </c>
      <c r="C7" s="291"/>
      <c r="D7" s="291"/>
      <c r="E7" s="291"/>
      <c r="F7" s="291"/>
      <c r="G7" s="291"/>
      <c r="H7" s="291"/>
      <c r="I7" s="292" t="s">
        <v>4</v>
      </c>
      <c r="J7" s="292"/>
      <c r="K7" s="271"/>
      <c r="L7" s="225"/>
      <c r="M7" s="225"/>
      <c r="N7" s="272"/>
    </row>
    <row r="8" spans="1:14" ht="14.25">
      <c r="A8" s="238"/>
      <c r="B8" s="293" t="s">
        <v>5</v>
      </c>
      <c r="C8" s="294"/>
      <c r="D8" s="294"/>
      <c r="E8" s="295">
        <f>D10</f>
        <v>113874.56999999998</v>
      </c>
      <c r="F8" s="296"/>
      <c r="G8" s="296"/>
      <c r="H8" s="297"/>
      <c r="I8" s="273"/>
      <c r="J8" s="298" t="s">
        <v>269</v>
      </c>
      <c r="K8" s="298"/>
      <c r="L8" s="298"/>
      <c r="M8" s="298"/>
      <c r="N8" s="298"/>
    </row>
    <row r="9" spans="1:14">
      <c r="A9" s="238"/>
      <c r="B9" s="299" t="s">
        <v>6</v>
      </c>
      <c r="C9" s="300"/>
      <c r="D9" s="300"/>
      <c r="E9" s="301">
        <f>G24</f>
        <v>113874.56999999998</v>
      </c>
      <c r="F9" s="302"/>
      <c r="G9" s="302"/>
      <c r="H9" s="303"/>
      <c r="I9" s="274"/>
      <c r="J9" s="304" t="s">
        <v>270</v>
      </c>
      <c r="K9" s="304"/>
      <c r="L9" s="304"/>
      <c r="M9" s="304"/>
      <c r="N9" s="305"/>
    </row>
    <row r="10" spans="1:14" ht="14.25">
      <c r="A10" s="238"/>
      <c r="B10" s="306" t="s">
        <v>7</v>
      </c>
      <c r="C10" s="307"/>
      <c r="D10" s="239">
        <f>G24</f>
        <v>113874.56999999998</v>
      </c>
      <c r="E10" s="308" t="s">
        <v>8</v>
      </c>
      <c r="F10" s="309"/>
      <c r="G10" s="310"/>
      <c r="H10" s="240">
        <v>0</v>
      </c>
      <c r="I10" s="275"/>
      <c r="J10" s="311" t="s">
        <v>271</v>
      </c>
      <c r="K10" s="311"/>
      <c r="L10" s="311"/>
      <c r="M10" s="311"/>
      <c r="N10" s="312"/>
    </row>
    <row r="11" spans="1:14" ht="14.25">
      <c r="A11" s="238"/>
      <c r="B11" s="313" t="s">
        <v>9</v>
      </c>
      <c r="C11" s="314"/>
      <c r="D11" s="241"/>
      <c r="E11" s="315" t="s">
        <v>10</v>
      </c>
      <c r="F11" s="316"/>
      <c r="G11" s="317"/>
      <c r="H11" s="242"/>
      <c r="I11" s="276"/>
      <c r="J11" s="277"/>
      <c r="K11" s="276"/>
      <c r="L11" s="276"/>
      <c r="M11" s="276"/>
      <c r="N11" s="278"/>
    </row>
    <row r="12" spans="1:14">
      <c r="A12" s="235"/>
      <c r="B12" s="313" t="s">
        <v>11</v>
      </c>
      <c r="C12" s="314"/>
      <c r="D12" s="241">
        <v>0</v>
      </c>
      <c r="E12" s="315" t="s">
        <v>12</v>
      </c>
      <c r="F12" s="316"/>
      <c r="G12" s="317"/>
      <c r="H12" s="242"/>
      <c r="I12" s="279"/>
      <c r="J12" s="280"/>
      <c r="K12" s="318"/>
      <c r="L12" s="318"/>
      <c r="M12" s="318"/>
      <c r="N12" s="318"/>
    </row>
    <row r="13" spans="1:14">
      <c r="A13" s="226"/>
      <c r="B13" s="319" t="s">
        <v>13</v>
      </c>
      <c r="C13" s="320"/>
      <c r="D13" s="243">
        <v>0</v>
      </c>
      <c r="E13" s="321"/>
      <c r="F13" s="322"/>
      <c r="G13" s="323"/>
      <c r="H13" s="244"/>
      <c r="I13" s="238"/>
      <c r="J13" s="281"/>
      <c r="K13" s="324"/>
      <c r="L13" s="324"/>
      <c r="M13" s="324"/>
      <c r="N13" s="324"/>
    </row>
    <row r="14" spans="1:14" ht="5.25" customHeight="1">
      <c r="A14" s="245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</row>
    <row r="15" spans="1:14">
      <c r="A15" s="325" t="s">
        <v>14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</row>
    <row r="16" spans="1:14" ht="3" customHeight="1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</row>
    <row r="17" spans="2:13" ht="18">
      <c r="B17" s="246" t="s">
        <v>15</v>
      </c>
      <c r="C17" s="247" t="s">
        <v>16</v>
      </c>
      <c r="D17" s="326" t="s">
        <v>17</v>
      </c>
      <c r="E17" s="326"/>
      <c r="F17" s="248" t="s">
        <v>18</v>
      </c>
      <c r="G17" s="249" t="s">
        <v>19</v>
      </c>
      <c r="H17" s="250" t="s">
        <v>20</v>
      </c>
      <c r="J17" s="335" t="s">
        <v>21</v>
      </c>
      <c r="K17" s="335"/>
      <c r="L17" s="335"/>
      <c r="M17" s="335"/>
    </row>
    <row r="18" spans="2:13" ht="16.5">
      <c r="B18" s="251">
        <v>1</v>
      </c>
      <c r="C18" s="334" t="s">
        <v>22</v>
      </c>
      <c r="D18" s="327" t="s">
        <v>23</v>
      </c>
      <c r="E18" s="327"/>
      <c r="F18" s="253"/>
      <c r="G18" s="254">
        <f>'（居民）工资表-4月'!E18</f>
        <v>96412.669999999984</v>
      </c>
      <c r="H18" s="255"/>
      <c r="J18" s="335"/>
      <c r="K18" s="335"/>
      <c r="L18" s="335"/>
      <c r="M18" s="335"/>
    </row>
    <row r="19" spans="2:13" ht="16.5">
      <c r="B19" s="251">
        <v>2</v>
      </c>
      <c r="C19" s="334"/>
      <c r="D19" s="256" t="s">
        <v>24</v>
      </c>
      <c r="E19" s="257" t="s">
        <v>25</v>
      </c>
      <c r="F19" s="253"/>
      <c r="G19" s="254">
        <f>社保1!AX15</f>
        <v>11575.499999999998</v>
      </c>
      <c r="H19" s="258"/>
      <c r="J19" s="335"/>
      <c r="K19" s="335"/>
      <c r="L19" s="335"/>
      <c r="M19" s="335"/>
    </row>
    <row r="20" spans="2:13" ht="16.5">
      <c r="B20" s="251">
        <v>3</v>
      </c>
      <c r="C20" s="334"/>
      <c r="D20" s="256" t="s">
        <v>26</v>
      </c>
      <c r="E20" s="257" t="s">
        <v>25</v>
      </c>
      <c r="F20" s="253"/>
      <c r="G20" s="254">
        <f>社保1!AZ15</f>
        <v>5086.3999999999996</v>
      </c>
      <c r="H20" s="258"/>
      <c r="J20" s="335"/>
      <c r="K20" s="335"/>
      <c r="L20" s="335"/>
      <c r="M20" s="335"/>
    </row>
    <row r="21" spans="2:13" ht="16.5">
      <c r="B21" s="251">
        <v>6</v>
      </c>
      <c r="C21" s="334"/>
      <c r="D21" s="328" t="s">
        <v>27</v>
      </c>
      <c r="E21" s="328"/>
      <c r="F21" s="253"/>
      <c r="G21" s="259">
        <f>G18+G19+G20</f>
        <v>113074.56999999998</v>
      </c>
      <c r="H21" s="260"/>
      <c r="J21" s="335"/>
      <c r="K21" s="335"/>
      <c r="L21" s="335"/>
      <c r="M21" s="335"/>
    </row>
    <row r="22" spans="2:13" ht="16.5">
      <c r="B22" s="251">
        <v>7</v>
      </c>
      <c r="C22" s="252" t="s">
        <v>28</v>
      </c>
      <c r="D22" s="328" t="s">
        <v>29</v>
      </c>
      <c r="E22" s="328"/>
      <c r="F22" s="253"/>
      <c r="G22" s="259">
        <f>社保1!BB15</f>
        <v>800</v>
      </c>
      <c r="H22" s="255"/>
      <c r="J22" s="335"/>
      <c r="K22" s="335"/>
      <c r="L22" s="335"/>
      <c r="M22" s="335"/>
    </row>
    <row r="23" spans="2:13" ht="18" customHeight="1">
      <c r="B23" s="251">
        <v>8</v>
      </c>
      <c r="C23" s="261" t="s">
        <v>30</v>
      </c>
      <c r="D23" s="329">
        <v>5.6000000000000001E-2</v>
      </c>
      <c r="E23" s="329"/>
      <c r="F23" s="329"/>
      <c r="G23" s="259"/>
      <c r="H23" s="255"/>
      <c r="J23" s="335"/>
      <c r="K23" s="335"/>
      <c r="L23" s="335"/>
      <c r="M23" s="335"/>
    </row>
    <row r="24" spans="2:13" ht="16.5">
      <c r="B24" s="330" t="s">
        <v>31</v>
      </c>
      <c r="C24" s="331"/>
      <c r="D24" s="331"/>
      <c r="E24" s="331"/>
      <c r="F24" s="331"/>
      <c r="G24" s="262">
        <f>G21+G22</f>
        <v>113874.56999999998</v>
      </c>
      <c r="H24" s="263"/>
    </row>
    <row r="25" spans="2:13" ht="15.95" customHeight="1">
      <c r="B25" s="332" t="s">
        <v>32</v>
      </c>
      <c r="C25" s="333"/>
      <c r="D25" s="333"/>
      <c r="E25" s="333"/>
      <c r="F25" s="333"/>
      <c r="G25" s="264">
        <f>G24</f>
        <v>113874.56999999998</v>
      </c>
      <c r="H25" s="265"/>
    </row>
  </sheetData>
  <mergeCells count="31">
    <mergeCell ref="B25:F25"/>
    <mergeCell ref="C18:C21"/>
    <mergeCell ref="J17:M23"/>
    <mergeCell ref="D18:E18"/>
    <mergeCell ref="D21:E21"/>
    <mergeCell ref="D22:E22"/>
    <mergeCell ref="D23:F23"/>
    <mergeCell ref="B24:F24"/>
    <mergeCell ref="B13:C13"/>
    <mergeCell ref="E13:G13"/>
    <mergeCell ref="K13:N13"/>
    <mergeCell ref="A15:N15"/>
    <mergeCell ref="D17:E17"/>
    <mergeCell ref="B11:C11"/>
    <mergeCell ref="E11:G11"/>
    <mergeCell ref="B12:C12"/>
    <mergeCell ref="E12:G12"/>
    <mergeCell ref="K12:N12"/>
    <mergeCell ref="B9:D9"/>
    <mergeCell ref="E9:H9"/>
    <mergeCell ref="J9:N9"/>
    <mergeCell ref="B10:C10"/>
    <mergeCell ref="E10:G10"/>
    <mergeCell ref="J10:N10"/>
    <mergeCell ref="A1:N1"/>
    <mergeCell ref="B4:F4"/>
    <mergeCell ref="B7:H7"/>
    <mergeCell ref="I7:J7"/>
    <mergeCell ref="B8:D8"/>
    <mergeCell ref="E8:H8"/>
    <mergeCell ref="J8:N8"/>
  </mergeCells>
  <phoneticPr fontId="112" type="noConversion"/>
  <conditionalFormatting sqref="G20:H20 C21:H21 F19:F22">
    <cfRule type="cellIs" dxfId="101" priority="1" stopIfTrue="1" operator="equal">
      <formula>"信用卡"</formula>
    </cfRule>
    <cfRule type="cellIs" dxfId="100" priority="2" stopIfTrue="1" operator="equal">
      <formula>"現金"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12.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3.37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3.375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143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9070</v>
      </c>
      <c r="M4" s="61">
        <v>264</v>
      </c>
      <c r="N4" s="61">
        <v>66</v>
      </c>
      <c r="O4" s="61">
        <v>9.9</v>
      </c>
      <c r="P4" s="61">
        <v>180</v>
      </c>
      <c r="Q4" s="76">
        <f>ROUND(SUM(M4:P4),2)</f>
        <v>519.9</v>
      </c>
      <c r="R4" s="62">
        <v>0</v>
      </c>
      <c r="S4" s="77">
        <f>L4+IFERROR(VLOOKUP($E:$E,'（居民）工资表-9月'!$E:$S,15,0),0)</f>
        <v>51890</v>
      </c>
      <c r="T4" s="78">
        <f>5000+IFERROR(VLOOKUP($E:$E,'（居民）工资表-9月'!$E:$T,16,0),0)</f>
        <v>30000</v>
      </c>
      <c r="U4" s="78">
        <f>Q4+IFERROR(VLOOKUP($E:$E,'（居民）工资表-9月'!$E:$U,17,0),0)</f>
        <v>3119.4</v>
      </c>
      <c r="V4" s="62"/>
      <c r="W4" s="62"/>
      <c r="X4" s="62">
        <v>10000</v>
      </c>
      <c r="Y4" s="62"/>
      <c r="Z4" s="62"/>
      <c r="AA4" s="62"/>
      <c r="AB4" s="77">
        <f>ROUND(SUM(V4:AA4),2)</f>
        <v>10000</v>
      </c>
      <c r="AC4" s="77">
        <f>R4+IFERROR(VLOOKUP($E:$E,'（居民）工资表-9月'!$E:$AC,25,0),0)</f>
        <v>0</v>
      </c>
      <c r="AD4" s="79">
        <f>ROUND(S4-T4-U4-AB4-AC4,2)</f>
        <v>8770.6</v>
      </c>
      <c r="AE4" s="80">
        <f>ROUND(MAX((AD4)*{0.03;0.1;0.2;0.25;0.3;0.35;0.45}-{0;2520;16920;31920;52920;85920;181920},0),2)</f>
        <v>263.12</v>
      </c>
      <c r="AF4" s="81">
        <f>IFERROR(VLOOKUP(E:E,'（居民）工资表-9月'!E:AF,28,0)+VLOOKUP(E:E,'（居民）工资表-9月'!E:AG,29,0),0)</f>
        <v>186.62</v>
      </c>
      <c r="AG4" s="81">
        <f>IF((AE4-AF4)&lt;0,0,AE4-AF4)</f>
        <v>76.5</v>
      </c>
      <c r="AH4" s="84">
        <f>ROUND(IF((L4-Q4-AG4)&lt;0,0,(L4-Q4-AG4)),2)</f>
        <v>8473.6</v>
      </c>
      <c r="AI4" s="85"/>
      <c r="AJ4" s="84">
        <f>AH4+AI4</f>
        <v>8473.6</v>
      </c>
      <c r="AK4" s="86"/>
      <c r="AL4" s="84">
        <f>AJ4+AG4+AK4</f>
        <v>8550.1</v>
      </c>
      <c r="AM4" s="86"/>
      <c r="AN4" s="86"/>
      <c r="AO4" s="86"/>
      <c r="AP4" s="86"/>
      <c r="AQ4" s="86"/>
      <c r="AR4" s="9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IF(SUMPRODUCT(N(E$1:E$7=E4))&gt;1,"重复","不")</f>
        <v>不</v>
      </c>
      <c r="AT4" s="91" t="str">
        <f>IF(SUMPRODUCT(N(AO$1:AO$7=AO4))&gt;1,"重复","不")</f>
        <v>重复</v>
      </c>
    </row>
    <row r="5" spans="1:46" s="17" customFormat="1" ht="18" customHeight="1">
      <c r="A5" s="31">
        <v>2</v>
      </c>
      <c r="B5" s="32" t="s">
        <v>143</v>
      </c>
      <c r="C5" s="32" t="s">
        <v>90</v>
      </c>
      <c r="D5" s="32" t="s">
        <v>144</v>
      </c>
      <c r="E5" s="32" t="s">
        <v>91</v>
      </c>
      <c r="F5" s="33" t="s">
        <v>182</v>
      </c>
      <c r="G5" s="36">
        <v>13944441728</v>
      </c>
      <c r="H5" s="35"/>
      <c r="I5" s="35"/>
      <c r="J5" s="59"/>
      <c r="K5" s="35"/>
      <c r="L5" s="62">
        <v>6889.4</v>
      </c>
      <c r="M5" s="61">
        <v>244.24</v>
      </c>
      <c r="N5" s="61">
        <v>61.06</v>
      </c>
      <c r="O5" s="61">
        <v>9.16</v>
      </c>
      <c r="P5" s="61">
        <v>79</v>
      </c>
      <c r="Q5" s="76">
        <f>ROUND(SUM(M5:P5),2)</f>
        <v>393.46</v>
      </c>
      <c r="R5" s="62">
        <v>0</v>
      </c>
      <c r="S5" s="77">
        <f>L5+IFERROR(VLOOKUP($E:$E,'（居民）工资表-9月'!$E:$S,15,0),0)</f>
        <v>43971.4</v>
      </c>
      <c r="T5" s="78">
        <f>5000+IFERROR(VLOOKUP($E:$E,'（居民）工资表-9月'!$E:$T,16,0),0)</f>
        <v>30000</v>
      </c>
      <c r="U5" s="78">
        <f>Q5+IFERROR(VLOOKUP($E:$E,'（居民）工资表-9月'!$E:$U,17,0),0)</f>
        <v>3147.68</v>
      </c>
      <c r="V5" s="62"/>
      <c r="W5" s="62"/>
      <c r="X5" s="62"/>
      <c r="Y5" s="62"/>
      <c r="Z5" s="62"/>
      <c r="AA5" s="62"/>
      <c r="AB5" s="77">
        <f>ROUND(SUM(V5:AA5),2)</f>
        <v>0</v>
      </c>
      <c r="AC5" s="77">
        <f>R5+IFERROR(VLOOKUP($E:$E,'（居民）工资表-9月'!$E:$AC,25,0),0)</f>
        <v>0</v>
      </c>
      <c r="AD5" s="79">
        <f>ROUND(S5-T5-U5-AB5-AC5,2)</f>
        <v>10823.72</v>
      </c>
      <c r="AE5" s="80">
        <f>ROUND(MAX((AD5)*{0.03;0.1;0.2;0.25;0.3;0.35;0.45}-{0;2520;16920;31920;52920;85920;181920},0),2)</f>
        <v>324.70999999999998</v>
      </c>
      <c r="AF5" s="81">
        <f>IFERROR(VLOOKUP(E:E,'（居民）工资表-9月'!E:AF,28,0)+VLOOKUP(E:E,'（居民）工资表-9月'!E:AG,29,0),0)</f>
        <v>279.83</v>
      </c>
      <c r="AG5" s="81">
        <f>IF((AE5-AF5)&lt;0,0,AE5-AF5)</f>
        <v>44.879999999999995</v>
      </c>
      <c r="AH5" s="84">
        <f>ROUND(IF((L5-Q5-AG5)&lt;0,0,(L5-Q5-AG5)),2)</f>
        <v>6451.06</v>
      </c>
      <c r="AI5" s="85"/>
      <c r="AJ5" s="84">
        <f>AH5+AI5</f>
        <v>6451.06</v>
      </c>
      <c r="AK5" s="86"/>
      <c r="AL5" s="84">
        <f>AJ5+AG5+AK5</f>
        <v>6495.9400000000005</v>
      </c>
      <c r="AM5" s="86"/>
      <c r="AN5" s="86"/>
      <c r="AO5" s="86"/>
      <c r="AP5" s="86"/>
      <c r="AQ5" s="86"/>
      <c r="AR5" s="9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1" t="str">
        <f>IF(SUMPRODUCT(N(E$1:E$7=E5))&gt;1,"重复","不")</f>
        <v>不</v>
      </c>
      <c r="AT5" s="91" t="str">
        <f>IF(SUMPRODUCT(N(AO$1:AO$7=AO5))&gt;1,"重复","不")</f>
        <v>重复</v>
      </c>
    </row>
    <row r="6" spans="1:46" s="17" customFormat="1" ht="18" customHeight="1">
      <c r="A6" s="31">
        <v>3</v>
      </c>
      <c r="B6" s="32" t="s">
        <v>143</v>
      </c>
      <c r="C6" s="32" t="s">
        <v>145</v>
      </c>
      <c r="D6" s="32" t="s">
        <v>144</v>
      </c>
      <c r="E6" s="285" t="s">
        <v>146</v>
      </c>
      <c r="F6" s="33" t="s">
        <v>182</v>
      </c>
      <c r="G6" s="36">
        <v>18607383005</v>
      </c>
      <c r="H6" s="35"/>
      <c r="I6" s="35"/>
      <c r="J6" s="59"/>
      <c r="K6" s="35"/>
      <c r="L6" s="62">
        <v>20720</v>
      </c>
      <c r="M6" s="61">
        <f>320</f>
        <v>320</v>
      </c>
      <c r="N6" s="61">
        <f>80</f>
        <v>80</v>
      </c>
      <c r="O6" s="61">
        <f>12</f>
        <v>12</v>
      </c>
      <c r="P6" s="61">
        <v>200</v>
      </c>
      <c r="Q6" s="76">
        <f>ROUND(SUM(M6:P6),2)</f>
        <v>612</v>
      </c>
      <c r="R6" s="62">
        <v>0</v>
      </c>
      <c r="S6" s="77">
        <f>L6+IFERROR(VLOOKUP($E:$E,'（居民）工资表-9月'!$E:$S,15,0),0)</f>
        <v>130024.76000000001</v>
      </c>
      <c r="T6" s="78">
        <f>5000+IFERROR(VLOOKUP($E:$E,'（居民）工资表-9月'!$E:$T,16,0),0)</f>
        <v>30000</v>
      </c>
      <c r="U6" s="78">
        <f>Q6+IFERROR(VLOOKUP($E:$E,'（居民）工资表-9月'!$E:$U,17,0),0)</f>
        <v>3758.67</v>
      </c>
      <c r="V6" s="62"/>
      <c r="W6" s="62"/>
      <c r="X6" s="62"/>
      <c r="Y6" s="62"/>
      <c r="Z6" s="62"/>
      <c r="AA6" s="62"/>
      <c r="AB6" s="77">
        <f>ROUND(SUM(V6:AA6),2)</f>
        <v>0</v>
      </c>
      <c r="AC6" s="77">
        <f>R6+IFERROR(VLOOKUP($E:$E,'（居民）工资表-9月'!$E:$AC,25,0),0)</f>
        <v>0</v>
      </c>
      <c r="AD6" s="79">
        <f>ROUND(S6-T6-U6-AB6-AC6,2)</f>
        <v>96266.09</v>
      </c>
      <c r="AE6" s="80">
        <f>ROUND(MAX((AD6)*{0.03;0.1;0.2;0.25;0.3;0.35;0.45}-{0;2520;16920;31920;52920;85920;181920},0),2)</f>
        <v>7106.61</v>
      </c>
      <c r="AF6" s="81">
        <f>IFERROR(VLOOKUP(E:E,'（居民）工资表-9月'!E:AF,28,0)+VLOOKUP(E:E,'（居民）工资表-9月'!E:AG,29,0),0)</f>
        <v>5595.81</v>
      </c>
      <c r="AG6" s="81">
        <f>IF((AE6-AF6)&lt;0,0,AE6-AF6)</f>
        <v>1510.7999999999993</v>
      </c>
      <c r="AH6" s="84">
        <f>ROUND(IF((L6-Q6-AG6)&lt;0,0,(L6-Q6-AG6)),2)</f>
        <v>18597.2</v>
      </c>
      <c r="AI6" s="85"/>
      <c r="AJ6" s="84">
        <f>AH6+AI6</f>
        <v>18597.2</v>
      </c>
      <c r="AK6" s="86"/>
      <c r="AL6" s="84">
        <f>AJ6+AG6+AK6</f>
        <v>20108</v>
      </c>
      <c r="AM6" s="86"/>
      <c r="AN6" s="86"/>
      <c r="AO6" s="86"/>
      <c r="AP6" s="86"/>
      <c r="AQ6" s="86"/>
      <c r="AR6" s="9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1" t="str">
        <f>IF(SUMPRODUCT(N(E$1:E$7=E6))&gt;1,"重复","不")</f>
        <v>不</v>
      </c>
      <c r="AT6" s="91" t="str">
        <f>IF(SUMPRODUCT(N(AO$1:AO$7=AO6))&gt;1,"重复","不")</f>
        <v>重复</v>
      </c>
    </row>
    <row r="7" spans="1:46" s="17" customFormat="1" ht="18" customHeight="1">
      <c r="A7" s="31">
        <v>4</v>
      </c>
      <c r="B7" s="32" t="s">
        <v>143</v>
      </c>
      <c r="C7" s="32" t="s">
        <v>164</v>
      </c>
      <c r="D7" s="32" t="s">
        <v>144</v>
      </c>
      <c r="E7" s="285" t="s">
        <v>165</v>
      </c>
      <c r="F7" s="33" t="str">
        <f>IF(MOD(MID(E7,17,1),2)=1,"男","女")</f>
        <v>女</v>
      </c>
      <c r="G7" s="36">
        <v>15360550807</v>
      </c>
      <c r="H7" s="35"/>
      <c r="I7" s="35"/>
      <c r="J7" s="59"/>
      <c r="K7" s="35"/>
      <c r="L7" s="62">
        <v>5700</v>
      </c>
      <c r="M7" s="61"/>
      <c r="N7" s="61"/>
      <c r="O7" s="61"/>
      <c r="P7" s="61"/>
      <c r="Q7" s="76">
        <f>ROUND(SUM(M7:P7),2)</f>
        <v>0</v>
      </c>
      <c r="R7" s="62">
        <v>0</v>
      </c>
      <c r="S7" s="77">
        <f>L7+IFERROR(VLOOKUP($E:$E,'（居民）工资表-9月'!$E:$S,15,0),0)</f>
        <v>18343.63636363636</v>
      </c>
      <c r="T7" s="78">
        <f>5000+IFERROR(VLOOKUP($E:$E,'（居民）工资表-9月'!$E:$T,16,0),0)</f>
        <v>20000</v>
      </c>
      <c r="U7" s="78">
        <f>Q7+IFERROR(VLOOKUP($E:$E,'（居民）工资表-9月'!$E:$U,17,0),0)</f>
        <v>0</v>
      </c>
      <c r="V7" s="62"/>
      <c r="W7" s="62"/>
      <c r="X7" s="62"/>
      <c r="Y7" s="62"/>
      <c r="Z7" s="62"/>
      <c r="AA7" s="62"/>
      <c r="AB7" s="77">
        <f>ROUND(SUM(V7:AA7),2)</f>
        <v>0</v>
      </c>
      <c r="AC7" s="77">
        <f>R7+IFERROR(VLOOKUP($E:$E,'（居民）工资表-9月'!$E:$AC,25,0),0)</f>
        <v>0</v>
      </c>
      <c r="AD7" s="79">
        <f>ROUND(S7-T7-U7-AB7-AC7,2)</f>
        <v>-1656.36</v>
      </c>
      <c r="AE7" s="80">
        <f>ROUND(MAX((AD7)*{0.03;0.1;0.2;0.25;0.3;0.35;0.45}-{0;2520;16920;31920;52920;85920;181920},0),2)</f>
        <v>0</v>
      </c>
      <c r="AF7" s="81">
        <f>IFERROR(VLOOKUP(E:E,'（居民）工资表-9月'!E:AF,28,0)+VLOOKUP(E:E,'（居民）工资表-9月'!E:AG,29,0),0)</f>
        <v>0</v>
      </c>
      <c r="AG7" s="81">
        <f>IF((AE7-AF7)&lt;0,0,AE7-AF7)</f>
        <v>0</v>
      </c>
      <c r="AH7" s="84">
        <f>ROUND(IF((L7-Q7-AG7)&lt;0,0,(L7-Q7-AG7)),2)</f>
        <v>5700</v>
      </c>
      <c r="AI7" s="85"/>
      <c r="AJ7" s="84">
        <f>AH7+AI7</f>
        <v>5700</v>
      </c>
      <c r="AK7" s="86"/>
      <c r="AL7" s="84">
        <f>AJ7+AG7+AK7</f>
        <v>5700</v>
      </c>
      <c r="AM7" s="86"/>
      <c r="AN7" s="86"/>
      <c r="AO7" s="86"/>
      <c r="AP7" s="86"/>
      <c r="AQ7" s="86"/>
      <c r="AR7" s="9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1" t="str">
        <f>IF(SUMPRODUCT(N(E$1:E$7=E7))&gt;1,"重复","不")</f>
        <v>不</v>
      </c>
      <c r="AT7" s="91" t="str">
        <f>IF(SUMPRODUCT(N(AO$1:AO$7=AO7))&gt;1,"重复","不")</f>
        <v>重复</v>
      </c>
    </row>
    <row r="8" spans="1:46" s="18" customFormat="1" ht="18" customHeight="1">
      <c r="A8" s="37"/>
      <c r="B8" s="38" t="s">
        <v>147</v>
      </c>
      <c r="C8" s="38"/>
      <c r="D8" s="39"/>
      <c r="E8" s="40"/>
      <c r="F8" s="41"/>
      <c r="G8" s="42"/>
      <c r="H8" s="41"/>
      <c r="I8" s="63"/>
      <c r="J8" s="64"/>
      <c r="K8" s="63"/>
      <c r="L8" s="65">
        <f t="shared" ref="L8:AL8" si="0">SUM(L4:L7)</f>
        <v>42379.4</v>
      </c>
      <c r="M8" s="65">
        <f t="shared" si="0"/>
        <v>828.24</v>
      </c>
      <c r="N8" s="65">
        <f t="shared" si="0"/>
        <v>207.06</v>
      </c>
      <c r="O8" s="65">
        <f t="shared" si="0"/>
        <v>31.06</v>
      </c>
      <c r="P8" s="65">
        <f t="shared" si="0"/>
        <v>459</v>
      </c>
      <c r="Q8" s="65">
        <f t="shared" si="0"/>
        <v>1525.36</v>
      </c>
      <c r="R8" s="65">
        <f t="shared" si="0"/>
        <v>0</v>
      </c>
      <c r="S8" s="65">
        <f t="shared" si="0"/>
        <v>244229.79636363636</v>
      </c>
      <c r="T8" s="65">
        <f t="shared" si="0"/>
        <v>110000</v>
      </c>
      <c r="U8" s="65">
        <f t="shared" si="0"/>
        <v>10025.75</v>
      </c>
      <c r="V8" s="65">
        <f t="shared" si="0"/>
        <v>0</v>
      </c>
      <c r="W8" s="65">
        <f t="shared" si="0"/>
        <v>0</v>
      </c>
      <c r="X8" s="65">
        <f t="shared" si="0"/>
        <v>10000</v>
      </c>
      <c r="Y8" s="65">
        <f t="shared" si="0"/>
        <v>0</v>
      </c>
      <c r="Z8" s="65">
        <f t="shared" si="0"/>
        <v>0</v>
      </c>
      <c r="AA8" s="65">
        <f t="shared" si="0"/>
        <v>0</v>
      </c>
      <c r="AB8" s="65">
        <f t="shared" si="0"/>
        <v>10000</v>
      </c>
      <c r="AC8" s="65">
        <f t="shared" si="0"/>
        <v>0</v>
      </c>
      <c r="AD8" s="65">
        <f t="shared" si="0"/>
        <v>114204.05</v>
      </c>
      <c r="AE8" s="65">
        <f t="shared" si="0"/>
        <v>7694.44</v>
      </c>
      <c r="AF8" s="65">
        <f t="shared" si="0"/>
        <v>6062.26</v>
      </c>
      <c r="AG8" s="65">
        <f t="shared" si="0"/>
        <v>1632.1799999999994</v>
      </c>
      <c r="AH8" s="65">
        <f t="shared" si="0"/>
        <v>39221.86</v>
      </c>
      <c r="AI8" s="98">
        <f t="shared" si="0"/>
        <v>0</v>
      </c>
      <c r="AJ8" s="65">
        <f t="shared" si="0"/>
        <v>39221.86</v>
      </c>
      <c r="AK8" s="65">
        <f t="shared" si="0"/>
        <v>0</v>
      </c>
      <c r="AL8" s="65">
        <f t="shared" si="0"/>
        <v>40854.04</v>
      </c>
      <c r="AM8" s="87"/>
      <c r="AN8" s="87"/>
      <c r="AO8" s="87"/>
      <c r="AP8" s="87"/>
      <c r="AQ8" s="87"/>
      <c r="AR8" s="41"/>
      <c r="AS8" s="41"/>
      <c r="AT8" s="92"/>
    </row>
    <row r="11" spans="1:46">
      <c r="AD11" s="82"/>
    </row>
    <row r="12" spans="1:46" ht="18.75" customHeight="1">
      <c r="B12" s="43" t="s">
        <v>124</v>
      </c>
      <c r="C12" s="43" t="s">
        <v>148</v>
      </c>
      <c r="D12" s="43" t="s">
        <v>54</v>
      </c>
      <c r="E12" s="43" t="s">
        <v>55</v>
      </c>
      <c r="AD12" s="15"/>
    </row>
    <row r="13" spans="1:46" ht="18.75" customHeight="1">
      <c r="B13" s="44">
        <f>AJ8</f>
        <v>39221.86</v>
      </c>
      <c r="C13" s="44">
        <f>AG8</f>
        <v>1632.1799999999994</v>
      </c>
      <c r="D13" s="44">
        <f>AK8</f>
        <v>0</v>
      </c>
      <c r="E13" s="44">
        <f>B13+C13+D13</f>
        <v>40854.04</v>
      </c>
    </row>
    <row r="14" spans="1:46">
      <c r="B14" s="45"/>
      <c r="C14" s="45"/>
      <c r="D14" s="45"/>
      <c r="E14" s="45"/>
    </row>
    <row r="15" spans="1:46" s="19" customFormat="1">
      <c r="A15" s="46" t="s">
        <v>149</v>
      </c>
      <c r="B15" s="47" t="s">
        <v>150</v>
      </c>
      <c r="C15" s="48"/>
      <c r="D15" s="48"/>
      <c r="E15" s="48"/>
      <c r="G15" s="49"/>
      <c r="J15" s="66"/>
      <c r="M15" s="67"/>
      <c r="AI15" s="89"/>
    </row>
    <row r="16" spans="1:46" s="19" customFormat="1">
      <c r="A16" s="50"/>
      <c r="B16" s="51" t="s">
        <v>151</v>
      </c>
      <c r="C16" s="48"/>
      <c r="D16" s="48"/>
      <c r="E16" s="48"/>
      <c r="G16" s="49"/>
      <c r="J16" s="66"/>
      <c r="M16" s="67"/>
      <c r="AI16" s="89"/>
    </row>
    <row r="17" spans="1:35" s="19" customFormat="1">
      <c r="A17" s="47"/>
      <c r="B17" s="51" t="s">
        <v>152</v>
      </c>
      <c r="C17" s="52"/>
      <c r="D17" s="52"/>
      <c r="E17" s="52"/>
      <c r="F17" s="52"/>
      <c r="G17" s="52"/>
      <c r="H17" s="52"/>
      <c r="I17" s="52"/>
      <c r="J17" s="68"/>
      <c r="K17" s="52"/>
      <c r="L17" s="52"/>
      <c r="M17" s="69"/>
      <c r="N17" s="52"/>
      <c r="O17" s="52"/>
      <c r="P17" s="52"/>
      <c r="AI17" s="89"/>
    </row>
    <row r="18" spans="1:35" s="19" customFormat="1" ht="13.5" customHeight="1">
      <c r="A18" s="51"/>
      <c r="B18" s="51" t="s">
        <v>153</v>
      </c>
      <c r="C18" s="53"/>
      <c r="D18" s="53"/>
      <c r="E18" s="53"/>
      <c r="F18" s="53"/>
      <c r="G18" s="53"/>
      <c r="H18" s="53"/>
      <c r="I18" s="70"/>
      <c r="J18" s="71"/>
      <c r="K18" s="70"/>
      <c r="L18" s="70"/>
      <c r="M18" s="72"/>
      <c r="N18" s="70"/>
      <c r="O18" s="70"/>
      <c r="P18" s="70"/>
      <c r="AI18" s="89"/>
    </row>
    <row r="19" spans="1:35" s="19" customFormat="1" ht="13.5" customHeight="1">
      <c r="A19" s="51"/>
      <c r="B19" s="51" t="s">
        <v>154</v>
      </c>
      <c r="C19" s="53"/>
      <c r="D19" s="53"/>
      <c r="E19" s="53"/>
      <c r="F19" s="53"/>
      <c r="G19" s="53"/>
      <c r="H19" s="53"/>
      <c r="I19" s="53"/>
      <c r="J19" s="73"/>
      <c r="K19" s="53"/>
      <c r="L19" s="70"/>
      <c r="M19" s="72"/>
      <c r="N19" s="70"/>
      <c r="O19" s="70"/>
      <c r="P19" s="70"/>
      <c r="AI19" s="89"/>
    </row>
    <row r="20" spans="1:35" s="19" customFormat="1" ht="13.5" customHeight="1">
      <c r="A20" s="51"/>
      <c r="B20" s="51" t="s">
        <v>155</v>
      </c>
      <c r="C20" s="53"/>
      <c r="D20" s="53"/>
      <c r="E20" s="53"/>
      <c r="F20" s="53"/>
      <c r="G20" s="53"/>
      <c r="H20" s="53"/>
      <c r="I20" s="70"/>
      <c r="J20" s="71"/>
      <c r="K20" s="70"/>
      <c r="L20" s="70"/>
      <c r="M20" s="72"/>
      <c r="N20" s="70"/>
      <c r="O20" s="70"/>
      <c r="P20" s="70"/>
      <c r="AI20" s="89"/>
    </row>
    <row r="22" spans="1:35" ht="11.25" customHeight="1">
      <c r="B22" s="54" t="s">
        <v>156</v>
      </c>
    </row>
    <row r="23" spans="1:35">
      <c r="B23" s="55" t="s">
        <v>157</v>
      </c>
    </row>
    <row r="24" spans="1:35">
      <c r="B24" s="55" t="s">
        <v>158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0">
    <cfRule type="duplicateValues" dxfId="49" priority="2" stopIfTrue="1"/>
  </conditionalFormatting>
  <conditionalFormatting sqref="B15:B19">
    <cfRule type="duplicateValues" dxfId="48" priority="3" stopIfTrue="1"/>
  </conditionalFormatting>
  <conditionalFormatting sqref="B23:B24">
    <cfRule type="duplicateValues" dxfId="47" priority="1" stopIfTrue="1"/>
  </conditionalFormatting>
  <conditionalFormatting sqref="C12:C14">
    <cfRule type="duplicateValues" dxfId="46" priority="4" stopIfTrue="1"/>
    <cfRule type="expression" dxfId="45" priority="5" stopIfTrue="1">
      <formula>AND(COUNTIF($B$8:$B$65444,C12)+COUNTIF($B$1:$B$3,C12)&gt;1,NOT(ISBLANK(C12)))</formula>
    </cfRule>
    <cfRule type="expression" dxfId="44" priority="6" stopIfTrue="1">
      <formula>AND(COUNTIF($B$19:$B$65395,C12)+COUNTIF($B$1:$B$18,C12)&gt;1,NOT(ISBLANK(C12)))</formula>
    </cfRule>
    <cfRule type="expression" dxfId="43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12.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3.37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3.375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143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10400</v>
      </c>
      <c r="M4" s="61">
        <v>264</v>
      </c>
      <c r="N4" s="61">
        <v>66</v>
      </c>
      <c r="O4" s="61">
        <v>9.9</v>
      </c>
      <c r="P4" s="61">
        <v>180</v>
      </c>
      <c r="Q4" s="76">
        <f>ROUND(SUM(M4:P4),2)</f>
        <v>519.9</v>
      </c>
      <c r="R4" s="62">
        <v>0</v>
      </c>
      <c r="S4" s="77">
        <f>L4+IFERROR(VLOOKUP($E:$E,'（居民）工资表-10月'!$E:$S,15,0),0)</f>
        <v>62290</v>
      </c>
      <c r="T4" s="78">
        <f>5000+IFERROR(VLOOKUP($E:$E,'（居民）工资表-10月'!$E:$T,16,0),0)</f>
        <v>35000</v>
      </c>
      <c r="U4" s="78">
        <f>Q4+IFERROR(VLOOKUP($E:$E,'（居民）工资表-10月'!$E:$U,17,0),0)</f>
        <v>3639.3</v>
      </c>
      <c r="V4" s="62"/>
      <c r="W4" s="62"/>
      <c r="X4" s="62">
        <v>11000</v>
      </c>
      <c r="Y4" s="62"/>
      <c r="Z4" s="62"/>
      <c r="AA4" s="62"/>
      <c r="AB4" s="77">
        <f>ROUND(SUM(V4:AA4),2)</f>
        <v>11000</v>
      </c>
      <c r="AC4" s="77">
        <f>R4+IFERROR(VLOOKUP($E:$E,'（居民）工资表-10月'!$E:$AC,25,0),0)</f>
        <v>0</v>
      </c>
      <c r="AD4" s="79">
        <f>ROUND(S4-T4-U4-AB4-AC4,2)</f>
        <v>12650.7</v>
      </c>
      <c r="AE4" s="80">
        <f>ROUND(MAX((AD4)*{0.03;0.1;0.2;0.25;0.3;0.35;0.45}-{0;2520;16920;31920;52920;85920;181920},0),2)</f>
        <v>379.52</v>
      </c>
      <c r="AF4" s="81">
        <f>IFERROR(VLOOKUP(E:E,'（居民）工资表-10月'!E:AF,28,0)+VLOOKUP(E:E,'（居民）工资表-10月'!E:AG,29,0),0)</f>
        <v>263.12</v>
      </c>
      <c r="AG4" s="81">
        <f>IF((AE4-AF4)&lt;0,0,AE4-AF4)</f>
        <v>116.39999999999998</v>
      </c>
      <c r="AH4" s="84">
        <f>ROUND(IF((L4-Q4-AG4)&lt;0,0,(L4-Q4-AG4)),2)</f>
        <v>9763.7000000000007</v>
      </c>
      <c r="AI4" s="85"/>
      <c r="AJ4" s="84">
        <f>AH4+AI4</f>
        <v>9763.7000000000007</v>
      </c>
      <c r="AK4" s="86"/>
      <c r="AL4" s="84">
        <f>AJ4+AG4+AK4</f>
        <v>9880.1</v>
      </c>
      <c r="AM4" s="86"/>
      <c r="AN4" s="86"/>
      <c r="AO4" s="86"/>
      <c r="AP4" s="86"/>
      <c r="AQ4" s="86"/>
      <c r="AR4" s="9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IF(SUMPRODUCT(N(E$1:E$6=E4))&gt;1,"重复","不")</f>
        <v>不</v>
      </c>
      <c r="AT4" s="91" t="str">
        <f>IF(SUMPRODUCT(N(AO$1:AO$6=AO4))&gt;1,"重复","不")</f>
        <v>重复</v>
      </c>
    </row>
    <row r="5" spans="1:46" s="17" customFormat="1" ht="18" customHeight="1">
      <c r="A5" s="31">
        <v>2</v>
      </c>
      <c r="B5" s="32" t="s">
        <v>143</v>
      </c>
      <c r="C5" s="32" t="s">
        <v>90</v>
      </c>
      <c r="D5" s="32" t="s">
        <v>144</v>
      </c>
      <c r="E5" s="32" t="s">
        <v>91</v>
      </c>
      <c r="F5" s="33" t="s">
        <v>182</v>
      </c>
      <c r="G5" s="36">
        <v>13944441728</v>
      </c>
      <c r="H5" s="35"/>
      <c r="I5" s="35"/>
      <c r="J5" s="59"/>
      <c r="K5" s="35"/>
      <c r="L5" s="62">
        <v>7000</v>
      </c>
      <c r="M5" s="61">
        <f>268.81+24.57*4</f>
        <v>367.09</v>
      </c>
      <c r="N5" s="61">
        <v>61.06</v>
      </c>
      <c r="O5" s="61">
        <f>10.08+0.92*4</f>
        <v>13.76</v>
      </c>
      <c r="P5" s="61">
        <v>79</v>
      </c>
      <c r="Q5" s="76">
        <f>ROUND(SUM(M5:P5),2)</f>
        <v>520.91</v>
      </c>
      <c r="R5" s="62">
        <v>0</v>
      </c>
      <c r="S5" s="77">
        <f>L5+IFERROR(VLOOKUP($E:$E,'（居民）工资表-10月'!$E:$S,15,0),0)</f>
        <v>50971.4</v>
      </c>
      <c r="T5" s="78">
        <f>5000+IFERROR(VLOOKUP($E:$E,'（居民）工资表-10月'!$E:$T,16,0),0)</f>
        <v>35000</v>
      </c>
      <c r="U5" s="78">
        <f>Q5+IFERROR(VLOOKUP($E:$E,'（居民）工资表-10月'!$E:$U,17,0),0)</f>
        <v>3668.5899999999997</v>
      </c>
      <c r="V5" s="62"/>
      <c r="W5" s="62"/>
      <c r="X5" s="62"/>
      <c r="Y5" s="62"/>
      <c r="Z5" s="62"/>
      <c r="AA5" s="62"/>
      <c r="AB5" s="77">
        <f>ROUND(SUM(V5:AA5),2)</f>
        <v>0</v>
      </c>
      <c r="AC5" s="77">
        <f>R5+IFERROR(VLOOKUP($E:$E,'（居民）工资表-10月'!$E:$AC,25,0),0)</f>
        <v>0</v>
      </c>
      <c r="AD5" s="79">
        <f>ROUND(S5-T5-U5-AB5-AC5,2)</f>
        <v>12302.81</v>
      </c>
      <c r="AE5" s="80">
        <f>ROUND(MAX((AD5)*{0.03;0.1;0.2;0.25;0.3;0.35;0.45}-{0;2520;16920;31920;52920;85920;181920},0),2)</f>
        <v>369.08</v>
      </c>
      <c r="AF5" s="81">
        <f>IFERROR(VLOOKUP(E:E,'（居民）工资表-10月'!E:AF,28,0)+VLOOKUP(E:E,'（居民）工资表-10月'!E:AG,29,0),0)</f>
        <v>324.70999999999998</v>
      </c>
      <c r="AG5" s="81">
        <f>IF((AE5-AF5)&lt;0,0,AE5-AF5)</f>
        <v>44.370000000000005</v>
      </c>
      <c r="AH5" s="84">
        <f>ROUND(IF((L5-Q5-AG5)&lt;0,0,(L5-Q5-AG5)),2)</f>
        <v>6434.72</v>
      </c>
      <c r="AI5" s="85"/>
      <c r="AJ5" s="84">
        <f>AH5+AI5</f>
        <v>6434.72</v>
      </c>
      <c r="AK5" s="86"/>
      <c r="AL5" s="84">
        <f>AJ5+AG5+AK5</f>
        <v>6479.09</v>
      </c>
      <c r="AM5" s="86"/>
      <c r="AN5" s="86"/>
      <c r="AO5" s="86"/>
      <c r="AP5" s="86"/>
      <c r="AQ5" s="86"/>
      <c r="AR5" s="9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1" t="str">
        <f>IF(SUMPRODUCT(N(E$1:E$6=E5))&gt;1,"重复","不")</f>
        <v>不</v>
      </c>
      <c r="AT5" s="91" t="str">
        <f>IF(SUMPRODUCT(N(AO$1:AO$6=AO5))&gt;1,"重复","不")</f>
        <v>重复</v>
      </c>
    </row>
    <row r="6" spans="1:46" s="17" customFormat="1" ht="18" customHeight="1">
      <c r="A6" s="31">
        <v>3</v>
      </c>
      <c r="B6" s="32" t="s">
        <v>143</v>
      </c>
      <c r="C6" s="32" t="s">
        <v>164</v>
      </c>
      <c r="D6" s="32" t="s">
        <v>144</v>
      </c>
      <c r="E6" s="285" t="s">
        <v>165</v>
      </c>
      <c r="F6" s="33" t="str">
        <f>IF(MOD(MID(E6,17,1),2)=1,"男","女")</f>
        <v>女</v>
      </c>
      <c r="G6" s="36">
        <v>15360550807</v>
      </c>
      <c r="H6" s="35"/>
      <c r="I6" s="35"/>
      <c r="J6" s="59"/>
      <c r="K6" s="35"/>
      <c r="L6" s="62">
        <v>5700</v>
      </c>
      <c r="M6" s="61">
        <v>367.04</v>
      </c>
      <c r="N6" s="61">
        <v>123.5</v>
      </c>
      <c r="O6" s="61">
        <v>4.2</v>
      </c>
      <c r="P6" s="61">
        <v>105</v>
      </c>
      <c r="Q6" s="76">
        <f>ROUND(SUM(M6:P6),2)</f>
        <v>599.74</v>
      </c>
      <c r="R6" s="62">
        <v>0</v>
      </c>
      <c r="S6" s="77">
        <f>L6+IFERROR(VLOOKUP($E:$E,'（居民）工资表-10月'!$E:$S,15,0),0)</f>
        <v>24043.63636363636</v>
      </c>
      <c r="T6" s="78">
        <f>5000+IFERROR(VLOOKUP($E:$E,'（居民）工资表-10月'!$E:$T,16,0),0)</f>
        <v>25000</v>
      </c>
      <c r="U6" s="78">
        <f>Q6+IFERROR(VLOOKUP($E:$E,'（居民）工资表-10月'!$E:$U,17,0),0)</f>
        <v>599.74</v>
      </c>
      <c r="V6" s="62"/>
      <c r="W6" s="62"/>
      <c r="X6" s="62"/>
      <c r="Y6" s="62"/>
      <c r="Z6" s="62"/>
      <c r="AA6" s="62"/>
      <c r="AB6" s="77">
        <f>ROUND(SUM(V6:AA6),2)</f>
        <v>0</v>
      </c>
      <c r="AC6" s="77">
        <f>R6+IFERROR(VLOOKUP($E:$E,'（居民）工资表-10月'!$E:$AC,25,0),0)</f>
        <v>0</v>
      </c>
      <c r="AD6" s="79">
        <f>ROUND(S6-T6-U6-AB6-AC6,2)</f>
        <v>-1556.1</v>
      </c>
      <c r="AE6" s="80">
        <f>ROUND(MAX((AD6)*{0.03;0.1;0.2;0.25;0.3;0.35;0.45}-{0;2520;16920;31920;52920;85920;181920},0),2)</f>
        <v>0</v>
      </c>
      <c r="AF6" s="81">
        <f>IFERROR(VLOOKUP(E:E,'（居民）工资表-10月'!E:AF,28,0)+VLOOKUP(E:E,'（居民）工资表-10月'!E:AG,29,0),0)</f>
        <v>0</v>
      </c>
      <c r="AG6" s="81">
        <f>IF((AE6-AF6)&lt;0,0,AE6-AF6)</f>
        <v>0</v>
      </c>
      <c r="AH6" s="84">
        <f>ROUND(IF((L6-Q6-AG6)&lt;0,0,(L6-Q6-AG6)),2)</f>
        <v>5100.26</v>
      </c>
      <c r="AI6" s="85"/>
      <c r="AJ6" s="84">
        <f>AH6+AI6</f>
        <v>5100.26</v>
      </c>
      <c r="AK6" s="86"/>
      <c r="AL6" s="84">
        <f>AJ6+AG6+AK6</f>
        <v>5100.26</v>
      </c>
      <c r="AM6" s="86"/>
      <c r="AN6" s="86"/>
      <c r="AO6" s="86"/>
      <c r="AP6" s="86"/>
      <c r="AQ6" s="86"/>
      <c r="AR6" s="9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1" t="str">
        <f>IF(SUMPRODUCT(N(E$1:E$6=E6))&gt;1,"重复","不")</f>
        <v>不</v>
      </c>
      <c r="AT6" s="91" t="str">
        <f>IF(SUMPRODUCT(N(AO$1:AO$6=AO6))&gt;1,"重复","不")</f>
        <v>重复</v>
      </c>
    </row>
    <row r="7" spans="1:46" s="17" customFormat="1" ht="18" customHeight="1">
      <c r="A7" s="31">
        <v>4</v>
      </c>
      <c r="B7" s="32" t="s">
        <v>143</v>
      </c>
      <c r="C7" s="32" t="s">
        <v>145</v>
      </c>
      <c r="D7" s="32" t="s">
        <v>144</v>
      </c>
      <c r="E7" s="285" t="s">
        <v>146</v>
      </c>
      <c r="F7" s="33" t="s">
        <v>182</v>
      </c>
      <c r="G7" s="36">
        <v>18607383005</v>
      </c>
      <c r="H7" s="35"/>
      <c r="I7" s="35"/>
      <c r="J7" s="59"/>
      <c r="K7" s="35"/>
      <c r="L7" s="62">
        <v>25000</v>
      </c>
      <c r="M7" s="61">
        <f>320</f>
        <v>320</v>
      </c>
      <c r="N7" s="61">
        <f>80</f>
        <v>80</v>
      </c>
      <c r="O7" s="61">
        <f>12</f>
        <v>12</v>
      </c>
      <c r="P7" s="61">
        <v>200</v>
      </c>
      <c r="Q7" s="76">
        <f>ROUND(SUM(M7:P7),2)</f>
        <v>612</v>
      </c>
      <c r="R7" s="62">
        <v>0</v>
      </c>
      <c r="S7" s="77">
        <f>L7+IFERROR(VLOOKUP($E:$E,'（居民）工资表-10月'!$E:$S,15,0),0)</f>
        <v>155024.76</v>
      </c>
      <c r="T7" s="78">
        <f>5000+IFERROR(VLOOKUP($E:$E,'（居民）工资表-10月'!$E:$T,16,0),0)</f>
        <v>35000</v>
      </c>
      <c r="U7" s="78">
        <f>Q7+IFERROR(VLOOKUP($E:$E,'（居民）工资表-10月'!$E:$U,17,0),0)</f>
        <v>4370.67</v>
      </c>
      <c r="V7" s="62"/>
      <c r="W7" s="62"/>
      <c r="X7" s="62"/>
      <c r="Y7" s="62"/>
      <c r="Z7" s="62"/>
      <c r="AA7" s="62"/>
      <c r="AB7" s="77">
        <f>ROUND(SUM(V7:AA7),2)</f>
        <v>0</v>
      </c>
      <c r="AC7" s="77">
        <f>R7+IFERROR(VLOOKUP($E:$E,'（居民）工资表-10月'!$E:$AC,25,0),0)</f>
        <v>0</v>
      </c>
      <c r="AD7" s="79">
        <f>ROUND(S7-T7-U7-AB7-AC7,2)</f>
        <v>115654.09</v>
      </c>
      <c r="AE7" s="80">
        <f>ROUND(MAX((AD7)*{0.03;0.1;0.2;0.25;0.3;0.35;0.45}-{0;2520;16920;31920;52920;85920;181920},0),2)</f>
        <v>9045.41</v>
      </c>
      <c r="AF7" s="81">
        <f>IFERROR(VLOOKUP(E:E,'（居民）工资表-10月'!E:AF,28,0)+VLOOKUP(E:E,'（居民）工资表-10月'!E:AG,29,0),0)</f>
        <v>7106.61</v>
      </c>
      <c r="AG7" s="81">
        <f>IF((AE7-AF7)&lt;0,0,AE7-AF7)</f>
        <v>1938.8000000000002</v>
      </c>
      <c r="AH7" s="84">
        <f>ROUND(IF((L7-Q7-AG7)&lt;0,0,(L7-Q7-AG7)),2)</f>
        <v>22449.200000000001</v>
      </c>
      <c r="AI7" s="85"/>
      <c r="AJ7" s="84">
        <f>AH7+AI7</f>
        <v>22449.200000000001</v>
      </c>
      <c r="AK7" s="86"/>
      <c r="AL7" s="84">
        <f>AJ7+AG7+AK7</f>
        <v>24388</v>
      </c>
      <c r="AM7" s="86"/>
      <c r="AN7" s="86"/>
      <c r="AO7" s="86"/>
      <c r="AP7" s="86"/>
      <c r="AQ7" s="86"/>
      <c r="AR7" s="9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1" t="str">
        <f>IF(SUMPRODUCT(N(E$1:E$6=E7))&gt;1,"重复","不")</f>
        <v>不</v>
      </c>
      <c r="AT7" s="91" t="str">
        <f>IF(SUMPRODUCT(N(AO$1:AO$6=AO7))&gt;1,"重复","不")</f>
        <v>重复</v>
      </c>
    </row>
    <row r="8" spans="1:46" s="17" customFormat="1" ht="18" customHeight="1">
      <c r="A8" s="31">
        <v>5</v>
      </c>
      <c r="B8" s="32" t="s">
        <v>143</v>
      </c>
      <c r="C8" s="32" t="s">
        <v>162</v>
      </c>
      <c r="D8" s="32" t="s">
        <v>144</v>
      </c>
      <c r="E8" s="32" t="s">
        <v>163</v>
      </c>
      <c r="F8" s="33" t="s">
        <v>182</v>
      </c>
      <c r="G8" s="36">
        <v>13373825180</v>
      </c>
      <c r="H8" s="35"/>
      <c r="I8" s="35"/>
      <c r="J8" s="59"/>
      <c r="K8" s="35"/>
      <c r="L8" s="62">
        <v>25000</v>
      </c>
      <c r="M8" s="61">
        <f>261.04*2</f>
        <v>522.08000000000004</v>
      </c>
      <c r="N8" s="61">
        <f>57.18*2+32.5</f>
        <v>146.86000000000001</v>
      </c>
      <c r="O8" s="61">
        <f>9.1*2</f>
        <v>18.2</v>
      </c>
      <c r="P8" s="61">
        <f>85*2</f>
        <v>170</v>
      </c>
      <c r="Q8" s="76">
        <f>ROUND(SUM(M8:P8),2)</f>
        <v>857.14</v>
      </c>
      <c r="R8" s="62">
        <v>0</v>
      </c>
      <c r="S8" s="77">
        <f>L8+IFERROR(VLOOKUP($E:$E,'（居民）工资表-10月'!$E:$S,15,0),0)</f>
        <v>25000</v>
      </c>
      <c r="T8" s="78">
        <f>5000+IFERROR(VLOOKUP($E:$E,'（居民）工资表-10月'!$E:$T,16,0),0)</f>
        <v>5000</v>
      </c>
      <c r="U8" s="78">
        <f>Q8+IFERROR(VLOOKUP($E:$E,'（居民）工资表-10月'!$E:$U,17,0),0)</f>
        <v>857.14</v>
      </c>
      <c r="V8" s="62"/>
      <c r="W8" s="62"/>
      <c r="X8" s="62"/>
      <c r="Y8" s="62"/>
      <c r="Z8" s="62"/>
      <c r="AA8" s="62"/>
      <c r="AB8" s="77">
        <f>ROUND(SUM(V8:AA8),2)</f>
        <v>0</v>
      </c>
      <c r="AC8" s="77">
        <f>R8+IFERROR(VLOOKUP($E:$E,'（居民）工资表-10月'!$E:$AC,25,0),0)</f>
        <v>0</v>
      </c>
      <c r="AD8" s="79">
        <f>ROUND(S8-T8-U8-AB8-AC8,2)</f>
        <v>19142.86</v>
      </c>
      <c r="AE8" s="80">
        <f>ROUND(MAX((AD8)*{0.03;0.1;0.2;0.25;0.3;0.35;0.45}-{0;2520;16920;31920;52920;85920;181920},0),2)</f>
        <v>574.29</v>
      </c>
      <c r="AF8" s="81">
        <f>IFERROR(VLOOKUP(E:E,'（居民）工资表-10月'!E:AF,28,0)+VLOOKUP(E:E,'（居民）工资表-10月'!E:AG,29,0),0)</f>
        <v>0</v>
      </c>
      <c r="AG8" s="81">
        <f>IF((AE8-AF8)&lt;0,0,AE8-AF8)</f>
        <v>574.29</v>
      </c>
      <c r="AH8" s="84">
        <f>ROUND(IF((L8-Q8-AG8)&lt;0,0,(L8-Q8-AG8)),2)</f>
        <v>23568.57</v>
      </c>
      <c r="AI8" s="85"/>
      <c r="AJ8" s="84">
        <f>AH8+AI8</f>
        <v>23568.57</v>
      </c>
      <c r="AK8" s="86"/>
      <c r="AL8" s="84">
        <f>AJ8+AG8+AK8</f>
        <v>24142.86</v>
      </c>
      <c r="AM8" s="86"/>
      <c r="AN8" s="86"/>
      <c r="AO8" s="86"/>
      <c r="AP8" s="86"/>
      <c r="AQ8" s="86"/>
      <c r="AR8" s="9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1" t="str">
        <f>IF(SUMPRODUCT(N(E$1:E$6=E8))&gt;1,"重复","不")</f>
        <v>不</v>
      </c>
      <c r="AT8" s="91" t="str">
        <f>IF(SUMPRODUCT(N(AO$1:AO$6=AO8))&gt;1,"重复","不")</f>
        <v>重复</v>
      </c>
    </row>
    <row r="9" spans="1:46" s="18" customFormat="1" ht="18" customHeight="1">
      <c r="A9" s="37"/>
      <c r="B9" s="38" t="s">
        <v>147</v>
      </c>
      <c r="C9" s="38"/>
      <c r="D9" s="39"/>
      <c r="E9" s="40"/>
      <c r="F9" s="41"/>
      <c r="G9" s="42"/>
      <c r="H9" s="41"/>
      <c r="I9" s="63"/>
      <c r="J9" s="64"/>
      <c r="K9" s="63"/>
      <c r="L9" s="65">
        <f>SUM(L4:L8)</f>
        <v>73100</v>
      </c>
      <c r="M9" s="65">
        <f t="shared" ref="M9:AL9" si="0">SUM(M4:M8)</f>
        <v>1840.21</v>
      </c>
      <c r="N9" s="65">
        <f t="shared" si="0"/>
        <v>477.42</v>
      </c>
      <c r="O9" s="65">
        <f t="shared" si="0"/>
        <v>58.06</v>
      </c>
      <c r="P9" s="65">
        <f t="shared" si="0"/>
        <v>734</v>
      </c>
      <c r="Q9" s="65">
        <f t="shared" si="0"/>
        <v>3109.69</v>
      </c>
      <c r="R9" s="65">
        <f t="shared" si="0"/>
        <v>0</v>
      </c>
      <c r="S9" s="65">
        <f t="shared" si="0"/>
        <v>317329.79636363639</v>
      </c>
      <c r="T9" s="65">
        <f t="shared" si="0"/>
        <v>135000</v>
      </c>
      <c r="U9" s="65">
        <f t="shared" si="0"/>
        <v>13135.439999999999</v>
      </c>
      <c r="V9" s="65">
        <f t="shared" si="0"/>
        <v>0</v>
      </c>
      <c r="W9" s="65">
        <f t="shared" si="0"/>
        <v>0</v>
      </c>
      <c r="X9" s="65">
        <f t="shared" si="0"/>
        <v>11000</v>
      </c>
      <c r="Y9" s="65">
        <f t="shared" si="0"/>
        <v>0</v>
      </c>
      <c r="Z9" s="65">
        <f t="shared" si="0"/>
        <v>0</v>
      </c>
      <c r="AA9" s="65">
        <f t="shared" si="0"/>
        <v>0</v>
      </c>
      <c r="AB9" s="65">
        <f t="shared" si="0"/>
        <v>11000</v>
      </c>
      <c r="AC9" s="65">
        <f t="shared" si="0"/>
        <v>0</v>
      </c>
      <c r="AD9" s="65">
        <f t="shared" si="0"/>
        <v>158194.35999999999</v>
      </c>
      <c r="AE9" s="65">
        <f t="shared" si="0"/>
        <v>10368.299999999999</v>
      </c>
      <c r="AF9" s="65">
        <f t="shared" si="0"/>
        <v>7694.44</v>
      </c>
      <c r="AG9" s="65">
        <f t="shared" si="0"/>
        <v>2673.86</v>
      </c>
      <c r="AH9" s="65">
        <f t="shared" si="0"/>
        <v>67316.450000000012</v>
      </c>
      <c r="AI9" s="65">
        <f t="shared" si="0"/>
        <v>0</v>
      </c>
      <c r="AJ9" s="65">
        <f t="shared" si="0"/>
        <v>67316.450000000012</v>
      </c>
      <c r="AK9" s="65">
        <f t="shared" si="0"/>
        <v>0</v>
      </c>
      <c r="AL9" s="65">
        <f t="shared" si="0"/>
        <v>69990.31</v>
      </c>
      <c r="AM9" s="87"/>
      <c r="AN9" s="87"/>
      <c r="AO9" s="87"/>
      <c r="AP9" s="87"/>
      <c r="AQ9" s="87"/>
      <c r="AR9" s="41"/>
      <c r="AS9" s="41"/>
      <c r="AT9" s="92"/>
    </row>
    <row r="12" spans="1:46">
      <c r="AD12" s="82"/>
    </row>
    <row r="13" spans="1:46" ht="18.75" customHeight="1">
      <c r="B13" s="43" t="s">
        <v>124</v>
      </c>
      <c r="C13" s="43" t="s">
        <v>148</v>
      </c>
      <c r="D13" s="43" t="s">
        <v>54</v>
      </c>
      <c r="E13" s="43" t="s">
        <v>55</v>
      </c>
      <c r="AD13" s="15"/>
    </row>
    <row r="14" spans="1:46" ht="18.75" customHeight="1">
      <c r="B14" s="44">
        <f>AJ9</f>
        <v>67316.450000000012</v>
      </c>
      <c r="C14" s="44">
        <f>AG9</f>
        <v>2673.86</v>
      </c>
      <c r="D14" s="44">
        <f>AK9</f>
        <v>0</v>
      </c>
      <c r="E14" s="44">
        <f>B14+C14+D14</f>
        <v>69990.310000000012</v>
      </c>
    </row>
    <row r="15" spans="1:46">
      <c r="B15" s="45"/>
      <c r="C15" s="45"/>
      <c r="D15" s="45"/>
      <c r="E15" s="45"/>
    </row>
    <row r="16" spans="1:46" s="19" customFormat="1">
      <c r="A16" s="46" t="s">
        <v>149</v>
      </c>
      <c r="B16" s="47" t="s">
        <v>150</v>
      </c>
      <c r="C16" s="48"/>
      <c r="D16" s="48"/>
      <c r="E16" s="48"/>
      <c r="G16" s="49"/>
      <c r="J16" s="66"/>
      <c r="M16" s="67"/>
      <c r="AI16" s="89"/>
    </row>
    <row r="17" spans="1:35" s="19" customFormat="1">
      <c r="A17" s="50"/>
      <c r="B17" s="51" t="s">
        <v>151</v>
      </c>
      <c r="C17" s="48"/>
      <c r="D17" s="48"/>
      <c r="E17" s="48"/>
      <c r="G17" s="49"/>
      <c r="J17" s="66"/>
      <c r="M17" s="67"/>
      <c r="AI17" s="89"/>
    </row>
    <row r="18" spans="1:35" s="19" customFormat="1">
      <c r="A18" s="47"/>
      <c r="B18" s="51" t="s">
        <v>152</v>
      </c>
      <c r="C18" s="52"/>
      <c r="D18" s="52"/>
      <c r="E18" s="52"/>
      <c r="F18" s="52"/>
      <c r="G18" s="52"/>
      <c r="H18" s="52"/>
      <c r="I18" s="52"/>
      <c r="J18" s="68"/>
      <c r="K18" s="52"/>
      <c r="L18" s="52"/>
      <c r="M18" s="69"/>
      <c r="N18" s="52"/>
      <c r="O18" s="52"/>
      <c r="P18" s="52"/>
      <c r="AI18" s="89"/>
    </row>
    <row r="19" spans="1:35" s="19" customFormat="1" ht="13.5" customHeight="1">
      <c r="A19" s="51"/>
      <c r="B19" s="51" t="s">
        <v>153</v>
      </c>
      <c r="C19" s="53"/>
      <c r="D19" s="53"/>
      <c r="E19" s="53"/>
      <c r="F19" s="53"/>
      <c r="G19" s="53"/>
      <c r="H19" s="53"/>
      <c r="I19" s="70"/>
      <c r="J19" s="71"/>
      <c r="K19" s="70"/>
      <c r="L19" s="70"/>
      <c r="M19" s="72"/>
      <c r="N19" s="70"/>
      <c r="O19" s="70"/>
      <c r="P19" s="70"/>
      <c r="AI19" s="89"/>
    </row>
    <row r="20" spans="1:35" s="19" customFormat="1" ht="13.5" customHeight="1">
      <c r="A20" s="51"/>
      <c r="B20" s="51" t="s">
        <v>154</v>
      </c>
      <c r="C20" s="53"/>
      <c r="D20" s="53"/>
      <c r="E20" s="53"/>
      <c r="F20" s="53"/>
      <c r="G20" s="53"/>
      <c r="H20" s="53"/>
      <c r="I20" s="53"/>
      <c r="J20" s="73"/>
      <c r="K20" s="53"/>
      <c r="L20" s="70"/>
      <c r="M20" s="72"/>
      <c r="N20" s="70"/>
      <c r="O20" s="70"/>
      <c r="P20" s="70"/>
      <c r="AI20" s="89"/>
    </row>
    <row r="21" spans="1:35" s="19" customFormat="1" ht="13.5" customHeight="1">
      <c r="A21" s="51"/>
      <c r="B21" s="51" t="s">
        <v>155</v>
      </c>
      <c r="C21" s="53"/>
      <c r="D21" s="53"/>
      <c r="E21" s="53"/>
      <c r="F21" s="53"/>
      <c r="G21" s="53"/>
      <c r="H21" s="53"/>
      <c r="I21" s="70"/>
      <c r="J21" s="71"/>
      <c r="K21" s="70"/>
      <c r="L21" s="70"/>
      <c r="M21" s="72"/>
      <c r="N21" s="70"/>
      <c r="O21" s="70"/>
      <c r="P21" s="70"/>
      <c r="AI21" s="89"/>
    </row>
    <row r="23" spans="1:35" ht="11.25" customHeight="1">
      <c r="B23" s="54" t="s">
        <v>156</v>
      </c>
    </row>
    <row r="24" spans="1:35">
      <c r="B24" s="55" t="s">
        <v>157</v>
      </c>
    </row>
    <row r="25" spans="1:35">
      <c r="B25" s="55" t="s">
        <v>158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1">
    <cfRule type="duplicateValues" dxfId="42" priority="2" stopIfTrue="1"/>
  </conditionalFormatting>
  <conditionalFormatting sqref="B16:B20">
    <cfRule type="duplicateValues" dxfId="41" priority="3" stopIfTrue="1"/>
  </conditionalFormatting>
  <conditionalFormatting sqref="B24:B25">
    <cfRule type="duplicateValues" dxfId="40" priority="1" stopIfTrue="1"/>
  </conditionalFormatting>
  <conditionalFormatting sqref="C13:C15">
    <cfRule type="duplicateValues" dxfId="39" priority="4" stopIfTrue="1"/>
    <cfRule type="expression" dxfId="38" priority="5" stopIfTrue="1">
      <formula>AND(COUNTIF($B$9:$B$65445,C13)+COUNTIF($B$1:$B$3,C13)&gt;1,NOT(ISBLANK(C13)))</formula>
    </cfRule>
    <cfRule type="expression" dxfId="37" priority="6" stopIfTrue="1">
      <formula>AND(COUNTIF($B$20:$B$65396,C13)+COUNTIF($B$1:$B$19,C13)&gt;1,NOT(ISBLANK(C13)))</formula>
    </cfRule>
    <cfRule type="expression" dxfId="36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F27" sqref="F27"/>
    </sheetView>
  </sheetViews>
  <sheetFormatPr defaultColWidth="9" defaultRowHeight="13.5" outlineLevelCol="1"/>
  <cols>
    <col min="1" max="1" width="4.5" style="20" customWidth="1"/>
    <col min="2" max="2" width="14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9.7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1.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4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hidden="1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231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9280</v>
      </c>
      <c r="M4" s="61">
        <v>264</v>
      </c>
      <c r="N4" s="61">
        <v>66</v>
      </c>
      <c r="O4" s="61">
        <v>9.9</v>
      </c>
      <c r="P4" s="61">
        <v>180</v>
      </c>
      <c r="Q4" s="76">
        <f>ROUND(SUM(M4:P4),2)</f>
        <v>519.9</v>
      </c>
      <c r="R4" s="62">
        <v>0</v>
      </c>
      <c r="S4" s="77">
        <f>L4</f>
        <v>9280</v>
      </c>
      <c r="T4" s="78">
        <v>5000</v>
      </c>
      <c r="U4" s="78">
        <f>Q4</f>
        <v>519.9</v>
      </c>
      <c r="V4" s="62">
        <v>1000</v>
      </c>
      <c r="W4" s="62"/>
      <c r="X4" s="62">
        <v>1000</v>
      </c>
      <c r="Y4" s="62"/>
      <c r="Z4" s="62"/>
      <c r="AA4" s="62"/>
      <c r="AB4" s="77">
        <f>ROUND(SUM(V4:AA4),2)</f>
        <v>2000</v>
      </c>
      <c r="AC4" s="77">
        <f>R4</f>
        <v>0</v>
      </c>
      <c r="AD4" s="79">
        <f>ROUND(S4-T4-U4-AB4-AC4,2)</f>
        <v>1760.1</v>
      </c>
      <c r="AE4" s="80">
        <f>ROUND(MAX((AD4)*{0.03;0.1;0.2;0.25;0.3;0.35;0.45}-{0;2520;16920;31920;52920;85920;181920},0),2)</f>
        <v>52.8</v>
      </c>
      <c r="AF4" s="81">
        <v>0</v>
      </c>
      <c r="AG4" s="81">
        <f>IF((AE4-AF4)&lt;0,0,AE4-AF4)</f>
        <v>52.8</v>
      </c>
      <c r="AH4" s="84">
        <f>ROUND(IF((L4-Q4-AG4)&lt;0,0,(L4-Q4-AG4)),2)</f>
        <v>8707.2999999999993</v>
      </c>
      <c r="AI4" s="85"/>
      <c r="AJ4" s="84">
        <f>AH4+AI4</f>
        <v>8707.2999999999993</v>
      </c>
      <c r="AK4" s="86"/>
      <c r="AL4" s="84">
        <f>AJ4+AG4+AK4</f>
        <v>8760.1</v>
      </c>
      <c r="AM4" s="86"/>
      <c r="AN4" s="86"/>
      <c r="AO4" s="86" t="s">
        <v>232</v>
      </c>
      <c r="AP4" s="86" t="s">
        <v>233</v>
      </c>
      <c r="AQ4" s="86" t="s">
        <v>234</v>
      </c>
      <c r="AR4" s="9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IF(SUMPRODUCT(N(E$1:E$8=E4))&gt;1,"重复","不")</f>
        <v>不</v>
      </c>
      <c r="AT4" s="91" t="str">
        <f>IF(SUMPRODUCT(N(AO$1:AO$8=AO4))&gt;1,"重复","不")</f>
        <v>重复</v>
      </c>
    </row>
    <row r="5" spans="1:46" s="17" customFormat="1" ht="18" customHeight="1">
      <c r="A5" s="31">
        <v>2</v>
      </c>
      <c r="B5" s="32" t="s">
        <v>231</v>
      </c>
      <c r="C5" s="32" t="s">
        <v>90</v>
      </c>
      <c r="D5" s="32" t="s">
        <v>144</v>
      </c>
      <c r="E5" s="32" t="s">
        <v>91</v>
      </c>
      <c r="F5" s="33" t="s">
        <v>182</v>
      </c>
      <c r="G5" s="36">
        <v>13944441728</v>
      </c>
      <c r="H5" s="35"/>
      <c r="I5" s="35"/>
      <c r="J5" s="59"/>
      <c r="K5" s="35"/>
      <c r="L5" s="62">
        <v>7000</v>
      </c>
      <c r="M5" s="61">
        <v>268.81</v>
      </c>
      <c r="N5" s="61">
        <v>10.08</v>
      </c>
      <c r="O5" s="61">
        <v>61.06</v>
      </c>
      <c r="P5" s="61">
        <v>79</v>
      </c>
      <c r="Q5" s="76">
        <f>ROUND(SUM(M5:P5),2)</f>
        <v>418.95</v>
      </c>
      <c r="R5" s="62">
        <v>0</v>
      </c>
      <c r="S5" s="77">
        <f>L5</f>
        <v>7000</v>
      </c>
      <c r="T5" s="78">
        <v>5000</v>
      </c>
      <c r="U5" s="78">
        <f>Q5</f>
        <v>418.95</v>
      </c>
      <c r="V5" s="62"/>
      <c r="W5" s="62"/>
      <c r="X5" s="62">
        <v>1000</v>
      </c>
      <c r="Y5" s="62"/>
      <c r="Z5" s="62"/>
      <c r="AA5" s="62"/>
      <c r="AB5" s="77">
        <f>ROUND(SUM(V5:AA5),2)</f>
        <v>1000</v>
      </c>
      <c r="AC5" s="77">
        <f>R5</f>
        <v>0</v>
      </c>
      <c r="AD5" s="79">
        <f>ROUND(S5-T5-U5-AB5-AC5,2)</f>
        <v>581.04999999999995</v>
      </c>
      <c r="AE5" s="80">
        <f>ROUND(MAX((AD5)*{0.03;0.1;0.2;0.25;0.3;0.35;0.45}-{0;2520;16920;31920;52920;85920;181920},0),2)</f>
        <v>17.43</v>
      </c>
      <c r="AF5" s="81">
        <v>0</v>
      </c>
      <c r="AG5" s="81">
        <f>IF((AE5-AF5)&lt;0,0,AE5-AF5)</f>
        <v>17.43</v>
      </c>
      <c r="AH5" s="84">
        <f>ROUND(IF((L5-Q5-AG5)&lt;0,0,(L5-Q5-AG5)),2)</f>
        <v>6563.62</v>
      </c>
      <c r="AI5" s="85"/>
      <c r="AJ5" s="84">
        <f>AH5+AI5</f>
        <v>6563.62</v>
      </c>
      <c r="AK5" s="86"/>
      <c r="AL5" s="84">
        <f>AJ5+AG5+AK5</f>
        <v>6581.05</v>
      </c>
      <c r="AM5" s="86"/>
      <c r="AN5" s="86"/>
      <c r="AO5" s="86" t="s">
        <v>232</v>
      </c>
      <c r="AP5" s="86" t="s">
        <v>233</v>
      </c>
      <c r="AQ5" s="86" t="s">
        <v>234</v>
      </c>
      <c r="AR5" s="9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1" t="str">
        <f>IF(SUMPRODUCT(N(E$1:E$8=E5))&gt;1,"重复","不")</f>
        <v>不</v>
      </c>
      <c r="AT5" s="91" t="str">
        <f>IF(SUMPRODUCT(N(AO$1:AO$8=AO5))&gt;1,"重复","不")</f>
        <v>重复</v>
      </c>
    </row>
    <row r="6" spans="1:46" s="17" customFormat="1" ht="18" customHeight="1">
      <c r="A6" s="31">
        <v>3</v>
      </c>
      <c r="B6" s="32" t="s">
        <v>231</v>
      </c>
      <c r="C6" s="32" t="s">
        <v>164</v>
      </c>
      <c r="D6" s="32" t="s">
        <v>144</v>
      </c>
      <c r="E6" s="285" t="s">
        <v>165</v>
      </c>
      <c r="F6" s="33" t="str">
        <f>IF(MOD(MID(E6,17,1),2)=1,"男","女")</f>
        <v>女</v>
      </c>
      <c r="G6" s="36">
        <v>15360550807</v>
      </c>
      <c r="H6" s="35"/>
      <c r="I6" s="35"/>
      <c r="J6" s="59"/>
      <c r="K6" s="35"/>
      <c r="L6" s="62">
        <v>5700</v>
      </c>
      <c r="M6" s="61">
        <v>367.04</v>
      </c>
      <c r="N6" s="61">
        <v>123.5</v>
      </c>
      <c r="O6" s="61">
        <v>4.2</v>
      </c>
      <c r="P6" s="61">
        <v>105</v>
      </c>
      <c r="Q6" s="76">
        <f>ROUND(SUM(M6:P6),2)</f>
        <v>599.74</v>
      </c>
      <c r="R6" s="62">
        <v>0</v>
      </c>
      <c r="S6" s="77">
        <f>L6</f>
        <v>5700</v>
      </c>
      <c r="T6" s="78">
        <v>5000</v>
      </c>
      <c r="U6" s="78">
        <f>Q6</f>
        <v>599.74</v>
      </c>
      <c r="V6" s="62"/>
      <c r="W6" s="62"/>
      <c r="X6" s="62"/>
      <c r="Y6" s="62">
        <v>1500</v>
      </c>
      <c r="Z6" s="62"/>
      <c r="AA6" s="62"/>
      <c r="AB6" s="77">
        <f>ROUND(SUM(V6:AA6),2)</f>
        <v>1500</v>
      </c>
      <c r="AC6" s="77">
        <f>R6</f>
        <v>0</v>
      </c>
      <c r="AD6" s="79">
        <f>ROUND(S6-T6-U6-AB6-AC6,2)</f>
        <v>-1399.74</v>
      </c>
      <c r="AE6" s="80">
        <f>ROUND(MAX((AD6)*{0.03;0.1;0.2;0.25;0.3;0.35;0.45}-{0;2520;16920;31920;52920;85920;181920},0),2)</f>
        <v>0</v>
      </c>
      <c r="AF6" s="81">
        <v>0</v>
      </c>
      <c r="AG6" s="81">
        <f>IF((AE6-AF6)&lt;0,0,AE6-AF6)</f>
        <v>0</v>
      </c>
      <c r="AH6" s="84">
        <f>ROUND(IF((L6-Q6-AG6)&lt;0,0,(L6-Q6-AG6)),2)</f>
        <v>5100.26</v>
      </c>
      <c r="AI6" s="85"/>
      <c r="AJ6" s="84">
        <f>AH6+AI6</f>
        <v>5100.26</v>
      </c>
      <c r="AK6" s="86"/>
      <c r="AL6" s="84">
        <f>AJ6+AG6+AK6</f>
        <v>5100.26</v>
      </c>
      <c r="AM6" s="86"/>
      <c r="AN6" s="86"/>
      <c r="AO6" s="86" t="s">
        <v>232</v>
      </c>
      <c r="AP6" s="86" t="s">
        <v>233</v>
      </c>
      <c r="AQ6" s="86" t="s">
        <v>234</v>
      </c>
      <c r="AR6" s="9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1" t="str">
        <f>IF(SUMPRODUCT(N(E$1:E$8=E6))&gt;1,"重复","不")</f>
        <v>不</v>
      </c>
      <c r="AT6" s="91" t="str">
        <f>IF(SUMPRODUCT(N(AO$1:AO$8=AO6))&gt;1,"重复","不")</f>
        <v>重复</v>
      </c>
    </row>
    <row r="7" spans="1:46" s="17" customFormat="1" ht="18" customHeight="1">
      <c r="A7" s="31">
        <v>4</v>
      </c>
      <c r="B7" s="32" t="s">
        <v>231</v>
      </c>
      <c r="C7" s="32" t="s">
        <v>145</v>
      </c>
      <c r="D7" s="32" t="s">
        <v>144</v>
      </c>
      <c r="E7" s="285" t="s">
        <v>146</v>
      </c>
      <c r="F7" s="33" t="s">
        <v>182</v>
      </c>
      <c r="G7" s="36">
        <v>18607383005</v>
      </c>
      <c r="H7" s="35"/>
      <c r="I7" s="35"/>
      <c r="J7" s="59"/>
      <c r="K7" s="35"/>
      <c r="L7" s="62">
        <v>31000</v>
      </c>
      <c r="M7" s="61">
        <f>320</f>
        <v>320</v>
      </c>
      <c r="N7" s="61">
        <f>80</f>
        <v>80</v>
      </c>
      <c r="O7" s="61">
        <f>12</f>
        <v>12</v>
      </c>
      <c r="P7" s="61">
        <v>200</v>
      </c>
      <c r="Q7" s="76">
        <f>ROUND(SUM(M7:P7),2)</f>
        <v>612</v>
      </c>
      <c r="R7" s="62">
        <v>0</v>
      </c>
      <c r="S7" s="77">
        <f>L7</f>
        <v>31000</v>
      </c>
      <c r="T7" s="78">
        <v>5000</v>
      </c>
      <c r="U7" s="78">
        <f>Q7</f>
        <v>612</v>
      </c>
      <c r="V7" s="62">
        <v>2000</v>
      </c>
      <c r="W7" s="62">
        <v>1000</v>
      </c>
      <c r="X7" s="62"/>
      <c r="Y7" s="62"/>
      <c r="Z7" s="62"/>
      <c r="AA7" s="62"/>
      <c r="AB7" s="77">
        <f>ROUND(SUM(V7:AA7),2)</f>
        <v>3000</v>
      </c>
      <c r="AC7" s="77">
        <f>R7</f>
        <v>0</v>
      </c>
      <c r="AD7" s="79">
        <f>ROUND(S7-T7-U7-AB7-AC7,2)</f>
        <v>22388</v>
      </c>
      <c r="AE7" s="80">
        <f>ROUND(MAX((AD7)*{0.03;0.1;0.2;0.25;0.3;0.35;0.45}-{0;2520;16920;31920;52920;85920;181920},0),2)</f>
        <v>671.64</v>
      </c>
      <c r="AF7" s="81">
        <v>0</v>
      </c>
      <c r="AG7" s="81">
        <f>IF((AE7-AF7)&lt;0,0,AE7-AF7)</f>
        <v>671.64</v>
      </c>
      <c r="AH7" s="84">
        <f>ROUND(IF((L7-Q7-AG7)&lt;0,0,(L7-Q7-AG7)),2)</f>
        <v>29716.36</v>
      </c>
      <c r="AI7" s="85"/>
      <c r="AJ7" s="84">
        <f>AH7+AI7</f>
        <v>29716.36</v>
      </c>
      <c r="AK7" s="86"/>
      <c r="AL7" s="84">
        <f>AJ7+AG7+AK7</f>
        <v>30388</v>
      </c>
      <c r="AM7" s="86"/>
      <c r="AN7" s="86"/>
      <c r="AO7" s="86" t="s">
        <v>232</v>
      </c>
      <c r="AP7" s="86" t="s">
        <v>233</v>
      </c>
      <c r="AQ7" s="86" t="s">
        <v>234</v>
      </c>
      <c r="AR7" s="9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1" t="str">
        <f>IF(SUMPRODUCT(N(E$1:E$8=E7))&gt;1,"重复","不")</f>
        <v>不</v>
      </c>
      <c r="AT7" s="91" t="str">
        <f>IF(SUMPRODUCT(N(AO$1:AO$8=AO7))&gt;1,"重复","不")</f>
        <v>重复</v>
      </c>
    </row>
    <row r="8" spans="1:46" s="17" customFormat="1" ht="18" customHeight="1">
      <c r="A8" s="31">
        <v>5</v>
      </c>
      <c r="B8" s="32" t="s">
        <v>231</v>
      </c>
      <c r="C8" s="32" t="s">
        <v>162</v>
      </c>
      <c r="D8" s="32" t="s">
        <v>144</v>
      </c>
      <c r="E8" s="32" t="s">
        <v>163</v>
      </c>
      <c r="F8" s="33" t="s">
        <v>182</v>
      </c>
      <c r="G8" s="36">
        <v>13373825180</v>
      </c>
      <c r="H8" s="35"/>
      <c r="I8" s="35"/>
      <c r="J8" s="59"/>
      <c r="K8" s="35"/>
      <c r="L8" s="62">
        <v>26739</v>
      </c>
      <c r="M8" s="61">
        <v>261.04000000000002</v>
      </c>
      <c r="N8" s="61">
        <v>9.1</v>
      </c>
      <c r="O8" s="61">
        <v>57.18</v>
      </c>
      <c r="P8" s="61">
        <v>85</v>
      </c>
      <c r="Q8" s="76">
        <f>ROUND(SUM(M8:P8),2)</f>
        <v>412.32</v>
      </c>
      <c r="R8" s="62">
        <v>0</v>
      </c>
      <c r="S8" s="77">
        <f>L8</f>
        <v>26739</v>
      </c>
      <c r="T8" s="78">
        <v>5000</v>
      </c>
      <c r="U8" s="78">
        <f>Q8</f>
        <v>412.32</v>
      </c>
      <c r="V8" s="62">
        <v>1000</v>
      </c>
      <c r="W8" s="62">
        <v>1000</v>
      </c>
      <c r="X8" s="62">
        <v>1000</v>
      </c>
      <c r="Y8" s="62"/>
      <c r="Z8" s="62"/>
      <c r="AA8" s="62"/>
      <c r="AB8" s="77">
        <f>ROUND(SUM(V8:AA8),2)</f>
        <v>3000</v>
      </c>
      <c r="AC8" s="77">
        <f>R8</f>
        <v>0</v>
      </c>
      <c r="AD8" s="79">
        <f>ROUND(S8-T8-U8-AB8-AC8,2)</f>
        <v>18326.68</v>
      </c>
      <c r="AE8" s="80">
        <f>ROUND(MAX((AD8)*{0.03;0.1;0.2;0.25;0.3;0.35;0.45}-{0;2520;16920;31920;52920;85920;181920},0),2)</f>
        <v>549.79999999999995</v>
      </c>
      <c r="AF8" s="81">
        <v>0</v>
      </c>
      <c r="AG8" s="81">
        <f>IF((AE8-AF8)&lt;0,0,AE8-AF8)</f>
        <v>549.79999999999995</v>
      </c>
      <c r="AH8" s="84">
        <f>ROUND(IF((L8-Q8-AG8)&lt;0,0,(L8-Q8-AG8)),2)</f>
        <v>25776.880000000001</v>
      </c>
      <c r="AI8" s="85"/>
      <c r="AJ8" s="84">
        <f>AH8+AI8</f>
        <v>25776.880000000001</v>
      </c>
      <c r="AK8" s="86"/>
      <c r="AL8" s="84">
        <f>AJ8+AG8+AK8</f>
        <v>26326.68</v>
      </c>
      <c r="AM8" s="86"/>
      <c r="AN8" s="86"/>
      <c r="AO8" s="86" t="s">
        <v>232</v>
      </c>
      <c r="AP8" s="86" t="s">
        <v>233</v>
      </c>
      <c r="AQ8" s="86" t="s">
        <v>234</v>
      </c>
      <c r="AR8" s="9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1" t="str">
        <f>IF(SUMPRODUCT(N(E$1:E$8=E8))&gt;1,"重复","不")</f>
        <v>不</v>
      </c>
      <c r="AT8" s="91" t="str">
        <f>IF(SUMPRODUCT(N(AO$1:AO$8=AO8))&gt;1,"重复","不")</f>
        <v>重复</v>
      </c>
    </row>
    <row r="9" spans="1:46" s="18" customFormat="1" ht="18" customHeight="1">
      <c r="A9" s="37"/>
      <c r="B9" s="38" t="s">
        <v>147</v>
      </c>
      <c r="C9" s="38"/>
      <c r="D9" s="39"/>
      <c r="E9" s="40"/>
      <c r="F9" s="41"/>
      <c r="G9" s="42"/>
      <c r="H9" s="41"/>
      <c r="I9" s="63"/>
      <c r="J9" s="64"/>
      <c r="K9" s="63"/>
      <c r="L9" s="65">
        <f t="shared" ref="L9:AL9" si="0">SUM(L4:L8)</f>
        <v>79719</v>
      </c>
      <c r="M9" s="65">
        <f t="shared" si="0"/>
        <v>1480.89</v>
      </c>
      <c r="N9" s="65">
        <f t="shared" si="0"/>
        <v>288.68</v>
      </c>
      <c r="O9" s="65">
        <f t="shared" si="0"/>
        <v>144.34</v>
      </c>
      <c r="P9" s="65">
        <f t="shared" si="0"/>
        <v>649</v>
      </c>
      <c r="Q9" s="65">
        <f t="shared" si="0"/>
        <v>2562.91</v>
      </c>
      <c r="R9" s="65">
        <f t="shared" si="0"/>
        <v>0</v>
      </c>
      <c r="S9" s="65">
        <f t="shared" si="0"/>
        <v>79719</v>
      </c>
      <c r="T9" s="65">
        <f t="shared" si="0"/>
        <v>25000</v>
      </c>
      <c r="U9" s="65">
        <f t="shared" si="0"/>
        <v>2562.91</v>
      </c>
      <c r="V9" s="65">
        <f t="shared" si="0"/>
        <v>4000</v>
      </c>
      <c r="W9" s="65">
        <f t="shared" si="0"/>
        <v>2000</v>
      </c>
      <c r="X9" s="65">
        <f t="shared" si="0"/>
        <v>3000</v>
      </c>
      <c r="Y9" s="65">
        <f t="shared" si="0"/>
        <v>1500</v>
      </c>
      <c r="Z9" s="65">
        <f t="shared" si="0"/>
        <v>0</v>
      </c>
      <c r="AA9" s="65">
        <f t="shared" si="0"/>
        <v>0</v>
      </c>
      <c r="AB9" s="65">
        <f t="shared" si="0"/>
        <v>10500</v>
      </c>
      <c r="AC9" s="65">
        <f t="shared" si="0"/>
        <v>0</v>
      </c>
      <c r="AD9" s="65">
        <f t="shared" si="0"/>
        <v>41656.089999999997</v>
      </c>
      <c r="AE9" s="65">
        <f t="shared" si="0"/>
        <v>1291.67</v>
      </c>
      <c r="AF9" s="65">
        <f t="shared" si="0"/>
        <v>0</v>
      </c>
      <c r="AG9" s="65">
        <f t="shared" si="0"/>
        <v>1291.67</v>
      </c>
      <c r="AH9" s="65">
        <f t="shared" si="0"/>
        <v>75864.42</v>
      </c>
      <c r="AI9" s="98">
        <f t="shared" si="0"/>
        <v>0</v>
      </c>
      <c r="AJ9" s="65">
        <f t="shared" si="0"/>
        <v>75864.42</v>
      </c>
      <c r="AK9" s="65">
        <f t="shared" si="0"/>
        <v>0</v>
      </c>
      <c r="AL9" s="65">
        <f t="shared" si="0"/>
        <v>77156.09</v>
      </c>
      <c r="AM9" s="87"/>
      <c r="AN9" s="87"/>
      <c r="AO9" s="87"/>
      <c r="AP9" s="87"/>
      <c r="AQ9" s="87"/>
      <c r="AR9" s="41"/>
      <c r="AS9" s="41"/>
      <c r="AT9" s="92"/>
    </row>
    <row r="12" spans="1:46">
      <c r="AD12" s="82"/>
    </row>
    <row r="13" spans="1:46" ht="18.75" customHeight="1">
      <c r="B13" s="43" t="s">
        <v>124</v>
      </c>
      <c r="C13" s="43" t="s">
        <v>148</v>
      </c>
      <c r="D13" s="43" t="s">
        <v>54</v>
      </c>
      <c r="E13" s="43" t="s">
        <v>55</v>
      </c>
      <c r="AD13" s="15"/>
    </row>
    <row r="14" spans="1:46" ht="18.75" customHeight="1">
      <c r="B14" s="44">
        <f>AJ9</f>
        <v>75864.42</v>
      </c>
      <c r="C14" s="44">
        <f>AG9</f>
        <v>1291.67</v>
      </c>
      <c r="D14" s="44">
        <f>AK9</f>
        <v>0</v>
      </c>
      <c r="E14" s="44">
        <f>B14+C14+D14</f>
        <v>77156.09</v>
      </c>
    </row>
    <row r="15" spans="1:46">
      <c r="B15" s="45"/>
      <c r="C15" s="45"/>
      <c r="D15" s="45"/>
      <c r="E15" s="45"/>
    </row>
    <row r="16" spans="1:46" s="19" customFormat="1">
      <c r="A16" s="46" t="s">
        <v>149</v>
      </c>
      <c r="B16" s="47" t="s">
        <v>150</v>
      </c>
      <c r="C16" s="48"/>
      <c r="D16" s="48"/>
      <c r="E16" s="48"/>
      <c r="G16" s="49"/>
      <c r="J16" s="66"/>
      <c r="M16" s="67"/>
      <c r="AI16" s="89"/>
    </row>
    <row r="17" spans="1:35" s="19" customFormat="1">
      <c r="A17" s="50"/>
      <c r="B17" s="51" t="s">
        <v>151</v>
      </c>
      <c r="C17" s="48"/>
      <c r="D17" s="48"/>
      <c r="E17" s="48"/>
      <c r="G17" s="49"/>
      <c r="J17" s="66"/>
      <c r="M17" s="67"/>
      <c r="AI17" s="89"/>
    </row>
    <row r="18" spans="1:35" s="19" customFormat="1">
      <c r="A18" s="47"/>
      <c r="B18" s="51" t="s">
        <v>152</v>
      </c>
      <c r="C18" s="52"/>
      <c r="D18" s="52"/>
      <c r="E18" s="52"/>
      <c r="F18" s="52"/>
      <c r="G18" s="52"/>
      <c r="H18" s="52"/>
      <c r="I18" s="52"/>
      <c r="J18" s="68"/>
      <c r="K18" s="52"/>
      <c r="L18" s="52"/>
      <c r="M18" s="69"/>
      <c r="N18" s="52"/>
      <c r="O18" s="52"/>
      <c r="P18" s="52"/>
      <c r="AI18" s="89"/>
    </row>
    <row r="19" spans="1:35" s="19" customFormat="1" ht="13.5" customHeight="1">
      <c r="A19" s="51"/>
      <c r="B19" s="51" t="s">
        <v>153</v>
      </c>
      <c r="C19" s="53"/>
      <c r="D19" s="53"/>
      <c r="E19" s="53"/>
      <c r="F19" s="53"/>
      <c r="G19" s="53"/>
      <c r="H19" s="53"/>
      <c r="I19" s="70"/>
      <c r="J19" s="71"/>
      <c r="K19" s="70"/>
      <c r="L19" s="70"/>
      <c r="M19" s="72"/>
      <c r="N19" s="70"/>
      <c r="O19" s="70"/>
      <c r="P19" s="70"/>
      <c r="AI19" s="89"/>
    </row>
    <row r="20" spans="1:35" s="19" customFormat="1" ht="13.5" customHeight="1">
      <c r="A20" s="51"/>
      <c r="B20" s="51" t="s">
        <v>154</v>
      </c>
      <c r="C20" s="53"/>
      <c r="D20" s="53"/>
      <c r="E20" s="53"/>
      <c r="F20" s="53"/>
      <c r="G20" s="53"/>
      <c r="H20" s="53"/>
      <c r="I20" s="53"/>
      <c r="J20" s="73"/>
      <c r="K20" s="53"/>
      <c r="L20" s="70"/>
      <c r="M20" s="72"/>
      <c r="N20" s="70"/>
      <c r="O20" s="70"/>
      <c r="P20" s="70"/>
      <c r="AI20" s="89"/>
    </row>
    <row r="21" spans="1:35" s="19" customFormat="1" ht="13.5" customHeight="1">
      <c r="A21" s="51"/>
      <c r="B21" s="51" t="s">
        <v>155</v>
      </c>
      <c r="C21" s="53"/>
      <c r="D21" s="53"/>
      <c r="E21" s="53"/>
      <c r="F21" s="53"/>
      <c r="G21" s="53"/>
      <c r="H21" s="53"/>
      <c r="I21" s="70"/>
      <c r="J21" s="71"/>
      <c r="K21" s="70"/>
      <c r="L21" s="70"/>
      <c r="M21" s="72"/>
      <c r="N21" s="70"/>
      <c r="O21" s="70"/>
      <c r="P21" s="70"/>
      <c r="AI21" s="89"/>
    </row>
    <row r="23" spans="1:35" ht="11.25" customHeight="1">
      <c r="B23" s="54" t="s">
        <v>156</v>
      </c>
    </row>
    <row r="24" spans="1:35">
      <c r="B24" s="55" t="s">
        <v>157</v>
      </c>
    </row>
    <row r="25" spans="1:35">
      <c r="B25" s="55" t="s">
        <v>158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1">
    <cfRule type="duplicateValues" dxfId="35" priority="10" stopIfTrue="1"/>
  </conditionalFormatting>
  <conditionalFormatting sqref="B16:B20">
    <cfRule type="duplicateValues" dxfId="34" priority="13" stopIfTrue="1"/>
  </conditionalFormatting>
  <conditionalFormatting sqref="B24:B25">
    <cfRule type="duplicateValues" dxfId="33" priority="1" stopIfTrue="1"/>
  </conditionalFormatting>
  <conditionalFormatting sqref="C13:C15">
    <cfRule type="duplicateValues" dxfId="32" priority="17" stopIfTrue="1"/>
    <cfRule type="expression" dxfId="31" priority="19" stopIfTrue="1">
      <formula>AND(COUNTIF($B$9:$B$65445,C13)+COUNTIF($B$1:$B$3,C13)&gt;1,NOT(ISBLANK(C13)))</formula>
    </cfRule>
    <cfRule type="expression" dxfId="30" priority="21" stopIfTrue="1">
      <formula>AND(COUNTIF($B$20:$B$65396,C13)+COUNTIF($B$1:$B$19,C13)&gt;1,NOT(ISBLANK(C13)))</formula>
    </cfRule>
    <cfRule type="expression" dxfId="29" priority="23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12.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3.37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3.375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143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8000</v>
      </c>
      <c r="M4" s="61">
        <v>264</v>
      </c>
      <c r="N4" s="61">
        <v>66</v>
      </c>
      <c r="O4" s="61">
        <v>9.9</v>
      </c>
      <c r="P4" s="61">
        <v>180</v>
      </c>
      <c r="Q4" s="76">
        <f>ROUND(SUM(M4:P4),2)</f>
        <v>519.9</v>
      </c>
      <c r="R4" s="62">
        <v>0</v>
      </c>
      <c r="S4" s="77">
        <f>L4+IFERROR(VLOOKUP($E:$E,'（居民）工资表-11月'!$E:$S,15,0),0)</f>
        <v>70290</v>
      </c>
      <c r="T4" s="78">
        <f>5000+IFERROR(VLOOKUP($E:$E,'（居民）工资表-11月'!$E:$T,16,0),0)</f>
        <v>40000</v>
      </c>
      <c r="U4" s="78">
        <f>Q4+IFERROR(VLOOKUP($E:$E,'（居民）工资表-11月'!$E:$U,17,0),0)</f>
        <v>4159.2</v>
      </c>
      <c r="V4" s="62"/>
      <c r="W4" s="62"/>
      <c r="X4" s="62">
        <v>12000</v>
      </c>
      <c r="Y4" s="62"/>
      <c r="Z4" s="62"/>
      <c r="AA4" s="62"/>
      <c r="AB4" s="77">
        <f>ROUND(SUM(V4:AA4),2)</f>
        <v>12000</v>
      </c>
      <c r="AC4" s="77">
        <f>R4+IFERROR(VLOOKUP($E:$E,'（居民）工资表-11月'!$E:$AC,25,0),0)</f>
        <v>0</v>
      </c>
      <c r="AD4" s="79">
        <f>ROUND(S4-T4-U4-AB4-AC4,2)</f>
        <v>14130.8</v>
      </c>
      <c r="AE4" s="80">
        <f>ROUND(MAX((AD4)*{0.03;0.1;0.2;0.25;0.3;0.35;0.45}-{0;2520;16920;31920;52920;85920;181920},0),2)</f>
        <v>423.92</v>
      </c>
      <c r="AF4" s="81">
        <f>IFERROR(VLOOKUP(E:E,'（居民）工资表-11月'!E:AF,28,0)+VLOOKUP(E:E,'（居民）工资表-11月'!E:AG,29,0),0)</f>
        <v>379.52</v>
      </c>
      <c r="AG4" s="81">
        <f>IF((AE4-AF4)&lt;0,0,AE4-AF4)</f>
        <v>44.400000000000034</v>
      </c>
      <c r="AH4" s="84">
        <f>ROUND(IF((L4-Q4-AG4)&lt;0,0,(L4-Q4-AG4)),2)</f>
        <v>7435.7</v>
      </c>
      <c r="AI4" s="85"/>
      <c r="AJ4" s="84">
        <f>AH4+AI4</f>
        <v>7435.7</v>
      </c>
      <c r="AK4" s="86"/>
      <c r="AL4" s="84">
        <f>AJ4+AG4+AK4</f>
        <v>7480.0999999999995</v>
      </c>
      <c r="AM4" s="86"/>
      <c r="AN4" s="86"/>
      <c r="AO4" s="86"/>
      <c r="AP4" s="86"/>
      <c r="AQ4" s="86"/>
      <c r="AR4" s="9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IF(SUMPRODUCT(N(E$1:E$8=E4))&gt;1,"重复","不")</f>
        <v>不</v>
      </c>
      <c r="AT4" s="91" t="str">
        <f>IF(SUMPRODUCT(N(AO$1:AO$8=AO4))&gt;1,"重复","不")</f>
        <v>重复</v>
      </c>
    </row>
    <row r="5" spans="1:46" s="17" customFormat="1" ht="18" customHeight="1">
      <c r="A5" s="31">
        <v>2</v>
      </c>
      <c r="B5" s="32" t="s">
        <v>143</v>
      </c>
      <c r="C5" s="32" t="s">
        <v>90</v>
      </c>
      <c r="D5" s="32" t="s">
        <v>144</v>
      </c>
      <c r="E5" s="32" t="s">
        <v>91</v>
      </c>
      <c r="F5" s="33" t="s">
        <v>182</v>
      </c>
      <c r="G5" s="36">
        <v>13944441728</v>
      </c>
      <c r="H5" s="35"/>
      <c r="I5" s="35"/>
      <c r="J5" s="59"/>
      <c r="K5" s="35"/>
      <c r="L5" s="62">
        <v>7000</v>
      </c>
      <c r="M5" s="61">
        <v>268.81</v>
      </c>
      <c r="N5" s="61">
        <v>10.08</v>
      </c>
      <c r="O5" s="61">
        <v>61.06</v>
      </c>
      <c r="P5" s="61">
        <v>79</v>
      </c>
      <c r="Q5" s="76">
        <f>ROUND(SUM(M5:P5),2)</f>
        <v>418.95</v>
      </c>
      <c r="R5" s="62">
        <v>0</v>
      </c>
      <c r="S5" s="77">
        <f>L5+IFERROR(VLOOKUP($E:$E,'（居民）工资表-11月'!$E:$S,15,0),0)</f>
        <v>57971.4</v>
      </c>
      <c r="T5" s="78">
        <f>5000+IFERROR(VLOOKUP($E:$E,'（居民）工资表-11月'!$E:$T,16,0),0)</f>
        <v>40000</v>
      </c>
      <c r="U5" s="78">
        <f>Q5+IFERROR(VLOOKUP($E:$E,'（居民）工资表-11月'!$E:$U,17,0),0)</f>
        <v>4087.5399999999995</v>
      </c>
      <c r="V5" s="62"/>
      <c r="W5" s="62"/>
      <c r="X5" s="62"/>
      <c r="Y5" s="62"/>
      <c r="Z5" s="62"/>
      <c r="AA5" s="62"/>
      <c r="AB5" s="77">
        <f>ROUND(SUM(V5:AA5),2)</f>
        <v>0</v>
      </c>
      <c r="AC5" s="77">
        <f>R5+IFERROR(VLOOKUP($E:$E,'（居民）工资表-11月'!$E:$AC,25,0),0)</f>
        <v>0</v>
      </c>
      <c r="AD5" s="79">
        <f>ROUND(S5-T5-U5-AB5-AC5,2)</f>
        <v>13883.86</v>
      </c>
      <c r="AE5" s="80">
        <f>ROUND(MAX((AD5)*{0.03;0.1;0.2;0.25;0.3;0.35;0.45}-{0;2520;16920;31920;52920;85920;181920},0),2)</f>
        <v>416.52</v>
      </c>
      <c r="AF5" s="81">
        <f>IFERROR(VLOOKUP(E:E,'（居民）工资表-11月'!E:AF,28,0)+VLOOKUP(E:E,'（居民）工资表-11月'!E:AG,29,0),0)</f>
        <v>369.08</v>
      </c>
      <c r="AG5" s="81">
        <f>IF((AE5-AF5)&lt;0,0,AE5-AF5)</f>
        <v>47.44</v>
      </c>
      <c r="AH5" s="84">
        <f>ROUND(IF((L5-Q5-AG5)&lt;0,0,(L5-Q5-AG5)),2)</f>
        <v>6533.61</v>
      </c>
      <c r="AI5" s="85"/>
      <c r="AJ5" s="84">
        <f>AH5+AI5</f>
        <v>6533.61</v>
      </c>
      <c r="AK5" s="86"/>
      <c r="AL5" s="84">
        <f>AJ5+AG5+AK5</f>
        <v>6581.0499999999993</v>
      </c>
      <c r="AM5" s="86"/>
      <c r="AN5" s="86"/>
      <c r="AO5" s="86"/>
      <c r="AP5" s="86"/>
      <c r="AQ5" s="86"/>
      <c r="AR5" s="9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1" t="str">
        <f>IF(SUMPRODUCT(N(E$1:E$8=E5))&gt;1,"重复","不")</f>
        <v>不</v>
      </c>
      <c r="AT5" s="91" t="str">
        <f>IF(SUMPRODUCT(N(AO$1:AO$8=AO5))&gt;1,"重复","不")</f>
        <v>重复</v>
      </c>
    </row>
    <row r="6" spans="1:46" s="17" customFormat="1" ht="18" customHeight="1">
      <c r="A6" s="31">
        <v>3</v>
      </c>
      <c r="B6" s="32" t="s">
        <v>143</v>
      </c>
      <c r="C6" s="32" t="s">
        <v>164</v>
      </c>
      <c r="D6" s="32" t="s">
        <v>144</v>
      </c>
      <c r="E6" s="285" t="s">
        <v>165</v>
      </c>
      <c r="F6" s="33" t="str">
        <f>IF(MOD(MID(E6,17,1),2)=1,"男","女")</f>
        <v>女</v>
      </c>
      <c r="G6" s="36">
        <v>15360550807</v>
      </c>
      <c r="H6" s="35"/>
      <c r="I6" s="35"/>
      <c r="J6" s="59"/>
      <c r="K6" s="35"/>
      <c r="L6" s="62">
        <v>5700</v>
      </c>
      <c r="M6" s="61">
        <v>367.04</v>
      </c>
      <c r="N6" s="61">
        <v>123.5</v>
      </c>
      <c r="O6" s="61">
        <v>4.2</v>
      </c>
      <c r="P6" s="61">
        <v>105</v>
      </c>
      <c r="Q6" s="76">
        <f>ROUND(SUM(M6:P6),2)</f>
        <v>599.74</v>
      </c>
      <c r="R6" s="62">
        <v>0</v>
      </c>
      <c r="S6" s="77">
        <f>L6+IFERROR(VLOOKUP($E:$E,'（居民）工资表-11月'!$E:$S,15,0),0)</f>
        <v>29743.63636363636</v>
      </c>
      <c r="T6" s="78">
        <f>5000+IFERROR(VLOOKUP($E:$E,'（居民）工资表-11月'!$E:$T,16,0),0)</f>
        <v>30000</v>
      </c>
      <c r="U6" s="78">
        <f>Q6+IFERROR(VLOOKUP($E:$E,'（居民）工资表-11月'!$E:$U,17,0),0)</f>
        <v>1199.48</v>
      </c>
      <c r="V6" s="62"/>
      <c r="W6" s="62"/>
      <c r="X6" s="62"/>
      <c r="Y6" s="62"/>
      <c r="Z6" s="62"/>
      <c r="AA6" s="62"/>
      <c r="AB6" s="77">
        <f>ROUND(SUM(V6:AA6),2)</f>
        <v>0</v>
      </c>
      <c r="AC6" s="77">
        <f>R6+IFERROR(VLOOKUP($E:$E,'（居民）工资表-11月'!$E:$AC,25,0),0)</f>
        <v>0</v>
      </c>
      <c r="AD6" s="79">
        <f>ROUND(S6-T6-U6-AB6-AC6,2)</f>
        <v>-1455.84</v>
      </c>
      <c r="AE6" s="80">
        <f>ROUND(MAX((AD6)*{0.03;0.1;0.2;0.25;0.3;0.35;0.45}-{0;2520;16920;31920;52920;85920;181920},0),2)</f>
        <v>0</v>
      </c>
      <c r="AF6" s="81">
        <f>IFERROR(VLOOKUP(E:E,'（居民）工资表-11月'!E:AF,28,0)+VLOOKUP(E:E,'（居民）工资表-11月'!E:AG,29,0),0)</f>
        <v>0</v>
      </c>
      <c r="AG6" s="81">
        <f>IF((AE6-AF6)&lt;0,0,AE6-AF6)</f>
        <v>0</v>
      </c>
      <c r="AH6" s="84">
        <f>ROUND(IF((L6-Q6-AG6)&lt;0,0,(L6-Q6-AG6)),2)</f>
        <v>5100.26</v>
      </c>
      <c r="AI6" s="85"/>
      <c r="AJ6" s="84">
        <f>AH6+AI6</f>
        <v>5100.26</v>
      </c>
      <c r="AK6" s="86"/>
      <c r="AL6" s="84">
        <f>AJ6+AG6+AK6</f>
        <v>5100.26</v>
      </c>
      <c r="AM6" s="86"/>
      <c r="AN6" s="86"/>
      <c r="AO6" s="86"/>
      <c r="AP6" s="86"/>
      <c r="AQ6" s="86"/>
      <c r="AR6" s="9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1" t="str">
        <f>IF(SUMPRODUCT(N(E$1:E$8=E6))&gt;1,"重复","不")</f>
        <v>不</v>
      </c>
      <c r="AT6" s="91" t="str">
        <f>IF(SUMPRODUCT(N(AO$1:AO$8=AO6))&gt;1,"重复","不")</f>
        <v>重复</v>
      </c>
    </row>
    <row r="7" spans="1:46" s="17" customFormat="1" ht="18" customHeight="1">
      <c r="A7" s="31">
        <v>4</v>
      </c>
      <c r="B7" s="32" t="s">
        <v>143</v>
      </c>
      <c r="C7" s="32" t="s">
        <v>145</v>
      </c>
      <c r="D7" s="32" t="s">
        <v>144</v>
      </c>
      <c r="E7" s="285" t="s">
        <v>146</v>
      </c>
      <c r="F7" s="33" t="s">
        <v>182</v>
      </c>
      <c r="G7" s="36">
        <v>18607383005</v>
      </c>
      <c r="H7" s="35"/>
      <c r="I7" s="35"/>
      <c r="J7" s="59"/>
      <c r="K7" s="35"/>
      <c r="L7" s="62">
        <v>25000</v>
      </c>
      <c r="M7" s="61">
        <f>320</f>
        <v>320</v>
      </c>
      <c r="N7" s="61">
        <f>80</f>
        <v>80</v>
      </c>
      <c r="O7" s="61">
        <f>12</f>
        <v>12</v>
      </c>
      <c r="P7" s="61">
        <v>200</v>
      </c>
      <c r="Q7" s="76">
        <f>ROUND(SUM(M7:P7),2)</f>
        <v>612</v>
      </c>
      <c r="R7" s="62">
        <v>0</v>
      </c>
      <c r="S7" s="77">
        <f>L7+IFERROR(VLOOKUP($E:$E,'（居民）工资表-11月'!$E:$S,15,0),0)</f>
        <v>180024.76</v>
      </c>
      <c r="T7" s="78">
        <f>5000+IFERROR(VLOOKUP($E:$E,'（居民）工资表-11月'!$E:$T,16,0),0)</f>
        <v>40000</v>
      </c>
      <c r="U7" s="78">
        <f>Q7+IFERROR(VLOOKUP($E:$E,'（居民）工资表-11月'!$E:$U,17,0),0)</f>
        <v>4982.67</v>
      </c>
      <c r="V7" s="62"/>
      <c r="W7" s="62"/>
      <c r="X7" s="62"/>
      <c r="Y7" s="62"/>
      <c r="Z7" s="62"/>
      <c r="AA7" s="62"/>
      <c r="AB7" s="77">
        <f>ROUND(SUM(V7:AA7),2)</f>
        <v>0</v>
      </c>
      <c r="AC7" s="77">
        <f>R7+IFERROR(VLOOKUP($E:$E,'（居民）工资表-11月'!$E:$AC,25,0),0)</f>
        <v>0</v>
      </c>
      <c r="AD7" s="79">
        <f>ROUND(S7-T7-U7-AB7-AC7,2)</f>
        <v>135042.09</v>
      </c>
      <c r="AE7" s="80">
        <f>ROUND(MAX((AD7)*{0.03;0.1;0.2;0.25;0.3;0.35;0.45}-{0;2520;16920;31920;52920;85920;181920},0),2)</f>
        <v>10984.21</v>
      </c>
      <c r="AF7" s="81">
        <f>IFERROR(VLOOKUP(E:E,'（居民）工资表-11月'!E:AF,28,0)+VLOOKUP(E:E,'（居民）工资表-11月'!E:AG,29,0),0)</f>
        <v>9045.41</v>
      </c>
      <c r="AG7" s="81">
        <f>IF((AE7-AF7)&lt;0,0,AE7-AF7)</f>
        <v>1938.7999999999993</v>
      </c>
      <c r="AH7" s="84">
        <f>ROUND(IF((L7-Q7-AG7)&lt;0,0,(L7-Q7-AG7)),2)</f>
        <v>22449.200000000001</v>
      </c>
      <c r="AI7" s="85"/>
      <c r="AJ7" s="84">
        <f>AH7+AI7</f>
        <v>22449.200000000001</v>
      </c>
      <c r="AK7" s="86"/>
      <c r="AL7" s="84">
        <f>AJ7+AG7+AK7</f>
        <v>24388</v>
      </c>
      <c r="AM7" s="86"/>
      <c r="AN7" s="86"/>
      <c r="AO7" s="86"/>
      <c r="AP7" s="86"/>
      <c r="AQ7" s="86"/>
      <c r="AR7" s="9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1" t="str">
        <f>IF(SUMPRODUCT(N(E$1:E$8=E7))&gt;1,"重复","不")</f>
        <v>不</v>
      </c>
      <c r="AT7" s="91" t="str">
        <f>IF(SUMPRODUCT(N(AO$1:AO$8=AO7))&gt;1,"重复","不")</f>
        <v>重复</v>
      </c>
    </row>
    <row r="8" spans="1:46" s="17" customFormat="1" ht="18" customHeight="1">
      <c r="A8" s="31">
        <v>5</v>
      </c>
      <c r="B8" s="32" t="s">
        <v>143</v>
      </c>
      <c r="C8" s="32" t="s">
        <v>162</v>
      </c>
      <c r="D8" s="32" t="s">
        <v>144</v>
      </c>
      <c r="E8" s="32" t="s">
        <v>163</v>
      </c>
      <c r="F8" s="33" t="s">
        <v>182</v>
      </c>
      <c r="G8" s="36">
        <v>13373825180</v>
      </c>
      <c r="H8" s="35"/>
      <c r="I8" s="35"/>
      <c r="J8" s="59"/>
      <c r="K8" s="35"/>
      <c r="L8" s="62">
        <v>25000</v>
      </c>
      <c r="M8" s="61">
        <v>261.04000000000002</v>
      </c>
      <c r="N8" s="61">
        <v>9.1</v>
      </c>
      <c r="O8" s="61">
        <v>57.18</v>
      </c>
      <c r="P8" s="61">
        <v>85</v>
      </c>
      <c r="Q8" s="76">
        <f>ROUND(SUM(M8:P8),2)</f>
        <v>412.32</v>
      </c>
      <c r="R8" s="62">
        <v>0</v>
      </c>
      <c r="S8" s="77">
        <f>L8+IFERROR(VLOOKUP($E:$E,'（居民）工资表-11月'!$E:$S,15,0),0)</f>
        <v>50000</v>
      </c>
      <c r="T8" s="78">
        <f>5000+IFERROR(VLOOKUP($E:$E,'（居民）工资表-11月'!$E:$T,16,0),0)</f>
        <v>10000</v>
      </c>
      <c r="U8" s="78">
        <f>Q8+IFERROR(VLOOKUP($E:$E,'（居民）工资表-11月'!$E:$U,17,0),0)</f>
        <v>1269.46</v>
      </c>
      <c r="V8" s="62"/>
      <c r="W8" s="62"/>
      <c r="X8" s="62"/>
      <c r="Y8" s="62"/>
      <c r="Z8" s="62"/>
      <c r="AA8" s="62"/>
      <c r="AB8" s="77">
        <f>ROUND(SUM(V8:AA8),2)</f>
        <v>0</v>
      </c>
      <c r="AC8" s="77">
        <f>R8+IFERROR(VLOOKUP($E:$E,'（居民）工资表-11月'!$E:$AC,25,0),0)</f>
        <v>0</v>
      </c>
      <c r="AD8" s="79">
        <f>ROUND(S8-T8-U8-AB8-AC8,2)</f>
        <v>38730.54</v>
      </c>
      <c r="AE8" s="80">
        <f>ROUND(MAX((AD8)*{0.03;0.1;0.2;0.25;0.3;0.35;0.45}-{0;2520;16920;31920;52920;85920;181920},0),2)</f>
        <v>1353.05</v>
      </c>
      <c r="AF8" s="81">
        <f>IFERROR(VLOOKUP(E:E,'（居民）工资表-11月'!E:AF,28,0)+VLOOKUP(E:E,'（居民）工资表-11月'!E:AG,29,0),0)</f>
        <v>574.29</v>
      </c>
      <c r="AG8" s="81">
        <f>IF((AE8-AF8)&lt;0,0,AE8-AF8)</f>
        <v>778.76</v>
      </c>
      <c r="AH8" s="84">
        <f>ROUND(IF((L8-Q8-AG8)&lt;0,0,(L8-Q8-AG8)),2)</f>
        <v>23808.92</v>
      </c>
      <c r="AI8" s="85"/>
      <c r="AJ8" s="84">
        <f>AH8+AI8</f>
        <v>23808.92</v>
      </c>
      <c r="AK8" s="86"/>
      <c r="AL8" s="84">
        <f>AJ8+AG8+AK8</f>
        <v>24587.679999999997</v>
      </c>
      <c r="AM8" s="86"/>
      <c r="AN8" s="86"/>
      <c r="AO8" s="86"/>
      <c r="AP8" s="86"/>
      <c r="AQ8" s="86"/>
      <c r="AR8" s="9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1" t="str">
        <f>IF(SUMPRODUCT(N(E$1:E$8=E8))&gt;1,"重复","不")</f>
        <v>不</v>
      </c>
      <c r="AT8" s="91" t="str">
        <f>IF(SUMPRODUCT(N(AO$1:AO$8=AO8))&gt;1,"重复","不")</f>
        <v>重复</v>
      </c>
    </row>
    <row r="9" spans="1:46" s="18" customFormat="1" ht="18" customHeight="1">
      <c r="A9" s="37"/>
      <c r="B9" s="38" t="s">
        <v>147</v>
      </c>
      <c r="C9" s="38"/>
      <c r="D9" s="39"/>
      <c r="E9" s="40"/>
      <c r="F9" s="41"/>
      <c r="G9" s="42"/>
      <c r="H9" s="41"/>
      <c r="I9" s="63"/>
      <c r="J9" s="64"/>
      <c r="K9" s="63"/>
      <c r="L9" s="65">
        <f t="shared" ref="L9:AL9" si="0">SUM(L4:L8)</f>
        <v>70700</v>
      </c>
      <c r="M9" s="65">
        <f t="shared" si="0"/>
        <v>1480.89</v>
      </c>
      <c r="N9" s="65">
        <f t="shared" si="0"/>
        <v>288.68</v>
      </c>
      <c r="O9" s="65">
        <f t="shared" si="0"/>
        <v>144.34</v>
      </c>
      <c r="P9" s="65">
        <f t="shared" si="0"/>
        <v>649</v>
      </c>
      <c r="Q9" s="65">
        <f t="shared" si="0"/>
        <v>2562.91</v>
      </c>
      <c r="R9" s="65">
        <f t="shared" si="0"/>
        <v>0</v>
      </c>
      <c r="S9" s="65">
        <f t="shared" si="0"/>
        <v>388029.79636363639</v>
      </c>
      <c r="T9" s="65">
        <f t="shared" si="0"/>
        <v>160000</v>
      </c>
      <c r="U9" s="65">
        <f t="shared" si="0"/>
        <v>15698.349999999999</v>
      </c>
      <c r="V9" s="65">
        <f t="shared" si="0"/>
        <v>0</v>
      </c>
      <c r="W9" s="65">
        <f t="shared" si="0"/>
        <v>0</v>
      </c>
      <c r="X9" s="65">
        <f t="shared" si="0"/>
        <v>12000</v>
      </c>
      <c r="Y9" s="65">
        <f t="shared" si="0"/>
        <v>0</v>
      </c>
      <c r="Z9" s="65">
        <f t="shared" si="0"/>
        <v>0</v>
      </c>
      <c r="AA9" s="65">
        <f t="shared" si="0"/>
        <v>0</v>
      </c>
      <c r="AB9" s="65">
        <f t="shared" si="0"/>
        <v>12000</v>
      </c>
      <c r="AC9" s="65">
        <f t="shared" si="0"/>
        <v>0</v>
      </c>
      <c r="AD9" s="65">
        <f t="shared" si="0"/>
        <v>200331.45</v>
      </c>
      <c r="AE9" s="65">
        <f t="shared" si="0"/>
        <v>13177.699999999999</v>
      </c>
      <c r="AF9" s="65">
        <f t="shared" si="0"/>
        <v>10368.299999999999</v>
      </c>
      <c r="AG9" s="65">
        <f t="shared" si="0"/>
        <v>2809.3999999999996</v>
      </c>
      <c r="AH9" s="65">
        <f t="shared" si="0"/>
        <v>65327.69</v>
      </c>
      <c r="AI9" s="98">
        <f t="shared" si="0"/>
        <v>0</v>
      </c>
      <c r="AJ9" s="65">
        <f t="shared" si="0"/>
        <v>65327.69</v>
      </c>
      <c r="AK9" s="65">
        <f t="shared" si="0"/>
        <v>0</v>
      </c>
      <c r="AL9" s="65">
        <f t="shared" si="0"/>
        <v>68137.09</v>
      </c>
      <c r="AM9" s="87"/>
      <c r="AN9" s="87"/>
      <c r="AO9" s="87"/>
      <c r="AP9" s="87"/>
      <c r="AQ9" s="87"/>
      <c r="AR9" s="41"/>
      <c r="AS9" s="41"/>
      <c r="AT9" s="92"/>
    </row>
    <row r="12" spans="1:46">
      <c r="AD12" s="82"/>
    </row>
    <row r="13" spans="1:46" ht="18.75" customHeight="1">
      <c r="B13" s="43" t="s">
        <v>124</v>
      </c>
      <c r="C13" s="43" t="s">
        <v>148</v>
      </c>
      <c r="D13" s="43" t="s">
        <v>54</v>
      </c>
      <c r="E13" s="43" t="s">
        <v>55</v>
      </c>
      <c r="AD13" s="15"/>
    </row>
    <row r="14" spans="1:46" ht="18.75" customHeight="1">
      <c r="B14" s="44">
        <f>AJ9</f>
        <v>65327.69</v>
      </c>
      <c r="C14" s="44">
        <f>AG9</f>
        <v>2809.3999999999996</v>
      </c>
      <c r="D14" s="44">
        <f>AK9</f>
        <v>0</v>
      </c>
      <c r="E14" s="44">
        <f>B14+C14+D14</f>
        <v>68137.09</v>
      </c>
    </row>
    <row r="15" spans="1:46">
      <c r="B15" s="45"/>
      <c r="C15" s="45"/>
      <c r="D15" s="45"/>
      <c r="E15" s="45"/>
    </row>
    <row r="16" spans="1:46" s="19" customFormat="1">
      <c r="A16" s="46" t="s">
        <v>149</v>
      </c>
      <c r="B16" s="47" t="s">
        <v>150</v>
      </c>
      <c r="C16" s="48"/>
      <c r="D16" s="48"/>
      <c r="E16" s="48"/>
      <c r="G16" s="49"/>
      <c r="J16" s="66"/>
      <c r="M16" s="67"/>
      <c r="AI16" s="89"/>
    </row>
    <row r="17" spans="1:35" s="19" customFormat="1">
      <c r="A17" s="50"/>
      <c r="B17" s="51" t="s">
        <v>151</v>
      </c>
      <c r="C17" s="48"/>
      <c r="D17" s="48"/>
      <c r="E17" s="48"/>
      <c r="G17" s="49"/>
      <c r="J17" s="66"/>
      <c r="M17" s="67"/>
      <c r="AI17" s="89"/>
    </row>
    <row r="18" spans="1:35" s="19" customFormat="1">
      <c r="A18" s="47"/>
      <c r="B18" s="51" t="s">
        <v>152</v>
      </c>
      <c r="C18" s="52"/>
      <c r="D18" s="52"/>
      <c r="E18" s="52"/>
      <c r="F18" s="52"/>
      <c r="G18" s="52"/>
      <c r="H18" s="52"/>
      <c r="I18" s="52"/>
      <c r="J18" s="68"/>
      <c r="K18" s="52"/>
      <c r="L18" s="52"/>
      <c r="M18" s="69"/>
      <c r="N18" s="52"/>
      <c r="O18" s="52"/>
      <c r="P18" s="52"/>
      <c r="AI18" s="89"/>
    </row>
    <row r="19" spans="1:35" s="19" customFormat="1" ht="13.5" customHeight="1">
      <c r="A19" s="51"/>
      <c r="B19" s="51" t="s">
        <v>153</v>
      </c>
      <c r="C19" s="53"/>
      <c r="D19" s="53"/>
      <c r="E19" s="53"/>
      <c r="F19" s="53"/>
      <c r="G19" s="53"/>
      <c r="H19" s="53"/>
      <c r="I19" s="70"/>
      <c r="J19" s="71"/>
      <c r="K19" s="70"/>
      <c r="L19" s="70"/>
      <c r="M19" s="72"/>
      <c r="N19" s="70"/>
      <c r="O19" s="70"/>
      <c r="P19" s="70"/>
      <c r="AI19" s="89"/>
    </row>
    <row r="20" spans="1:35" s="19" customFormat="1" ht="13.5" customHeight="1">
      <c r="A20" s="51"/>
      <c r="B20" s="51" t="s">
        <v>154</v>
      </c>
      <c r="C20" s="53"/>
      <c r="D20" s="53"/>
      <c r="E20" s="53"/>
      <c r="F20" s="53"/>
      <c r="G20" s="53"/>
      <c r="H20" s="53"/>
      <c r="I20" s="53"/>
      <c r="J20" s="73"/>
      <c r="K20" s="53"/>
      <c r="L20" s="70"/>
      <c r="M20" s="72"/>
      <c r="N20" s="70"/>
      <c r="O20" s="70"/>
      <c r="P20" s="70"/>
      <c r="AI20" s="89"/>
    </row>
    <row r="21" spans="1:35" s="19" customFormat="1" ht="13.5" customHeight="1">
      <c r="A21" s="51"/>
      <c r="B21" s="51" t="s">
        <v>155</v>
      </c>
      <c r="C21" s="53"/>
      <c r="D21" s="53"/>
      <c r="E21" s="53"/>
      <c r="F21" s="53"/>
      <c r="G21" s="53"/>
      <c r="H21" s="53"/>
      <c r="I21" s="70"/>
      <c r="J21" s="71"/>
      <c r="K21" s="70"/>
      <c r="L21" s="70"/>
      <c r="M21" s="72"/>
      <c r="N21" s="70"/>
      <c r="O21" s="70"/>
      <c r="P21" s="70"/>
      <c r="AI21" s="89"/>
    </row>
    <row r="23" spans="1:35" ht="11.25" customHeight="1">
      <c r="B23" s="54" t="s">
        <v>156</v>
      </c>
    </row>
    <row r="24" spans="1:35">
      <c r="B24" s="55" t="s">
        <v>157</v>
      </c>
    </row>
    <row r="25" spans="1:35">
      <c r="B25" s="55" t="s">
        <v>158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1">
    <cfRule type="duplicateValues" dxfId="28" priority="2" stopIfTrue="1"/>
  </conditionalFormatting>
  <conditionalFormatting sqref="B16:B20">
    <cfRule type="duplicateValues" dxfId="27" priority="3" stopIfTrue="1"/>
  </conditionalFormatting>
  <conditionalFormatting sqref="B24:B25">
    <cfRule type="duplicateValues" dxfId="26" priority="1" stopIfTrue="1"/>
  </conditionalFormatting>
  <conditionalFormatting sqref="C13:C15">
    <cfRule type="duplicateValues" dxfId="25" priority="4" stopIfTrue="1"/>
    <cfRule type="expression" dxfId="24" priority="5" stopIfTrue="1">
      <formula>AND(COUNTIF($B$9:$B$65445,C13)+COUNTIF($B$1:$B$3,C13)&gt;1,NOT(ISBLANK(C13)))</formula>
    </cfRule>
    <cfRule type="expression" dxfId="23" priority="6" stopIfTrue="1">
      <formula>AND(COUNTIF($B$20:$B$65396,C13)+COUNTIF($B$1:$B$19,C13)&gt;1,NOT(ISBLANK(C13)))</formula>
    </cfRule>
    <cfRule type="expression" dxfId="22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29"/>
  <sheetViews>
    <sheetView workbookViewId="0">
      <pane xSplit="6" ySplit="3" topLeftCell="T4" activePane="bottomRight" state="frozen"/>
      <selection pane="topRight"/>
      <selection pane="bottomLeft"/>
      <selection pane="bottomRight" activeCell="W7" sqref="W7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9.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1.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4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>
        <f>U4/2</f>
        <v>519.9</v>
      </c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231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8490</v>
      </c>
      <c r="M4" s="61">
        <v>264</v>
      </c>
      <c r="N4" s="61">
        <v>66</v>
      </c>
      <c r="O4" s="61">
        <v>9.9</v>
      </c>
      <c r="P4" s="61">
        <v>180</v>
      </c>
      <c r="Q4" s="76">
        <f t="shared" ref="Q4:Q12" si="0">ROUND(SUM(M4:P4),2)</f>
        <v>519.9</v>
      </c>
      <c r="R4" s="62">
        <v>0</v>
      </c>
      <c r="S4" s="77">
        <f>L4+IFERROR(VLOOKUP($E:$E,'（居民）工资表-1月'!$E:$S,15,0),0)</f>
        <v>17770</v>
      </c>
      <c r="T4" s="78">
        <f>5000+IFERROR(VLOOKUP($E:$E,'（居民）工资表-1月'!$E:$T,16,0),0)</f>
        <v>10000</v>
      </c>
      <c r="U4" s="78">
        <f>Q4+IFERROR(VLOOKUP($E:$E,'（居民）工资表-1月'!$E:$U,17,0),0)</f>
        <v>1039.8</v>
      </c>
      <c r="V4" s="97">
        <v>2000</v>
      </c>
      <c r="W4" s="97"/>
      <c r="X4" s="97">
        <v>2000</v>
      </c>
      <c r="Y4" s="97"/>
      <c r="Z4" s="97"/>
      <c r="AA4" s="97"/>
      <c r="AB4" s="77">
        <f>ROUND(SUM(V4:AA4),2)</f>
        <v>4000</v>
      </c>
      <c r="AC4" s="77">
        <f>R4+IFERROR(VLOOKUP($E:$E,'（居民）工资表-1月'!$E:$AC,25,0),0)</f>
        <v>0</v>
      </c>
      <c r="AD4" s="79">
        <f t="shared" ref="AD4:AD12" si="1">ROUND(S4-T4-U4-AB4-AC4,2)</f>
        <v>2730.2</v>
      </c>
      <c r="AE4" s="80">
        <f>ROUND(MAX((AD4)*{0.03;0.1;0.2;0.25;0.3;0.35;0.45}-{0;2520;16920;31920;52920;85920;181920},0),2)</f>
        <v>81.91</v>
      </c>
      <c r="AF4" s="81">
        <f>IFERROR(VLOOKUP(E:E,'（居民）工资表-1月'!E:AF,28,0)+VLOOKUP(E:E,'（居民）工资表-1月'!E:AG,29,0),0)</f>
        <v>52.8</v>
      </c>
      <c r="AG4" s="81">
        <f t="shared" ref="AG4:AG12" si="2">IF((AE4-AF4)&lt;0,0,AE4-AF4)</f>
        <v>29.11</v>
      </c>
      <c r="AH4" s="84">
        <f t="shared" ref="AH4:AH12" si="3">ROUND(IF((L4-Q4-AG4)&lt;0,0,(L4-Q4-AG4)),2)</f>
        <v>7940.99</v>
      </c>
      <c r="AI4" s="85"/>
      <c r="AJ4" s="84">
        <f t="shared" ref="AJ4:AJ12" si="4">AH4+AI4</f>
        <v>7940.99</v>
      </c>
      <c r="AK4" s="86"/>
      <c r="AL4" s="84">
        <f t="shared" ref="AL4:AL12" si="5">AJ4+AG4+AK4</f>
        <v>7970.1</v>
      </c>
      <c r="AM4" s="86"/>
      <c r="AN4" s="86"/>
      <c r="AO4" s="86"/>
      <c r="AP4" s="86"/>
      <c r="AQ4" s="86"/>
      <c r="AR4" s="91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 t="shared" ref="AS4:AS12" si="7">IF(SUMPRODUCT(N(E$1:E$8=E4))&gt;1,"重复","不")</f>
        <v>不</v>
      </c>
      <c r="AT4" s="91" t="str">
        <f t="shared" ref="AT4:AT12" si="8">IF(SUMPRODUCT(N(AO$1:AO$8=AO4))&gt;1,"重复","不")</f>
        <v>重复</v>
      </c>
    </row>
    <row r="5" spans="1:46" s="17" customFormat="1" ht="18" customHeight="1">
      <c r="A5" s="31">
        <v>2</v>
      </c>
      <c r="B5" s="32" t="s">
        <v>231</v>
      </c>
      <c r="C5" s="32" t="s">
        <v>90</v>
      </c>
      <c r="D5" s="32" t="s">
        <v>144</v>
      </c>
      <c r="E5" s="32" t="s">
        <v>91</v>
      </c>
      <c r="F5" s="33" t="s">
        <v>182</v>
      </c>
      <c r="G5" s="36">
        <v>13944441728</v>
      </c>
      <c r="H5" s="35"/>
      <c r="I5" s="35"/>
      <c r="J5" s="59"/>
      <c r="K5" s="35"/>
      <c r="L5" s="62">
        <v>7000</v>
      </c>
      <c r="M5" s="61">
        <v>268.81</v>
      </c>
      <c r="N5" s="61">
        <v>61.06</v>
      </c>
      <c r="O5" s="61">
        <v>10.08</v>
      </c>
      <c r="P5" s="61">
        <v>79</v>
      </c>
      <c r="Q5" s="76">
        <f t="shared" si="0"/>
        <v>418.95</v>
      </c>
      <c r="R5" s="62">
        <v>0</v>
      </c>
      <c r="S5" s="77">
        <f>L5+IFERROR(VLOOKUP($E:$E,'（居民）工资表-1月'!$E:$S,15,0),0)</f>
        <v>14000</v>
      </c>
      <c r="T5" s="78">
        <f>5000+IFERROR(VLOOKUP($E:$E,'（居民）工资表-1月'!$E:$T,16,0),0)</f>
        <v>10000</v>
      </c>
      <c r="U5" s="78">
        <f>Q5+IFERROR(VLOOKUP($E:$E,'（居民）工资表-1月'!$E:$U,17,0),0)</f>
        <v>837.9</v>
      </c>
      <c r="V5" s="97"/>
      <c r="W5" s="97"/>
      <c r="X5" s="97">
        <v>2000</v>
      </c>
      <c r="Y5" s="97"/>
      <c r="Z5" s="97"/>
      <c r="AA5" s="97"/>
      <c r="AB5" s="77">
        <f t="shared" ref="AB5:AB12" si="9">ROUND(SUM(V5:AA5),2)</f>
        <v>2000</v>
      </c>
      <c r="AC5" s="77">
        <f>R5+IFERROR(VLOOKUP($E:$E,'（居民）工资表-1月'!$E:$AC,25,0),0)</f>
        <v>0</v>
      </c>
      <c r="AD5" s="79">
        <f t="shared" si="1"/>
        <v>1162.0999999999999</v>
      </c>
      <c r="AE5" s="80">
        <f>ROUND(MAX((AD5)*{0.03;0.1;0.2;0.25;0.3;0.35;0.45}-{0;2520;16920;31920;52920;85920;181920},0),2)</f>
        <v>34.86</v>
      </c>
      <c r="AF5" s="81">
        <f>IFERROR(VLOOKUP(E:E,'（居民）工资表-1月'!E:AF,28,0)+VLOOKUP(E:E,'（居民）工资表-1月'!E:AG,29,0),0)</f>
        <v>17.43</v>
      </c>
      <c r="AG5" s="81">
        <f t="shared" si="2"/>
        <v>17.43</v>
      </c>
      <c r="AH5" s="84">
        <f t="shared" si="3"/>
        <v>6563.62</v>
      </c>
      <c r="AI5" s="85"/>
      <c r="AJ5" s="84">
        <f t="shared" si="4"/>
        <v>6563.62</v>
      </c>
      <c r="AK5" s="86"/>
      <c r="AL5" s="84">
        <f t="shared" si="5"/>
        <v>6581.05</v>
      </c>
      <c r="AM5" s="86"/>
      <c r="AN5" s="86"/>
      <c r="AO5" s="86"/>
      <c r="AP5" s="86"/>
      <c r="AQ5" s="86"/>
      <c r="AR5" s="91" t="str">
        <f t="shared" si="6"/>
        <v>正确</v>
      </c>
      <c r="AS5" s="91" t="str">
        <f t="shared" si="7"/>
        <v>不</v>
      </c>
      <c r="AT5" s="91" t="str">
        <f t="shared" si="8"/>
        <v>重复</v>
      </c>
    </row>
    <row r="6" spans="1:46" s="17" customFormat="1" ht="18" customHeight="1">
      <c r="A6" s="31">
        <v>3</v>
      </c>
      <c r="B6" s="32" t="s">
        <v>231</v>
      </c>
      <c r="C6" s="32" t="s">
        <v>164</v>
      </c>
      <c r="D6" s="32" t="s">
        <v>144</v>
      </c>
      <c r="E6" s="285" t="s">
        <v>165</v>
      </c>
      <c r="F6" s="33" t="str">
        <f>IF(MOD(MID(E6,17,1),2)=1,"男","女")</f>
        <v>女</v>
      </c>
      <c r="G6" s="36">
        <v>15360550807</v>
      </c>
      <c r="H6" s="35"/>
      <c r="I6" s="35"/>
      <c r="J6" s="59"/>
      <c r="K6" s="35"/>
      <c r="L6" s="62">
        <v>5700</v>
      </c>
      <c r="M6" s="61">
        <v>367.04</v>
      </c>
      <c r="N6" s="61">
        <v>176.06</v>
      </c>
      <c r="O6" s="61">
        <v>5</v>
      </c>
      <c r="P6" s="61">
        <v>155.91999999999999</v>
      </c>
      <c r="Q6" s="76">
        <f t="shared" si="0"/>
        <v>704.02</v>
      </c>
      <c r="R6" s="62">
        <v>0</v>
      </c>
      <c r="S6" s="77">
        <f>L6+IFERROR(VLOOKUP($E:$E,'（居民）工资表-1月'!$E:$S,15,0),0)</f>
        <v>11400</v>
      </c>
      <c r="T6" s="78">
        <f>5000+IFERROR(VLOOKUP($E:$E,'（居民）工资表-1月'!$E:$T,16,0),0)</f>
        <v>10000</v>
      </c>
      <c r="U6" s="78">
        <f>Q6+IFERROR(VLOOKUP($E:$E,'（居民）工资表-1月'!$E:$U,17,0),0)</f>
        <v>1303.76</v>
      </c>
      <c r="V6" s="97"/>
      <c r="W6" s="97"/>
      <c r="X6" s="97"/>
      <c r="Y6" s="97">
        <v>3000</v>
      </c>
      <c r="Z6" s="97"/>
      <c r="AA6" s="97"/>
      <c r="AB6" s="77">
        <f t="shared" si="9"/>
        <v>3000</v>
      </c>
      <c r="AC6" s="77">
        <f>R6+IFERROR(VLOOKUP($E:$E,'（居民）工资表-1月'!$E:$AC,25,0),0)</f>
        <v>0</v>
      </c>
      <c r="AD6" s="79">
        <f t="shared" si="1"/>
        <v>-2903.76</v>
      </c>
      <c r="AE6" s="80">
        <f>ROUND(MAX((AD6)*{0.03;0.1;0.2;0.25;0.3;0.35;0.45}-{0;2520;16920;31920;52920;85920;181920},0),2)</f>
        <v>0</v>
      </c>
      <c r="AF6" s="81">
        <f>IFERROR(VLOOKUP(E:E,'（居民）工资表-1月'!E:AF,28,0)+VLOOKUP(E:E,'（居民）工资表-1月'!E:AG,29,0),0)</f>
        <v>0</v>
      </c>
      <c r="AG6" s="81">
        <f t="shared" si="2"/>
        <v>0</v>
      </c>
      <c r="AH6" s="84">
        <f t="shared" si="3"/>
        <v>4995.9799999999996</v>
      </c>
      <c r="AI6" s="85"/>
      <c r="AJ6" s="84">
        <f t="shared" si="4"/>
        <v>4995.9799999999996</v>
      </c>
      <c r="AK6" s="86"/>
      <c r="AL6" s="84">
        <f t="shared" si="5"/>
        <v>4995.9799999999996</v>
      </c>
      <c r="AM6" s="86"/>
      <c r="AN6" s="86"/>
      <c r="AO6" s="86"/>
      <c r="AP6" s="86"/>
      <c r="AQ6" s="86"/>
      <c r="AR6" s="91" t="str">
        <f t="shared" si="6"/>
        <v>正确</v>
      </c>
      <c r="AS6" s="91" t="str">
        <f t="shared" si="7"/>
        <v>不</v>
      </c>
      <c r="AT6" s="91" t="str">
        <f t="shared" si="8"/>
        <v>重复</v>
      </c>
    </row>
    <row r="7" spans="1:46" s="17" customFormat="1" ht="18" customHeight="1">
      <c r="A7" s="31">
        <v>4</v>
      </c>
      <c r="B7" s="32" t="s">
        <v>231</v>
      </c>
      <c r="C7" s="32" t="s">
        <v>145</v>
      </c>
      <c r="D7" s="32" t="s">
        <v>144</v>
      </c>
      <c r="E7" s="285" t="s">
        <v>146</v>
      </c>
      <c r="F7" s="33" t="s">
        <v>182</v>
      </c>
      <c r="G7" s="36">
        <v>18607383005</v>
      </c>
      <c r="H7" s="35"/>
      <c r="I7" s="35"/>
      <c r="J7" s="59"/>
      <c r="K7" s="35"/>
      <c r="L7" s="62">
        <v>29000</v>
      </c>
      <c r="M7" s="61">
        <v>320</v>
      </c>
      <c r="N7" s="61">
        <v>210</v>
      </c>
      <c r="O7" s="61">
        <v>12</v>
      </c>
      <c r="P7" s="61">
        <v>330</v>
      </c>
      <c r="Q7" s="76">
        <f t="shared" si="0"/>
        <v>872</v>
      </c>
      <c r="R7" s="62">
        <v>0</v>
      </c>
      <c r="S7" s="77">
        <f>L7+IFERROR(VLOOKUP($E:$E,'（居民）工资表-1月'!$E:$S,15,0),0)</f>
        <v>60000</v>
      </c>
      <c r="T7" s="78">
        <f>5000+IFERROR(VLOOKUP($E:$E,'（居民）工资表-1月'!$E:$T,16,0),0)</f>
        <v>10000</v>
      </c>
      <c r="U7" s="78">
        <f>Q7+IFERROR(VLOOKUP($E:$E,'（居民）工资表-1月'!$E:$U,17,0),0)</f>
        <v>1484</v>
      </c>
      <c r="V7" s="97">
        <v>4000</v>
      </c>
      <c r="W7" s="97">
        <v>2000</v>
      </c>
      <c r="X7" s="97"/>
      <c r="Y7" s="97"/>
      <c r="Z7" s="97"/>
      <c r="AA7" s="97"/>
      <c r="AB7" s="77">
        <f t="shared" si="9"/>
        <v>6000</v>
      </c>
      <c r="AC7" s="77">
        <f>R7+IFERROR(VLOOKUP($E:$E,'（居民）工资表-1月'!$E:$AC,25,0),0)</f>
        <v>0</v>
      </c>
      <c r="AD7" s="79">
        <f t="shared" si="1"/>
        <v>42516</v>
      </c>
      <c r="AE7" s="80">
        <f>ROUND(MAX((AD7)*{0.03;0.1;0.2;0.25;0.3;0.35;0.45}-{0;2520;16920;31920;52920;85920;181920},0),2)</f>
        <v>1731.6</v>
      </c>
      <c r="AF7" s="81">
        <f>IFERROR(VLOOKUP(E:E,'（居民）工资表-1月'!E:AF,28,0)+VLOOKUP(E:E,'（居民）工资表-1月'!E:AG,29,0),0)</f>
        <v>671.64</v>
      </c>
      <c r="AG7" s="81">
        <f t="shared" si="2"/>
        <v>1059.96</v>
      </c>
      <c r="AH7" s="84">
        <f t="shared" si="3"/>
        <v>27068.04</v>
      </c>
      <c r="AI7" s="85"/>
      <c r="AJ7" s="84">
        <f t="shared" si="4"/>
        <v>27068.04</v>
      </c>
      <c r="AK7" s="86"/>
      <c r="AL7" s="84">
        <f t="shared" si="5"/>
        <v>28128</v>
      </c>
      <c r="AM7" s="86"/>
      <c r="AN7" s="86"/>
      <c r="AO7" s="86"/>
      <c r="AP7" s="86"/>
      <c r="AQ7" s="86"/>
      <c r="AR7" s="91" t="str">
        <f t="shared" si="6"/>
        <v>正确</v>
      </c>
      <c r="AS7" s="91" t="str">
        <f t="shared" si="7"/>
        <v>不</v>
      </c>
      <c r="AT7" s="91" t="str">
        <f t="shared" si="8"/>
        <v>重复</v>
      </c>
    </row>
    <row r="8" spans="1:46" s="17" customFormat="1" ht="18" customHeight="1">
      <c r="A8" s="31">
        <v>5</v>
      </c>
      <c r="B8" s="32" t="s">
        <v>231</v>
      </c>
      <c r="C8" s="32" t="s">
        <v>162</v>
      </c>
      <c r="D8" s="32" t="s">
        <v>144</v>
      </c>
      <c r="E8" s="32" t="s">
        <v>163</v>
      </c>
      <c r="F8" s="33" t="s">
        <v>182</v>
      </c>
      <c r="G8" s="36">
        <v>13373825180</v>
      </c>
      <c r="H8" s="35"/>
      <c r="I8" s="35"/>
      <c r="J8" s="59"/>
      <c r="K8" s="35"/>
      <c r="L8" s="62">
        <v>30739</v>
      </c>
      <c r="M8" s="61">
        <v>266.24</v>
      </c>
      <c r="N8" s="61">
        <v>228.02</v>
      </c>
      <c r="O8" s="61">
        <v>12.75</v>
      </c>
      <c r="P8" s="61">
        <v>247.5</v>
      </c>
      <c r="Q8" s="76">
        <f t="shared" si="0"/>
        <v>754.51</v>
      </c>
      <c r="R8" s="62">
        <v>0</v>
      </c>
      <c r="S8" s="77">
        <f>L8+IFERROR(VLOOKUP($E:$E,'（居民）工资表-1月'!$E:$S,15,0),0)</f>
        <v>57478</v>
      </c>
      <c r="T8" s="78">
        <f>5000+IFERROR(VLOOKUP($E:$E,'（居民）工资表-1月'!$E:$T,16,0),0)</f>
        <v>10000</v>
      </c>
      <c r="U8" s="78">
        <f>Q8+IFERROR(VLOOKUP($E:$E,'（居民）工资表-1月'!$E:$U,17,0),0)</f>
        <v>1166.83</v>
      </c>
      <c r="V8" s="97">
        <v>2000</v>
      </c>
      <c r="W8" s="97">
        <v>2000</v>
      </c>
      <c r="X8" s="97">
        <v>2000</v>
      </c>
      <c r="Y8" s="97"/>
      <c r="Z8" s="97"/>
      <c r="AA8" s="97"/>
      <c r="AB8" s="77">
        <f t="shared" si="9"/>
        <v>6000</v>
      </c>
      <c r="AC8" s="77">
        <f>R8+IFERROR(VLOOKUP($E:$E,'（居民）工资表-1月'!$E:$AC,25,0),0)</f>
        <v>0</v>
      </c>
      <c r="AD8" s="79">
        <f t="shared" si="1"/>
        <v>40311.17</v>
      </c>
      <c r="AE8" s="80">
        <f>ROUND(MAX((AD8)*{0.03;0.1;0.2;0.25;0.3;0.35;0.45}-{0;2520;16920;31920;52920;85920;181920},0),2)</f>
        <v>1511.12</v>
      </c>
      <c r="AF8" s="81">
        <f>IFERROR(VLOOKUP(E:E,'（居民）工资表-1月'!E:AF,28,0)+VLOOKUP(E:E,'（居民）工资表-1月'!E:AG,29,0),0)</f>
        <v>549.79999999999995</v>
      </c>
      <c r="AG8" s="81">
        <f t="shared" si="2"/>
        <v>961.32</v>
      </c>
      <c r="AH8" s="84">
        <f t="shared" si="3"/>
        <v>29023.17</v>
      </c>
      <c r="AI8" s="85"/>
      <c r="AJ8" s="84">
        <f t="shared" si="4"/>
        <v>29023.17</v>
      </c>
      <c r="AK8" s="86"/>
      <c r="AL8" s="84">
        <f t="shared" si="5"/>
        <v>29984.49</v>
      </c>
      <c r="AM8" s="86"/>
      <c r="AN8" s="86"/>
      <c r="AO8" s="86"/>
      <c r="AP8" s="86"/>
      <c r="AQ8" s="86"/>
      <c r="AR8" s="91" t="str">
        <f t="shared" si="6"/>
        <v>正确</v>
      </c>
      <c r="AS8" s="91" t="str">
        <f t="shared" si="7"/>
        <v>不</v>
      </c>
      <c r="AT8" s="91" t="str">
        <f t="shared" si="8"/>
        <v>重复</v>
      </c>
    </row>
    <row r="9" spans="1:46" s="17" customFormat="1" ht="18" customHeight="1">
      <c r="A9" s="31">
        <v>6</v>
      </c>
      <c r="B9" s="32" t="s">
        <v>231</v>
      </c>
      <c r="C9" s="32" t="s">
        <v>172</v>
      </c>
      <c r="D9" s="32" t="s">
        <v>144</v>
      </c>
      <c r="E9" s="32" t="s">
        <v>173</v>
      </c>
      <c r="F9" s="33" t="s">
        <v>182</v>
      </c>
      <c r="G9" s="36">
        <v>18037463616</v>
      </c>
      <c r="H9" s="35"/>
      <c r="I9" s="35"/>
      <c r="J9" s="59"/>
      <c r="K9" s="35"/>
      <c r="L9" s="62">
        <v>14200</v>
      </c>
      <c r="M9" s="61">
        <v>508.64</v>
      </c>
      <c r="N9" s="61">
        <v>127.16</v>
      </c>
      <c r="O9" s="61">
        <v>19.079999999999998</v>
      </c>
      <c r="P9" s="61">
        <v>215.58</v>
      </c>
      <c r="Q9" s="76">
        <f t="shared" si="0"/>
        <v>870.46</v>
      </c>
      <c r="R9" s="62">
        <v>0</v>
      </c>
      <c r="S9" s="77">
        <f>L9+IFERROR(VLOOKUP($E:$E,'（居民）工资表-1月'!$E:$S,15,0),0)</f>
        <v>14200</v>
      </c>
      <c r="T9" s="78">
        <f>5000+IFERROR(VLOOKUP($E:$E,'（居民）工资表-1月'!$E:$T,16,0),0)</f>
        <v>5000</v>
      </c>
      <c r="U9" s="78">
        <f>Q9+IFERROR(VLOOKUP($E:$E,'（居民）工资表-1月'!$E:$U,17,0),0)</f>
        <v>870.46</v>
      </c>
      <c r="V9" s="97"/>
      <c r="W9" s="97"/>
      <c r="X9" s="97"/>
      <c r="Y9" s="97"/>
      <c r="Z9" s="97"/>
      <c r="AA9" s="97"/>
      <c r="AB9" s="77">
        <f t="shared" si="9"/>
        <v>0</v>
      </c>
      <c r="AC9" s="77">
        <f>R9+IFERROR(VLOOKUP($E:$E,'（居民）工资表-1月'!$E:$AC,25,0),0)</f>
        <v>0</v>
      </c>
      <c r="AD9" s="79">
        <f t="shared" si="1"/>
        <v>8329.5400000000009</v>
      </c>
      <c r="AE9" s="80">
        <f>ROUND(MAX((AD9)*{0.03;0.1;0.2;0.25;0.3;0.35;0.45}-{0;2520;16920;31920;52920;85920;181920},0),2)</f>
        <v>249.89</v>
      </c>
      <c r="AF9" s="81">
        <f>IFERROR(VLOOKUP(E:E,'（居民）工资表-1月'!E:AF,28,0)+VLOOKUP(E:E,'（居民）工资表-1月'!E:AG,29,0),0)</f>
        <v>0</v>
      </c>
      <c r="AG9" s="81">
        <f t="shared" si="2"/>
        <v>249.89</v>
      </c>
      <c r="AH9" s="84">
        <f t="shared" si="3"/>
        <v>13079.65</v>
      </c>
      <c r="AI9" s="85"/>
      <c r="AJ9" s="84">
        <f t="shared" si="4"/>
        <v>13079.65</v>
      </c>
      <c r="AK9" s="86"/>
      <c r="AL9" s="84">
        <f t="shared" si="5"/>
        <v>13329.54</v>
      </c>
      <c r="AM9" s="86"/>
      <c r="AN9" s="86"/>
      <c r="AO9" s="86"/>
      <c r="AP9" s="86"/>
      <c r="AQ9" s="86"/>
      <c r="AR9" s="91" t="str">
        <f t="shared" si="6"/>
        <v>正确</v>
      </c>
      <c r="AS9" s="91" t="str">
        <f t="shared" si="7"/>
        <v>不</v>
      </c>
      <c r="AT9" s="91" t="str">
        <f t="shared" si="8"/>
        <v>重复</v>
      </c>
    </row>
    <row r="10" spans="1:46" s="17" customFormat="1" ht="18" customHeight="1">
      <c r="A10" s="31">
        <v>7</v>
      </c>
      <c r="B10" s="32" t="s">
        <v>231</v>
      </c>
      <c r="C10" s="32" t="s">
        <v>174</v>
      </c>
      <c r="D10" s="32" t="s">
        <v>144</v>
      </c>
      <c r="E10" s="285" t="s">
        <v>175</v>
      </c>
      <c r="F10" s="33" t="s">
        <v>182</v>
      </c>
      <c r="G10" s="36">
        <v>18500634358</v>
      </c>
      <c r="H10" s="35"/>
      <c r="I10" s="35"/>
      <c r="J10" s="59"/>
      <c r="K10" s="35"/>
      <c r="L10" s="62">
        <v>14500</v>
      </c>
      <c r="M10" s="61">
        <v>508.64</v>
      </c>
      <c r="N10" s="61">
        <v>127.16</v>
      </c>
      <c r="O10" s="61">
        <v>19.079999999999998</v>
      </c>
      <c r="P10" s="61">
        <v>215.58</v>
      </c>
      <c r="Q10" s="76">
        <f t="shared" si="0"/>
        <v>870.46</v>
      </c>
      <c r="R10" s="62">
        <v>0</v>
      </c>
      <c r="S10" s="77">
        <f>L10+IFERROR(VLOOKUP($E:$E,'（居民）工资表-1月'!$E:$S,15,0),0)</f>
        <v>14500</v>
      </c>
      <c r="T10" s="78">
        <f>5000+IFERROR(VLOOKUP($E:$E,'（居民）工资表-1月'!$E:$T,16,0),0)</f>
        <v>5000</v>
      </c>
      <c r="U10" s="78">
        <f>Q10+IFERROR(VLOOKUP($E:$E,'（居民）工资表-1月'!$E:$U,17,0),0)</f>
        <v>870.46</v>
      </c>
      <c r="V10" s="97"/>
      <c r="W10" s="97"/>
      <c r="X10" s="97"/>
      <c r="Y10" s="97"/>
      <c r="Z10" s="97"/>
      <c r="AA10" s="97"/>
      <c r="AB10" s="77">
        <f t="shared" si="9"/>
        <v>0</v>
      </c>
      <c r="AC10" s="77">
        <f>R10+IFERROR(VLOOKUP($E:$E,'（居民）工资表-1月'!$E:$AC,25,0),0)</f>
        <v>0</v>
      </c>
      <c r="AD10" s="79">
        <f t="shared" si="1"/>
        <v>8629.5400000000009</v>
      </c>
      <c r="AE10" s="80">
        <f>ROUND(MAX((AD10)*{0.03;0.1;0.2;0.25;0.3;0.35;0.45}-{0;2520;16920;31920;52920;85920;181920},0),2)</f>
        <v>258.89</v>
      </c>
      <c r="AF10" s="81">
        <f>IFERROR(VLOOKUP(E:E,'（居民）工资表-1月'!E:AF,28,0)+VLOOKUP(E:E,'（居民）工资表-1月'!E:AG,29,0),0)</f>
        <v>0</v>
      </c>
      <c r="AG10" s="81">
        <f t="shared" si="2"/>
        <v>258.89</v>
      </c>
      <c r="AH10" s="84">
        <f t="shared" si="3"/>
        <v>13370.65</v>
      </c>
      <c r="AI10" s="85"/>
      <c r="AJ10" s="84">
        <f t="shared" si="4"/>
        <v>13370.65</v>
      </c>
      <c r="AK10" s="86"/>
      <c r="AL10" s="84">
        <f t="shared" si="5"/>
        <v>13629.54</v>
      </c>
      <c r="AM10" s="86"/>
      <c r="AN10" s="86"/>
      <c r="AO10" s="86"/>
      <c r="AP10" s="86"/>
      <c r="AQ10" s="86"/>
      <c r="AR10" s="91" t="str">
        <f t="shared" si="6"/>
        <v>正确</v>
      </c>
      <c r="AS10" s="91" t="str">
        <f t="shared" si="7"/>
        <v>不</v>
      </c>
      <c r="AT10" s="91" t="str">
        <f t="shared" si="8"/>
        <v>重复</v>
      </c>
    </row>
    <row r="11" spans="1:46" s="17" customFormat="1" ht="18" customHeight="1">
      <c r="A11" s="31">
        <v>8</v>
      </c>
      <c r="B11" s="32" t="s">
        <v>231</v>
      </c>
      <c r="C11" s="32" t="s">
        <v>167</v>
      </c>
      <c r="D11" s="32" t="s">
        <v>144</v>
      </c>
      <c r="E11" s="32" t="s">
        <v>168</v>
      </c>
      <c r="F11" s="33" t="s">
        <v>182</v>
      </c>
      <c r="G11" s="36">
        <v>18738169923</v>
      </c>
      <c r="H11" s="35"/>
      <c r="I11" s="35"/>
      <c r="J11" s="59"/>
      <c r="K11" s="35"/>
      <c r="L11" s="62">
        <v>12000</v>
      </c>
      <c r="M11" s="61">
        <v>508.64</v>
      </c>
      <c r="N11" s="61">
        <v>127.16</v>
      </c>
      <c r="O11" s="61">
        <v>19.079999999999998</v>
      </c>
      <c r="P11" s="61">
        <v>317.58</v>
      </c>
      <c r="Q11" s="76">
        <f t="shared" si="0"/>
        <v>972.46</v>
      </c>
      <c r="R11" s="62">
        <v>0</v>
      </c>
      <c r="S11" s="77">
        <f>L11+IFERROR(VLOOKUP($E:$E,'（居民）工资表-1月'!$E:$S,15,0),0)</f>
        <v>12000</v>
      </c>
      <c r="T11" s="78">
        <f>5000+IFERROR(VLOOKUP($E:$E,'（居民）工资表-1月'!$E:$T,16,0),0)</f>
        <v>5000</v>
      </c>
      <c r="U11" s="78">
        <f>Q11+IFERROR(VLOOKUP($E:$E,'（居民）工资表-1月'!$E:$U,17,0),0)</f>
        <v>972.46</v>
      </c>
      <c r="V11" s="97"/>
      <c r="W11" s="97"/>
      <c r="X11" s="97"/>
      <c r="Y11" s="97"/>
      <c r="Z11" s="97"/>
      <c r="AA11" s="97"/>
      <c r="AB11" s="77">
        <f t="shared" si="9"/>
        <v>0</v>
      </c>
      <c r="AC11" s="77">
        <f>R11+IFERROR(VLOOKUP($E:$E,'（居民）工资表-1月'!$E:$AC,25,0),0)</f>
        <v>0</v>
      </c>
      <c r="AD11" s="79">
        <f t="shared" si="1"/>
        <v>6027.54</v>
      </c>
      <c r="AE11" s="80">
        <f>ROUND(MAX((AD11)*{0.03;0.1;0.2;0.25;0.3;0.35;0.45}-{0;2520;16920;31920;52920;85920;181920},0),2)</f>
        <v>180.83</v>
      </c>
      <c r="AF11" s="81">
        <f>IFERROR(VLOOKUP(E:E,'（居民）工资表-1月'!E:AF,28,0)+VLOOKUP(E:E,'（居民）工资表-1月'!E:AG,29,0),0)</f>
        <v>0</v>
      </c>
      <c r="AG11" s="81">
        <f t="shared" si="2"/>
        <v>180.83</v>
      </c>
      <c r="AH11" s="84">
        <f t="shared" si="3"/>
        <v>10846.71</v>
      </c>
      <c r="AI11" s="85"/>
      <c r="AJ11" s="84">
        <f t="shared" si="4"/>
        <v>10846.71</v>
      </c>
      <c r="AK11" s="86"/>
      <c r="AL11" s="84">
        <f t="shared" si="5"/>
        <v>11027.54</v>
      </c>
      <c r="AM11" s="86"/>
      <c r="AN11" s="86"/>
      <c r="AO11" s="86"/>
      <c r="AP11" s="86"/>
      <c r="AQ11" s="86"/>
      <c r="AR11" s="91" t="str">
        <f t="shared" si="6"/>
        <v>正确</v>
      </c>
      <c r="AS11" s="91" t="str">
        <f t="shared" si="7"/>
        <v>不</v>
      </c>
      <c r="AT11" s="91" t="str">
        <f t="shared" si="8"/>
        <v>重复</v>
      </c>
    </row>
    <row r="12" spans="1:46" s="17" customFormat="1" ht="18" customHeight="1">
      <c r="A12" s="31">
        <v>9</v>
      </c>
      <c r="B12" s="32" t="s">
        <v>231</v>
      </c>
      <c r="C12" s="32" t="s">
        <v>170</v>
      </c>
      <c r="D12" s="32" t="s">
        <v>144</v>
      </c>
      <c r="E12" s="32" t="s">
        <v>171</v>
      </c>
      <c r="F12" s="33" t="s">
        <v>182</v>
      </c>
      <c r="G12" s="36">
        <v>15001138812</v>
      </c>
      <c r="H12" s="35"/>
      <c r="I12" s="35"/>
      <c r="J12" s="59"/>
      <c r="K12" s="35"/>
      <c r="L12" s="62">
        <v>10000</v>
      </c>
      <c r="M12" s="61">
        <v>508.64</v>
      </c>
      <c r="N12" s="61">
        <v>127.16</v>
      </c>
      <c r="O12" s="61">
        <v>19.079999999999998</v>
      </c>
      <c r="P12" s="61">
        <v>215.58</v>
      </c>
      <c r="Q12" s="76">
        <f t="shared" si="0"/>
        <v>870.46</v>
      </c>
      <c r="R12" s="62">
        <v>0</v>
      </c>
      <c r="S12" s="77">
        <f>L12+IFERROR(VLOOKUP($E:$E,'（居民）工资表-1月'!$E:$S,15,0),0)</f>
        <v>10000</v>
      </c>
      <c r="T12" s="78">
        <f>5000+IFERROR(VLOOKUP($E:$E,'（居民）工资表-1月'!$E:$T,16,0),0)</f>
        <v>5000</v>
      </c>
      <c r="U12" s="78">
        <f>Q12+IFERROR(VLOOKUP($E:$E,'（居民）工资表-1月'!$E:$U,17,0),0)</f>
        <v>870.46</v>
      </c>
      <c r="V12" s="97"/>
      <c r="W12" s="97"/>
      <c r="X12" s="97"/>
      <c r="Y12" s="97"/>
      <c r="Z12" s="97"/>
      <c r="AA12" s="97"/>
      <c r="AB12" s="77">
        <f t="shared" si="9"/>
        <v>0</v>
      </c>
      <c r="AC12" s="77">
        <f>R12+IFERROR(VLOOKUP($E:$E,'（居民）工资表-1月'!$E:$AC,25,0),0)</f>
        <v>0</v>
      </c>
      <c r="AD12" s="79">
        <f t="shared" si="1"/>
        <v>4129.54</v>
      </c>
      <c r="AE12" s="80">
        <f>ROUND(MAX((AD12)*{0.03;0.1;0.2;0.25;0.3;0.35;0.45}-{0;2520;16920;31920;52920;85920;181920},0),2)</f>
        <v>123.89</v>
      </c>
      <c r="AF12" s="81">
        <f>IFERROR(VLOOKUP(E:E,'（居民）工资表-1月'!E:AF,28,0)+VLOOKUP(E:E,'（居民）工资表-1月'!E:AG,29,0),0)</f>
        <v>0</v>
      </c>
      <c r="AG12" s="81">
        <f t="shared" si="2"/>
        <v>123.89</v>
      </c>
      <c r="AH12" s="84">
        <f t="shared" si="3"/>
        <v>9005.65</v>
      </c>
      <c r="AI12" s="85"/>
      <c r="AJ12" s="84">
        <f t="shared" si="4"/>
        <v>9005.65</v>
      </c>
      <c r="AK12" s="86"/>
      <c r="AL12" s="84">
        <f t="shared" si="5"/>
        <v>9129.5400000000009</v>
      </c>
      <c r="AM12" s="86"/>
      <c r="AN12" s="86"/>
      <c r="AO12" s="86"/>
      <c r="AP12" s="86"/>
      <c r="AQ12" s="86"/>
      <c r="AR12" s="91" t="str">
        <f t="shared" si="6"/>
        <v>正确</v>
      </c>
      <c r="AS12" s="91" t="str">
        <f t="shared" si="7"/>
        <v>不</v>
      </c>
      <c r="AT12" s="91" t="str">
        <f t="shared" si="8"/>
        <v>重复</v>
      </c>
    </row>
    <row r="13" spans="1:46" s="18" customFormat="1" ht="18" customHeight="1">
      <c r="A13" s="37"/>
      <c r="B13" s="38" t="s">
        <v>147</v>
      </c>
      <c r="C13" s="38"/>
      <c r="D13" s="39"/>
      <c r="E13" s="40"/>
      <c r="F13" s="41"/>
      <c r="G13" s="42"/>
      <c r="H13" s="41"/>
      <c r="I13" s="63"/>
      <c r="J13" s="64"/>
      <c r="K13" s="63"/>
      <c r="L13" s="65">
        <f>SUM(L4:L12)</f>
        <v>131629</v>
      </c>
      <c r="M13" s="65">
        <f t="shared" ref="M13:AL13" si="10">SUM(M4:M12)</f>
        <v>3520.65</v>
      </c>
      <c r="N13" s="65">
        <f t="shared" si="10"/>
        <v>1249.78</v>
      </c>
      <c r="O13" s="65">
        <f t="shared" si="10"/>
        <v>126.05</v>
      </c>
      <c r="P13" s="65">
        <f t="shared" si="10"/>
        <v>1956.74</v>
      </c>
      <c r="Q13" s="65">
        <f t="shared" si="10"/>
        <v>6853.22</v>
      </c>
      <c r="R13" s="65">
        <f t="shared" si="10"/>
        <v>0</v>
      </c>
      <c r="S13" s="65">
        <f t="shared" si="10"/>
        <v>211348</v>
      </c>
      <c r="T13" s="65">
        <f t="shared" si="10"/>
        <v>70000</v>
      </c>
      <c r="U13" s="65">
        <f t="shared" si="10"/>
        <v>9416.1299999999992</v>
      </c>
      <c r="V13" s="65">
        <f t="shared" si="10"/>
        <v>8000</v>
      </c>
      <c r="W13" s="65">
        <f t="shared" si="10"/>
        <v>4000</v>
      </c>
      <c r="X13" s="65">
        <f t="shared" si="10"/>
        <v>6000</v>
      </c>
      <c r="Y13" s="65">
        <f t="shared" si="10"/>
        <v>3000</v>
      </c>
      <c r="Z13" s="65">
        <f t="shared" si="10"/>
        <v>0</v>
      </c>
      <c r="AA13" s="65">
        <f t="shared" si="10"/>
        <v>0</v>
      </c>
      <c r="AB13" s="65">
        <f t="shared" si="10"/>
        <v>21000</v>
      </c>
      <c r="AC13" s="65">
        <f t="shared" si="10"/>
        <v>0</v>
      </c>
      <c r="AD13" s="65">
        <f t="shared" si="10"/>
        <v>110931.87</v>
      </c>
      <c r="AE13" s="65">
        <f t="shared" si="10"/>
        <v>4172.99</v>
      </c>
      <c r="AF13" s="65">
        <f t="shared" si="10"/>
        <v>1291.67</v>
      </c>
      <c r="AG13" s="65">
        <f t="shared" si="10"/>
        <v>2881.32</v>
      </c>
      <c r="AH13" s="65">
        <f t="shared" si="10"/>
        <v>121894.46</v>
      </c>
      <c r="AI13" s="65">
        <f t="shared" si="10"/>
        <v>0</v>
      </c>
      <c r="AJ13" s="65">
        <f t="shared" si="10"/>
        <v>121894.46</v>
      </c>
      <c r="AK13" s="65">
        <f t="shared" si="10"/>
        <v>0</v>
      </c>
      <c r="AL13" s="65">
        <f t="shared" si="10"/>
        <v>124775.78</v>
      </c>
      <c r="AM13" s="87"/>
      <c r="AN13" s="87"/>
      <c r="AO13" s="87"/>
      <c r="AP13" s="87"/>
      <c r="AQ13" s="87"/>
      <c r="AR13" s="41"/>
      <c r="AS13" s="41"/>
      <c r="AT13" s="92"/>
    </row>
    <row r="16" spans="1:46">
      <c r="AD16" s="82"/>
    </row>
    <row r="17" spans="1:35" ht="18.75" customHeight="1">
      <c r="B17" s="43" t="s">
        <v>124</v>
      </c>
      <c r="C17" s="43" t="s">
        <v>148</v>
      </c>
      <c r="D17" s="43" t="s">
        <v>54</v>
      </c>
      <c r="E17" s="43" t="s">
        <v>55</v>
      </c>
      <c r="AD17" s="15"/>
    </row>
    <row r="18" spans="1:35" ht="18.75" customHeight="1">
      <c r="B18" s="44">
        <f>AJ13</f>
        <v>121894.46</v>
      </c>
      <c r="C18" s="44">
        <f>AG13</f>
        <v>2881.32</v>
      </c>
      <c r="D18" s="44">
        <f>AK13</f>
        <v>0</v>
      </c>
      <c r="E18" s="44">
        <f>B18+C18+D18</f>
        <v>124775.78</v>
      </c>
    </row>
    <row r="19" spans="1:35">
      <c r="B19" s="45"/>
      <c r="C19" s="45"/>
      <c r="D19" s="45"/>
      <c r="E19" s="45"/>
    </row>
    <row r="20" spans="1:35" s="19" customFormat="1">
      <c r="A20" s="46" t="s">
        <v>149</v>
      </c>
      <c r="B20" s="47" t="s">
        <v>150</v>
      </c>
      <c r="C20" s="48"/>
      <c r="D20" s="48"/>
      <c r="E20" s="48"/>
      <c r="G20" s="49"/>
      <c r="J20" s="66"/>
      <c r="M20" s="67"/>
      <c r="AI20" s="89"/>
    </row>
    <row r="21" spans="1:35" s="19" customFormat="1">
      <c r="A21" s="50"/>
      <c r="B21" s="51" t="s">
        <v>151</v>
      </c>
      <c r="C21" s="48"/>
      <c r="D21" s="48"/>
      <c r="E21" s="48"/>
      <c r="G21" s="49"/>
      <c r="J21" s="66"/>
      <c r="M21" s="67"/>
      <c r="AI21" s="89"/>
    </row>
    <row r="22" spans="1:35" s="19" customFormat="1">
      <c r="A22" s="47"/>
      <c r="B22" s="51" t="s">
        <v>152</v>
      </c>
      <c r="C22" s="52"/>
      <c r="D22" s="52"/>
      <c r="E22" s="52"/>
      <c r="F22" s="52"/>
      <c r="G22" s="52"/>
      <c r="H22" s="52"/>
      <c r="I22" s="52"/>
      <c r="J22" s="68"/>
      <c r="K22" s="52"/>
      <c r="L22" s="52"/>
      <c r="M22" s="69"/>
      <c r="N22" s="52"/>
      <c r="O22" s="52"/>
      <c r="P22" s="52"/>
      <c r="AI22" s="89"/>
    </row>
    <row r="23" spans="1:35" s="19" customFormat="1" ht="13.5" customHeight="1">
      <c r="A23" s="51"/>
      <c r="B23" s="51" t="s">
        <v>153</v>
      </c>
      <c r="C23" s="53"/>
      <c r="D23" s="53"/>
      <c r="E23" s="53"/>
      <c r="F23" s="53"/>
      <c r="G23" s="53"/>
      <c r="H23" s="53"/>
      <c r="I23" s="70"/>
      <c r="J23" s="71"/>
      <c r="K23" s="70"/>
      <c r="L23" s="70"/>
      <c r="M23" s="72"/>
      <c r="N23" s="70"/>
      <c r="O23" s="70"/>
      <c r="P23" s="70"/>
      <c r="AI23" s="89"/>
    </row>
    <row r="24" spans="1:35" s="19" customFormat="1" ht="13.5" customHeight="1">
      <c r="A24" s="51"/>
      <c r="B24" s="51" t="s">
        <v>154</v>
      </c>
      <c r="C24" s="53"/>
      <c r="D24" s="53"/>
      <c r="E24" s="53"/>
      <c r="F24" s="53"/>
      <c r="G24" s="53"/>
      <c r="H24" s="53"/>
      <c r="I24" s="53"/>
      <c r="J24" s="73"/>
      <c r="K24" s="53"/>
      <c r="L24" s="70"/>
      <c r="M24" s="72"/>
      <c r="N24" s="70"/>
      <c r="O24" s="70"/>
      <c r="P24" s="70"/>
      <c r="AI24" s="89"/>
    </row>
    <row r="25" spans="1:35" s="19" customFormat="1" ht="13.5" customHeight="1">
      <c r="A25" s="51"/>
      <c r="B25" s="51" t="s">
        <v>155</v>
      </c>
      <c r="C25" s="53"/>
      <c r="D25" s="53"/>
      <c r="E25" s="53"/>
      <c r="F25" s="53"/>
      <c r="G25" s="53"/>
      <c r="H25" s="53"/>
      <c r="I25" s="70"/>
      <c r="J25" s="71"/>
      <c r="K25" s="70"/>
      <c r="L25" s="70"/>
      <c r="M25" s="72"/>
      <c r="N25" s="70"/>
      <c r="O25" s="70"/>
      <c r="P25" s="70"/>
      <c r="AI25" s="89"/>
    </row>
    <row r="27" spans="1:35" ht="11.25" customHeight="1">
      <c r="B27" s="54" t="s">
        <v>156</v>
      </c>
    </row>
    <row r="28" spans="1:35">
      <c r="B28" s="55" t="s">
        <v>157</v>
      </c>
    </row>
    <row r="29" spans="1:35">
      <c r="B29" s="55" t="s">
        <v>158</v>
      </c>
    </row>
  </sheetData>
  <autoFilter ref="A3:AT13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5">
    <cfRule type="duplicateValues" dxfId="21" priority="2" stopIfTrue="1"/>
  </conditionalFormatting>
  <conditionalFormatting sqref="B20:B24">
    <cfRule type="duplicateValues" dxfId="20" priority="3" stopIfTrue="1"/>
  </conditionalFormatting>
  <conditionalFormatting sqref="B28:B29">
    <cfRule type="duplicateValues" dxfId="19" priority="1" stopIfTrue="1"/>
  </conditionalFormatting>
  <conditionalFormatting sqref="C17:C19">
    <cfRule type="duplicateValues" dxfId="18" priority="4" stopIfTrue="1"/>
    <cfRule type="expression" dxfId="17" priority="5" stopIfTrue="1">
      <formula>AND(COUNTIF($B$13:$B$65449,C17)+COUNTIF($B$1:$B$3,C17)&gt;1,NOT(ISBLANK(C17)))</formula>
    </cfRule>
    <cfRule type="expression" dxfId="16" priority="6" stopIfTrue="1">
      <formula>AND(COUNTIF($B$24:$B$65400,C17)+COUNTIF($B$1:$B$23,C17)&gt;1,NOT(ISBLANK(C17)))</formula>
    </cfRule>
    <cfRule type="expression" dxfId="15" priority="7" stopIfTrue="1">
      <formula>AND(COUNTIF($B$13:$B$65438,C17)+COUNTIF($B$1:$B$3,C17)&gt;1,NOT(ISBLANK(C17)))</formula>
    </cfRule>
  </conditionalFormatting>
  <pageMargins left="0.23611111111111099" right="0.23611111111111099" top="0.74791666666666701" bottom="0.74791666666666701" header="0.31458333333333299" footer="0.31458333333333299"/>
  <pageSetup paperSize="9" scale="40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0"/>
  <sheetViews>
    <sheetView workbookViewId="0">
      <pane xSplit="6" ySplit="3" topLeftCell="U4" activePane="bottomRight" state="frozen"/>
      <selection pane="topRight"/>
      <selection pane="bottomLeft"/>
      <selection pane="bottomRight" activeCell="V7" sqref="V7:W7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9.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1.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4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231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8000</v>
      </c>
      <c r="M4" s="61">
        <v>264</v>
      </c>
      <c r="N4" s="61">
        <v>66</v>
      </c>
      <c r="O4" s="61">
        <v>9.9</v>
      </c>
      <c r="P4" s="61">
        <v>180</v>
      </c>
      <c r="Q4" s="76">
        <f>ROUND(SUM(M4:P4),2)</f>
        <v>519.9</v>
      </c>
      <c r="R4" s="62">
        <v>0</v>
      </c>
      <c r="S4" s="77">
        <f>L4+IFERROR(VLOOKUP($E:$E,'（居民）工资表-2月'!$E:$S,15,0),0)</f>
        <v>25770</v>
      </c>
      <c r="T4" s="78">
        <f>5000+IFERROR(VLOOKUP($E:$E,'（居民）工资表-2月'!$E:$T,16,0),0)</f>
        <v>15000</v>
      </c>
      <c r="U4" s="78">
        <f>Q4+IFERROR(VLOOKUP($E:$E,'（居民）工资表-2月'!$E:$U,17,0),0)</f>
        <v>1559.7</v>
      </c>
      <c r="V4" s="62">
        <v>3000</v>
      </c>
      <c r="W4" s="62"/>
      <c r="X4" s="62">
        <v>3000</v>
      </c>
      <c r="Y4" s="62"/>
      <c r="Z4" s="62"/>
      <c r="AA4" s="62"/>
      <c r="AB4" s="77">
        <f>ROUND(SUM(V4:AA4),2)</f>
        <v>6000</v>
      </c>
      <c r="AC4" s="77">
        <f>R4+IFERROR(VLOOKUP($E:$E,'（居民）工资表-2月'!$E:$AC,25,0),0)</f>
        <v>0</v>
      </c>
      <c r="AD4" s="79">
        <f>ROUND(S4-T4-U4-AB4-AC4,2)</f>
        <v>3210.3</v>
      </c>
      <c r="AE4" s="80">
        <f>ROUND(MAX((AD4)*{0.03;0.1;0.2;0.25;0.3;0.35;0.45}-{0;2520;16920;31920;52920;85920;181920},0),2)</f>
        <v>96.31</v>
      </c>
      <c r="AF4" s="81">
        <f>IFERROR(VLOOKUP(E:E,'（居民）工资表-2月'!E:AF,28,0)+VLOOKUP(E:E,'（居民）工资表-2月'!E:AG,29,0),0)</f>
        <v>81.91</v>
      </c>
      <c r="AG4" s="81">
        <f>IF((AE4-AF4)&lt;0,0,AE4-AF4)</f>
        <v>14.4</v>
      </c>
      <c r="AH4" s="84">
        <f>ROUND(IF((L4-Q4-AG4)&lt;0,0,(L4-Q4-AG4)),2)</f>
        <v>7465.7</v>
      </c>
      <c r="AI4" s="85"/>
      <c r="AJ4" s="84">
        <f>AH4+AI4</f>
        <v>7465.7</v>
      </c>
      <c r="AK4" s="86"/>
      <c r="AL4" s="84">
        <f>AJ4+AG4+AK4</f>
        <v>7480.1</v>
      </c>
      <c r="AM4" s="86"/>
      <c r="AN4" s="86"/>
      <c r="AO4" s="86"/>
      <c r="AP4" s="86"/>
      <c r="AQ4" s="86"/>
      <c r="AR4" s="9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IF(SUMPRODUCT(N(E$1:E$5=E4))&gt;1,"重复","不")</f>
        <v>不</v>
      </c>
      <c r="AT4" s="91" t="str">
        <f>IF(SUMPRODUCT(N(AO$1:AO$5=AO4))&gt;1,"重复","不")</f>
        <v>重复</v>
      </c>
    </row>
    <row r="5" spans="1:46" s="17" customFormat="1" ht="18" customHeight="1">
      <c r="A5" s="31">
        <v>2</v>
      </c>
      <c r="B5" s="32" t="s">
        <v>231</v>
      </c>
      <c r="C5" s="32" t="s">
        <v>90</v>
      </c>
      <c r="D5" s="32" t="s">
        <v>144</v>
      </c>
      <c r="E5" s="32" t="s">
        <v>91</v>
      </c>
      <c r="F5" s="33" t="s">
        <v>182</v>
      </c>
      <c r="G5" s="36">
        <v>13944441728</v>
      </c>
      <c r="H5" s="35"/>
      <c r="I5" s="35"/>
      <c r="J5" s="59"/>
      <c r="K5" s="35"/>
      <c r="L5" s="62">
        <v>7000</v>
      </c>
      <c r="M5" s="61">
        <v>268.81</v>
      </c>
      <c r="N5" s="61">
        <v>61.06</v>
      </c>
      <c r="O5" s="61">
        <v>10.08</v>
      </c>
      <c r="P5" s="61">
        <v>79</v>
      </c>
      <c r="Q5" s="76">
        <f>ROUND(SUM(M5:P5),2)</f>
        <v>418.95</v>
      </c>
      <c r="R5" s="62">
        <v>0</v>
      </c>
      <c r="S5" s="77">
        <f>L5+IFERROR(VLOOKUP($E:$E,'（居民）工资表-2月'!$E:$S,15,0),0)</f>
        <v>21000</v>
      </c>
      <c r="T5" s="78">
        <f>5000+IFERROR(VLOOKUP($E:$E,'（居民）工资表-2月'!$E:$T,16,0),0)</f>
        <v>15000</v>
      </c>
      <c r="U5" s="78">
        <f>Q5+IFERROR(VLOOKUP($E:$E,'（居民）工资表-2月'!$E:$U,17,0),0)</f>
        <v>1256.8499999999999</v>
      </c>
      <c r="V5" s="62"/>
      <c r="W5" s="62"/>
      <c r="X5" s="62">
        <v>3000</v>
      </c>
      <c r="Y5" s="62"/>
      <c r="Z5" s="62"/>
      <c r="AA5" s="62"/>
      <c r="AB5" s="77">
        <f>ROUND(SUM(V5:AA5),2)</f>
        <v>3000</v>
      </c>
      <c r="AC5" s="77">
        <f>R5+IFERROR(VLOOKUP($E:$E,'（居民）工资表-2月'!$E:$AC,25,0),0)</f>
        <v>0</v>
      </c>
      <c r="AD5" s="79">
        <f>ROUND(S5-T5-U5-AB5-AC5,2)</f>
        <v>1743.15</v>
      </c>
      <c r="AE5" s="80">
        <f>ROUND(MAX((AD5)*{0.03;0.1;0.2;0.25;0.3;0.35;0.45}-{0;2520;16920;31920;52920;85920;181920},0),2)</f>
        <v>52.29</v>
      </c>
      <c r="AF5" s="81">
        <f>IFERROR(VLOOKUP(E:E,'（居民）工资表-2月'!E:AF,28,0)+VLOOKUP(E:E,'（居民）工资表-2月'!E:AG,29,0),0)</f>
        <v>34.86</v>
      </c>
      <c r="AG5" s="81">
        <f>IF((AE5-AF5)&lt;0,0,AE5-AF5)</f>
        <v>17.43</v>
      </c>
      <c r="AH5" s="84">
        <f>ROUND(IF((L5-Q5-AG5)&lt;0,0,(L5-Q5-AG5)),2)</f>
        <v>6563.62</v>
      </c>
      <c r="AI5" s="85"/>
      <c r="AJ5" s="84">
        <f>AH5+AI5</f>
        <v>6563.62</v>
      </c>
      <c r="AK5" s="86"/>
      <c r="AL5" s="84">
        <f>AJ5+AG5+AK5</f>
        <v>6581.05</v>
      </c>
      <c r="AM5" s="86"/>
      <c r="AN5" s="86"/>
      <c r="AO5" s="86"/>
      <c r="AP5" s="86"/>
      <c r="AQ5" s="86"/>
      <c r="AR5" s="9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1" t="str">
        <f>IF(SUMPRODUCT(N(E$1:E$5=E5))&gt;1,"重复","不")</f>
        <v>不</v>
      </c>
      <c r="AT5" s="91" t="str">
        <f>IF(SUMPRODUCT(N(AO$1:AO$5=AO5))&gt;1,"重复","不")</f>
        <v>重复</v>
      </c>
    </row>
    <row r="6" spans="1:46" s="17" customFormat="1" ht="18" customHeight="1">
      <c r="A6" s="31">
        <v>3</v>
      </c>
      <c r="B6" s="32" t="s">
        <v>231</v>
      </c>
      <c r="C6" s="32" t="s">
        <v>164</v>
      </c>
      <c r="D6" s="32" t="s">
        <v>144</v>
      </c>
      <c r="E6" s="285" t="s">
        <v>165</v>
      </c>
      <c r="F6" s="33" t="str">
        <f>IF(MOD(MID(E6,17,1),2)=1,"男","女")</f>
        <v>女</v>
      </c>
      <c r="G6" s="36">
        <v>15360550807</v>
      </c>
      <c r="H6" s="35"/>
      <c r="I6" s="35"/>
      <c r="J6" s="59"/>
      <c r="K6" s="35"/>
      <c r="L6" s="62">
        <v>5700</v>
      </c>
      <c r="M6" s="61">
        <v>367.04</v>
      </c>
      <c r="N6" s="61">
        <v>135.13999999999999</v>
      </c>
      <c r="O6" s="61">
        <v>4.5999999999999996</v>
      </c>
      <c r="P6" s="61">
        <v>84.08</v>
      </c>
      <c r="Q6" s="76">
        <f t="shared" ref="Q6:Q12" si="0">ROUND(SUM(M6:P6),2)</f>
        <v>590.86</v>
      </c>
      <c r="R6" s="62">
        <v>0</v>
      </c>
      <c r="S6" s="77">
        <f>L6+IFERROR(VLOOKUP($E:$E,'（居民）工资表-2月'!$E:$S,15,0),0)</f>
        <v>17100</v>
      </c>
      <c r="T6" s="78">
        <f>5000+IFERROR(VLOOKUP($E:$E,'（居民）工资表-2月'!$E:$T,16,0),0)</f>
        <v>15000</v>
      </c>
      <c r="U6" s="78">
        <f>Q6+IFERROR(VLOOKUP($E:$E,'（居民）工资表-2月'!$E:$U,17,0),0)</f>
        <v>1894.62</v>
      </c>
      <c r="V6" s="62"/>
      <c r="W6" s="62"/>
      <c r="X6" s="62"/>
      <c r="Y6" s="62">
        <v>4500</v>
      </c>
      <c r="Z6" s="62"/>
      <c r="AA6" s="62"/>
      <c r="AB6" s="77">
        <f t="shared" ref="AB6:AB12" si="1">ROUND(SUM(V6:AA6),2)</f>
        <v>4500</v>
      </c>
      <c r="AC6" s="77">
        <f>R6+IFERROR(VLOOKUP($E:$E,'（居民）工资表-2月'!$E:$AC,25,0),0)</f>
        <v>0</v>
      </c>
      <c r="AD6" s="79">
        <f t="shared" ref="AD6:AD12" si="2">ROUND(S6-T6-U6-AB6-AC6,2)</f>
        <v>-4294.62</v>
      </c>
      <c r="AE6" s="80">
        <f>ROUND(MAX((AD6)*{0.03;0.1;0.2;0.25;0.3;0.35;0.45}-{0;2520;16920;31920;52920;85920;181920},0),2)</f>
        <v>0</v>
      </c>
      <c r="AF6" s="81">
        <f>IFERROR(VLOOKUP(E:E,'（居民）工资表-2月'!E:AF,28,0)+VLOOKUP(E:E,'（居民）工资表-2月'!E:AG,29,0),0)</f>
        <v>0</v>
      </c>
      <c r="AG6" s="81">
        <f t="shared" ref="AG6:AG12" si="3">IF((AE6-AF6)&lt;0,0,AE6-AF6)</f>
        <v>0</v>
      </c>
      <c r="AH6" s="84">
        <f t="shared" ref="AH6:AH12" si="4">ROUND(IF((L6-Q6-AG6)&lt;0,0,(L6-Q6-AG6)),2)</f>
        <v>5109.1400000000003</v>
      </c>
      <c r="AI6" s="85"/>
      <c r="AJ6" s="84">
        <f t="shared" ref="AJ6:AJ12" si="5">AH6+AI6</f>
        <v>5109.1400000000003</v>
      </c>
      <c r="AK6" s="86"/>
      <c r="AL6" s="84">
        <f t="shared" ref="AL6:AL12" si="6">AJ6+AG6+AK6</f>
        <v>5109.1400000000003</v>
      </c>
      <c r="AM6" s="86"/>
      <c r="AN6" s="86"/>
      <c r="AO6" s="86"/>
      <c r="AP6" s="86"/>
      <c r="AQ6" s="86"/>
      <c r="AR6" s="91" t="str">
        <f t="shared" ref="AR6:AR12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1" t="str">
        <f t="shared" ref="AS6:AS12" si="8">IF(SUMPRODUCT(N(E$1:E$5=E6))&gt;1,"重复","不")</f>
        <v>不</v>
      </c>
      <c r="AT6" s="91" t="str">
        <f t="shared" ref="AT6:AT12" si="9">IF(SUMPRODUCT(N(AO$1:AO$5=AO6))&gt;1,"重复","不")</f>
        <v>重复</v>
      </c>
    </row>
    <row r="7" spans="1:46" s="17" customFormat="1" ht="18" customHeight="1">
      <c r="A7" s="31">
        <v>4</v>
      </c>
      <c r="B7" s="32" t="s">
        <v>231</v>
      </c>
      <c r="C7" s="32" t="s">
        <v>145</v>
      </c>
      <c r="D7" s="32" t="s">
        <v>144</v>
      </c>
      <c r="E7" s="285" t="s">
        <v>146</v>
      </c>
      <c r="F7" s="33" t="s">
        <v>182</v>
      </c>
      <c r="G7" s="36">
        <v>18607383005</v>
      </c>
      <c r="H7" s="35"/>
      <c r="I7" s="35"/>
      <c r="J7" s="59"/>
      <c r="K7" s="35"/>
      <c r="L7" s="62">
        <v>25000</v>
      </c>
      <c r="M7" s="61">
        <v>320</v>
      </c>
      <c r="N7" s="61">
        <v>80</v>
      </c>
      <c r="O7" s="61">
        <v>12</v>
      </c>
      <c r="P7" s="61">
        <v>70</v>
      </c>
      <c r="Q7" s="76">
        <f t="shared" si="0"/>
        <v>482</v>
      </c>
      <c r="R7" s="62">
        <v>0</v>
      </c>
      <c r="S7" s="77">
        <f>L7+IFERROR(VLOOKUP($E:$E,'（居民）工资表-2月'!$E:$S,15,0),0)</f>
        <v>85000</v>
      </c>
      <c r="T7" s="78">
        <f>5000+IFERROR(VLOOKUP($E:$E,'（居民）工资表-2月'!$E:$T,16,0),0)</f>
        <v>15000</v>
      </c>
      <c r="U7" s="78">
        <f>Q7+IFERROR(VLOOKUP($E:$E,'（居民）工资表-2月'!$E:$U,17,0),0)</f>
        <v>1966</v>
      </c>
      <c r="V7" s="62">
        <v>6000</v>
      </c>
      <c r="W7" s="62">
        <v>3000</v>
      </c>
      <c r="X7" s="62"/>
      <c r="Y7" s="62"/>
      <c r="Z7" s="62"/>
      <c r="AA7" s="62"/>
      <c r="AB7" s="77">
        <f t="shared" si="1"/>
        <v>9000</v>
      </c>
      <c r="AC7" s="77">
        <f>R7+IFERROR(VLOOKUP($E:$E,'（居民）工资表-2月'!$E:$AC,25,0),0)</f>
        <v>0</v>
      </c>
      <c r="AD7" s="79">
        <f t="shared" si="2"/>
        <v>59034</v>
      </c>
      <c r="AE7" s="80">
        <f>ROUND(MAX((AD7)*{0.03;0.1;0.2;0.25;0.3;0.35;0.45}-{0;2520;16920;31920;52920;85920;181920},0),2)</f>
        <v>3383.4</v>
      </c>
      <c r="AF7" s="81">
        <f>IFERROR(VLOOKUP(E:E,'（居民）工资表-2月'!E:AF,28,0)+VLOOKUP(E:E,'（居民）工资表-2月'!E:AG,29,0),0)</f>
        <v>1731.6</v>
      </c>
      <c r="AG7" s="81">
        <f t="shared" si="3"/>
        <v>1651.8</v>
      </c>
      <c r="AH7" s="84">
        <f t="shared" si="4"/>
        <v>22866.2</v>
      </c>
      <c r="AI7" s="85"/>
      <c r="AJ7" s="84">
        <f t="shared" si="5"/>
        <v>22866.2</v>
      </c>
      <c r="AK7" s="86"/>
      <c r="AL7" s="84">
        <f t="shared" si="6"/>
        <v>24518</v>
      </c>
      <c r="AM7" s="86"/>
      <c r="AN7" s="86"/>
      <c r="AO7" s="86"/>
      <c r="AP7" s="86"/>
      <c r="AQ7" s="86"/>
      <c r="AR7" s="91" t="str">
        <f t="shared" si="7"/>
        <v>正确</v>
      </c>
      <c r="AS7" s="91" t="str">
        <f t="shared" si="8"/>
        <v>不</v>
      </c>
      <c r="AT7" s="91" t="str">
        <f t="shared" si="9"/>
        <v>重复</v>
      </c>
    </row>
    <row r="8" spans="1:46" s="17" customFormat="1" ht="18" customHeight="1">
      <c r="A8" s="31">
        <v>5</v>
      </c>
      <c r="B8" s="32" t="s">
        <v>231</v>
      </c>
      <c r="C8" s="32" t="s">
        <v>162</v>
      </c>
      <c r="D8" s="32" t="s">
        <v>144</v>
      </c>
      <c r="E8" s="32" t="s">
        <v>163</v>
      </c>
      <c r="F8" s="33" t="s">
        <v>182</v>
      </c>
      <c r="G8" s="36">
        <v>13373825180</v>
      </c>
      <c r="H8" s="35"/>
      <c r="I8" s="35"/>
      <c r="J8" s="59"/>
      <c r="K8" s="35"/>
      <c r="L8" s="62">
        <f>26739+77.5</f>
        <v>26816.5</v>
      </c>
      <c r="M8" s="61">
        <v>363.84</v>
      </c>
      <c r="N8" s="61">
        <v>90.96</v>
      </c>
      <c r="O8" s="61">
        <v>13.64</v>
      </c>
      <c r="P8" s="61"/>
      <c r="Q8" s="76">
        <f t="shared" si="0"/>
        <v>468.44</v>
      </c>
      <c r="R8" s="62">
        <v>0</v>
      </c>
      <c r="S8" s="77">
        <f>L8+IFERROR(VLOOKUP($E:$E,'（居民）工资表-2月'!$E:$S,15,0),0)</f>
        <v>84294.5</v>
      </c>
      <c r="T8" s="78">
        <f>5000+IFERROR(VLOOKUP($E:$E,'（居民）工资表-2月'!$E:$T,16,0),0)</f>
        <v>15000</v>
      </c>
      <c r="U8" s="78">
        <f>Q8+IFERROR(VLOOKUP($E:$E,'（居民）工资表-2月'!$E:$U,17,0),0)</f>
        <v>1635.27</v>
      </c>
      <c r="V8" s="62">
        <v>3000</v>
      </c>
      <c r="W8" s="62">
        <v>3000</v>
      </c>
      <c r="X8" s="62">
        <v>3000</v>
      </c>
      <c r="Y8" s="62"/>
      <c r="Z8" s="62"/>
      <c r="AA8" s="62"/>
      <c r="AB8" s="77">
        <f t="shared" si="1"/>
        <v>9000</v>
      </c>
      <c r="AC8" s="77">
        <f>R8+IFERROR(VLOOKUP($E:$E,'（居民）工资表-2月'!$E:$AC,25,0),0)</f>
        <v>0</v>
      </c>
      <c r="AD8" s="79">
        <f t="shared" si="2"/>
        <v>58659.23</v>
      </c>
      <c r="AE8" s="80">
        <f>ROUND(MAX((AD8)*{0.03;0.1;0.2;0.25;0.3;0.35;0.45}-{0;2520;16920;31920;52920;85920;181920},0),2)</f>
        <v>3345.92</v>
      </c>
      <c r="AF8" s="81">
        <f>IFERROR(VLOOKUP(E:E,'（居民）工资表-2月'!E:AF,28,0)+VLOOKUP(E:E,'（居民）工资表-2月'!E:AG,29,0),0)</f>
        <v>1511.12</v>
      </c>
      <c r="AG8" s="81">
        <f t="shared" si="3"/>
        <v>1834.8</v>
      </c>
      <c r="AH8" s="84">
        <f t="shared" si="4"/>
        <v>24513.26</v>
      </c>
      <c r="AI8" s="85"/>
      <c r="AJ8" s="84">
        <f t="shared" si="5"/>
        <v>24513.26</v>
      </c>
      <c r="AK8" s="86"/>
      <c r="AL8" s="84">
        <f t="shared" si="6"/>
        <v>26348.06</v>
      </c>
      <c r="AM8" s="86"/>
      <c r="AN8" s="86"/>
      <c r="AO8" s="86"/>
      <c r="AP8" s="86"/>
      <c r="AQ8" s="86"/>
      <c r="AR8" s="91" t="str">
        <f t="shared" si="7"/>
        <v>正确</v>
      </c>
      <c r="AS8" s="91" t="str">
        <f t="shared" si="8"/>
        <v>不</v>
      </c>
      <c r="AT8" s="91" t="str">
        <f t="shared" si="9"/>
        <v>重复</v>
      </c>
    </row>
    <row r="9" spans="1:46" s="17" customFormat="1" ht="18" customHeight="1">
      <c r="A9" s="31">
        <v>6</v>
      </c>
      <c r="B9" s="32" t="s">
        <v>231</v>
      </c>
      <c r="C9" s="32" t="s">
        <v>172</v>
      </c>
      <c r="D9" s="32" t="s">
        <v>144</v>
      </c>
      <c r="E9" s="32" t="s">
        <v>173</v>
      </c>
      <c r="F9" s="33" t="s">
        <v>182</v>
      </c>
      <c r="G9" s="36">
        <v>18037463616</v>
      </c>
      <c r="H9" s="35"/>
      <c r="I9" s="35"/>
      <c r="J9" s="59"/>
      <c r="K9" s="35"/>
      <c r="L9" s="62">
        <v>13572.63</v>
      </c>
      <c r="M9" s="61">
        <v>255.76</v>
      </c>
      <c r="N9" s="61">
        <v>65.02</v>
      </c>
      <c r="O9" s="61">
        <v>9.59</v>
      </c>
      <c r="P9" s="61">
        <v>445.06</v>
      </c>
      <c r="Q9" s="76">
        <f t="shared" si="0"/>
        <v>775.43</v>
      </c>
      <c r="R9" s="62">
        <v>0</v>
      </c>
      <c r="S9" s="77">
        <f>L9+IFERROR(VLOOKUP($E:$E,'（居民）工资表-2月'!$E:$S,15,0),0)</f>
        <v>27772.63</v>
      </c>
      <c r="T9" s="78">
        <f>5000+IFERROR(VLOOKUP($E:$E,'（居民）工资表-2月'!$E:$T,16,0),0)</f>
        <v>10000</v>
      </c>
      <c r="U9" s="78">
        <f>Q9+IFERROR(VLOOKUP($E:$E,'（居民）工资表-2月'!$E:$U,17,0),0)</f>
        <v>1645.89</v>
      </c>
      <c r="V9" s="62"/>
      <c r="W9" s="62"/>
      <c r="X9" s="62"/>
      <c r="Y9" s="62"/>
      <c r="Z9" s="62"/>
      <c r="AA9" s="62"/>
      <c r="AB9" s="77">
        <f t="shared" si="1"/>
        <v>0</v>
      </c>
      <c r="AC9" s="77">
        <f>R9+IFERROR(VLOOKUP($E:$E,'（居民）工资表-2月'!$E:$AC,25,0),0)</f>
        <v>0</v>
      </c>
      <c r="AD9" s="79">
        <f t="shared" si="2"/>
        <v>16126.74</v>
      </c>
      <c r="AE9" s="80">
        <f>ROUND(MAX((AD9)*{0.03;0.1;0.2;0.25;0.3;0.35;0.45}-{0;2520;16920;31920;52920;85920;181920},0),2)</f>
        <v>483.8</v>
      </c>
      <c r="AF9" s="81">
        <f>IFERROR(VLOOKUP(E:E,'（居民）工资表-2月'!E:AF,28,0)+VLOOKUP(E:E,'（居民）工资表-2月'!E:AG,29,0),0)</f>
        <v>249.89</v>
      </c>
      <c r="AG9" s="81">
        <f t="shared" si="3"/>
        <v>233.91</v>
      </c>
      <c r="AH9" s="84">
        <f t="shared" si="4"/>
        <v>12563.29</v>
      </c>
      <c r="AI9" s="85"/>
      <c r="AJ9" s="84">
        <f t="shared" si="5"/>
        <v>12563.29</v>
      </c>
      <c r="AK9" s="86"/>
      <c r="AL9" s="84">
        <f t="shared" si="6"/>
        <v>12797.2</v>
      </c>
      <c r="AM9" s="86"/>
      <c r="AN9" s="86"/>
      <c r="AO9" s="86"/>
      <c r="AP9" s="86"/>
      <c r="AQ9" s="86"/>
      <c r="AR9" s="91" t="str">
        <f t="shared" si="7"/>
        <v>正确</v>
      </c>
      <c r="AS9" s="91" t="str">
        <f t="shared" si="8"/>
        <v>不</v>
      </c>
      <c r="AT9" s="91" t="str">
        <f t="shared" si="9"/>
        <v>重复</v>
      </c>
    </row>
    <row r="10" spans="1:46" s="17" customFormat="1" ht="18" customHeight="1">
      <c r="A10" s="31">
        <v>7</v>
      </c>
      <c r="B10" s="32" t="s">
        <v>231</v>
      </c>
      <c r="C10" s="32" t="s">
        <v>174</v>
      </c>
      <c r="D10" s="32" t="s">
        <v>144</v>
      </c>
      <c r="E10" s="285" t="s">
        <v>175</v>
      </c>
      <c r="F10" s="33" t="s">
        <v>182</v>
      </c>
      <c r="G10" s="36">
        <v>18500634358</v>
      </c>
      <c r="H10" s="35"/>
      <c r="I10" s="35"/>
      <c r="J10" s="59"/>
      <c r="K10" s="35"/>
      <c r="L10" s="62">
        <v>14620</v>
      </c>
      <c r="M10" s="61">
        <v>255.76</v>
      </c>
      <c r="N10" s="61">
        <v>65.02</v>
      </c>
      <c r="O10" s="61">
        <v>9.59</v>
      </c>
      <c r="P10" s="61">
        <v>445.06</v>
      </c>
      <c r="Q10" s="76">
        <f t="shared" si="0"/>
        <v>775.43</v>
      </c>
      <c r="R10" s="62">
        <v>0</v>
      </c>
      <c r="S10" s="77">
        <f>L10+IFERROR(VLOOKUP($E:$E,'（居民）工资表-2月'!$E:$S,15,0),0)</f>
        <v>29120</v>
      </c>
      <c r="T10" s="78">
        <f>5000+IFERROR(VLOOKUP($E:$E,'（居民）工资表-2月'!$E:$T,16,0),0)</f>
        <v>10000</v>
      </c>
      <c r="U10" s="78">
        <f>Q10+IFERROR(VLOOKUP($E:$E,'（居民）工资表-2月'!$E:$U,17,0),0)</f>
        <v>1645.89</v>
      </c>
      <c r="V10" s="62"/>
      <c r="W10" s="62"/>
      <c r="X10" s="62"/>
      <c r="Y10" s="62"/>
      <c r="Z10" s="62"/>
      <c r="AA10" s="62"/>
      <c r="AB10" s="77">
        <f t="shared" si="1"/>
        <v>0</v>
      </c>
      <c r="AC10" s="77">
        <f>R10+IFERROR(VLOOKUP($E:$E,'（居民）工资表-2月'!$E:$AC,25,0),0)</f>
        <v>0</v>
      </c>
      <c r="AD10" s="79">
        <f t="shared" si="2"/>
        <v>17474.11</v>
      </c>
      <c r="AE10" s="80">
        <f>ROUND(MAX((AD10)*{0.03;0.1;0.2;0.25;0.3;0.35;0.45}-{0;2520;16920;31920;52920;85920;181920},0),2)</f>
        <v>524.22</v>
      </c>
      <c r="AF10" s="81">
        <f>IFERROR(VLOOKUP(E:E,'（居民）工资表-2月'!E:AF,28,0)+VLOOKUP(E:E,'（居民）工资表-2月'!E:AG,29,0),0)</f>
        <v>258.89</v>
      </c>
      <c r="AG10" s="81">
        <f t="shared" si="3"/>
        <v>265.33</v>
      </c>
      <c r="AH10" s="84">
        <f t="shared" si="4"/>
        <v>13579.24</v>
      </c>
      <c r="AI10" s="85"/>
      <c r="AJ10" s="84">
        <f t="shared" si="5"/>
        <v>13579.24</v>
      </c>
      <c r="AK10" s="86"/>
      <c r="AL10" s="84">
        <f t="shared" si="6"/>
        <v>13844.57</v>
      </c>
      <c r="AM10" s="86"/>
      <c r="AN10" s="86"/>
      <c r="AO10" s="86"/>
      <c r="AP10" s="86"/>
      <c r="AQ10" s="86"/>
      <c r="AR10" s="91" t="str">
        <f t="shared" si="7"/>
        <v>正确</v>
      </c>
      <c r="AS10" s="91" t="str">
        <f t="shared" si="8"/>
        <v>不</v>
      </c>
      <c r="AT10" s="91" t="str">
        <f t="shared" si="9"/>
        <v>重复</v>
      </c>
    </row>
    <row r="11" spans="1:46" s="17" customFormat="1" ht="18" customHeight="1">
      <c r="A11" s="31">
        <v>8</v>
      </c>
      <c r="B11" s="32" t="s">
        <v>231</v>
      </c>
      <c r="C11" s="32" t="s">
        <v>167</v>
      </c>
      <c r="D11" s="32" t="s">
        <v>144</v>
      </c>
      <c r="E11" s="32" t="s">
        <v>168</v>
      </c>
      <c r="F11" s="33" t="s">
        <v>182</v>
      </c>
      <c r="G11" s="36">
        <v>18738169923</v>
      </c>
      <c r="H11" s="35"/>
      <c r="I11" s="35"/>
      <c r="J11" s="59"/>
      <c r="K11" s="35"/>
      <c r="L11" s="62">
        <v>12120</v>
      </c>
      <c r="M11" s="61">
        <v>254.32</v>
      </c>
      <c r="N11" s="61">
        <v>64.66</v>
      </c>
      <c r="O11" s="61">
        <v>9.5399999999999991</v>
      </c>
      <c r="P11" s="61">
        <v>445.38</v>
      </c>
      <c r="Q11" s="76">
        <f t="shared" si="0"/>
        <v>773.9</v>
      </c>
      <c r="R11" s="62">
        <v>0</v>
      </c>
      <c r="S11" s="77">
        <f>L11+IFERROR(VLOOKUP($E:$E,'（居民）工资表-2月'!$E:$S,15,0),0)</f>
        <v>24120</v>
      </c>
      <c r="T11" s="78">
        <f>5000+IFERROR(VLOOKUP($E:$E,'（居民）工资表-2月'!$E:$T,16,0),0)</f>
        <v>10000</v>
      </c>
      <c r="U11" s="78">
        <f>Q11+IFERROR(VLOOKUP($E:$E,'（居民）工资表-2月'!$E:$U,17,0),0)</f>
        <v>1746.36</v>
      </c>
      <c r="V11" s="62"/>
      <c r="W11" s="62"/>
      <c r="X11" s="62"/>
      <c r="Y11" s="62"/>
      <c r="Z11" s="62"/>
      <c r="AA11" s="62"/>
      <c r="AB11" s="77">
        <f t="shared" si="1"/>
        <v>0</v>
      </c>
      <c r="AC11" s="77">
        <f>R11+IFERROR(VLOOKUP($E:$E,'（居民）工资表-2月'!$E:$AC,25,0),0)</f>
        <v>0</v>
      </c>
      <c r="AD11" s="79">
        <f t="shared" si="2"/>
        <v>12373.64</v>
      </c>
      <c r="AE11" s="80">
        <f>ROUND(MAX((AD11)*{0.03;0.1;0.2;0.25;0.3;0.35;0.45}-{0;2520;16920;31920;52920;85920;181920},0),2)</f>
        <v>371.21</v>
      </c>
      <c r="AF11" s="81">
        <f>IFERROR(VLOOKUP(E:E,'（居民）工资表-2月'!E:AF,28,0)+VLOOKUP(E:E,'（居民）工资表-2月'!E:AG,29,0),0)</f>
        <v>180.83</v>
      </c>
      <c r="AG11" s="81">
        <f t="shared" si="3"/>
        <v>190.38</v>
      </c>
      <c r="AH11" s="84">
        <f t="shared" si="4"/>
        <v>11155.72</v>
      </c>
      <c r="AI11" s="85"/>
      <c r="AJ11" s="84">
        <f t="shared" si="5"/>
        <v>11155.72</v>
      </c>
      <c r="AK11" s="86"/>
      <c r="AL11" s="84">
        <f t="shared" si="6"/>
        <v>11346.1</v>
      </c>
      <c r="AM11" s="86"/>
      <c r="AN11" s="86"/>
      <c r="AO11" s="86"/>
      <c r="AP11" s="86"/>
      <c r="AQ11" s="86"/>
      <c r="AR11" s="91" t="str">
        <f t="shared" si="7"/>
        <v>正确</v>
      </c>
      <c r="AS11" s="91" t="str">
        <f t="shared" si="8"/>
        <v>不</v>
      </c>
      <c r="AT11" s="91" t="str">
        <f t="shared" si="9"/>
        <v>重复</v>
      </c>
    </row>
    <row r="12" spans="1:46" s="17" customFormat="1" ht="18" customHeight="1">
      <c r="A12" s="31">
        <v>9</v>
      </c>
      <c r="B12" s="32" t="s">
        <v>231</v>
      </c>
      <c r="C12" s="32" t="s">
        <v>170</v>
      </c>
      <c r="D12" s="32" t="s">
        <v>144</v>
      </c>
      <c r="E12" s="32" t="s">
        <v>171</v>
      </c>
      <c r="F12" s="33" t="s">
        <v>182</v>
      </c>
      <c r="G12" s="36">
        <v>15001138812</v>
      </c>
      <c r="H12" s="35"/>
      <c r="I12" s="35"/>
      <c r="J12" s="59"/>
      <c r="K12" s="35"/>
      <c r="L12" s="62">
        <v>10120</v>
      </c>
      <c r="M12" s="61">
        <v>254.32</v>
      </c>
      <c r="N12" s="61">
        <v>64.66</v>
      </c>
      <c r="O12" s="61">
        <v>9.5399999999999991</v>
      </c>
      <c r="P12" s="61">
        <v>547.38</v>
      </c>
      <c r="Q12" s="76">
        <f t="shared" si="0"/>
        <v>875.9</v>
      </c>
      <c r="R12" s="62">
        <v>0</v>
      </c>
      <c r="S12" s="77">
        <f>L12+IFERROR(VLOOKUP($E:$E,'（居民）工资表-2月'!$E:$S,15,0),0)</f>
        <v>20120</v>
      </c>
      <c r="T12" s="78">
        <f>5000+IFERROR(VLOOKUP($E:$E,'（居民）工资表-2月'!$E:$T,16,0),0)</f>
        <v>10000</v>
      </c>
      <c r="U12" s="78">
        <f>Q12+IFERROR(VLOOKUP($E:$E,'（居民）工资表-2月'!$E:$U,17,0),0)</f>
        <v>1746.36</v>
      </c>
      <c r="V12" s="62"/>
      <c r="W12" s="62"/>
      <c r="X12" s="62"/>
      <c r="Y12" s="62"/>
      <c r="Z12" s="62"/>
      <c r="AA12" s="62"/>
      <c r="AB12" s="77">
        <f t="shared" si="1"/>
        <v>0</v>
      </c>
      <c r="AC12" s="77">
        <f>R12+IFERROR(VLOOKUP($E:$E,'（居民）工资表-2月'!$E:$AC,25,0),0)</f>
        <v>0</v>
      </c>
      <c r="AD12" s="79">
        <f t="shared" si="2"/>
        <v>8373.64</v>
      </c>
      <c r="AE12" s="80">
        <f>ROUND(MAX((AD12)*{0.03;0.1;0.2;0.25;0.3;0.35;0.45}-{0;2520;16920;31920;52920;85920;181920},0),2)</f>
        <v>251.21</v>
      </c>
      <c r="AF12" s="81">
        <f>IFERROR(VLOOKUP(E:E,'（居民）工资表-2月'!E:AF,28,0)+VLOOKUP(E:E,'（居民）工资表-2月'!E:AG,29,0),0)</f>
        <v>123.89</v>
      </c>
      <c r="AG12" s="81">
        <f t="shared" si="3"/>
        <v>127.32</v>
      </c>
      <c r="AH12" s="84">
        <f t="shared" si="4"/>
        <v>9116.7800000000007</v>
      </c>
      <c r="AI12" s="85"/>
      <c r="AJ12" s="84">
        <f t="shared" si="5"/>
        <v>9116.7800000000007</v>
      </c>
      <c r="AK12" s="86"/>
      <c r="AL12" s="84">
        <f t="shared" si="6"/>
        <v>9244.1</v>
      </c>
      <c r="AM12" s="86"/>
      <c r="AN12" s="86"/>
      <c r="AO12" s="86"/>
      <c r="AP12" s="86"/>
      <c r="AQ12" s="86"/>
      <c r="AR12" s="91" t="str">
        <f t="shared" si="7"/>
        <v>正确</v>
      </c>
      <c r="AS12" s="91" t="str">
        <f t="shared" si="8"/>
        <v>不</v>
      </c>
      <c r="AT12" s="91" t="str">
        <f t="shared" si="9"/>
        <v>重复</v>
      </c>
    </row>
    <row r="13" spans="1:46" s="17" customFormat="1" ht="18" customHeight="1">
      <c r="A13" s="31"/>
      <c r="B13" s="32"/>
      <c r="C13" s="93"/>
      <c r="D13" s="32"/>
      <c r="E13" s="94"/>
      <c r="F13" s="33"/>
      <c r="G13" s="34"/>
      <c r="H13" s="95"/>
      <c r="I13" s="95"/>
      <c r="J13" s="96"/>
      <c r="K13" s="95"/>
      <c r="L13" s="60"/>
      <c r="M13" s="60"/>
      <c r="N13" s="60"/>
      <c r="O13" s="60"/>
      <c r="P13" s="60"/>
      <c r="Q13" s="76"/>
      <c r="R13" s="62"/>
      <c r="S13" s="77"/>
      <c r="T13" s="78"/>
      <c r="U13" s="78"/>
      <c r="V13" s="62"/>
      <c r="W13" s="62"/>
      <c r="X13" s="62"/>
      <c r="Y13" s="62"/>
      <c r="Z13" s="62"/>
      <c r="AA13" s="62"/>
      <c r="AB13" s="77"/>
      <c r="AC13" s="77"/>
      <c r="AD13" s="79"/>
      <c r="AE13" s="80"/>
      <c r="AF13" s="81"/>
      <c r="AG13" s="81"/>
      <c r="AH13" s="84"/>
      <c r="AI13" s="85"/>
      <c r="AJ13" s="84"/>
      <c r="AK13" s="86"/>
      <c r="AL13" s="84"/>
      <c r="AM13" s="86"/>
      <c r="AN13" s="86"/>
      <c r="AO13" s="86"/>
      <c r="AP13" s="86"/>
      <c r="AQ13" s="86"/>
      <c r="AR13" s="91"/>
      <c r="AS13" s="91"/>
      <c r="AT13" s="91"/>
    </row>
    <row r="14" spans="1:46" s="18" customFormat="1" ht="18" customHeight="1">
      <c r="A14" s="37"/>
      <c r="B14" s="38" t="s">
        <v>147</v>
      </c>
      <c r="C14" s="38"/>
      <c r="D14" s="39"/>
      <c r="E14" s="40"/>
      <c r="F14" s="41"/>
      <c r="G14" s="42"/>
      <c r="H14" s="41"/>
      <c r="I14" s="63"/>
      <c r="J14" s="64"/>
      <c r="K14" s="63"/>
      <c r="L14" s="65">
        <f>SUM(L4:L13)</f>
        <v>122949.13</v>
      </c>
      <c r="M14" s="65">
        <f t="shared" ref="M14:AL14" si="10">SUM(M4:M13)</f>
        <v>2603.85</v>
      </c>
      <c r="N14" s="65">
        <f t="shared" si="10"/>
        <v>692.52</v>
      </c>
      <c r="O14" s="65">
        <f t="shared" si="10"/>
        <v>88.48</v>
      </c>
      <c r="P14" s="65">
        <f t="shared" si="10"/>
        <v>2295.96</v>
      </c>
      <c r="Q14" s="65">
        <f t="shared" si="10"/>
        <v>5680.81</v>
      </c>
      <c r="R14" s="65">
        <f t="shared" si="10"/>
        <v>0</v>
      </c>
      <c r="S14" s="65">
        <f t="shared" si="10"/>
        <v>334297.13</v>
      </c>
      <c r="T14" s="65">
        <f t="shared" si="10"/>
        <v>115000</v>
      </c>
      <c r="U14" s="65">
        <f t="shared" si="10"/>
        <v>15096.94</v>
      </c>
      <c r="V14" s="65">
        <f t="shared" si="10"/>
        <v>12000</v>
      </c>
      <c r="W14" s="65">
        <f t="shared" si="10"/>
        <v>6000</v>
      </c>
      <c r="X14" s="65">
        <f t="shared" si="10"/>
        <v>9000</v>
      </c>
      <c r="Y14" s="65">
        <f t="shared" si="10"/>
        <v>4500</v>
      </c>
      <c r="Z14" s="65">
        <f t="shared" si="10"/>
        <v>0</v>
      </c>
      <c r="AA14" s="65">
        <f t="shared" si="10"/>
        <v>0</v>
      </c>
      <c r="AB14" s="65">
        <f t="shared" si="10"/>
        <v>31500</v>
      </c>
      <c r="AC14" s="65">
        <f t="shared" si="10"/>
        <v>0</v>
      </c>
      <c r="AD14" s="65">
        <f t="shared" si="10"/>
        <v>172700.19</v>
      </c>
      <c r="AE14" s="65">
        <f t="shared" si="10"/>
        <v>8508.36</v>
      </c>
      <c r="AF14" s="65">
        <f t="shared" si="10"/>
        <v>4172.99</v>
      </c>
      <c r="AG14" s="65">
        <f t="shared" si="10"/>
        <v>4335.37</v>
      </c>
      <c r="AH14" s="65">
        <f t="shared" si="10"/>
        <v>112932.95</v>
      </c>
      <c r="AI14" s="65">
        <f t="shared" si="10"/>
        <v>0</v>
      </c>
      <c r="AJ14" s="65">
        <f t="shared" si="10"/>
        <v>112932.95</v>
      </c>
      <c r="AK14" s="65">
        <f t="shared" si="10"/>
        <v>0</v>
      </c>
      <c r="AL14" s="65">
        <f t="shared" si="10"/>
        <v>117268.32</v>
      </c>
      <c r="AM14" s="87"/>
      <c r="AN14" s="87"/>
      <c r="AO14" s="87"/>
      <c r="AP14" s="87"/>
      <c r="AQ14" s="87"/>
      <c r="AR14" s="41"/>
      <c r="AS14" s="41"/>
      <c r="AT14" s="92"/>
    </row>
    <row r="17" spans="1:35">
      <c r="AD17" s="82"/>
    </row>
    <row r="18" spans="1:35" ht="18.75" customHeight="1">
      <c r="B18" s="43" t="s">
        <v>124</v>
      </c>
      <c r="C18" s="43" t="s">
        <v>148</v>
      </c>
      <c r="D18" s="43" t="s">
        <v>54</v>
      </c>
      <c r="E18" s="43" t="s">
        <v>55</v>
      </c>
      <c r="AD18" s="15"/>
    </row>
    <row r="19" spans="1:35" ht="18.75" customHeight="1">
      <c r="B19" s="44">
        <f>AJ14</f>
        <v>112932.95</v>
      </c>
      <c r="C19" s="44">
        <f>AG14</f>
        <v>4335.37</v>
      </c>
      <c r="D19" s="44">
        <f>AK14</f>
        <v>0</v>
      </c>
      <c r="E19" s="44">
        <f>B19+C19+D19</f>
        <v>117268.32</v>
      </c>
    </row>
    <row r="20" spans="1:35">
      <c r="B20" s="45"/>
      <c r="C20" s="45"/>
      <c r="D20" s="45"/>
      <c r="E20" s="45">
        <f>社保1!BC15</f>
        <v>17461.900000000001</v>
      </c>
    </row>
    <row r="21" spans="1:35" s="19" customFormat="1">
      <c r="A21" s="46" t="s">
        <v>149</v>
      </c>
      <c r="B21" s="47" t="s">
        <v>150</v>
      </c>
      <c r="C21" s="48"/>
      <c r="D21" s="48"/>
      <c r="E21" s="48"/>
      <c r="G21" s="49"/>
      <c r="J21" s="66"/>
      <c r="M21" s="67"/>
      <c r="AI21" s="89"/>
    </row>
    <row r="22" spans="1:35" s="19" customFormat="1">
      <c r="A22" s="50"/>
      <c r="B22" s="51" t="s">
        <v>151</v>
      </c>
      <c r="C22" s="48"/>
      <c r="D22" s="48"/>
      <c r="E22" s="48"/>
      <c r="G22" s="49"/>
      <c r="J22" s="66"/>
      <c r="M22" s="67"/>
      <c r="AI22" s="89"/>
    </row>
    <row r="23" spans="1:35" s="19" customFormat="1">
      <c r="A23" s="47"/>
      <c r="B23" s="51" t="s">
        <v>152</v>
      </c>
      <c r="C23" s="52"/>
      <c r="D23" s="52"/>
      <c r="E23" s="52"/>
      <c r="F23" s="52"/>
      <c r="G23" s="52"/>
      <c r="H23" s="52"/>
      <c r="I23" s="52"/>
      <c r="J23" s="68"/>
      <c r="K23" s="52"/>
      <c r="L23" s="52"/>
      <c r="M23" s="69"/>
      <c r="N23" s="52"/>
      <c r="O23" s="52"/>
      <c r="P23" s="52"/>
      <c r="AI23" s="89"/>
    </row>
    <row r="24" spans="1:35" s="19" customFormat="1" ht="13.5" customHeight="1">
      <c r="A24" s="51"/>
      <c r="B24" s="51" t="s">
        <v>153</v>
      </c>
      <c r="C24" s="53"/>
      <c r="D24" s="53"/>
      <c r="E24" s="53"/>
      <c r="F24" s="53"/>
      <c r="G24" s="53"/>
      <c r="H24" s="53"/>
      <c r="I24" s="70"/>
      <c r="J24" s="71"/>
      <c r="K24" s="70"/>
      <c r="L24" s="70"/>
      <c r="M24" s="72"/>
      <c r="N24" s="70"/>
      <c r="O24" s="70"/>
      <c r="P24" s="70"/>
      <c r="AI24" s="89"/>
    </row>
    <row r="25" spans="1:35" s="19" customFormat="1" ht="13.5" customHeight="1">
      <c r="A25" s="51"/>
      <c r="B25" s="51" t="s">
        <v>154</v>
      </c>
      <c r="C25" s="53"/>
      <c r="D25" s="53"/>
      <c r="E25" s="53"/>
      <c r="F25" s="53"/>
      <c r="G25" s="53"/>
      <c r="H25" s="53"/>
      <c r="I25" s="53"/>
      <c r="J25" s="73"/>
      <c r="K25" s="53"/>
      <c r="L25" s="70"/>
      <c r="M25" s="72"/>
      <c r="N25" s="70"/>
      <c r="O25" s="70"/>
      <c r="P25" s="70"/>
      <c r="AI25" s="89"/>
    </row>
    <row r="26" spans="1:35" s="19" customFormat="1" ht="13.5" customHeight="1">
      <c r="A26" s="51"/>
      <c r="B26" s="51" t="s">
        <v>155</v>
      </c>
      <c r="C26" s="53"/>
      <c r="D26" s="53"/>
      <c r="E26" s="53"/>
      <c r="F26" s="53"/>
      <c r="G26" s="53"/>
      <c r="H26" s="53"/>
      <c r="I26" s="70"/>
      <c r="J26" s="71"/>
      <c r="K26" s="70"/>
      <c r="L26" s="70"/>
      <c r="M26" s="72"/>
      <c r="N26" s="70"/>
      <c r="O26" s="70"/>
      <c r="P26" s="70"/>
      <c r="AI26" s="89"/>
    </row>
    <row r="28" spans="1:35" ht="11.25" customHeight="1">
      <c r="B28" s="54" t="s">
        <v>156</v>
      </c>
    </row>
    <row r="29" spans="1:35">
      <c r="B29" s="55" t="s">
        <v>157</v>
      </c>
    </row>
    <row r="30" spans="1:35">
      <c r="B30" s="55" t="s">
        <v>158</v>
      </c>
    </row>
  </sheetData>
  <autoFilter ref="A3:AT14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6">
    <cfRule type="duplicateValues" dxfId="14" priority="2" stopIfTrue="1"/>
  </conditionalFormatting>
  <conditionalFormatting sqref="B21:B25">
    <cfRule type="duplicateValues" dxfId="13" priority="3" stopIfTrue="1"/>
  </conditionalFormatting>
  <conditionalFormatting sqref="B29:B30">
    <cfRule type="duplicateValues" dxfId="12" priority="1" stopIfTrue="1"/>
  </conditionalFormatting>
  <conditionalFormatting sqref="C18:C20">
    <cfRule type="duplicateValues" dxfId="11" priority="4" stopIfTrue="1"/>
    <cfRule type="expression" dxfId="10" priority="5" stopIfTrue="1">
      <formula>AND(COUNTIF($B$14:$B$65450,C18)+COUNTIF($B$1:$B$3,C18)&gt;1,NOT(ISBLANK(C18)))</formula>
    </cfRule>
    <cfRule type="expression" dxfId="9" priority="6" stopIfTrue="1">
      <formula>AND(COUNTIF($B$25:$B$65401,C18)+COUNTIF($B$1:$B$24,C18)&gt;1,NOT(ISBLANK(C18)))</formula>
    </cfRule>
    <cfRule type="expression" dxfId="8" priority="7" stopIfTrue="1">
      <formula>AND(COUNTIF($B$14:$B$65439,C18)+COUNTIF($B$1:$B$3,C18)&gt;1,NOT(ISBLANK(C18)))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9"/>
  <sheetViews>
    <sheetView workbookViewId="0">
      <pane xSplit="6" ySplit="3" topLeftCell="G10" activePane="bottomRight" state="frozen"/>
      <selection pane="topRight"/>
      <selection pane="bottomLeft"/>
      <selection pane="bottomRight" activeCell="G10" sqref="G10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9.87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1.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4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6</v>
      </c>
      <c r="B4" s="32" t="s">
        <v>231</v>
      </c>
      <c r="C4" s="32" t="s">
        <v>172</v>
      </c>
      <c r="D4" s="32" t="s">
        <v>144</v>
      </c>
      <c r="E4" s="32" t="s">
        <v>173</v>
      </c>
      <c r="F4" s="33" t="s">
        <v>182</v>
      </c>
      <c r="G4" s="34">
        <v>18037463616</v>
      </c>
      <c r="H4" s="35"/>
      <c r="I4" s="35"/>
      <c r="J4" s="59"/>
      <c r="K4" s="35"/>
      <c r="L4" s="60">
        <v>14320</v>
      </c>
      <c r="M4" s="61">
        <v>254.32</v>
      </c>
      <c r="N4" s="61">
        <v>9.5399999999999991</v>
      </c>
      <c r="O4" s="61">
        <v>63.94</v>
      </c>
      <c r="P4" s="61">
        <v>254.32</v>
      </c>
      <c r="Q4" s="76">
        <f t="shared" ref="Q4:Q10" si="0">ROUND(SUM(M4:P4),2)</f>
        <v>582.12</v>
      </c>
      <c r="R4" s="62">
        <v>0</v>
      </c>
      <c r="S4" s="77">
        <f>L4+IFERROR(VLOOKUP($E:$E,'（居民）工资表-3月'!$E:$S,15,0),0)</f>
        <v>42092.630000000005</v>
      </c>
      <c r="T4" s="78">
        <f>5000+IFERROR(VLOOKUP($E:$E,'（居民）工资表-3月'!$E:$T,16,0),0)</f>
        <v>15000</v>
      </c>
      <c r="U4" s="78">
        <f>Q4+IFERROR(VLOOKUP($E:$E,'（居民）工资表-3月'!$E:$U,17,0),0)</f>
        <v>2228.0100000000002</v>
      </c>
      <c r="V4" s="62"/>
      <c r="W4" s="62"/>
      <c r="X4" s="62"/>
      <c r="Y4" s="62"/>
      <c r="Z4" s="62"/>
      <c r="AA4" s="62"/>
      <c r="AB4" s="77">
        <f t="shared" ref="AB4:AB10" si="1">ROUND(SUM(V4:AA4),2)</f>
        <v>0</v>
      </c>
      <c r="AC4" s="77">
        <f>R4+IFERROR(VLOOKUP($E:$E,'（居民）工资表-3月'!$E:$AC,25,0),0)</f>
        <v>0</v>
      </c>
      <c r="AD4" s="79">
        <f t="shared" ref="AD4:AD10" si="2">ROUND(S4-T4-U4-AB4-AC4,2)</f>
        <v>24864.62</v>
      </c>
      <c r="AE4" s="80">
        <f>ROUND(MAX((AD4)*{0.03;0.1;0.2;0.25;0.3;0.35;0.45}-{0;2520;16920;31920;52920;85920;181920},0),2)</f>
        <v>745.94</v>
      </c>
      <c r="AF4" s="81">
        <f>IFERROR(VLOOKUP(E:E,'（居民）工资表-3月'!E:AF,28,0)+VLOOKUP(E:E,'（居民）工资表-3月'!E:AG,29,0),0)</f>
        <v>483.79999999999995</v>
      </c>
      <c r="AG4" s="81">
        <f t="shared" ref="AG4:AG10" si="3">IF((AE4-AF4)&lt;0,0,AE4-AF4)</f>
        <v>262.1400000000001</v>
      </c>
      <c r="AH4" s="84">
        <f t="shared" ref="AH4:AH10" si="4">ROUND(IF((L4-Q4-AG4)&lt;0,0,(L4-Q4-AG4)),2)</f>
        <v>13475.74</v>
      </c>
      <c r="AI4" s="85"/>
      <c r="AJ4" s="84">
        <f t="shared" ref="AJ4:AJ10" si="5">AH4+AI4</f>
        <v>13475.74</v>
      </c>
      <c r="AK4" s="86"/>
      <c r="AL4" s="84">
        <f t="shared" ref="AL4:AL10" si="6">AJ4+AG4+AK4</f>
        <v>13737.88</v>
      </c>
      <c r="AM4" s="86"/>
      <c r="AN4" s="86"/>
      <c r="AO4" s="86"/>
      <c r="AP4" s="86"/>
      <c r="AQ4" s="86"/>
      <c r="AR4" s="91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IF(SUMPRODUCT(N(E$1:E$3=E4))&gt;1,"重复","不")</f>
        <v>不</v>
      </c>
      <c r="AT4" s="91" t="str">
        <f>IF(SUMPRODUCT(N(AO$1:AO$3=AO4))&gt;1,"重复","不")</f>
        <v>重复</v>
      </c>
    </row>
    <row r="5" spans="1:46" s="17" customFormat="1" ht="18" customHeight="1">
      <c r="A5" s="31">
        <v>7</v>
      </c>
      <c r="B5" s="32" t="s">
        <v>231</v>
      </c>
      <c r="C5" s="32" t="s">
        <v>174</v>
      </c>
      <c r="D5" s="32" t="s">
        <v>144</v>
      </c>
      <c r="E5" s="285" t="s">
        <v>175</v>
      </c>
      <c r="F5" s="33" t="s">
        <v>182</v>
      </c>
      <c r="G5" s="34">
        <v>18500634358</v>
      </c>
      <c r="H5" s="35"/>
      <c r="I5" s="35"/>
      <c r="J5" s="59"/>
      <c r="K5" s="35"/>
      <c r="L5" s="60">
        <v>14920</v>
      </c>
      <c r="M5" s="61">
        <v>254.32</v>
      </c>
      <c r="N5" s="61">
        <v>9.5399999999999991</v>
      </c>
      <c r="O5" s="61">
        <v>63.94</v>
      </c>
      <c r="P5" s="61">
        <v>254.32</v>
      </c>
      <c r="Q5" s="76">
        <f t="shared" si="0"/>
        <v>582.12</v>
      </c>
      <c r="R5" s="62">
        <v>0</v>
      </c>
      <c r="S5" s="77">
        <f>L5+IFERROR(VLOOKUP($E:$E,'（居民）工资表-3月'!$E:$S,15,0),0)</f>
        <v>44040</v>
      </c>
      <c r="T5" s="78">
        <f>5000+IFERROR(VLOOKUP($E:$E,'（居民）工资表-3月'!$E:$T,16,0),0)</f>
        <v>15000</v>
      </c>
      <c r="U5" s="78">
        <f>Q5+IFERROR(VLOOKUP($E:$E,'（居民）工资表-3月'!$E:$U,17,0),0)</f>
        <v>2228.0100000000002</v>
      </c>
      <c r="V5" s="62"/>
      <c r="W5" s="62"/>
      <c r="X5" s="62"/>
      <c r="Y5" s="62"/>
      <c r="Z5" s="62"/>
      <c r="AA5" s="62"/>
      <c r="AB5" s="77">
        <f t="shared" si="1"/>
        <v>0</v>
      </c>
      <c r="AC5" s="77">
        <f>R5+IFERROR(VLOOKUP($E:$E,'（居民）工资表-3月'!$E:$AC,25,0),0)</f>
        <v>0</v>
      </c>
      <c r="AD5" s="79">
        <f t="shared" si="2"/>
        <v>26811.99</v>
      </c>
      <c r="AE5" s="80">
        <f>ROUND(MAX((AD5)*{0.03;0.1;0.2;0.25;0.3;0.35;0.45}-{0;2520;16920;31920;52920;85920;181920},0),2)</f>
        <v>804.36</v>
      </c>
      <c r="AF5" s="81">
        <f>IFERROR(VLOOKUP(E:E,'（居民）工资表-3月'!E:AF,28,0)+VLOOKUP(E:E,'（居民）工资表-3月'!E:AG,29,0),0)</f>
        <v>524.22</v>
      </c>
      <c r="AG5" s="81">
        <f t="shared" si="3"/>
        <v>280.14</v>
      </c>
      <c r="AH5" s="84">
        <f t="shared" si="4"/>
        <v>14057.74</v>
      </c>
      <c r="AI5" s="85"/>
      <c r="AJ5" s="84">
        <f t="shared" si="5"/>
        <v>14057.74</v>
      </c>
      <c r="AK5" s="86"/>
      <c r="AL5" s="84">
        <f t="shared" si="6"/>
        <v>14337.88</v>
      </c>
      <c r="AM5" s="86"/>
      <c r="AN5" s="86"/>
      <c r="AO5" s="86"/>
      <c r="AP5" s="86"/>
      <c r="AQ5" s="86"/>
      <c r="AR5" s="91" t="str">
        <f t="shared" si="7"/>
        <v>正确</v>
      </c>
      <c r="AS5" s="91" t="str">
        <f>IF(SUMPRODUCT(N(E$1:E$3=E5))&gt;1,"重复","不")</f>
        <v>不</v>
      </c>
      <c r="AT5" s="91" t="str">
        <f>IF(SUMPRODUCT(N(AO$1:AO$3=AO5))&gt;1,"重复","不")</f>
        <v>重复</v>
      </c>
    </row>
    <row r="6" spans="1:46" s="17" customFormat="1" ht="18" customHeight="1">
      <c r="A6" s="31">
        <v>8</v>
      </c>
      <c r="B6" s="32" t="s">
        <v>231</v>
      </c>
      <c r="C6" s="32" t="s">
        <v>167</v>
      </c>
      <c r="D6" s="32" t="s">
        <v>144</v>
      </c>
      <c r="E6" s="32" t="s">
        <v>168</v>
      </c>
      <c r="F6" s="33" t="s">
        <v>182</v>
      </c>
      <c r="G6" s="34">
        <v>18738169923</v>
      </c>
      <c r="H6" s="35"/>
      <c r="I6" s="35"/>
      <c r="J6" s="59"/>
      <c r="K6" s="35"/>
      <c r="L6" s="60">
        <v>12420</v>
      </c>
      <c r="M6" s="61">
        <v>254.32</v>
      </c>
      <c r="N6" s="61">
        <v>9.5399999999999991</v>
      </c>
      <c r="O6" s="61">
        <v>63.94</v>
      </c>
      <c r="P6" s="61">
        <v>254.32</v>
      </c>
      <c r="Q6" s="76">
        <f t="shared" si="0"/>
        <v>582.12</v>
      </c>
      <c r="R6" s="62">
        <v>0</v>
      </c>
      <c r="S6" s="77">
        <f>L6+IFERROR(VLOOKUP($E:$E,'（居民）工资表-3月'!$E:$S,15,0),0)</f>
        <v>36540</v>
      </c>
      <c r="T6" s="78">
        <f>5000+IFERROR(VLOOKUP($E:$E,'（居民）工资表-3月'!$E:$T,16,0),0)</f>
        <v>15000</v>
      </c>
      <c r="U6" s="78">
        <f>Q6+IFERROR(VLOOKUP($E:$E,'（居民）工资表-3月'!$E:$U,17,0),0)</f>
        <v>2328.48</v>
      </c>
      <c r="V6" s="62"/>
      <c r="W6" s="62"/>
      <c r="X6" s="62"/>
      <c r="Y6" s="62"/>
      <c r="Z6" s="62"/>
      <c r="AA6" s="62"/>
      <c r="AB6" s="77">
        <f t="shared" si="1"/>
        <v>0</v>
      </c>
      <c r="AC6" s="77">
        <f>R6+IFERROR(VLOOKUP($E:$E,'（居民）工资表-3月'!$E:$AC,25,0),0)</f>
        <v>0</v>
      </c>
      <c r="AD6" s="79">
        <f t="shared" si="2"/>
        <v>19211.52</v>
      </c>
      <c r="AE6" s="80">
        <f>ROUND(MAX((AD6)*{0.03;0.1;0.2;0.25;0.3;0.35;0.45}-{0;2520;16920;31920;52920;85920;181920},0),2)</f>
        <v>576.35</v>
      </c>
      <c r="AF6" s="81">
        <f>IFERROR(VLOOKUP(E:E,'（居民）工资表-3月'!E:AF,28,0)+VLOOKUP(E:E,'（居民）工资表-3月'!E:AG,29,0),0)</f>
        <v>371.21000000000004</v>
      </c>
      <c r="AG6" s="81">
        <f t="shared" si="3"/>
        <v>205.14</v>
      </c>
      <c r="AH6" s="84">
        <f t="shared" si="4"/>
        <v>11632.74</v>
      </c>
      <c r="AI6" s="85"/>
      <c r="AJ6" s="84">
        <f t="shared" si="5"/>
        <v>11632.74</v>
      </c>
      <c r="AK6" s="86"/>
      <c r="AL6" s="84">
        <f t="shared" si="6"/>
        <v>11837.88</v>
      </c>
      <c r="AM6" s="86"/>
      <c r="AN6" s="86"/>
      <c r="AO6" s="86"/>
      <c r="AP6" s="86"/>
      <c r="AQ6" s="86"/>
      <c r="AR6" s="91" t="str">
        <f t="shared" si="7"/>
        <v>正确</v>
      </c>
      <c r="AS6" s="91" t="str">
        <f>IF(SUMPRODUCT(N(E$1:E$3=E6))&gt;1,"重复","不")</f>
        <v>不</v>
      </c>
      <c r="AT6" s="91" t="str">
        <f>IF(SUMPRODUCT(N(AO$1:AO$3=AO6))&gt;1,"重复","不")</f>
        <v>重复</v>
      </c>
    </row>
    <row r="7" spans="1:46" s="17" customFormat="1" ht="18" customHeight="1">
      <c r="A7" s="31">
        <v>9</v>
      </c>
      <c r="B7" s="32" t="s">
        <v>231</v>
      </c>
      <c r="C7" s="32" t="s">
        <v>176</v>
      </c>
      <c r="D7" s="32" t="s">
        <v>144</v>
      </c>
      <c r="E7" s="32" t="s">
        <v>177</v>
      </c>
      <c r="F7" s="33" t="s">
        <v>182</v>
      </c>
      <c r="G7" s="34" t="s">
        <v>235</v>
      </c>
      <c r="H7" s="35"/>
      <c r="I7" s="35"/>
      <c r="J7" s="59"/>
      <c r="K7" s="35"/>
      <c r="L7" s="60">
        <v>18014.740000000002</v>
      </c>
      <c r="M7" s="61">
        <v>508.64</v>
      </c>
      <c r="N7" s="61">
        <v>19.079999999999998</v>
      </c>
      <c r="O7" s="61">
        <v>127.88</v>
      </c>
      <c r="P7" s="61">
        <v>508.64</v>
      </c>
      <c r="Q7" s="76">
        <f t="shared" si="0"/>
        <v>1164.24</v>
      </c>
      <c r="R7" s="62">
        <v>0</v>
      </c>
      <c r="S7" s="77">
        <f>L7+IFERROR(VLOOKUP($E:$E,'（居民）工资表-3月'!$E:$S,15,0),0)</f>
        <v>18014.740000000002</v>
      </c>
      <c r="T7" s="78">
        <f>5000+IFERROR(VLOOKUP($E:$E,'（居民）工资表-3月'!$E:$T,16,0),0)</f>
        <v>5000</v>
      </c>
      <c r="U7" s="78">
        <f>Q7+IFERROR(VLOOKUP($E:$E,'（居民）工资表-3月'!$E:$U,17,0),0)</f>
        <v>1164.24</v>
      </c>
      <c r="V7" s="62"/>
      <c r="W7" s="62"/>
      <c r="X7" s="62"/>
      <c r="Y7" s="62"/>
      <c r="Z7" s="62"/>
      <c r="AA7" s="62"/>
      <c r="AB7" s="77">
        <f t="shared" si="1"/>
        <v>0</v>
      </c>
      <c r="AC7" s="77">
        <f>R7+IFERROR(VLOOKUP($E:$E,'（居民）工资表-3月'!$E:$AC,25,0),0)</f>
        <v>0</v>
      </c>
      <c r="AD7" s="79">
        <f t="shared" si="2"/>
        <v>11850.5</v>
      </c>
      <c r="AE7" s="80">
        <f>ROUND(MAX((AD7)*{0.03;0.1;0.2;0.25;0.3;0.35;0.45}-{0;2520;16920;31920;52920;85920;181920},0),2)</f>
        <v>355.52</v>
      </c>
      <c r="AF7" s="81">
        <f>IFERROR(VLOOKUP(E:E,'（居民）工资表-3月'!E:AF,28,0)+VLOOKUP(E:E,'（居民）工资表-3月'!E:AG,29,0),0)</f>
        <v>0</v>
      </c>
      <c r="AG7" s="81">
        <f t="shared" si="3"/>
        <v>355.52</v>
      </c>
      <c r="AH7" s="84">
        <f t="shared" si="4"/>
        <v>16494.98</v>
      </c>
      <c r="AI7" s="85"/>
      <c r="AJ7" s="84">
        <f t="shared" si="5"/>
        <v>16494.98</v>
      </c>
      <c r="AK7" s="86"/>
      <c r="AL7" s="84">
        <f t="shared" si="6"/>
        <v>16850.5</v>
      </c>
      <c r="AM7" s="86"/>
      <c r="AN7" s="86"/>
      <c r="AO7" s="86"/>
      <c r="AP7" s="86"/>
      <c r="AQ7" s="86"/>
      <c r="AR7" s="91" t="str">
        <f t="shared" si="7"/>
        <v>正确</v>
      </c>
      <c r="AS7" s="91" t="str">
        <f>IF(SUMPRODUCT(N(E$1:E$3=E7))&gt;1,"重复","不")</f>
        <v>不</v>
      </c>
      <c r="AT7" s="91" t="str">
        <f>IF(SUMPRODUCT(N(AO$1:AO$3=AO7))&gt;1,"重复","不")</f>
        <v>重复</v>
      </c>
    </row>
    <row r="8" spans="1:46" s="17" customFormat="1" ht="18" customHeight="1">
      <c r="A8" s="31">
        <v>10</v>
      </c>
      <c r="B8" s="32" t="s">
        <v>231</v>
      </c>
      <c r="C8" s="32" t="s">
        <v>180</v>
      </c>
      <c r="D8" s="32" t="s">
        <v>144</v>
      </c>
      <c r="E8" s="32" t="s">
        <v>181</v>
      </c>
      <c r="F8" s="33" t="s">
        <v>182</v>
      </c>
      <c r="G8" s="34" t="s">
        <v>236</v>
      </c>
      <c r="H8" s="35"/>
      <c r="I8" s="35"/>
      <c r="J8" s="59"/>
      <c r="K8" s="35"/>
      <c r="L8" s="60">
        <v>15117.39</v>
      </c>
      <c r="M8" s="61">
        <v>508.64</v>
      </c>
      <c r="N8" s="61">
        <v>19.079999999999998</v>
      </c>
      <c r="O8" s="61">
        <v>127.88</v>
      </c>
      <c r="P8" s="61">
        <v>508.64</v>
      </c>
      <c r="Q8" s="76">
        <f t="shared" si="0"/>
        <v>1164.24</v>
      </c>
      <c r="R8" s="62">
        <v>0</v>
      </c>
      <c r="S8" s="77">
        <f>L8+IFERROR(VLOOKUP($E:$E,'（居民）工资表-3月'!$E:$S,15,0),0)</f>
        <v>15117.39</v>
      </c>
      <c r="T8" s="78">
        <f>5000+IFERROR(VLOOKUP($E:$E,'（居民）工资表-3月'!$E:$T,16,0),0)</f>
        <v>5000</v>
      </c>
      <c r="U8" s="78">
        <f>Q8+IFERROR(VLOOKUP($E:$E,'（居民）工资表-3月'!$E:$U,17,0),0)</f>
        <v>1164.24</v>
      </c>
      <c r="V8" s="62"/>
      <c r="W8" s="62"/>
      <c r="X8" s="62"/>
      <c r="Y8" s="62"/>
      <c r="Z8" s="62"/>
      <c r="AA8" s="62"/>
      <c r="AB8" s="77">
        <f t="shared" si="1"/>
        <v>0</v>
      </c>
      <c r="AC8" s="77">
        <f>R8+IFERROR(VLOOKUP($E:$E,'（居民）工资表-3月'!$E:$AC,25,0),0)</f>
        <v>0</v>
      </c>
      <c r="AD8" s="79">
        <f t="shared" si="2"/>
        <v>8953.15</v>
      </c>
      <c r="AE8" s="80">
        <f>ROUND(MAX((AD8)*{0.03;0.1;0.2;0.25;0.3;0.35;0.45}-{0;2520;16920;31920;52920;85920;181920},0),2)</f>
        <v>268.58999999999997</v>
      </c>
      <c r="AF8" s="81">
        <f>IFERROR(VLOOKUP(E:E,'（居民）工资表-3月'!E:AF,28,0)+VLOOKUP(E:E,'（居民）工资表-3月'!E:AG,29,0),0)</f>
        <v>0</v>
      </c>
      <c r="AG8" s="81">
        <f t="shared" si="3"/>
        <v>268.58999999999997</v>
      </c>
      <c r="AH8" s="84">
        <f t="shared" si="4"/>
        <v>13684.56</v>
      </c>
      <c r="AI8" s="85"/>
      <c r="AJ8" s="84">
        <f t="shared" si="5"/>
        <v>13684.56</v>
      </c>
      <c r="AK8" s="86"/>
      <c r="AL8" s="84">
        <f t="shared" si="6"/>
        <v>13953.15</v>
      </c>
      <c r="AM8" s="86"/>
      <c r="AN8" s="86"/>
      <c r="AO8" s="86"/>
      <c r="AP8" s="86"/>
      <c r="AQ8" s="86"/>
      <c r="AR8" s="91"/>
      <c r="AS8" s="91"/>
      <c r="AT8" s="91"/>
    </row>
    <row r="9" spans="1:46" s="17" customFormat="1" ht="18" customHeight="1">
      <c r="A9" s="31">
        <v>11</v>
      </c>
      <c r="B9" s="32" t="s">
        <v>231</v>
      </c>
      <c r="C9" s="32" t="s">
        <v>178</v>
      </c>
      <c r="D9" s="32" t="s">
        <v>144</v>
      </c>
      <c r="E9" s="32" t="s">
        <v>179</v>
      </c>
      <c r="F9" s="33" t="s">
        <v>182</v>
      </c>
      <c r="G9" s="34" t="s">
        <v>237</v>
      </c>
      <c r="H9" s="35"/>
      <c r="I9" s="35"/>
      <c r="J9" s="59"/>
      <c r="K9" s="35"/>
      <c r="L9" s="60">
        <v>11152.17</v>
      </c>
      <c r="M9" s="61">
        <v>508.64</v>
      </c>
      <c r="N9" s="61">
        <v>19.079999999999998</v>
      </c>
      <c r="O9" s="61">
        <v>127.88</v>
      </c>
      <c r="P9" s="61">
        <v>508.64</v>
      </c>
      <c r="Q9" s="76">
        <f t="shared" si="0"/>
        <v>1164.24</v>
      </c>
      <c r="R9" s="62">
        <v>0</v>
      </c>
      <c r="S9" s="77">
        <f>L9+IFERROR(VLOOKUP($E:$E,'（居民）工资表-3月'!$E:$S,15,0),0)</f>
        <v>11152.17</v>
      </c>
      <c r="T9" s="78">
        <f>5000+IFERROR(VLOOKUP($E:$E,'（居民）工资表-3月'!$E:$T,16,0),0)</f>
        <v>5000</v>
      </c>
      <c r="U9" s="78">
        <f>Q9+IFERROR(VLOOKUP($E:$E,'（居民）工资表-3月'!$E:$U,17,0),0)</f>
        <v>1164.24</v>
      </c>
      <c r="V9" s="62"/>
      <c r="W9" s="62"/>
      <c r="X9" s="62"/>
      <c r="Y9" s="62"/>
      <c r="Z9" s="62"/>
      <c r="AA9" s="62"/>
      <c r="AB9" s="77">
        <f t="shared" si="1"/>
        <v>0</v>
      </c>
      <c r="AC9" s="77">
        <f>R9+IFERROR(VLOOKUP($E:$E,'（居民）工资表-3月'!$E:$AC,25,0),0)</f>
        <v>0</v>
      </c>
      <c r="AD9" s="79">
        <f t="shared" si="2"/>
        <v>4987.93</v>
      </c>
      <c r="AE9" s="80">
        <f>ROUND(MAX((AD9)*{0.03;0.1;0.2;0.25;0.3;0.35;0.45}-{0;2520;16920;31920;52920;85920;181920},0),2)</f>
        <v>149.63999999999999</v>
      </c>
      <c r="AF9" s="81">
        <f>IFERROR(VLOOKUP(E:E,'（居民）工资表-3月'!E:AF,28,0)+VLOOKUP(E:E,'（居民）工资表-3月'!E:AG,29,0),0)</f>
        <v>0</v>
      </c>
      <c r="AG9" s="81">
        <f t="shared" si="3"/>
        <v>149.63999999999999</v>
      </c>
      <c r="AH9" s="84">
        <f t="shared" si="4"/>
        <v>9838.2900000000009</v>
      </c>
      <c r="AI9" s="85"/>
      <c r="AJ9" s="84">
        <f t="shared" si="5"/>
        <v>9838.2900000000009</v>
      </c>
      <c r="AK9" s="86"/>
      <c r="AL9" s="84">
        <f t="shared" si="6"/>
        <v>9987.93</v>
      </c>
      <c r="AM9" s="86"/>
      <c r="AN9" s="86"/>
      <c r="AO9" s="86"/>
      <c r="AP9" s="86"/>
      <c r="AQ9" s="86"/>
      <c r="AR9" s="91"/>
      <c r="AS9" s="91"/>
      <c r="AT9" s="91"/>
    </row>
    <row r="10" spans="1:46" s="17" customFormat="1" ht="17.100000000000001" customHeight="1">
      <c r="A10" s="31">
        <v>12</v>
      </c>
      <c r="B10" s="32" t="s">
        <v>231</v>
      </c>
      <c r="C10" s="32" t="s">
        <v>170</v>
      </c>
      <c r="D10" s="32" t="s">
        <v>144</v>
      </c>
      <c r="E10" s="32" t="s">
        <v>171</v>
      </c>
      <c r="F10" s="33" t="s">
        <v>182</v>
      </c>
      <c r="G10" s="34">
        <v>15001138812</v>
      </c>
      <c r="H10" s="35"/>
      <c r="I10" s="35"/>
      <c r="J10" s="59"/>
      <c r="K10" s="35"/>
      <c r="L10" s="60">
        <v>10420</v>
      </c>
      <c r="M10" s="61">
        <v>254.32</v>
      </c>
      <c r="N10" s="61">
        <v>9.5399999999999991</v>
      </c>
      <c r="O10" s="61">
        <v>63.94</v>
      </c>
      <c r="P10" s="61">
        <v>254.32</v>
      </c>
      <c r="Q10" s="76">
        <f t="shared" si="0"/>
        <v>582.12</v>
      </c>
      <c r="R10" s="62">
        <v>0</v>
      </c>
      <c r="S10" s="77">
        <f>L10+IFERROR(VLOOKUP($E:$E,'（居民）工资表-3月'!$E:$S,15,0),0)</f>
        <v>30540</v>
      </c>
      <c r="T10" s="78">
        <f>5000+IFERROR(VLOOKUP($E:$E,'（居民）工资表-3月'!$E:$T,16,0),0)</f>
        <v>15000</v>
      </c>
      <c r="U10" s="78">
        <f>Q10+IFERROR(VLOOKUP($E:$E,'（居民）工资表-3月'!$E:$U,17,0),0)</f>
        <v>2328.48</v>
      </c>
      <c r="V10" s="62"/>
      <c r="W10" s="62"/>
      <c r="X10" s="62"/>
      <c r="Y10" s="62"/>
      <c r="Z10" s="62"/>
      <c r="AA10" s="62"/>
      <c r="AB10" s="77">
        <f t="shared" si="1"/>
        <v>0</v>
      </c>
      <c r="AC10" s="77">
        <f>R10+IFERROR(VLOOKUP($E:$E,'（居民）工资表-3月'!$E:$AC,25,0),0)</f>
        <v>0</v>
      </c>
      <c r="AD10" s="79">
        <f t="shared" si="2"/>
        <v>13211.52</v>
      </c>
      <c r="AE10" s="80">
        <f>ROUND(MAX((AD10)*{0.03;0.1;0.2;0.25;0.3;0.35;0.45}-{0;2520;16920;31920;52920;85920;181920},0),2)</f>
        <v>396.35</v>
      </c>
      <c r="AF10" s="81">
        <f>IFERROR(VLOOKUP(E:E,'（居民）工资表-3月'!E:AF,28,0)+VLOOKUP(E:E,'（居民）工资表-3月'!E:AG,29,0),0)</f>
        <v>251.20999999999998</v>
      </c>
      <c r="AG10" s="81">
        <f t="shared" si="3"/>
        <v>145.14000000000004</v>
      </c>
      <c r="AH10" s="84">
        <f t="shared" si="4"/>
        <v>9692.74</v>
      </c>
      <c r="AI10" s="85"/>
      <c r="AJ10" s="84">
        <f t="shared" si="5"/>
        <v>9692.74</v>
      </c>
      <c r="AK10" s="86"/>
      <c r="AL10" s="84">
        <f t="shared" si="6"/>
        <v>9837.8799999999992</v>
      </c>
      <c r="AM10" s="86"/>
      <c r="AN10" s="86"/>
      <c r="AO10" s="86"/>
      <c r="AP10" s="86"/>
      <c r="AQ10" s="86"/>
      <c r="AR10" s="91"/>
      <c r="AS10" s="91"/>
      <c r="AT10" s="91"/>
    </row>
    <row r="11" spans="1:46" s="17" customFormat="1" ht="17.100000000000001" customHeight="1">
      <c r="A11" s="31">
        <v>13</v>
      </c>
      <c r="B11" s="32" t="s">
        <v>231</v>
      </c>
      <c r="C11" s="32" t="s">
        <v>238</v>
      </c>
      <c r="D11" s="32" t="s">
        <v>144</v>
      </c>
      <c r="E11" s="32" t="s">
        <v>239</v>
      </c>
      <c r="F11" s="33" t="s">
        <v>182</v>
      </c>
      <c r="G11" s="34">
        <v>15333903368</v>
      </c>
      <c r="H11" s="35"/>
      <c r="I11" s="35"/>
      <c r="J11" s="59"/>
      <c r="K11" s="35"/>
      <c r="L11" s="60">
        <v>5869.57</v>
      </c>
      <c r="M11" s="61"/>
      <c r="N11" s="61"/>
      <c r="O11" s="61"/>
      <c r="P11" s="61"/>
      <c r="Q11" s="76">
        <f>ROUND(SUM(M11:P11),2)</f>
        <v>0</v>
      </c>
      <c r="R11" s="62">
        <v>0</v>
      </c>
      <c r="S11" s="77">
        <f>L11+IFERROR(VLOOKUP($E:$E,'（居民）工资表-3月'!$E:$S,15,0),0)</f>
        <v>5869.57</v>
      </c>
      <c r="T11" s="78">
        <f>5000+IFERROR(VLOOKUP($E:$E,'（居民）工资表-3月'!$E:$T,16,0),0)</f>
        <v>5000</v>
      </c>
      <c r="U11" s="78">
        <f>Q11+IFERROR(VLOOKUP($E:$E,'（居民）工资表-3月'!$E:$U,17,0),0)</f>
        <v>0</v>
      </c>
      <c r="V11" s="62"/>
      <c r="W11" s="62"/>
      <c r="X11" s="62"/>
      <c r="Y11" s="62"/>
      <c r="Z11" s="62"/>
      <c r="AA11" s="62"/>
      <c r="AB11" s="77">
        <f>ROUND(SUM(V11:AA11),2)</f>
        <v>0</v>
      </c>
      <c r="AC11" s="77">
        <f>R11+IFERROR(VLOOKUP($E:$E,'（居民）工资表-3月'!$E:$AC,25,0),0)</f>
        <v>0</v>
      </c>
      <c r="AD11" s="79">
        <f>ROUND(S11-T11-U11-AB11-AC11,2)</f>
        <v>869.57</v>
      </c>
      <c r="AE11" s="80">
        <f>ROUND(MAX((AD11)*{0.03;0.1;0.2;0.25;0.3;0.35;0.45}-{0;2520;16920;31920;52920;85920;181920},0),2)</f>
        <v>26.09</v>
      </c>
      <c r="AF11" s="81">
        <f>IFERROR(VLOOKUP(E:E,'（居民）工资表-3月'!E:AF,28,0)+VLOOKUP(E:E,'（居民）工资表-3月'!E:AG,29,0),0)</f>
        <v>0</v>
      </c>
      <c r="AG11" s="81">
        <f>IF((AE11-AF11)&lt;0,0,AE11-AF11)</f>
        <v>26.09</v>
      </c>
      <c r="AH11" s="84">
        <f>ROUND(IF((L11-Q11-AG11)&lt;0,0,(L11-Q11-AG11)),2)</f>
        <v>5843.48</v>
      </c>
      <c r="AI11" s="85"/>
      <c r="AJ11" s="84">
        <f>AH11+AI11</f>
        <v>5843.48</v>
      </c>
      <c r="AK11" s="86"/>
      <c r="AL11" s="84">
        <f>AJ11+AG11+AK11</f>
        <v>5869.57</v>
      </c>
      <c r="AM11" s="86"/>
      <c r="AN11" s="86"/>
      <c r="AO11" s="86"/>
      <c r="AP11" s="86"/>
      <c r="AQ11" s="86"/>
      <c r="AR11" s="91"/>
      <c r="AS11" s="91"/>
      <c r="AT11" s="91"/>
    </row>
    <row r="12" spans="1:46" s="17" customFormat="1" ht="18" customHeight="1">
      <c r="A12" s="31"/>
      <c r="B12" s="32"/>
      <c r="C12" s="32"/>
      <c r="D12" s="32"/>
      <c r="E12" s="32"/>
      <c r="F12" s="33"/>
      <c r="G12" s="36"/>
      <c r="H12" s="35"/>
      <c r="I12" s="35"/>
      <c r="J12" s="59"/>
      <c r="K12" s="35"/>
      <c r="L12" s="62"/>
      <c r="M12" s="61"/>
      <c r="N12" s="61"/>
      <c r="O12" s="61"/>
      <c r="P12" s="61"/>
      <c r="Q12" s="76"/>
      <c r="R12" s="62"/>
      <c r="S12" s="77"/>
      <c r="T12" s="78"/>
      <c r="U12" s="78"/>
      <c r="V12" s="62"/>
      <c r="W12" s="62"/>
      <c r="X12" s="62"/>
      <c r="Y12" s="62"/>
      <c r="Z12" s="62"/>
      <c r="AA12" s="62"/>
      <c r="AB12" s="77"/>
      <c r="AC12" s="77"/>
      <c r="AD12" s="79"/>
      <c r="AE12" s="80"/>
      <c r="AF12" s="81"/>
      <c r="AG12" s="81"/>
      <c r="AH12" s="84"/>
      <c r="AI12" s="85"/>
      <c r="AJ12" s="84"/>
      <c r="AK12" s="86"/>
      <c r="AL12" s="84"/>
      <c r="AM12" s="86"/>
      <c r="AN12" s="86"/>
      <c r="AO12" s="86"/>
      <c r="AP12" s="86"/>
      <c r="AQ12" s="86"/>
      <c r="AR12" s="91"/>
      <c r="AS12" s="91"/>
      <c r="AT12" s="91"/>
    </row>
    <row r="13" spans="1:46" s="18" customFormat="1" ht="18" customHeight="1">
      <c r="A13" s="37"/>
      <c r="B13" s="38" t="s">
        <v>147</v>
      </c>
      <c r="C13" s="38"/>
      <c r="D13" s="39"/>
      <c r="E13" s="40"/>
      <c r="F13" s="41"/>
      <c r="G13" s="42"/>
      <c r="H13" s="41"/>
      <c r="I13" s="63"/>
      <c r="J13" s="64"/>
      <c r="K13" s="63"/>
      <c r="L13" s="65">
        <f>SUM(L4:L12)</f>
        <v>102233.87</v>
      </c>
      <c r="M13" s="65">
        <f>SUM(M4:M12)</f>
        <v>2543.1999999999998</v>
      </c>
      <c r="N13" s="65">
        <f>SUM(N4:N12)</f>
        <v>95.4</v>
      </c>
      <c r="O13" s="65">
        <f>SUM(O4:O12)</f>
        <v>639.40000000000009</v>
      </c>
      <c r="P13" s="65">
        <f>SUM(P4:P12)</f>
        <v>2543.1999999999998</v>
      </c>
      <c r="Q13" s="65">
        <f>SUM(Q4:Q12)</f>
        <v>5821.2</v>
      </c>
      <c r="R13" s="65">
        <f>SUM(R4:R12)</f>
        <v>0</v>
      </c>
      <c r="S13" s="65">
        <f>SUM(S4:S12)</f>
        <v>203366.50000000003</v>
      </c>
      <c r="T13" s="65">
        <f>SUM(T4:T12)</f>
        <v>80000</v>
      </c>
      <c r="U13" s="65">
        <f>SUM(U4:U12)</f>
        <v>12605.699999999999</v>
      </c>
      <c r="V13" s="65">
        <f>SUM(V4:V12)</f>
        <v>0</v>
      </c>
      <c r="W13" s="65">
        <f>SUM(W4:W12)</f>
        <v>0</v>
      </c>
      <c r="X13" s="65">
        <f>SUM(X4:X12)</f>
        <v>0</v>
      </c>
      <c r="Y13" s="65">
        <f>SUM(Y4:Y12)</f>
        <v>0</v>
      </c>
      <c r="Z13" s="65">
        <f>SUM(Z4:Z12)</f>
        <v>0</v>
      </c>
      <c r="AA13" s="65">
        <f>SUM(AA4:AA12)</f>
        <v>0</v>
      </c>
      <c r="AB13" s="65">
        <f>SUM(AB4:AB12)</f>
        <v>0</v>
      </c>
      <c r="AC13" s="65">
        <f>SUM(AC4:AC12)</f>
        <v>0</v>
      </c>
      <c r="AD13" s="65">
        <f>SUM(AD4:AD12)</f>
        <v>110760.8</v>
      </c>
      <c r="AE13" s="65">
        <f>SUM(AE4:AE12)</f>
        <v>3322.84</v>
      </c>
      <c r="AF13" s="65">
        <f>SUM(AF4:AF12)</f>
        <v>1630.44</v>
      </c>
      <c r="AG13" s="65">
        <f>SUM(AG4:AG12)</f>
        <v>1692.4</v>
      </c>
      <c r="AH13" s="65">
        <f>SUM(AH4:AH12)</f>
        <v>94720.26999999999</v>
      </c>
      <c r="AI13" s="65">
        <f>SUM(AI4:AI12)</f>
        <v>0</v>
      </c>
      <c r="AJ13" s="65">
        <f>SUM(AJ4:AJ12)</f>
        <v>94720.26999999999</v>
      </c>
      <c r="AK13" s="65">
        <f>SUM(AK4:AK12)</f>
        <v>0</v>
      </c>
      <c r="AL13" s="65">
        <f>SUM(AL4:AL12)</f>
        <v>96412.670000000013</v>
      </c>
      <c r="AM13" s="87"/>
      <c r="AN13" s="87"/>
      <c r="AO13" s="87"/>
      <c r="AP13" s="87"/>
      <c r="AQ13" s="87"/>
      <c r="AR13" s="41"/>
      <c r="AS13" s="41"/>
      <c r="AT13" s="92"/>
    </row>
    <row r="16" spans="1:46">
      <c r="AD16" s="82"/>
    </row>
    <row r="17" spans="1:35" ht="18.75" customHeight="1">
      <c r="B17" s="43" t="s">
        <v>124</v>
      </c>
      <c r="C17" s="43" t="s">
        <v>148</v>
      </c>
      <c r="D17" s="43" t="s">
        <v>54</v>
      </c>
      <c r="E17" s="43" t="s">
        <v>55</v>
      </c>
      <c r="AD17" s="15"/>
      <c r="AG17" s="88"/>
    </row>
    <row r="18" spans="1:35" ht="18.75" customHeight="1">
      <c r="B18" s="44">
        <f>AJ13</f>
        <v>94720.26999999999</v>
      </c>
      <c r="C18" s="44">
        <f>AG13</f>
        <v>1692.4</v>
      </c>
      <c r="D18" s="44">
        <f>AK13</f>
        <v>0</v>
      </c>
      <c r="E18" s="44">
        <f>B18+C18+D18</f>
        <v>96412.669999999984</v>
      </c>
    </row>
    <row r="19" spans="1:35">
      <c r="B19" s="45"/>
      <c r="C19" s="45"/>
      <c r="D19" s="45"/>
      <c r="E19" s="45">
        <f>社保1!BC15</f>
        <v>17461.900000000001</v>
      </c>
    </row>
    <row r="20" spans="1:35" s="19" customFormat="1">
      <c r="A20" s="46" t="s">
        <v>149</v>
      </c>
      <c r="B20" s="47" t="s">
        <v>150</v>
      </c>
      <c r="C20" s="48"/>
      <c r="D20" s="48"/>
      <c r="E20" s="48"/>
      <c r="G20" s="49"/>
      <c r="J20" s="66"/>
      <c r="M20" s="67"/>
      <c r="AI20" s="89"/>
    </row>
    <row r="21" spans="1:35" s="19" customFormat="1">
      <c r="A21" s="50"/>
      <c r="B21" s="51" t="s">
        <v>151</v>
      </c>
      <c r="C21" s="48"/>
      <c r="D21" s="48"/>
      <c r="E21" s="48"/>
      <c r="G21" s="49"/>
      <c r="J21" s="66"/>
      <c r="M21" s="67"/>
      <c r="AI21" s="89"/>
    </row>
    <row r="22" spans="1:35" s="19" customFormat="1">
      <c r="A22" s="47"/>
      <c r="B22" s="51" t="s">
        <v>152</v>
      </c>
      <c r="C22" s="52"/>
      <c r="D22" s="52"/>
      <c r="E22" s="52"/>
      <c r="F22" s="52"/>
      <c r="G22" s="52"/>
      <c r="H22" s="52"/>
      <c r="I22" s="52"/>
      <c r="J22" s="68"/>
      <c r="K22" s="52"/>
      <c r="L22" s="52"/>
      <c r="M22" s="69"/>
      <c r="N22" s="52"/>
      <c r="O22" s="52"/>
      <c r="P22" s="52"/>
      <c r="AI22" s="89"/>
    </row>
    <row r="23" spans="1:35" s="19" customFormat="1" ht="13.5" customHeight="1">
      <c r="A23" s="51"/>
      <c r="B23" s="51" t="s">
        <v>153</v>
      </c>
      <c r="C23" s="53"/>
      <c r="D23" s="53"/>
      <c r="E23" s="53"/>
      <c r="F23" s="53"/>
      <c r="G23" s="53"/>
      <c r="H23" s="53"/>
      <c r="I23" s="70"/>
      <c r="J23" s="71"/>
      <c r="K23" s="70"/>
      <c r="L23" s="70"/>
      <c r="M23" s="72"/>
      <c r="N23" s="70"/>
      <c r="O23" s="70"/>
      <c r="P23" s="70"/>
      <c r="AI23" s="89"/>
    </row>
    <row r="24" spans="1:35" s="19" customFormat="1" ht="13.5" customHeight="1">
      <c r="A24" s="51"/>
      <c r="B24" s="51" t="s">
        <v>154</v>
      </c>
      <c r="C24" s="53"/>
      <c r="D24" s="53"/>
      <c r="E24" s="53"/>
      <c r="F24" s="53"/>
      <c r="G24" s="53"/>
      <c r="H24" s="53"/>
      <c r="I24" s="53"/>
      <c r="J24" s="73"/>
      <c r="K24" s="53"/>
      <c r="L24" s="70"/>
      <c r="M24" s="72"/>
      <c r="N24" s="70"/>
      <c r="O24" s="70"/>
      <c r="P24" s="70"/>
      <c r="AI24" s="89"/>
    </row>
    <row r="25" spans="1:35" s="19" customFormat="1" ht="13.5" customHeight="1">
      <c r="A25" s="51"/>
      <c r="B25" s="51" t="s">
        <v>155</v>
      </c>
      <c r="C25" s="53"/>
      <c r="D25" s="53"/>
      <c r="E25" s="53"/>
      <c r="F25" s="53"/>
      <c r="G25" s="53"/>
      <c r="H25" s="53"/>
      <c r="I25" s="70"/>
      <c r="J25" s="71"/>
      <c r="K25" s="70"/>
      <c r="L25" s="70"/>
      <c r="M25" s="72"/>
      <c r="N25" s="70"/>
      <c r="O25" s="70"/>
      <c r="P25" s="70"/>
      <c r="AI25" s="89"/>
    </row>
    <row r="27" spans="1:35" ht="11.25" customHeight="1">
      <c r="B27" s="54" t="s">
        <v>156</v>
      </c>
    </row>
    <row r="28" spans="1:35">
      <c r="B28" s="55" t="s">
        <v>157</v>
      </c>
    </row>
    <row r="29" spans="1:35">
      <c r="B29" s="55" t="s">
        <v>158</v>
      </c>
    </row>
  </sheetData>
  <autoFilter ref="A3:AT13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5">
    <cfRule type="duplicateValues" dxfId="7" priority="2" stopIfTrue="1"/>
  </conditionalFormatting>
  <conditionalFormatting sqref="B20:B24">
    <cfRule type="duplicateValues" dxfId="6" priority="3" stopIfTrue="1"/>
  </conditionalFormatting>
  <conditionalFormatting sqref="B28:B29">
    <cfRule type="duplicateValues" dxfId="5" priority="1" stopIfTrue="1"/>
  </conditionalFormatting>
  <conditionalFormatting sqref="C17:C19">
    <cfRule type="duplicateValues" dxfId="4" priority="4" stopIfTrue="1"/>
    <cfRule type="expression" dxfId="3" priority="5" stopIfTrue="1">
      <formula>AND(COUNTIF($B$13:$B$65449,C17)+COUNTIF($B$1:$B$3,C17)&gt;1,NOT(ISBLANK(C17)))</formula>
    </cfRule>
    <cfRule type="expression" dxfId="2" priority="6" stopIfTrue="1">
      <formula>AND(COUNTIF($B$24:$B$65400,C17)+COUNTIF($B$1:$B$23,C17)&gt;1,NOT(ISBLANK(C17)))</formula>
    </cfRule>
    <cfRule type="expression" dxfId="1" priority="7" stopIfTrue="1">
      <formula>AND(COUNTIF($B$13:$B$65438,C17)+COUNTIF($B$1:$B$3,C17)&gt;1,NOT(ISBLANK(C17)))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"/>
  <sheetViews>
    <sheetView topLeftCell="J1" workbookViewId="0">
      <selection activeCell="M22" sqref="M22"/>
    </sheetView>
  </sheetViews>
  <sheetFormatPr defaultColWidth="9" defaultRowHeight="13.5"/>
  <cols>
    <col min="1" max="9" width="9" hidden="1" customWidth="1"/>
    <col min="12" max="12" width="9.625"/>
    <col min="14" max="18" width="9" hidden="1" customWidth="1"/>
  </cols>
  <sheetData>
    <row r="1" spans="1:41" s="8" customFormat="1" ht="16.5" customHeight="1">
      <c r="A1" s="387" t="s">
        <v>15</v>
      </c>
      <c r="B1" s="387" t="s">
        <v>184</v>
      </c>
      <c r="C1" s="389" t="s">
        <v>36</v>
      </c>
      <c r="D1" s="387" t="s">
        <v>185</v>
      </c>
      <c r="E1" s="387" t="s">
        <v>186</v>
      </c>
      <c r="F1" s="390" t="s">
        <v>33</v>
      </c>
      <c r="G1" s="392" t="s">
        <v>187</v>
      </c>
      <c r="H1" s="389" t="s">
        <v>35</v>
      </c>
      <c r="I1" s="389" t="s">
        <v>188</v>
      </c>
      <c r="J1" s="386" t="s">
        <v>37</v>
      </c>
      <c r="K1" s="386" t="s">
        <v>189</v>
      </c>
      <c r="L1" s="386" t="s">
        <v>190</v>
      </c>
      <c r="M1" s="386" t="s">
        <v>191</v>
      </c>
      <c r="N1" s="386"/>
      <c r="O1" s="386"/>
      <c r="P1" s="386"/>
      <c r="Q1" s="393"/>
      <c r="R1" s="386"/>
      <c r="S1" s="386" t="s">
        <v>197</v>
      </c>
      <c r="T1" s="385" t="s">
        <v>198</v>
      </c>
      <c r="U1" s="385"/>
      <c r="V1" s="385"/>
      <c r="W1" s="385"/>
      <c r="X1" s="385"/>
      <c r="Y1" s="385"/>
      <c r="Z1" s="386" t="s">
        <v>199</v>
      </c>
      <c r="AA1" s="386" t="s">
        <v>200</v>
      </c>
      <c r="AB1" s="386"/>
      <c r="AC1" s="386"/>
      <c r="AD1" s="394" t="s">
        <v>201</v>
      </c>
      <c r="AE1" s="387" t="s">
        <v>202</v>
      </c>
      <c r="AF1" s="387" t="s">
        <v>203</v>
      </c>
      <c r="AG1" s="387" t="s">
        <v>204</v>
      </c>
      <c r="AH1" s="387" t="s">
        <v>205</v>
      </c>
      <c r="AI1" s="387" t="s">
        <v>206</v>
      </c>
      <c r="AJ1" s="387" t="s">
        <v>20</v>
      </c>
      <c r="AK1" s="396" t="s">
        <v>207</v>
      </c>
      <c r="AL1" s="397" t="s">
        <v>208</v>
      </c>
      <c r="AM1" s="397" t="s">
        <v>209</v>
      </c>
      <c r="AN1" s="398" t="s">
        <v>210</v>
      </c>
      <c r="AO1" s="398" t="s">
        <v>211</v>
      </c>
    </row>
    <row r="2" spans="1:41" s="9" customFormat="1" ht="49.5">
      <c r="A2" s="388"/>
      <c r="B2" s="388"/>
      <c r="C2" s="389"/>
      <c r="D2" s="388"/>
      <c r="E2" s="388"/>
      <c r="F2" s="391"/>
      <c r="G2" s="392"/>
      <c r="H2" s="389"/>
      <c r="I2" s="389"/>
      <c r="J2" s="386"/>
      <c r="K2" s="386"/>
      <c r="L2" s="386"/>
      <c r="M2" s="386"/>
      <c r="N2" s="386"/>
      <c r="O2" s="386"/>
      <c r="P2" s="386"/>
      <c r="Q2" s="393"/>
      <c r="R2" s="386"/>
      <c r="S2" s="386"/>
      <c r="T2" s="13" t="s">
        <v>212</v>
      </c>
      <c r="U2" s="13" t="s">
        <v>213</v>
      </c>
      <c r="V2" s="13" t="s">
        <v>214</v>
      </c>
      <c r="W2" s="13" t="s">
        <v>215</v>
      </c>
      <c r="X2" s="13" t="s">
        <v>216</v>
      </c>
      <c r="Y2" s="13" t="s">
        <v>217</v>
      </c>
      <c r="Z2" s="386"/>
      <c r="AA2" s="13" t="s">
        <v>218</v>
      </c>
      <c r="AB2" s="13" t="s">
        <v>219</v>
      </c>
      <c r="AC2" s="13" t="s">
        <v>220</v>
      </c>
      <c r="AD2" s="395"/>
      <c r="AE2" s="388"/>
      <c r="AF2" s="388"/>
      <c r="AG2" s="388"/>
      <c r="AH2" s="388"/>
      <c r="AI2" s="388"/>
      <c r="AJ2" s="388"/>
      <c r="AK2" s="396"/>
      <c r="AL2" s="397"/>
      <c r="AM2" s="397"/>
      <c r="AN2" s="398"/>
      <c r="AO2" s="399"/>
    </row>
    <row r="3" spans="1:41" s="10" customFormat="1" ht="12">
      <c r="F3" s="10" t="s">
        <v>143</v>
      </c>
      <c r="J3" s="11" t="s">
        <v>176</v>
      </c>
      <c r="K3" s="11" t="s">
        <v>177</v>
      </c>
      <c r="L3" s="12">
        <v>15537954009</v>
      </c>
      <c r="M3" s="11"/>
      <c r="S3" s="10" t="s">
        <v>225</v>
      </c>
      <c r="T3" s="10">
        <v>202204</v>
      </c>
      <c r="U3" s="10">
        <v>3179</v>
      </c>
      <c r="V3" s="10">
        <v>3197</v>
      </c>
      <c r="W3" s="10">
        <v>3179</v>
      </c>
      <c r="X3" s="10">
        <v>3179</v>
      </c>
      <c r="Y3" s="10">
        <v>3179</v>
      </c>
      <c r="Z3" s="10" t="s">
        <v>225</v>
      </c>
      <c r="AA3" s="10">
        <v>202204</v>
      </c>
      <c r="AB3" s="14">
        <v>0.08</v>
      </c>
      <c r="AC3" s="10">
        <v>3179</v>
      </c>
    </row>
    <row r="4" spans="1:41" s="10" customFormat="1" ht="12">
      <c r="F4" s="10" t="s">
        <v>143</v>
      </c>
      <c r="J4" s="11" t="s">
        <v>178</v>
      </c>
      <c r="K4" s="11" t="s">
        <v>179</v>
      </c>
      <c r="L4" s="12">
        <v>15938792012</v>
      </c>
      <c r="M4" s="11"/>
      <c r="S4" s="10" t="s">
        <v>225</v>
      </c>
      <c r="T4" s="10">
        <v>202204</v>
      </c>
      <c r="U4" s="10">
        <v>3179</v>
      </c>
      <c r="V4" s="10">
        <v>3197</v>
      </c>
      <c r="W4" s="10">
        <v>3179</v>
      </c>
      <c r="X4" s="10">
        <v>3179</v>
      </c>
      <c r="Y4" s="10">
        <v>3179</v>
      </c>
      <c r="Z4" s="10" t="s">
        <v>225</v>
      </c>
      <c r="AA4" s="10">
        <v>202204</v>
      </c>
      <c r="AB4" s="14">
        <v>0.08</v>
      </c>
      <c r="AC4" s="10">
        <v>3179</v>
      </c>
    </row>
    <row r="5" spans="1:41" s="10" customFormat="1" ht="12">
      <c r="F5" s="10" t="s">
        <v>143</v>
      </c>
      <c r="J5" s="11" t="s">
        <v>180</v>
      </c>
      <c r="K5" s="11" t="s">
        <v>181</v>
      </c>
      <c r="L5" s="12">
        <v>15713680881</v>
      </c>
      <c r="M5" s="11"/>
      <c r="S5" s="10" t="s">
        <v>225</v>
      </c>
      <c r="T5" s="10">
        <v>202204</v>
      </c>
      <c r="U5" s="10">
        <v>3179</v>
      </c>
      <c r="V5" s="10">
        <v>3197</v>
      </c>
      <c r="W5" s="10">
        <v>3179</v>
      </c>
      <c r="X5" s="10">
        <v>3179</v>
      </c>
      <c r="Y5" s="10">
        <v>3179</v>
      </c>
      <c r="Z5" s="10" t="s">
        <v>225</v>
      </c>
      <c r="AA5" s="10">
        <v>202204</v>
      </c>
      <c r="AB5" s="14">
        <v>0.08</v>
      </c>
      <c r="AC5" s="10">
        <v>3179</v>
      </c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12" type="noConversion"/>
  <conditionalFormatting sqref="J4:J5">
    <cfRule type="duplicateValues" dxfId="0" priority="1"/>
  </conditionalFormatting>
  <dataValidations count="2">
    <dataValidation type="list" allowBlank="1" showInputMessage="1" showErrorMessage="1" sqref="S3:S5 Z3:Z5">
      <formula1>"新参,调入"</formula1>
    </dataValidation>
    <dataValidation type="list" allowBlank="1" showInputMessage="1" showErrorMessage="1" sqref="H3:H5">
      <formula1>#REF!</formula1>
    </dataValidation>
  </dataValidations>
  <pageMargins left="0.75" right="0.75" top="1" bottom="1" header="0.5" footer="0.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workbookViewId="0">
      <selection activeCell="D4" sqref="D4"/>
    </sheetView>
  </sheetViews>
  <sheetFormatPr defaultColWidth="9" defaultRowHeight="13.5"/>
  <cols>
    <col min="3" max="3" width="32" customWidth="1"/>
    <col min="4" max="4" width="13.75" customWidth="1"/>
    <col min="5" max="5" width="16.125" customWidth="1"/>
  </cols>
  <sheetData>
    <row r="1" spans="2:5" ht="57" customHeight="1">
      <c r="B1" s="400" t="s">
        <v>240</v>
      </c>
      <c r="C1" s="400"/>
      <c r="D1" s="400"/>
      <c r="E1" s="400"/>
    </row>
    <row r="2" spans="2:5" ht="20.25">
      <c r="B2" s="1"/>
    </row>
    <row r="3" spans="2:5" ht="27.75" customHeight="1">
      <c r="B3" s="2" t="s">
        <v>241</v>
      </c>
      <c r="C3" s="3" t="s">
        <v>242</v>
      </c>
      <c r="D3" s="3" t="s">
        <v>243</v>
      </c>
      <c r="E3" s="3" t="s">
        <v>244</v>
      </c>
    </row>
    <row r="4" spans="2:5" ht="29.25" customHeight="1">
      <c r="B4" s="4">
        <v>1</v>
      </c>
      <c r="C4" s="5" t="s">
        <v>245</v>
      </c>
      <c r="D4" s="6">
        <v>0.03</v>
      </c>
      <c r="E4" s="7">
        <v>0</v>
      </c>
    </row>
    <row r="5" spans="2:5" ht="29.25" customHeight="1">
      <c r="B5" s="4">
        <v>2</v>
      </c>
      <c r="C5" s="5" t="s">
        <v>246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247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248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249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250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251</v>
      </c>
      <c r="D10" s="6">
        <v>0.45</v>
      </c>
      <c r="E10" s="7">
        <v>181920</v>
      </c>
    </row>
    <row r="13" spans="2:5" ht="57" customHeight="1">
      <c r="B13" s="400" t="s">
        <v>252</v>
      </c>
      <c r="C13" s="400"/>
      <c r="D13" s="400"/>
      <c r="E13" s="400"/>
    </row>
    <row r="14" spans="2:5" ht="20.25">
      <c r="B14" s="1"/>
    </row>
    <row r="15" spans="2:5" ht="27.75" customHeight="1">
      <c r="B15" s="2" t="s">
        <v>241</v>
      </c>
      <c r="C15" s="3" t="s">
        <v>253</v>
      </c>
      <c r="D15" s="3" t="s">
        <v>243</v>
      </c>
      <c r="E15" s="3" t="s">
        <v>244</v>
      </c>
    </row>
    <row r="16" spans="2:5" ht="29.25" customHeight="1">
      <c r="B16" s="4">
        <v>1</v>
      </c>
      <c r="C16" s="5" t="s">
        <v>254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255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256</v>
      </c>
      <c r="D18" s="6">
        <v>0.4</v>
      </c>
      <c r="E18" s="7">
        <v>7000</v>
      </c>
    </row>
    <row r="21" spans="2:5" ht="47.25" customHeight="1">
      <c r="B21" s="400" t="s">
        <v>257</v>
      </c>
      <c r="C21" s="400"/>
      <c r="D21" s="400"/>
      <c r="E21" s="400"/>
    </row>
    <row r="22" spans="2:5" ht="20.25">
      <c r="B22" s="1"/>
    </row>
    <row r="23" spans="2:5" ht="27.75" customHeight="1">
      <c r="B23" s="2" t="s">
        <v>241</v>
      </c>
      <c r="C23" s="3" t="s">
        <v>258</v>
      </c>
      <c r="D23" s="3" t="s">
        <v>243</v>
      </c>
      <c r="E23" s="3" t="s">
        <v>244</v>
      </c>
    </row>
    <row r="24" spans="2:5" ht="29.25" customHeight="1">
      <c r="B24" s="4">
        <v>1</v>
      </c>
      <c r="C24" s="5" t="s">
        <v>259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260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261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262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263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264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265</v>
      </c>
      <c r="D30" s="6">
        <v>0.45</v>
      </c>
      <c r="E30" s="7">
        <v>15160</v>
      </c>
    </row>
    <row r="35" spans="2:5" ht="57" customHeight="1">
      <c r="B35" s="401" t="s">
        <v>266</v>
      </c>
      <c r="C35" s="401"/>
      <c r="D35" s="401"/>
      <c r="E35" s="401"/>
    </row>
    <row r="37" spans="2:5" ht="21.75" customHeight="1">
      <c r="B37" s="2" t="s">
        <v>241</v>
      </c>
      <c r="C37" s="3" t="s">
        <v>267</v>
      </c>
      <c r="D37" s="3" t="s">
        <v>268</v>
      </c>
      <c r="E37" s="3" t="s">
        <v>244</v>
      </c>
    </row>
    <row r="38" spans="2:5" ht="21.75" customHeight="1">
      <c r="B38" s="4">
        <v>1</v>
      </c>
      <c r="C38" s="5" t="s">
        <v>259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260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261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262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263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264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265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11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workbookViewId="0">
      <selection activeCell="C27" sqref="C27"/>
    </sheetView>
  </sheetViews>
  <sheetFormatPr defaultColWidth="9" defaultRowHeight="16.5"/>
  <cols>
    <col min="1" max="1" width="5" style="136" customWidth="1"/>
    <col min="2" max="2" width="25" style="136" customWidth="1"/>
    <col min="3" max="3" width="7.375" style="136" customWidth="1"/>
    <col min="4" max="4" width="9.5" style="136" customWidth="1"/>
    <col min="5" max="5" width="8.25" style="136" customWidth="1"/>
    <col min="6" max="6" width="11.875" style="136" customWidth="1"/>
    <col min="7" max="7" width="16.375" style="136" customWidth="1"/>
    <col min="8" max="11" width="8.5" style="136" customWidth="1"/>
    <col min="12" max="12" width="9.125" style="136" customWidth="1"/>
    <col min="13" max="14" width="9.25" style="136" customWidth="1"/>
    <col min="15" max="15" width="7.5" style="136" customWidth="1"/>
    <col min="16" max="16" width="11.25" style="136" customWidth="1"/>
    <col min="17" max="17" width="9.125" style="136" customWidth="1"/>
    <col min="18" max="21" width="9.25" style="136" customWidth="1"/>
    <col min="22" max="22" width="9.125" style="136" customWidth="1"/>
    <col min="23" max="26" width="9.25" style="136" customWidth="1"/>
    <col min="27" max="28" width="9.125" style="136" customWidth="1"/>
    <col min="29" max="29" width="9" style="136" customWidth="1"/>
    <col min="30" max="30" width="9.125" style="136" customWidth="1"/>
    <col min="31" max="31" width="9.25" style="136" customWidth="1"/>
    <col min="32" max="32" width="8.875" style="136" customWidth="1"/>
    <col min="33" max="33" width="9.125" style="136" customWidth="1"/>
    <col min="34" max="34" width="9.25" style="136" customWidth="1"/>
    <col min="35" max="35" width="11.125" style="136" customWidth="1"/>
    <col min="36" max="36" width="9.25" style="136" customWidth="1"/>
    <col min="37" max="37" width="8.5" style="136" customWidth="1"/>
    <col min="38" max="38" width="9.125" style="136" hidden="1" customWidth="1"/>
    <col min="39" max="42" width="9.25" style="136" hidden="1" customWidth="1"/>
    <col min="43" max="43" width="9.875" style="136" customWidth="1"/>
    <col min="44" max="44" width="9.375" style="136" customWidth="1"/>
    <col min="45" max="45" width="10.25" style="142" customWidth="1"/>
    <col min="46" max="46" width="10" style="142" customWidth="1"/>
    <col min="47" max="49" width="9.25" style="142" customWidth="1"/>
    <col min="50" max="50" width="9.25" style="136" customWidth="1"/>
    <col min="51" max="51" width="5.875" style="136" customWidth="1"/>
    <col min="52" max="52" width="8.375" style="136" customWidth="1"/>
    <col min="53" max="53" width="5.875" style="136" customWidth="1"/>
    <col min="54" max="54" width="8.875" style="136" customWidth="1"/>
    <col min="55" max="55" width="10.875" style="136" customWidth="1"/>
    <col min="56" max="56" width="40.25" style="143" customWidth="1"/>
    <col min="57" max="57" width="10.625" style="136" customWidth="1"/>
    <col min="58" max="16384" width="9" style="136"/>
  </cols>
  <sheetData>
    <row r="1" spans="1:60" s="135" customFormat="1" ht="22.5" customHeight="1">
      <c r="A1" s="337" t="s">
        <v>15</v>
      </c>
      <c r="B1" s="343" t="s">
        <v>33</v>
      </c>
      <c r="C1" s="343" t="s">
        <v>34</v>
      </c>
      <c r="D1" s="337" t="s">
        <v>35</v>
      </c>
      <c r="E1" s="343" t="s">
        <v>36</v>
      </c>
      <c r="F1" s="343" t="s">
        <v>37</v>
      </c>
      <c r="G1" s="343" t="s">
        <v>38</v>
      </c>
      <c r="H1" s="343" t="s">
        <v>39</v>
      </c>
      <c r="I1" s="343" t="s">
        <v>40</v>
      </c>
      <c r="J1" s="343" t="s">
        <v>41</v>
      </c>
      <c r="K1" s="343" t="s">
        <v>42</v>
      </c>
      <c r="L1" s="336" t="s">
        <v>43</v>
      </c>
      <c r="M1" s="336"/>
      <c r="N1" s="336"/>
      <c r="O1" s="336"/>
      <c r="P1" s="336"/>
      <c r="Q1" s="336" t="s">
        <v>44</v>
      </c>
      <c r="R1" s="336"/>
      <c r="S1" s="336"/>
      <c r="T1" s="336"/>
      <c r="U1" s="336"/>
      <c r="V1" s="336" t="s">
        <v>45</v>
      </c>
      <c r="W1" s="336"/>
      <c r="X1" s="336"/>
      <c r="Y1" s="336"/>
      <c r="Z1" s="336"/>
      <c r="AA1" s="337" t="s">
        <v>46</v>
      </c>
      <c r="AB1" s="337"/>
      <c r="AC1" s="337"/>
      <c r="AD1" s="337" t="s">
        <v>47</v>
      </c>
      <c r="AE1" s="337"/>
      <c r="AF1" s="337"/>
      <c r="AG1" s="336" t="s">
        <v>48</v>
      </c>
      <c r="AH1" s="336"/>
      <c r="AI1" s="336"/>
      <c r="AJ1" s="336"/>
      <c r="AK1" s="336"/>
      <c r="AL1" s="337" t="s">
        <v>49</v>
      </c>
      <c r="AM1" s="337"/>
      <c r="AN1" s="337"/>
      <c r="AO1" s="337"/>
      <c r="AP1" s="337"/>
      <c r="AQ1" s="337" t="s">
        <v>50</v>
      </c>
      <c r="AR1" s="337"/>
      <c r="AS1" s="338" t="s">
        <v>51</v>
      </c>
      <c r="AT1" s="338"/>
      <c r="AU1" s="338"/>
      <c r="AV1" s="338"/>
      <c r="AW1" s="338"/>
      <c r="AX1" s="337" t="s">
        <v>52</v>
      </c>
      <c r="AY1" s="337"/>
      <c r="AZ1" s="337" t="s">
        <v>53</v>
      </c>
      <c r="BA1" s="337"/>
      <c r="BB1" s="337" t="s">
        <v>54</v>
      </c>
      <c r="BC1" s="337" t="s">
        <v>55</v>
      </c>
      <c r="BD1" s="346" t="s">
        <v>20</v>
      </c>
    </row>
    <row r="2" spans="1:60" ht="22.5" customHeight="1">
      <c r="A2" s="337"/>
      <c r="B2" s="344"/>
      <c r="C2" s="343"/>
      <c r="D2" s="337"/>
      <c r="E2" s="343"/>
      <c r="F2" s="345"/>
      <c r="G2" s="345"/>
      <c r="H2" s="343"/>
      <c r="I2" s="343"/>
      <c r="J2" s="343"/>
      <c r="K2" s="343"/>
      <c r="L2" s="169" t="s">
        <v>56</v>
      </c>
      <c r="M2" s="169" t="s">
        <v>57</v>
      </c>
      <c r="N2" s="169" t="s">
        <v>58</v>
      </c>
      <c r="O2" s="169" t="s">
        <v>59</v>
      </c>
      <c r="P2" s="169" t="s">
        <v>60</v>
      </c>
      <c r="Q2" s="169" t="s">
        <v>56</v>
      </c>
      <c r="R2" s="169" t="s">
        <v>57</v>
      </c>
      <c r="S2" s="169" t="s">
        <v>58</v>
      </c>
      <c r="T2" s="169" t="s">
        <v>59</v>
      </c>
      <c r="U2" s="169" t="s">
        <v>60</v>
      </c>
      <c r="V2" s="169" t="s">
        <v>56</v>
      </c>
      <c r="W2" s="169" t="s">
        <v>57</v>
      </c>
      <c r="X2" s="169" t="s">
        <v>58</v>
      </c>
      <c r="Y2" s="169" t="s">
        <v>59</v>
      </c>
      <c r="Z2" s="169" t="s">
        <v>60</v>
      </c>
      <c r="AA2" s="169" t="s">
        <v>56</v>
      </c>
      <c r="AB2" s="169" t="s">
        <v>61</v>
      </c>
      <c r="AC2" s="169" t="s">
        <v>19</v>
      </c>
      <c r="AD2" s="169" t="s">
        <v>56</v>
      </c>
      <c r="AE2" s="169" t="s">
        <v>61</v>
      </c>
      <c r="AF2" s="169" t="s">
        <v>19</v>
      </c>
      <c r="AG2" s="169" t="s">
        <v>56</v>
      </c>
      <c r="AH2" s="169" t="s">
        <v>57</v>
      </c>
      <c r="AI2" s="169" t="s">
        <v>58</v>
      </c>
      <c r="AJ2" s="169" t="s">
        <v>59</v>
      </c>
      <c r="AK2" s="169" t="s">
        <v>60</v>
      </c>
      <c r="AL2" s="169" t="s">
        <v>56</v>
      </c>
      <c r="AM2" s="169" t="s">
        <v>57</v>
      </c>
      <c r="AN2" s="169" t="s">
        <v>58</v>
      </c>
      <c r="AO2" s="169" t="s">
        <v>59</v>
      </c>
      <c r="AP2" s="169" t="s">
        <v>60</v>
      </c>
      <c r="AQ2" s="169" t="s">
        <v>62</v>
      </c>
      <c r="AR2" s="169" t="s">
        <v>63</v>
      </c>
      <c r="AS2" s="178" t="s">
        <v>64</v>
      </c>
      <c r="AT2" s="178" t="s">
        <v>65</v>
      </c>
      <c r="AU2" s="178" t="s">
        <v>66</v>
      </c>
      <c r="AV2" s="178" t="s">
        <v>67</v>
      </c>
      <c r="AW2" s="178" t="s">
        <v>27</v>
      </c>
      <c r="AX2" s="337"/>
      <c r="AY2" s="337"/>
      <c r="AZ2" s="337"/>
      <c r="BA2" s="337"/>
      <c r="BB2" s="337"/>
      <c r="BC2" s="337"/>
      <c r="BD2" s="346"/>
    </row>
    <row r="3" spans="1:60" s="137" customFormat="1" ht="18" customHeight="1">
      <c r="A3" s="144">
        <v>1</v>
      </c>
      <c r="B3" s="124" t="s">
        <v>68</v>
      </c>
      <c r="C3" s="114" t="s">
        <v>69</v>
      </c>
      <c r="D3" s="123" t="s">
        <v>70</v>
      </c>
      <c r="E3" s="124" t="s">
        <v>71</v>
      </c>
      <c r="F3" s="125" t="s">
        <v>72</v>
      </c>
      <c r="G3" s="126" t="s">
        <v>73</v>
      </c>
      <c r="H3" s="123" t="s">
        <v>74</v>
      </c>
      <c r="I3" s="123" t="s">
        <v>74</v>
      </c>
      <c r="J3" s="123" t="s">
        <v>75</v>
      </c>
      <c r="K3" s="123" t="s">
        <v>75</v>
      </c>
      <c r="L3" s="144">
        <v>3300</v>
      </c>
      <c r="M3" s="144">
        <v>0.16</v>
      </c>
      <c r="N3" s="144">
        <f t="shared" ref="N3:N8" si="0">ROUND(L3*M3,2)</f>
        <v>528</v>
      </c>
      <c r="O3" s="144">
        <v>0.08</v>
      </c>
      <c r="P3" s="144">
        <f t="shared" ref="P3:P8" si="1">ROUND(L3*O3,2)</f>
        <v>264</v>
      </c>
      <c r="Q3" s="144">
        <v>3300</v>
      </c>
      <c r="R3" s="144">
        <v>0.08</v>
      </c>
      <c r="S3" s="144">
        <f t="shared" ref="S3:S8" si="2">ROUND(Q3*R3,2)</f>
        <v>264</v>
      </c>
      <c r="T3" s="144">
        <v>0.02</v>
      </c>
      <c r="U3" s="144">
        <f t="shared" ref="U3:U8" si="3">ROUND(Q3*T3,2)</f>
        <v>66</v>
      </c>
      <c r="V3" s="144">
        <v>3300</v>
      </c>
      <c r="W3" s="144">
        <v>7.0000000000000001E-3</v>
      </c>
      <c r="X3" s="144">
        <f t="shared" ref="X3:X8" si="4">ROUND(V3*W3,2)</f>
        <v>23.1</v>
      </c>
      <c r="Y3" s="144">
        <v>3.0000000000000001E-3</v>
      </c>
      <c r="Z3" s="144">
        <f t="shared" ref="Z3:Z8" si="5">ROUND(V3*Y3,2)</f>
        <v>9.9</v>
      </c>
      <c r="AA3" s="144"/>
      <c r="AB3" s="144"/>
      <c r="AC3" s="144"/>
      <c r="AD3" s="144">
        <v>3300</v>
      </c>
      <c r="AE3" s="144">
        <v>2E-3</v>
      </c>
      <c r="AF3" s="144">
        <f t="shared" ref="AF3:AF15" si="6">ROUND(AD3*AE3,2)</f>
        <v>6.6</v>
      </c>
      <c r="AG3" s="144">
        <v>3000</v>
      </c>
      <c r="AH3" s="144">
        <v>0.1</v>
      </c>
      <c r="AI3" s="144">
        <f>ROUND(AG3*AH3,2)</f>
        <v>300</v>
      </c>
      <c r="AJ3" s="144">
        <v>0.06</v>
      </c>
      <c r="AK3" s="144">
        <f>ROUND(AG3*AJ3,2)</f>
        <v>180</v>
      </c>
      <c r="AL3" s="175"/>
      <c r="AM3" s="144"/>
      <c r="AN3" s="144"/>
      <c r="AO3" s="144"/>
      <c r="AP3" s="124" t="s">
        <v>76</v>
      </c>
      <c r="AQ3" s="179">
        <v>5</v>
      </c>
      <c r="AR3" s="144"/>
      <c r="AS3" s="180">
        <f t="shared" ref="AS3:AS15" si="7">N3+S3+X3+AC3+AF3+AN3+AQ3</f>
        <v>826.7</v>
      </c>
      <c r="AT3" s="180">
        <f t="shared" ref="AT3:AT15" si="8">P3+U3+Z3</f>
        <v>339.9</v>
      </c>
      <c r="AU3" s="180">
        <f t="shared" ref="AU3:AU15" si="9">AI3</f>
        <v>300</v>
      </c>
      <c r="AV3" s="180">
        <f t="shared" ref="AV3:AV15" si="10">AK3</f>
        <v>180</v>
      </c>
      <c r="AW3" s="180">
        <f t="shared" ref="AW3:AW15" si="11">AV3+AS3+AT3+AU3</f>
        <v>1646.6</v>
      </c>
      <c r="AX3" s="339">
        <f t="shared" ref="AX3:AX15" si="12">AS3+AT3</f>
        <v>1166.5999999999999</v>
      </c>
      <c r="AY3" s="339"/>
      <c r="AZ3" s="339">
        <f t="shared" ref="AZ3:AZ8" si="13">AU3+AV3</f>
        <v>480</v>
      </c>
      <c r="BA3" s="339"/>
      <c r="BB3" s="189">
        <v>80</v>
      </c>
      <c r="BC3" s="188">
        <f t="shared" ref="BC3:BC15" si="14">AX3+AZ3+BB3</f>
        <v>1726.6</v>
      </c>
      <c r="BD3" s="192"/>
      <c r="BE3" s="221"/>
      <c r="BF3" s="203"/>
      <c r="BG3" s="203"/>
      <c r="BH3" s="204" t="s">
        <v>76</v>
      </c>
    </row>
    <row r="4" spans="1:60" s="137" customFormat="1" ht="18" customHeight="1">
      <c r="A4" s="144"/>
      <c r="B4" s="124" t="s">
        <v>68</v>
      </c>
      <c r="C4" s="114" t="s">
        <v>69</v>
      </c>
      <c r="D4" s="123" t="s">
        <v>70</v>
      </c>
      <c r="E4" s="124" t="s">
        <v>71</v>
      </c>
      <c r="F4" s="125" t="s">
        <v>72</v>
      </c>
      <c r="G4" s="126" t="s">
        <v>73</v>
      </c>
      <c r="H4" s="123" t="s">
        <v>74</v>
      </c>
      <c r="I4" s="123" t="s">
        <v>74</v>
      </c>
      <c r="J4" s="123" t="s">
        <v>77</v>
      </c>
      <c r="K4" s="123" t="s">
        <v>77</v>
      </c>
      <c r="L4" s="144">
        <v>3300</v>
      </c>
      <c r="M4" s="144">
        <v>0.16</v>
      </c>
      <c r="N4" s="144">
        <f t="shared" si="0"/>
        <v>528</v>
      </c>
      <c r="O4" s="144">
        <v>0.08</v>
      </c>
      <c r="P4" s="144">
        <f t="shared" si="1"/>
        <v>264</v>
      </c>
      <c r="Q4" s="144">
        <v>3300</v>
      </c>
      <c r="R4" s="144">
        <v>0.08</v>
      </c>
      <c r="S4" s="144">
        <f t="shared" si="2"/>
        <v>264</v>
      </c>
      <c r="T4" s="144">
        <v>0.02</v>
      </c>
      <c r="U4" s="144">
        <f t="shared" si="3"/>
        <v>66</v>
      </c>
      <c r="V4" s="144">
        <v>3300</v>
      </c>
      <c r="W4" s="144">
        <v>7.0000000000000001E-3</v>
      </c>
      <c r="X4" s="144">
        <f t="shared" si="4"/>
        <v>23.1</v>
      </c>
      <c r="Y4" s="144">
        <v>3.0000000000000001E-3</v>
      </c>
      <c r="Z4" s="144">
        <f t="shared" si="5"/>
        <v>9.9</v>
      </c>
      <c r="AA4" s="144"/>
      <c r="AB4" s="144"/>
      <c r="AC4" s="144"/>
      <c r="AD4" s="144">
        <v>3300</v>
      </c>
      <c r="AE4" s="144">
        <v>2E-3</v>
      </c>
      <c r="AF4" s="144">
        <f t="shared" si="6"/>
        <v>6.6</v>
      </c>
      <c r="AG4" s="144">
        <v>3000</v>
      </c>
      <c r="AH4" s="144">
        <v>0.1</v>
      </c>
      <c r="AI4" s="144">
        <f>ROUND(AG4*AH4,2)</f>
        <v>300</v>
      </c>
      <c r="AJ4" s="144">
        <v>0.06</v>
      </c>
      <c r="AK4" s="144">
        <f>ROUND(AG4*AJ4,2)</f>
        <v>180</v>
      </c>
      <c r="AL4" s="175"/>
      <c r="AM4" s="144"/>
      <c r="AN4" s="144"/>
      <c r="AO4" s="144"/>
      <c r="AP4" s="124" t="s">
        <v>76</v>
      </c>
      <c r="AQ4" s="179">
        <v>5</v>
      </c>
      <c r="AR4" s="144"/>
      <c r="AS4" s="180">
        <f t="shared" si="7"/>
        <v>826.7</v>
      </c>
      <c r="AT4" s="180">
        <f t="shared" si="8"/>
        <v>339.9</v>
      </c>
      <c r="AU4" s="180">
        <f t="shared" si="9"/>
        <v>300</v>
      </c>
      <c r="AV4" s="180">
        <f t="shared" si="10"/>
        <v>180</v>
      </c>
      <c r="AW4" s="180">
        <f t="shared" si="11"/>
        <v>1646.6</v>
      </c>
      <c r="AX4" s="339">
        <f t="shared" si="12"/>
        <v>1166.5999999999999</v>
      </c>
      <c r="AY4" s="339"/>
      <c r="AZ4" s="339">
        <f t="shared" si="13"/>
        <v>480</v>
      </c>
      <c r="BA4" s="339"/>
      <c r="BB4" s="189">
        <v>80</v>
      </c>
      <c r="BC4" s="188">
        <f t="shared" si="14"/>
        <v>1726.6</v>
      </c>
      <c r="BD4" s="192"/>
      <c r="BE4" s="221"/>
      <c r="BF4" s="203"/>
      <c r="BG4" s="203"/>
      <c r="BH4" s="204" t="s">
        <v>76</v>
      </c>
    </row>
    <row r="5" spans="1:60" s="137" customFormat="1" ht="18" customHeight="1">
      <c r="A5" s="144"/>
      <c r="B5" s="124" t="s">
        <v>68</v>
      </c>
      <c r="C5" s="114" t="s">
        <v>69</v>
      </c>
      <c r="D5" s="123" t="s">
        <v>70</v>
      </c>
      <c r="E5" s="124" t="s">
        <v>71</v>
      </c>
      <c r="F5" s="125" t="s">
        <v>72</v>
      </c>
      <c r="G5" s="126" t="s">
        <v>73</v>
      </c>
      <c r="H5" s="123" t="s">
        <v>74</v>
      </c>
      <c r="I5" s="123" t="s">
        <v>74</v>
      </c>
      <c r="J5" s="123" t="s">
        <v>78</v>
      </c>
      <c r="K5" s="123" t="s">
        <v>78</v>
      </c>
      <c r="L5" s="144">
        <v>3300</v>
      </c>
      <c r="M5" s="144">
        <v>0.16</v>
      </c>
      <c r="N5" s="144">
        <f t="shared" si="0"/>
        <v>528</v>
      </c>
      <c r="O5" s="144">
        <v>0.08</v>
      </c>
      <c r="P5" s="144">
        <f t="shared" si="1"/>
        <v>264</v>
      </c>
      <c r="Q5" s="144">
        <v>3300</v>
      </c>
      <c r="R5" s="144">
        <v>0.08</v>
      </c>
      <c r="S5" s="144">
        <f t="shared" si="2"/>
        <v>264</v>
      </c>
      <c r="T5" s="144">
        <v>0.02</v>
      </c>
      <c r="U5" s="144">
        <f t="shared" si="3"/>
        <v>66</v>
      </c>
      <c r="V5" s="144">
        <v>3300</v>
      </c>
      <c r="W5" s="144">
        <v>7.0000000000000001E-3</v>
      </c>
      <c r="X5" s="144">
        <f t="shared" si="4"/>
        <v>23.1</v>
      </c>
      <c r="Y5" s="144">
        <v>3.0000000000000001E-3</v>
      </c>
      <c r="Z5" s="144">
        <f t="shared" si="5"/>
        <v>9.9</v>
      </c>
      <c r="AA5" s="144"/>
      <c r="AB5" s="144"/>
      <c r="AC5" s="144"/>
      <c r="AD5" s="144">
        <v>3300</v>
      </c>
      <c r="AE5" s="144">
        <v>2E-3</v>
      </c>
      <c r="AF5" s="144">
        <f t="shared" si="6"/>
        <v>6.6</v>
      </c>
      <c r="AG5" s="144">
        <v>3000</v>
      </c>
      <c r="AH5" s="144">
        <v>0.1</v>
      </c>
      <c r="AI5" s="144">
        <f>ROUND(AG5*AH5,2)</f>
        <v>300</v>
      </c>
      <c r="AJ5" s="144">
        <v>0.06</v>
      </c>
      <c r="AK5" s="144">
        <f>ROUND(AG5*AJ5,2)</f>
        <v>180</v>
      </c>
      <c r="AL5" s="175"/>
      <c r="AM5" s="144"/>
      <c r="AN5" s="144"/>
      <c r="AO5" s="144"/>
      <c r="AP5" s="124" t="s">
        <v>76</v>
      </c>
      <c r="AQ5" s="179">
        <v>5</v>
      </c>
      <c r="AR5" s="144"/>
      <c r="AS5" s="180">
        <f t="shared" si="7"/>
        <v>826.7</v>
      </c>
      <c r="AT5" s="180">
        <f t="shared" si="8"/>
        <v>339.9</v>
      </c>
      <c r="AU5" s="180">
        <f t="shared" si="9"/>
        <v>300</v>
      </c>
      <c r="AV5" s="180">
        <f t="shared" si="10"/>
        <v>180</v>
      </c>
      <c r="AW5" s="180">
        <f t="shared" si="11"/>
        <v>1646.6</v>
      </c>
      <c r="AX5" s="339">
        <f t="shared" si="12"/>
        <v>1166.5999999999999</v>
      </c>
      <c r="AY5" s="339"/>
      <c r="AZ5" s="339">
        <f t="shared" si="13"/>
        <v>480</v>
      </c>
      <c r="BA5" s="339"/>
      <c r="BB5" s="189">
        <v>80</v>
      </c>
      <c r="BC5" s="188">
        <f t="shared" si="14"/>
        <v>1726.6</v>
      </c>
      <c r="BD5" s="192"/>
      <c r="BE5" s="221"/>
      <c r="BF5" s="203"/>
      <c r="BG5" s="203"/>
      <c r="BH5" s="204" t="s">
        <v>76</v>
      </c>
    </row>
    <row r="6" spans="1:60" s="137" customFormat="1" ht="18" customHeight="1">
      <c r="A6" s="144">
        <v>2</v>
      </c>
      <c r="B6" s="124" t="s">
        <v>68</v>
      </c>
      <c r="C6" s="114" t="s">
        <v>79</v>
      </c>
      <c r="D6" s="123" t="s">
        <v>70</v>
      </c>
      <c r="E6" s="124" t="s">
        <v>80</v>
      </c>
      <c r="F6" s="125" t="s">
        <v>81</v>
      </c>
      <c r="G6" s="282" t="s">
        <v>82</v>
      </c>
      <c r="H6" s="123" t="s">
        <v>74</v>
      </c>
      <c r="I6" s="123" t="s">
        <v>83</v>
      </c>
      <c r="J6" s="123" t="s">
        <v>75</v>
      </c>
      <c r="K6" s="123" t="s">
        <v>83</v>
      </c>
      <c r="L6" s="144">
        <v>3803</v>
      </c>
      <c r="M6" s="144">
        <v>0.14000000000000001</v>
      </c>
      <c r="N6" s="144">
        <f t="shared" si="0"/>
        <v>532.41999999999996</v>
      </c>
      <c r="O6" s="144">
        <v>0.08</v>
      </c>
      <c r="P6" s="144">
        <f t="shared" si="1"/>
        <v>304.24</v>
      </c>
      <c r="Q6" s="144">
        <v>6175</v>
      </c>
      <c r="R6" s="144">
        <v>5.5E-2</v>
      </c>
      <c r="S6" s="144">
        <f t="shared" si="2"/>
        <v>339.63</v>
      </c>
      <c r="T6" s="144">
        <v>0.02</v>
      </c>
      <c r="U6" s="144">
        <f t="shared" si="3"/>
        <v>123.5</v>
      </c>
      <c r="V6" s="144">
        <v>3803</v>
      </c>
      <c r="W6" s="144">
        <v>3.2000000000000002E-3</v>
      </c>
      <c r="X6" s="144">
        <f t="shared" si="4"/>
        <v>12.17</v>
      </c>
      <c r="Y6" s="144">
        <v>2E-3</v>
      </c>
      <c r="Z6" s="144">
        <f t="shared" si="5"/>
        <v>7.61</v>
      </c>
      <c r="AA6" s="144">
        <v>6175</v>
      </c>
      <c r="AB6" s="144">
        <v>8.5000000000000006E-3</v>
      </c>
      <c r="AC6" s="144">
        <f t="shared" ref="AC6:AC8" si="15">ROUND(AA6*AB6,2)</f>
        <v>52.49</v>
      </c>
      <c r="AD6" s="144">
        <v>3803</v>
      </c>
      <c r="AE6" s="144">
        <v>1.6000000000000001E-3</v>
      </c>
      <c r="AF6" s="144">
        <f t="shared" si="6"/>
        <v>6.08</v>
      </c>
      <c r="AG6" s="144"/>
      <c r="AH6" s="144"/>
      <c r="AI6" s="144"/>
      <c r="AJ6" s="144"/>
      <c r="AK6" s="144"/>
      <c r="AL6" s="175"/>
      <c r="AM6" s="144"/>
      <c r="AN6" s="144"/>
      <c r="AO6" s="144"/>
      <c r="AP6" s="124"/>
      <c r="AQ6" s="179">
        <v>26.76</v>
      </c>
      <c r="AR6" s="144"/>
      <c r="AS6" s="180">
        <f t="shared" si="7"/>
        <v>969.55</v>
      </c>
      <c r="AT6" s="180">
        <f t="shared" si="8"/>
        <v>435.35</v>
      </c>
      <c r="AU6" s="180">
        <f t="shared" si="9"/>
        <v>0</v>
      </c>
      <c r="AV6" s="180">
        <f t="shared" si="10"/>
        <v>0</v>
      </c>
      <c r="AW6" s="180">
        <f t="shared" si="11"/>
        <v>1404.9</v>
      </c>
      <c r="AX6" s="339">
        <f t="shared" si="12"/>
        <v>1404.9</v>
      </c>
      <c r="AY6" s="339"/>
      <c r="AZ6" s="339">
        <f t="shared" si="13"/>
        <v>0</v>
      </c>
      <c r="BA6" s="339"/>
      <c r="BB6" s="189">
        <v>80</v>
      </c>
      <c r="BC6" s="188">
        <f t="shared" si="14"/>
        <v>1484.9</v>
      </c>
      <c r="BD6" s="192"/>
      <c r="BE6" s="205"/>
      <c r="BF6" s="205"/>
      <c r="BG6" s="205"/>
      <c r="BH6" s="205"/>
    </row>
    <row r="7" spans="1:60" s="137" customFormat="1" ht="18" customHeight="1">
      <c r="A7" s="144"/>
      <c r="B7" s="124" t="s">
        <v>68</v>
      </c>
      <c r="C7" s="114" t="s">
        <v>79</v>
      </c>
      <c r="D7" s="123" t="s">
        <v>70</v>
      </c>
      <c r="E7" s="124" t="s">
        <v>80</v>
      </c>
      <c r="F7" s="125" t="s">
        <v>81</v>
      </c>
      <c r="G7" s="282" t="s">
        <v>82</v>
      </c>
      <c r="H7" s="123" t="s">
        <v>74</v>
      </c>
      <c r="I7" s="123" t="s">
        <v>83</v>
      </c>
      <c r="J7" s="123" t="s">
        <v>77</v>
      </c>
      <c r="K7" s="123" t="s">
        <v>83</v>
      </c>
      <c r="L7" s="144">
        <v>3803</v>
      </c>
      <c r="M7" s="144">
        <v>0.14000000000000001</v>
      </c>
      <c r="N7" s="144">
        <f t="shared" si="0"/>
        <v>532.41999999999996</v>
      </c>
      <c r="O7" s="144">
        <v>0.08</v>
      </c>
      <c r="P7" s="144">
        <f t="shared" si="1"/>
        <v>304.24</v>
      </c>
      <c r="Q7" s="144">
        <v>6175</v>
      </c>
      <c r="R7" s="144">
        <v>5.5E-2</v>
      </c>
      <c r="S7" s="144">
        <f t="shared" si="2"/>
        <v>339.63</v>
      </c>
      <c r="T7" s="144">
        <v>0.02</v>
      </c>
      <c r="U7" s="144">
        <f t="shared" si="3"/>
        <v>123.5</v>
      </c>
      <c r="V7" s="144">
        <v>3803</v>
      </c>
      <c r="W7" s="144">
        <v>3.2000000000000002E-3</v>
      </c>
      <c r="X7" s="144">
        <f t="shared" si="4"/>
        <v>12.17</v>
      </c>
      <c r="Y7" s="144">
        <v>2E-3</v>
      </c>
      <c r="Z7" s="144">
        <f t="shared" si="5"/>
        <v>7.61</v>
      </c>
      <c r="AA7" s="144">
        <v>6175</v>
      </c>
      <c r="AB7" s="144">
        <v>8.5000000000000006E-3</v>
      </c>
      <c r="AC7" s="144">
        <f t="shared" si="15"/>
        <v>52.49</v>
      </c>
      <c r="AD7" s="144">
        <v>3803</v>
      </c>
      <c r="AE7" s="144">
        <v>1.6000000000000001E-3</v>
      </c>
      <c r="AF7" s="144">
        <f t="shared" si="6"/>
        <v>6.08</v>
      </c>
      <c r="AG7" s="144"/>
      <c r="AH7" s="144"/>
      <c r="AI7" s="144"/>
      <c r="AJ7" s="144"/>
      <c r="AK7" s="144"/>
      <c r="AL7" s="175"/>
      <c r="AM7" s="144"/>
      <c r="AN7" s="144"/>
      <c r="AO7" s="144"/>
      <c r="AP7" s="124"/>
      <c r="AQ7" s="179">
        <v>26.76</v>
      </c>
      <c r="AR7" s="144"/>
      <c r="AS7" s="180">
        <f t="shared" si="7"/>
        <v>969.55</v>
      </c>
      <c r="AT7" s="180">
        <f t="shared" si="8"/>
        <v>435.35</v>
      </c>
      <c r="AU7" s="180">
        <f t="shared" si="9"/>
        <v>0</v>
      </c>
      <c r="AV7" s="180">
        <f t="shared" si="10"/>
        <v>0</v>
      </c>
      <c r="AW7" s="180">
        <f t="shared" si="11"/>
        <v>1404.9</v>
      </c>
      <c r="AX7" s="339">
        <f t="shared" si="12"/>
        <v>1404.9</v>
      </c>
      <c r="AY7" s="339"/>
      <c r="AZ7" s="339">
        <f t="shared" si="13"/>
        <v>0</v>
      </c>
      <c r="BA7" s="339"/>
      <c r="BB7" s="189">
        <v>80</v>
      </c>
      <c r="BC7" s="188">
        <f t="shared" si="14"/>
        <v>1484.9</v>
      </c>
      <c r="BD7" s="192"/>
      <c r="BE7" s="205"/>
      <c r="BF7" s="205"/>
      <c r="BG7" s="205"/>
      <c r="BH7" s="205"/>
    </row>
    <row r="8" spans="1:60" s="137" customFormat="1" ht="18" customHeight="1">
      <c r="A8" s="144"/>
      <c r="B8" s="124" t="s">
        <v>68</v>
      </c>
      <c r="C8" s="114" t="s">
        <v>79</v>
      </c>
      <c r="D8" s="123" t="s">
        <v>70</v>
      </c>
      <c r="E8" s="124" t="s">
        <v>80</v>
      </c>
      <c r="F8" s="125" t="s">
        <v>81</v>
      </c>
      <c r="G8" s="282" t="s">
        <v>82</v>
      </c>
      <c r="H8" s="123" t="s">
        <v>74</v>
      </c>
      <c r="I8" s="123" t="s">
        <v>83</v>
      </c>
      <c r="J8" s="123" t="s">
        <v>78</v>
      </c>
      <c r="K8" s="123" t="s">
        <v>83</v>
      </c>
      <c r="L8" s="144">
        <v>3803</v>
      </c>
      <c r="M8" s="144">
        <v>0.14000000000000001</v>
      </c>
      <c r="N8" s="144">
        <f t="shared" si="0"/>
        <v>532.41999999999996</v>
      </c>
      <c r="O8" s="144">
        <v>0.08</v>
      </c>
      <c r="P8" s="144">
        <f t="shared" si="1"/>
        <v>304.24</v>
      </c>
      <c r="Q8" s="144">
        <v>6175</v>
      </c>
      <c r="R8" s="144">
        <v>5.5E-2</v>
      </c>
      <c r="S8" s="144">
        <f t="shared" si="2"/>
        <v>339.63</v>
      </c>
      <c r="T8" s="144">
        <v>0.02</v>
      </c>
      <c r="U8" s="144">
        <f t="shared" si="3"/>
        <v>123.5</v>
      </c>
      <c r="V8" s="144">
        <v>3803</v>
      </c>
      <c r="W8" s="144">
        <v>3.2000000000000002E-3</v>
      </c>
      <c r="X8" s="144">
        <f t="shared" si="4"/>
        <v>12.17</v>
      </c>
      <c r="Y8" s="144">
        <v>2E-3</v>
      </c>
      <c r="Z8" s="144">
        <f t="shared" si="5"/>
        <v>7.61</v>
      </c>
      <c r="AA8" s="144">
        <v>6175</v>
      </c>
      <c r="AB8" s="144">
        <v>8.5000000000000006E-3</v>
      </c>
      <c r="AC8" s="144">
        <f t="shared" si="15"/>
        <v>52.49</v>
      </c>
      <c r="AD8" s="144">
        <v>3803</v>
      </c>
      <c r="AE8" s="144">
        <v>1.6000000000000001E-3</v>
      </c>
      <c r="AF8" s="144">
        <f t="shared" si="6"/>
        <v>6.08</v>
      </c>
      <c r="AG8" s="144"/>
      <c r="AH8" s="144"/>
      <c r="AI8" s="144"/>
      <c r="AJ8" s="144"/>
      <c r="AK8" s="144"/>
      <c r="AL8" s="175"/>
      <c r="AM8" s="144"/>
      <c r="AN8" s="144"/>
      <c r="AO8" s="144"/>
      <c r="AP8" s="124"/>
      <c r="AQ8" s="179">
        <v>26.76</v>
      </c>
      <c r="AR8" s="144"/>
      <c r="AS8" s="180">
        <f t="shared" si="7"/>
        <v>969.55</v>
      </c>
      <c r="AT8" s="180">
        <f t="shared" si="8"/>
        <v>435.35</v>
      </c>
      <c r="AU8" s="180">
        <f t="shared" si="9"/>
        <v>0</v>
      </c>
      <c r="AV8" s="180">
        <f t="shared" si="10"/>
        <v>0</v>
      </c>
      <c r="AW8" s="180">
        <f t="shared" si="11"/>
        <v>1404.9</v>
      </c>
      <c r="AX8" s="339">
        <f t="shared" si="12"/>
        <v>1404.9</v>
      </c>
      <c r="AY8" s="339"/>
      <c r="AZ8" s="339">
        <f t="shared" si="13"/>
        <v>0</v>
      </c>
      <c r="BA8" s="339"/>
      <c r="BB8" s="189">
        <v>80</v>
      </c>
      <c r="BC8" s="188">
        <f t="shared" si="14"/>
        <v>1484.9</v>
      </c>
      <c r="BD8" s="192"/>
      <c r="BE8" s="205"/>
      <c r="BF8" s="205"/>
      <c r="BG8" s="205"/>
      <c r="BH8" s="205"/>
    </row>
    <row r="9" spans="1:60" s="208" customFormat="1" ht="18" customHeight="1">
      <c r="A9" s="209" t="s">
        <v>84</v>
      </c>
      <c r="B9" s="210" t="s">
        <v>68</v>
      </c>
      <c r="C9" s="109" t="s">
        <v>79</v>
      </c>
      <c r="D9" s="211" t="s">
        <v>70</v>
      </c>
      <c r="E9" s="210" t="s">
        <v>80</v>
      </c>
      <c r="F9" s="212" t="s">
        <v>81</v>
      </c>
      <c r="G9" s="283" t="s">
        <v>82</v>
      </c>
      <c r="H9" s="211" t="s">
        <v>74</v>
      </c>
      <c r="I9" s="211" t="s">
        <v>83</v>
      </c>
      <c r="J9" s="211" t="s">
        <v>85</v>
      </c>
      <c r="K9" s="211" t="s">
        <v>83</v>
      </c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14">
        <f t="shared" ref="AD9:AD11" si="16">3803-3000</f>
        <v>803</v>
      </c>
      <c r="AE9" s="214">
        <v>1.6000000000000001E-3</v>
      </c>
      <c r="AF9" s="214">
        <f t="shared" si="6"/>
        <v>1.28</v>
      </c>
      <c r="AG9" s="209"/>
      <c r="AH9" s="209"/>
      <c r="AI9" s="209"/>
      <c r="AJ9" s="209"/>
      <c r="AK9" s="209"/>
      <c r="AL9" s="215"/>
      <c r="AM9" s="209"/>
      <c r="AN9" s="209"/>
      <c r="AO9" s="209"/>
      <c r="AP9" s="210"/>
      <c r="AQ9" s="216"/>
      <c r="AR9" s="209"/>
      <c r="AS9" s="217">
        <f t="shared" si="7"/>
        <v>1.28</v>
      </c>
      <c r="AT9" s="217">
        <f t="shared" si="8"/>
        <v>0</v>
      </c>
      <c r="AU9" s="217">
        <f t="shared" si="9"/>
        <v>0</v>
      </c>
      <c r="AV9" s="217">
        <f t="shared" si="10"/>
        <v>0</v>
      </c>
      <c r="AW9" s="217">
        <f t="shared" si="11"/>
        <v>1.28</v>
      </c>
      <c r="AX9" s="340">
        <f t="shared" si="12"/>
        <v>1.28</v>
      </c>
      <c r="AY9" s="340"/>
      <c r="AZ9" s="340"/>
      <c r="BA9" s="340"/>
      <c r="BB9" s="219"/>
      <c r="BC9" s="218">
        <f t="shared" si="14"/>
        <v>1.28</v>
      </c>
      <c r="BD9" s="220" t="s">
        <v>86</v>
      </c>
      <c r="BE9" s="222"/>
      <c r="BF9" s="222"/>
      <c r="BG9" s="222"/>
      <c r="BH9" s="222"/>
    </row>
    <row r="10" spans="1:60" s="208" customFormat="1" ht="18" customHeight="1">
      <c r="A10" s="209" t="s">
        <v>84</v>
      </c>
      <c r="B10" s="210" t="s">
        <v>68</v>
      </c>
      <c r="C10" s="109" t="s">
        <v>79</v>
      </c>
      <c r="D10" s="211" t="s">
        <v>70</v>
      </c>
      <c r="E10" s="210" t="s">
        <v>80</v>
      </c>
      <c r="F10" s="212" t="s">
        <v>81</v>
      </c>
      <c r="G10" s="283" t="s">
        <v>82</v>
      </c>
      <c r="H10" s="211" t="s">
        <v>74</v>
      </c>
      <c r="I10" s="211" t="s">
        <v>83</v>
      </c>
      <c r="J10" s="211" t="s">
        <v>87</v>
      </c>
      <c r="K10" s="211" t="s">
        <v>83</v>
      </c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14">
        <f t="shared" si="16"/>
        <v>803</v>
      </c>
      <c r="AE10" s="214">
        <v>1.6000000000000001E-3</v>
      </c>
      <c r="AF10" s="214">
        <f t="shared" si="6"/>
        <v>1.28</v>
      </c>
      <c r="AG10" s="209"/>
      <c r="AH10" s="209"/>
      <c r="AI10" s="209"/>
      <c r="AJ10" s="209"/>
      <c r="AK10" s="209"/>
      <c r="AL10" s="215"/>
      <c r="AM10" s="209"/>
      <c r="AN10" s="209"/>
      <c r="AO10" s="209"/>
      <c r="AP10" s="210"/>
      <c r="AQ10" s="216"/>
      <c r="AR10" s="209"/>
      <c r="AS10" s="217">
        <f t="shared" si="7"/>
        <v>1.28</v>
      </c>
      <c r="AT10" s="217">
        <f t="shared" si="8"/>
        <v>0</v>
      </c>
      <c r="AU10" s="217">
        <f t="shared" si="9"/>
        <v>0</v>
      </c>
      <c r="AV10" s="217">
        <f t="shared" si="10"/>
        <v>0</v>
      </c>
      <c r="AW10" s="217">
        <f t="shared" si="11"/>
        <v>1.28</v>
      </c>
      <c r="AX10" s="340">
        <f t="shared" si="12"/>
        <v>1.28</v>
      </c>
      <c r="AY10" s="340"/>
      <c r="AZ10" s="340"/>
      <c r="BA10" s="340"/>
      <c r="BB10" s="219"/>
      <c r="BC10" s="218">
        <f t="shared" si="14"/>
        <v>1.28</v>
      </c>
      <c r="BD10" s="220" t="s">
        <v>86</v>
      </c>
      <c r="BE10" s="222"/>
      <c r="BF10" s="222"/>
      <c r="BG10" s="222"/>
      <c r="BH10" s="222"/>
    </row>
    <row r="11" spans="1:60" s="208" customFormat="1" ht="18" customHeight="1">
      <c r="A11" s="209" t="s">
        <v>84</v>
      </c>
      <c r="B11" s="210" t="s">
        <v>68</v>
      </c>
      <c r="C11" s="109" t="s">
        <v>79</v>
      </c>
      <c r="D11" s="211" t="s">
        <v>70</v>
      </c>
      <c r="E11" s="210" t="s">
        <v>80</v>
      </c>
      <c r="F11" s="212" t="s">
        <v>81</v>
      </c>
      <c r="G11" s="283" t="s">
        <v>82</v>
      </c>
      <c r="H11" s="211" t="s">
        <v>74</v>
      </c>
      <c r="I11" s="211" t="s">
        <v>83</v>
      </c>
      <c r="J11" s="211" t="s">
        <v>88</v>
      </c>
      <c r="K11" s="211" t="s">
        <v>83</v>
      </c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14">
        <f t="shared" si="16"/>
        <v>803</v>
      </c>
      <c r="AE11" s="214">
        <v>1.6000000000000001E-3</v>
      </c>
      <c r="AF11" s="214">
        <f t="shared" si="6"/>
        <v>1.28</v>
      </c>
      <c r="AG11" s="209"/>
      <c r="AH11" s="209"/>
      <c r="AI11" s="209"/>
      <c r="AJ11" s="209"/>
      <c r="AK11" s="209"/>
      <c r="AL11" s="215"/>
      <c r="AM11" s="209"/>
      <c r="AN11" s="209"/>
      <c r="AO11" s="209"/>
      <c r="AP11" s="210"/>
      <c r="AQ11" s="216"/>
      <c r="AR11" s="209"/>
      <c r="AS11" s="217">
        <f t="shared" si="7"/>
        <v>1.28</v>
      </c>
      <c r="AT11" s="217">
        <f t="shared" si="8"/>
        <v>0</v>
      </c>
      <c r="AU11" s="217">
        <f t="shared" si="9"/>
        <v>0</v>
      </c>
      <c r="AV11" s="217">
        <f t="shared" si="10"/>
        <v>0</v>
      </c>
      <c r="AW11" s="217">
        <f t="shared" si="11"/>
        <v>1.28</v>
      </c>
      <c r="AX11" s="340">
        <f t="shared" si="12"/>
        <v>1.28</v>
      </c>
      <c r="AY11" s="340"/>
      <c r="AZ11" s="340"/>
      <c r="BA11" s="340"/>
      <c r="BB11" s="219"/>
      <c r="BC11" s="218">
        <f t="shared" si="14"/>
        <v>1.28</v>
      </c>
      <c r="BD11" s="220" t="s">
        <v>86</v>
      </c>
      <c r="BE11" s="222"/>
      <c r="BF11" s="222"/>
      <c r="BG11" s="222"/>
      <c r="BH11" s="222"/>
    </row>
    <row r="12" spans="1:60" s="137" customFormat="1" ht="18" customHeight="1">
      <c r="A12" s="144">
        <v>3</v>
      </c>
      <c r="B12" s="124" t="s">
        <v>68</v>
      </c>
      <c r="C12" s="114" t="s">
        <v>89</v>
      </c>
      <c r="D12" s="123" t="s">
        <v>70</v>
      </c>
      <c r="E12" s="124" t="s">
        <v>80</v>
      </c>
      <c r="F12" s="125" t="s">
        <v>90</v>
      </c>
      <c r="G12" s="126" t="s">
        <v>91</v>
      </c>
      <c r="H12" s="123" t="s">
        <v>92</v>
      </c>
      <c r="I12" s="123" t="s">
        <v>92</v>
      </c>
      <c r="J12" s="123" t="s">
        <v>77</v>
      </c>
      <c r="K12" s="123" t="s">
        <v>77</v>
      </c>
      <c r="L12" s="144">
        <v>3053.05</v>
      </c>
      <c r="M12" s="144">
        <v>0.16</v>
      </c>
      <c r="N12" s="144">
        <f t="shared" ref="N12:N15" si="17">ROUND(L12*M12,2)</f>
        <v>488.49</v>
      </c>
      <c r="O12" s="144">
        <v>0.08</v>
      </c>
      <c r="P12" s="144">
        <f t="shared" ref="P12:P15" si="18">ROUND(L12*O12,2)</f>
        <v>244.24</v>
      </c>
      <c r="Q12" s="144">
        <v>3053.05</v>
      </c>
      <c r="R12" s="144">
        <v>0.06</v>
      </c>
      <c r="S12" s="144">
        <f t="shared" ref="S12:S15" si="19">ROUND(Q12*R12,2)</f>
        <v>183.18</v>
      </c>
      <c r="T12" s="144">
        <v>0.02</v>
      </c>
      <c r="U12" s="144">
        <f t="shared" ref="U12:U15" si="20">ROUND(Q12*T12,2)</f>
        <v>61.06</v>
      </c>
      <c r="V12" s="144">
        <v>3053.05</v>
      </c>
      <c r="W12" s="144">
        <v>7.0000000000000001E-3</v>
      </c>
      <c r="X12" s="144">
        <f t="shared" ref="X12:X15" si="21">ROUND(V12*W12,2)</f>
        <v>21.37</v>
      </c>
      <c r="Y12" s="144">
        <v>3.0000000000000001E-3</v>
      </c>
      <c r="Z12" s="144">
        <f t="shared" ref="Z12:Z15" si="22">ROUND(V12*Y12,2)</f>
        <v>9.16</v>
      </c>
      <c r="AA12" s="144">
        <v>3053.05</v>
      </c>
      <c r="AB12" s="144">
        <v>7.0000000000000001E-3</v>
      </c>
      <c r="AC12" s="144">
        <f t="shared" ref="AC12:AC15" si="23">ROUND(AA12*AB12,2)</f>
        <v>21.37</v>
      </c>
      <c r="AD12" s="144">
        <v>3053.05</v>
      </c>
      <c r="AE12" s="144">
        <v>2E-3</v>
      </c>
      <c r="AF12" s="144">
        <f t="shared" si="6"/>
        <v>6.11</v>
      </c>
      <c r="AG12" s="144" t="s">
        <v>93</v>
      </c>
      <c r="AH12" s="144">
        <v>0.05</v>
      </c>
      <c r="AI12" s="144">
        <f t="shared" ref="AI12:AI15" si="24">ROUND(AG12*AH12,2)</f>
        <v>79</v>
      </c>
      <c r="AJ12" s="144">
        <v>0.05</v>
      </c>
      <c r="AK12" s="144">
        <f t="shared" ref="AK12:AK15" si="25">ROUND(AG12*AJ12,2)</f>
        <v>79</v>
      </c>
      <c r="AL12" s="175"/>
      <c r="AM12" s="144"/>
      <c r="AN12" s="144"/>
      <c r="AO12" s="144"/>
      <c r="AP12" s="124"/>
      <c r="AQ12" s="179"/>
      <c r="AR12" s="144">
        <v>96</v>
      </c>
      <c r="AS12" s="180">
        <f t="shared" si="7"/>
        <v>720.52</v>
      </c>
      <c r="AT12" s="180">
        <f t="shared" si="8"/>
        <v>314.45999999999998</v>
      </c>
      <c r="AU12" s="180">
        <f t="shared" si="9"/>
        <v>79</v>
      </c>
      <c r="AV12" s="180">
        <f t="shared" si="10"/>
        <v>79</v>
      </c>
      <c r="AW12" s="180">
        <f t="shared" si="11"/>
        <v>1192.98</v>
      </c>
      <c r="AX12" s="339">
        <f t="shared" si="12"/>
        <v>1034.98</v>
      </c>
      <c r="AY12" s="339"/>
      <c r="AZ12" s="339">
        <f t="shared" ref="AZ12:AZ15" si="26">AU12+AV12</f>
        <v>158</v>
      </c>
      <c r="BA12" s="339"/>
      <c r="BB12" s="189">
        <v>80</v>
      </c>
      <c r="BC12" s="188">
        <f t="shared" si="14"/>
        <v>1272.98</v>
      </c>
      <c r="BD12" s="192"/>
      <c r="BE12" s="205"/>
      <c r="BF12" s="205"/>
      <c r="BG12" s="205"/>
      <c r="BH12" s="205"/>
    </row>
    <row r="13" spans="1:60" s="137" customFormat="1" ht="18" customHeight="1">
      <c r="A13" s="144"/>
      <c r="B13" s="124" t="s">
        <v>68</v>
      </c>
      <c r="C13" s="114" t="s">
        <v>89</v>
      </c>
      <c r="D13" s="123" t="s">
        <v>70</v>
      </c>
      <c r="E13" s="124" t="s">
        <v>80</v>
      </c>
      <c r="F13" s="125" t="s">
        <v>90</v>
      </c>
      <c r="G13" s="126" t="s">
        <v>91</v>
      </c>
      <c r="H13" s="123" t="s">
        <v>92</v>
      </c>
      <c r="I13" s="123" t="s">
        <v>92</v>
      </c>
      <c r="J13" s="123" t="s">
        <v>78</v>
      </c>
      <c r="K13" s="123" t="s">
        <v>78</v>
      </c>
      <c r="L13" s="144">
        <v>3053.05</v>
      </c>
      <c r="M13" s="144">
        <v>0.16</v>
      </c>
      <c r="N13" s="144">
        <f t="shared" si="17"/>
        <v>488.49</v>
      </c>
      <c r="O13" s="144">
        <v>0.08</v>
      </c>
      <c r="P13" s="144">
        <f t="shared" si="18"/>
        <v>244.24</v>
      </c>
      <c r="Q13" s="144">
        <v>3053.05</v>
      </c>
      <c r="R13" s="144">
        <v>0.06</v>
      </c>
      <c r="S13" s="144">
        <f t="shared" si="19"/>
        <v>183.18</v>
      </c>
      <c r="T13" s="144">
        <v>0.02</v>
      </c>
      <c r="U13" s="144">
        <f t="shared" si="20"/>
        <v>61.06</v>
      </c>
      <c r="V13" s="144">
        <v>3053.05</v>
      </c>
      <c r="W13" s="144">
        <v>7.0000000000000001E-3</v>
      </c>
      <c r="X13" s="144">
        <f t="shared" si="21"/>
        <v>21.37</v>
      </c>
      <c r="Y13" s="144">
        <v>3.0000000000000001E-3</v>
      </c>
      <c r="Z13" s="144">
        <f t="shared" si="22"/>
        <v>9.16</v>
      </c>
      <c r="AA13" s="144">
        <v>3053.05</v>
      </c>
      <c r="AB13" s="144">
        <v>7.0000000000000001E-3</v>
      </c>
      <c r="AC13" s="144">
        <f t="shared" si="23"/>
        <v>21.37</v>
      </c>
      <c r="AD13" s="144">
        <v>3053.05</v>
      </c>
      <c r="AE13" s="144">
        <v>2E-3</v>
      </c>
      <c r="AF13" s="144">
        <f t="shared" si="6"/>
        <v>6.11</v>
      </c>
      <c r="AG13" s="144" t="s">
        <v>93</v>
      </c>
      <c r="AH13" s="144">
        <v>0.05</v>
      </c>
      <c r="AI13" s="144">
        <f t="shared" si="24"/>
        <v>79</v>
      </c>
      <c r="AJ13" s="144">
        <v>0.05</v>
      </c>
      <c r="AK13" s="144">
        <f t="shared" si="25"/>
        <v>79</v>
      </c>
      <c r="AL13" s="175"/>
      <c r="AM13" s="144"/>
      <c r="AN13" s="144"/>
      <c r="AO13" s="144"/>
      <c r="AP13" s="124"/>
      <c r="AQ13" s="179"/>
      <c r="AR13" s="179"/>
      <c r="AS13" s="180">
        <f t="shared" si="7"/>
        <v>720.52</v>
      </c>
      <c r="AT13" s="180">
        <f t="shared" si="8"/>
        <v>314.45999999999998</v>
      </c>
      <c r="AU13" s="180">
        <f t="shared" si="9"/>
        <v>79</v>
      </c>
      <c r="AV13" s="180">
        <f t="shared" si="10"/>
        <v>79</v>
      </c>
      <c r="AW13" s="180">
        <f t="shared" si="11"/>
        <v>1192.98</v>
      </c>
      <c r="AX13" s="339">
        <f t="shared" si="12"/>
        <v>1034.98</v>
      </c>
      <c r="AY13" s="339"/>
      <c r="AZ13" s="339">
        <f t="shared" si="26"/>
        <v>158</v>
      </c>
      <c r="BA13" s="339"/>
      <c r="BB13" s="189">
        <v>80</v>
      </c>
      <c r="BC13" s="188">
        <f t="shared" si="14"/>
        <v>1272.98</v>
      </c>
      <c r="BD13" s="192"/>
      <c r="BE13" s="205"/>
      <c r="BF13" s="205"/>
      <c r="BG13" s="205"/>
      <c r="BH13" s="205"/>
    </row>
    <row r="14" spans="1:60" s="137" customFormat="1" ht="18" customHeight="1">
      <c r="A14" s="144"/>
      <c r="B14" s="124" t="s">
        <v>68</v>
      </c>
      <c r="C14" s="114" t="s">
        <v>89</v>
      </c>
      <c r="D14" s="123" t="s">
        <v>70</v>
      </c>
      <c r="E14" s="124" t="s">
        <v>80</v>
      </c>
      <c r="F14" s="125" t="s">
        <v>90</v>
      </c>
      <c r="G14" s="126" t="s">
        <v>91</v>
      </c>
      <c r="H14" s="123" t="s">
        <v>92</v>
      </c>
      <c r="I14" s="123" t="s">
        <v>92</v>
      </c>
      <c r="J14" s="123" t="s">
        <v>94</v>
      </c>
      <c r="K14" s="123" t="s">
        <v>94</v>
      </c>
      <c r="L14" s="144">
        <v>3053.05</v>
      </c>
      <c r="M14" s="144">
        <v>0.16</v>
      </c>
      <c r="N14" s="144">
        <f t="shared" si="17"/>
        <v>488.49</v>
      </c>
      <c r="O14" s="144">
        <v>0.08</v>
      </c>
      <c r="P14" s="144">
        <f t="shared" si="18"/>
        <v>244.24</v>
      </c>
      <c r="Q14" s="144">
        <v>3053.05</v>
      </c>
      <c r="R14" s="144">
        <v>0.06</v>
      </c>
      <c r="S14" s="144">
        <f t="shared" si="19"/>
        <v>183.18</v>
      </c>
      <c r="T14" s="144">
        <v>0.02</v>
      </c>
      <c r="U14" s="144">
        <f t="shared" si="20"/>
        <v>61.06</v>
      </c>
      <c r="V14" s="144">
        <v>3053.05</v>
      </c>
      <c r="W14" s="144">
        <v>7.0000000000000001E-3</v>
      </c>
      <c r="X14" s="144">
        <f t="shared" si="21"/>
        <v>21.37</v>
      </c>
      <c r="Y14" s="144">
        <v>3.0000000000000001E-3</v>
      </c>
      <c r="Z14" s="144">
        <f t="shared" si="22"/>
        <v>9.16</v>
      </c>
      <c r="AA14" s="144">
        <v>3053.05</v>
      </c>
      <c r="AB14" s="144">
        <v>7.0000000000000001E-3</v>
      </c>
      <c r="AC14" s="144">
        <f t="shared" si="23"/>
        <v>21.37</v>
      </c>
      <c r="AD14" s="144">
        <v>3053.05</v>
      </c>
      <c r="AE14" s="144">
        <v>2E-3</v>
      </c>
      <c r="AF14" s="144">
        <f t="shared" si="6"/>
        <v>6.11</v>
      </c>
      <c r="AG14" s="144" t="s">
        <v>93</v>
      </c>
      <c r="AH14" s="144">
        <v>0.05</v>
      </c>
      <c r="AI14" s="144">
        <f t="shared" si="24"/>
        <v>79</v>
      </c>
      <c r="AJ14" s="144">
        <v>0.05</v>
      </c>
      <c r="AK14" s="144">
        <f t="shared" si="25"/>
        <v>79</v>
      </c>
      <c r="AL14" s="175"/>
      <c r="AM14" s="144"/>
      <c r="AN14" s="144"/>
      <c r="AO14" s="144"/>
      <c r="AP14" s="124"/>
      <c r="AQ14" s="179"/>
      <c r="AR14" s="179"/>
      <c r="AS14" s="180">
        <f t="shared" si="7"/>
        <v>720.52</v>
      </c>
      <c r="AT14" s="180">
        <f t="shared" si="8"/>
        <v>314.45999999999998</v>
      </c>
      <c r="AU14" s="180">
        <f t="shared" si="9"/>
        <v>79</v>
      </c>
      <c r="AV14" s="180">
        <f t="shared" si="10"/>
        <v>79</v>
      </c>
      <c r="AW14" s="180">
        <f t="shared" si="11"/>
        <v>1192.98</v>
      </c>
      <c r="AX14" s="339">
        <f t="shared" si="12"/>
        <v>1034.98</v>
      </c>
      <c r="AY14" s="339"/>
      <c r="AZ14" s="339">
        <f t="shared" si="26"/>
        <v>158</v>
      </c>
      <c r="BA14" s="339"/>
      <c r="BB14" s="189">
        <v>80</v>
      </c>
      <c r="BC14" s="188">
        <f t="shared" si="14"/>
        <v>1272.98</v>
      </c>
      <c r="BD14" s="192"/>
      <c r="BE14" s="205"/>
      <c r="BF14" s="205"/>
      <c r="BG14" s="205"/>
      <c r="BH14" s="205"/>
    </row>
    <row r="15" spans="1:60" s="208" customFormat="1" ht="18" customHeight="1">
      <c r="A15" s="209" t="s">
        <v>84</v>
      </c>
      <c r="B15" s="210" t="s">
        <v>68</v>
      </c>
      <c r="C15" s="109" t="s">
        <v>89</v>
      </c>
      <c r="D15" s="211" t="s">
        <v>70</v>
      </c>
      <c r="E15" s="210" t="s">
        <v>80</v>
      </c>
      <c r="F15" s="212" t="s">
        <v>90</v>
      </c>
      <c r="G15" s="213" t="s">
        <v>91</v>
      </c>
      <c r="H15" s="211" t="s">
        <v>92</v>
      </c>
      <c r="I15" s="211" t="s">
        <v>92</v>
      </c>
      <c r="J15" s="211" t="s">
        <v>92</v>
      </c>
      <c r="K15" s="211" t="s">
        <v>92</v>
      </c>
      <c r="L15" s="209">
        <v>3053.05</v>
      </c>
      <c r="M15" s="209">
        <v>0.16</v>
      </c>
      <c r="N15" s="209">
        <f t="shared" si="17"/>
        <v>488.49</v>
      </c>
      <c r="O15" s="209">
        <v>0.08</v>
      </c>
      <c r="P15" s="209">
        <f t="shared" si="18"/>
        <v>244.24</v>
      </c>
      <c r="Q15" s="209">
        <v>3053.05</v>
      </c>
      <c r="R15" s="209">
        <v>0.06</v>
      </c>
      <c r="S15" s="209">
        <f t="shared" si="19"/>
        <v>183.18</v>
      </c>
      <c r="T15" s="209">
        <v>0.02</v>
      </c>
      <c r="U15" s="209">
        <f t="shared" si="20"/>
        <v>61.06</v>
      </c>
      <c r="V15" s="209">
        <v>3053.05</v>
      </c>
      <c r="W15" s="209">
        <v>7.0000000000000001E-3</v>
      </c>
      <c r="X15" s="209">
        <f t="shared" si="21"/>
        <v>21.37</v>
      </c>
      <c r="Y15" s="209">
        <v>3.0000000000000001E-3</v>
      </c>
      <c r="Z15" s="209">
        <f t="shared" si="22"/>
        <v>9.16</v>
      </c>
      <c r="AA15" s="209">
        <v>3053.05</v>
      </c>
      <c r="AB15" s="209">
        <v>7.0000000000000001E-3</v>
      </c>
      <c r="AC15" s="209">
        <f t="shared" si="23"/>
        <v>21.37</v>
      </c>
      <c r="AD15" s="209">
        <v>3053.05</v>
      </c>
      <c r="AE15" s="209">
        <v>2E-3</v>
      </c>
      <c r="AF15" s="209">
        <f t="shared" si="6"/>
        <v>6.11</v>
      </c>
      <c r="AG15" s="209" t="s">
        <v>93</v>
      </c>
      <c r="AH15" s="209">
        <v>0.05</v>
      </c>
      <c r="AI15" s="209">
        <f t="shared" si="24"/>
        <v>79</v>
      </c>
      <c r="AJ15" s="209">
        <v>0.05</v>
      </c>
      <c r="AK15" s="209">
        <f t="shared" si="25"/>
        <v>79</v>
      </c>
      <c r="AL15" s="215"/>
      <c r="AM15" s="209"/>
      <c r="AN15" s="209"/>
      <c r="AO15" s="209"/>
      <c r="AP15" s="210"/>
      <c r="AQ15" s="216"/>
      <c r="AR15" s="216"/>
      <c r="AS15" s="217">
        <f t="shared" si="7"/>
        <v>720.52</v>
      </c>
      <c r="AT15" s="217">
        <f t="shared" si="8"/>
        <v>314.45999999999998</v>
      </c>
      <c r="AU15" s="217">
        <f t="shared" si="9"/>
        <v>79</v>
      </c>
      <c r="AV15" s="217">
        <f t="shared" si="10"/>
        <v>79</v>
      </c>
      <c r="AW15" s="217">
        <f t="shared" si="11"/>
        <v>1192.98</v>
      </c>
      <c r="AX15" s="340">
        <f t="shared" si="12"/>
        <v>1034.98</v>
      </c>
      <c r="AY15" s="340"/>
      <c r="AZ15" s="340">
        <f t="shared" si="26"/>
        <v>158</v>
      </c>
      <c r="BA15" s="340"/>
      <c r="BB15" s="219">
        <v>80</v>
      </c>
      <c r="BC15" s="218">
        <f t="shared" si="14"/>
        <v>1272.98</v>
      </c>
      <c r="BD15" s="220"/>
      <c r="BE15" s="222"/>
      <c r="BF15" s="222"/>
      <c r="BG15" s="222"/>
      <c r="BH15" s="222"/>
    </row>
    <row r="16" spans="1:60" s="139" customFormat="1" ht="18" customHeight="1">
      <c r="A16" s="151"/>
      <c r="B16" s="152"/>
      <c r="C16" s="153"/>
      <c r="D16" s="154"/>
      <c r="E16" s="155"/>
      <c r="F16" s="156"/>
      <c r="G16" s="157"/>
      <c r="H16" s="158"/>
      <c r="I16" s="154"/>
      <c r="J16" s="158"/>
      <c r="K16" s="158"/>
      <c r="L16" s="170"/>
      <c r="M16" s="170"/>
      <c r="N16" s="171"/>
      <c r="O16" s="170"/>
      <c r="P16" s="170"/>
      <c r="Q16" s="170"/>
      <c r="R16" s="170"/>
      <c r="S16" s="170"/>
      <c r="T16" s="170"/>
      <c r="U16" s="170"/>
      <c r="V16" s="173"/>
      <c r="W16" s="173"/>
      <c r="X16" s="174"/>
      <c r="Y16" s="173"/>
      <c r="Z16" s="170"/>
      <c r="AA16" s="170"/>
      <c r="AB16" s="170"/>
      <c r="AC16" s="170"/>
      <c r="AD16" s="170"/>
      <c r="AE16" s="170"/>
      <c r="AF16" s="171"/>
      <c r="AG16" s="170"/>
      <c r="AH16" s="170"/>
      <c r="AI16" s="170"/>
      <c r="AJ16" s="170"/>
      <c r="AK16" s="170"/>
      <c r="AL16" s="177"/>
      <c r="AM16" s="170"/>
      <c r="AN16" s="170"/>
      <c r="AO16" s="170"/>
      <c r="AP16" s="183"/>
      <c r="AQ16" s="184"/>
      <c r="AR16" s="170"/>
      <c r="AS16" s="185"/>
      <c r="AT16" s="185"/>
      <c r="AU16" s="185"/>
      <c r="AV16" s="185"/>
      <c r="AW16" s="185"/>
      <c r="AX16" s="194"/>
      <c r="AY16" s="195"/>
      <c r="AZ16" s="194"/>
      <c r="BA16" s="195"/>
      <c r="BB16" s="196"/>
      <c r="BC16" s="194"/>
      <c r="BD16" s="198"/>
      <c r="BE16" s="136"/>
      <c r="BF16" s="136"/>
      <c r="BG16" s="136"/>
      <c r="BH16" s="136"/>
    </row>
    <row r="17" spans="1:56" ht="14.25">
      <c r="A17" s="159" t="s">
        <v>95</v>
      </c>
      <c r="B17" s="160"/>
      <c r="C17" s="161"/>
      <c r="D17" s="161"/>
      <c r="E17" s="162"/>
      <c r="F17" s="161"/>
      <c r="G17" s="161"/>
      <c r="H17" s="161"/>
      <c r="I17" s="161"/>
      <c r="J17" s="161"/>
      <c r="K17" s="161"/>
      <c r="L17" s="162">
        <f t="shared" ref="L17:BC17" si="27">SUM(L3:L15)</f>
        <v>33521.199999999997</v>
      </c>
      <c r="M17" s="162">
        <f t="shared" si="27"/>
        <v>1.54</v>
      </c>
      <c r="N17" s="162">
        <f t="shared" si="27"/>
        <v>5135.22</v>
      </c>
      <c r="O17" s="162">
        <f t="shared" si="27"/>
        <v>0.8</v>
      </c>
      <c r="P17" s="162">
        <f t="shared" si="27"/>
        <v>2681.68</v>
      </c>
      <c r="Q17" s="162">
        <f t="shared" si="27"/>
        <v>40637.199999999997</v>
      </c>
      <c r="R17" s="162">
        <f t="shared" si="27"/>
        <v>0.64500000000000002</v>
      </c>
      <c r="S17" s="162">
        <f t="shared" si="27"/>
        <v>2543.61</v>
      </c>
      <c r="T17" s="162">
        <f t="shared" si="27"/>
        <v>0.2</v>
      </c>
      <c r="U17" s="162">
        <f t="shared" si="27"/>
        <v>812.74</v>
      </c>
      <c r="V17" s="162">
        <f t="shared" si="27"/>
        <v>33521.199999999997</v>
      </c>
      <c r="W17" s="162">
        <f t="shared" si="27"/>
        <v>5.8599999999999999E-2</v>
      </c>
      <c r="X17" s="162">
        <f t="shared" si="27"/>
        <v>191.29</v>
      </c>
      <c r="Y17" s="162">
        <f t="shared" si="27"/>
        <v>2.7E-2</v>
      </c>
      <c r="Z17" s="162">
        <f t="shared" si="27"/>
        <v>89.17</v>
      </c>
      <c r="AA17" s="162">
        <f t="shared" si="27"/>
        <v>30737.200000000001</v>
      </c>
      <c r="AB17" s="162">
        <f t="shared" si="27"/>
        <v>5.3499999999999999E-2</v>
      </c>
      <c r="AC17" s="162">
        <f t="shared" si="27"/>
        <v>242.95</v>
      </c>
      <c r="AD17" s="162">
        <f t="shared" si="27"/>
        <v>35930.199999999997</v>
      </c>
      <c r="AE17" s="162">
        <f t="shared" si="27"/>
        <v>2.3599999999999999E-2</v>
      </c>
      <c r="AF17" s="162">
        <f t="shared" si="27"/>
        <v>66.319999999999993</v>
      </c>
      <c r="AG17" s="162">
        <f t="shared" si="27"/>
        <v>9000</v>
      </c>
      <c r="AH17" s="162">
        <f t="shared" si="27"/>
        <v>0.5</v>
      </c>
      <c r="AI17" s="162">
        <f t="shared" si="27"/>
        <v>1216</v>
      </c>
      <c r="AJ17" s="162">
        <f t="shared" si="27"/>
        <v>0.38</v>
      </c>
      <c r="AK17" s="162">
        <f t="shared" si="27"/>
        <v>856</v>
      </c>
      <c r="AL17" s="162">
        <f t="shared" si="27"/>
        <v>0</v>
      </c>
      <c r="AM17" s="162">
        <f t="shared" si="27"/>
        <v>0</v>
      </c>
      <c r="AN17" s="162">
        <f t="shared" si="27"/>
        <v>0</v>
      </c>
      <c r="AO17" s="162">
        <f t="shared" si="27"/>
        <v>0</v>
      </c>
      <c r="AP17" s="162">
        <f t="shared" si="27"/>
        <v>0</v>
      </c>
      <c r="AQ17" s="162">
        <f t="shared" si="27"/>
        <v>95.28</v>
      </c>
      <c r="AR17" s="162">
        <f t="shared" si="27"/>
        <v>96</v>
      </c>
      <c r="AS17" s="162">
        <f t="shared" si="27"/>
        <v>8274.67</v>
      </c>
      <c r="AT17" s="162">
        <f t="shared" si="27"/>
        <v>3583.59</v>
      </c>
      <c r="AU17" s="162">
        <f t="shared" si="27"/>
        <v>1216</v>
      </c>
      <c r="AV17" s="162">
        <f t="shared" si="27"/>
        <v>856</v>
      </c>
      <c r="AW17" s="162">
        <f t="shared" si="27"/>
        <v>13930.26</v>
      </c>
      <c r="AX17" s="162">
        <f t="shared" si="27"/>
        <v>11858.26</v>
      </c>
      <c r="AY17" s="162">
        <f t="shared" si="27"/>
        <v>0</v>
      </c>
      <c r="AZ17" s="162">
        <f t="shared" si="27"/>
        <v>2072</v>
      </c>
      <c r="BA17" s="162">
        <f t="shared" si="27"/>
        <v>0</v>
      </c>
      <c r="BB17" s="162">
        <f t="shared" si="27"/>
        <v>800</v>
      </c>
      <c r="BC17" s="162">
        <f t="shared" si="27"/>
        <v>14730.26</v>
      </c>
      <c r="BD17" s="199"/>
    </row>
    <row r="18" spans="1:56" ht="14.25">
      <c r="A18" s="163" t="s">
        <v>55</v>
      </c>
      <c r="B18" s="164"/>
      <c r="C18" s="165"/>
      <c r="D18" s="165"/>
      <c r="E18" s="166"/>
      <c r="F18" s="166"/>
      <c r="G18" s="166"/>
      <c r="H18" s="166"/>
      <c r="I18" s="166"/>
      <c r="J18" s="166"/>
      <c r="K18" s="166"/>
      <c r="L18" s="172">
        <f t="shared" ref="L18:AX18" si="28">SUM(L17:L17)</f>
        <v>33521.199999999997</v>
      </c>
      <c r="M18" s="172">
        <f t="shared" si="28"/>
        <v>1.54</v>
      </c>
      <c r="N18" s="172">
        <f t="shared" si="28"/>
        <v>5135.22</v>
      </c>
      <c r="O18" s="172">
        <f t="shared" si="28"/>
        <v>0.8</v>
      </c>
      <c r="P18" s="172">
        <f t="shared" si="28"/>
        <v>2681.68</v>
      </c>
      <c r="Q18" s="172">
        <f t="shared" si="28"/>
        <v>40637.199999999997</v>
      </c>
      <c r="R18" s="172">
        <f t="shared" si="28"/>
        <v>0.64500000000000002</v>
      </c>
      <c r="S18" s="172">
        <f t="shared" si="28"/>
        <v>2543.61</v>
      </c>
      <c r="T18" s="172">
        <f t="shared" si="28"/>
        <v>0.2</v>
      </c>
      <c r="U18" s="172">
        <f t="shared" si="28"/>
        <v>812.74</v>
      </c>
      <c r="V18" s="172">
        <f t="shared" si="28"/>
        <v>33521.199999999997</v>
      </c>
      <c r="W18" s="172">
        <f t="shared" si="28"/>
        <v>5.8599999999999999E-2</v>
      </c>
      <c r="X18" s="172">
        <f t="shared" si="28"/>
        <v>191.29</v>
      </c>
      <c r="Y18" s="172">
        <f t="shared" si="28"/>
        <v>2.7E-2</v>
      </c>
      <c r="Z18" s="172">
        <f t="shared" si="28"/>
        <v>89.17</v>
      </c>
      <c r="AA18" s="172">
        <f t="shared" si="28"/>
        <v>30737.200000000001</v>
      </c>
      <c r="AB18" s="172">
        <f t="shared" si="28"/>
        <v>5.3499999999999999E-2</v>
      </c>
      <c r="AC18" s="172">
        <f t="shared" si="28"/>
        <v>242.95</v>
      </c>
      <c r="AD18" s="172">
        <f t="shared" si="28"/>
        <v>35930.199999999997</v>
      </c>
      <c r="AE18" s="172">
        <f t="shared" si="28"/>
        <v>2.3599999999999999E-2</v>
      </c>
      <c r="AF18" s="172">
        <f t="shared" si="28"/>
        <v>66.319999999999993</v>
      </c>
      <c r="AG18" s="172">
        <f t="shared" si="28"/>
        <v>9000</v>
      </c>
      <c r="AH18" s="172">
        <f t="shared" si="28"/>
        <v>0.5</v>
      </c>
      <c r="AI18" s="172">
        <f t="shared" si="28"/>
        <v>1216</v>
      </c>
      <c r="AJ18" s="172">
        <f t="shared" si="28"/>
        <v>0.38</v>
      </c>
      <c r="AK18" s="172">
        <f t="shared" si="28"/>
        <v>856</v>
      </c>
      <c r="AL18" s="172">
        <f t="shared" si="28"/>
        <v>0</v>
      </c>
      <c r="AM18" s="172">
        <f t="shared" si="28"/>
        <v>0</v>
      </c>
      <c r="AN18" s="172">
        <f t="shared" si="28"/>
        <v>0</v>
      </c>
      <c r="AO18" s="172">
        <f t="shared" si="28"/>
        <v>0</v>
      </c>
      <c r="AP18" s="172">
        <f t="shared" si="28"/>
        <v>0</v>
      </c>
      <c r="AQ18" s="172">
        <f t="shared" si="28"/>
        <v>95.28</v>
      </c>
      <c r="AR18" s="172">
        <f t="shared" si="28"/>
        <v>96</v>
      </c>
      <c r="AS18" s="186">
        <f t="shared" si="28"/>
        <v>8274.67</v>
      </c>
      <c r="AT18" s="186">
        <f t="shared" si="28"/>
        <v>3583.59</v>
      </c>
      <c r="AU18" s="186">
        <f t="shared" si="28"/>
        <v>1216</v>
      </c>
      <c r="AV18" s="186">
        <f t="shared" si="28"/>
        <v>856</v>
      </c>
      <c r="AW18" s="186">
        <f t="shared" si="28"/>
        <v>13930.26</v>
      </c>
      <c r="AX18" s="341">
        <f t="shared" si="28"/>
        <v>11858.26</v>
      </c>
      <c r="AY18" s="341"/>
      <c r="AZ18" s="341">
        <f t="shared" ref="AZ18:BC18" si="29">SUM(AZ17:AZ17)</f>
        <v>2072</v>
      </c>
      <c r="BA18" s="341"/>
      <c r="BB18" s="172">
        <f t="shared" si="29"/>
        <v>800</v>
      </c>
      <c r="BC18" s="172">
        <f t="shared" si="29"/>
        <v>14730.26</v>
      </c>
      <c r="BD18" s="200"/>
    </row>
    <row r="19" spans="1:56" s="140" customFormat="1">
      <c r="A19" s="167"/>
      <c r="B19" s="167"/>
      <c r="C19" s="167"/>
      <c r="D19" s="167"/>
      <c r="E19" s="167"/>
      <c r="F19" s="168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87"/>
      <c r="AT19" s="187"/>
      <c r="AU19" s="187"/>
      <c r="AV19" s="187"/>
      <c r="AW19" s="187"/>
      <c r="AX19" s="167"/>
      <c r="AY19" s="167"/>
      <c r="AZ19" s="167"/>
      <c r="BA19" s="167"/>
      <c r="BB19" s="167"/>
      <c r="BC19" s="167"/>
      <c r="BD19" s="201"/>
    </row>
    <row r="20" spans="1:56" s="141" customFormat="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36"/>
      <c r="AK20" s="136"/>
      <c r="AL20" s="136"/>
      <c r="AM20" s="136"/>
      <c r="AN20" s="136"/>
      <c r="AO20" s="136"/>
      <c r="AP20" s="136"/>
      <c r="AQ20" s="136"/>
      <c r="AR20" s="136"/>
      <c r="AS20" s="142"/>
      <c r="AT20" s="142"/>
      <c r="AU20" s="142"/>
      <c r="AV20" s="142"/>
      <c r="AW20" s="142"/>
      <c r="AX20" s="136"/>
      <c r="AY20" s="136"/>
      <c r="AZ20" s="136"/>
      <c r="BA20" s="136"/>
      <c r="BB20" s="136"/>
      <c r="BC20" s="136"/>
      <c r="BD20" s="143"/>
    </row>
    <row r="22" spans="1:56">
      <c r="AX22" s="342"/>
      <c r="AY22" s="342"/>
      <c r="BC22" s="202"/>
    </row>
  </sheetData>
  <mergeCells count="54">
    <mergeCell ref="K1:K2"/>
    <mergeCell ref="BB1:BB2"/>
    <mergeCell ref="BC1:BC2"/>
    <mergeCell ref="BD1:BD2"/>
    <mergeCell ref="AX1:AY2"/>
    <mergeCell ref="AZ1:BA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15:AY15"/>
    <mergeCell ref="AZ15:BA15"/>
    <mergeCell ref="AX18:AY18"/>
    <mergeCell ref="AZ18:BA18"/>
    <mergeCell ref="AX22:AY22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AX3:AY3"/>
    <mergeCell ref="L1:P1"/>
    <mergeCell ref="Q1:U1"/>
    <mergeCell ref="V1:Z1"/>
    <mergeCell ref="AA1:AC1"/>
    <mergeCell ref="AD1:AF1"/>
  </mergeCells>
  <phoneticPr fontId="112" type="noConversion"/>
  <conditionalFormatting sqref="H1:I1">
    <cfRule type="expression" dxfId="99" priority="1" stopIfTrue="1">
      <formula>AND(COUNTIF($J$1:$J$1,H1)&gt;1,NOT(ISBLANK(H1)))</formula>
    </cfRule>
  </conditionalFormatting>
  <conditionalFormatting sqref="J1">
    <cfRule type="duplicateValues" dxfId="98" priority="2" stopIfTrue="1"/>
  </conditionalFormatting>
  <conditionalFormatting sqref="K1:L1">
    <cfRule type="duplicateValues" dxfId="97" priority="3" stopIfTrue="1"/>
  </conditionalFormatting>
  <conditionalFormatting sqref="Q1">
    <cfRule type="duplicateValues" dxfId="96" priority="4" stopIfTrue="1"/>
  </conditionalFormatting>
  <conditionalFormatting sqref="V1">
    <cfRule type="duplicateValues" dxfId="95" priority="5" stopIfTrue="1"/>
  </conditionalFormatting>
  <conditionalFormatting sqref="AG1">
    <cfRule type="duplicateValues" dxfId="94" priority="6" stopIfTrue="1"/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N19" sqref="N19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9.7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4.12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4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143</v>
      </c>
      <c r="C4" s="207" t="s">
        <v>72</v>
      </c>
      <c r="D4" s="32" t="s">
        <v>144</v>
      </c>
      <c r="E4" s="94" t="s">
        <v>73</v>
      </c>
      <c r="F4" s="33" t="str">
        <f t="shared" ref="F4:F7" si="0">IF(MOD(MID(E4,17,1),2)=1,"男","女")</f>
        <v>男</v>
      </c>
      <c r="G4" s="34">
        <v>18035163638</v>
      </c>
      <c r="H4" s="95"/>
      <c r="I4" s="95"/>
      <c r="J4" s="96"/>
      <c r="K4" s="95"/>
      <c r="L4" s="60">
        <v>7700</v>
      </c>
      <c r="M4" s="60">
        <v>264</v>
      </c>
      <c r="N4" s="60">
        <v>66</v>
      </c>
      <c r="O4" s="60">
        <v>9.9</v>
      </c>
      <c r="P4" s="60">
        <v>180</v>
      </c>
      <c r="Q4" s="76">
        <f t="shared" ref="Q4:Q7" si="1">ROUND(SUM(M4:P4),2)</f>
        <v>519.9</v>
      </c>
      <c r="R4" s="62">
        <v>0</v>
      </c>
      <c r="S4" s="77">
        <f>L4+IFERROR(VLOOKUP($E:$E,'（居民）工资表-4月'!$E:$S,15,0),0)</f>
        <v>7700</v>
      </c>
      <c r="T4" s="78">
        <f>5000+IFERROR(VLOOKUP($E:$E,'（居民）工资表-4月'!$E:$T,16,0),0)</f>
        <v>5000</v>
      </c>
      <c r="U4" s="78">
        <f>Q4+IFERROR(VLOOKUP($E:$E,'（居民）工资表-4月'!$E:$U,17,0),0)</f>
        <v>519.9</v>
      </c>
      <c r="V4" s="62"/>
      <c r="W4" s="62"/>
      <c r="X4" s="62">
        <v>5000</v>
      </c>
      <c r="Y4" s="62"/>
      <c r="Z4" s="62"/>
      <c r="AA4" s="62"/>
      <c r="AB4" s="77">
        <f t="shared" ref="AB4:AB7" si="2">ROUND(SUM(V4:AA4),2)</f>
        <v>5000</v>
      </c>
      <c r="AC4" s="77">
        <f>R4+IFERROR(VLOOKUP($E:$E,'（居民）工资表-4月'!$E:$AC,25,0),0)</f>
        <v>0</v>
      </c>
      <c r="AD4" s="79">
        <f t="shared" ref="AD4:AD7" si="3">ROUND(S4-T4-U4-AB4-AC4,2)</f>
        <v>-2819.9</v>
      </c>
      <c r="AE4" s="80">
        <f>ROUND(MAX((AD4)*{0.03;0.1;0.2;0.25;0.3;0.35;0.45}-{0;2520;16920;31920;52920;85920;181920},0),2)</f>
        <v>0</v>
      </c>
      <c r="AF4" s="81">
        <f>IFERROR(VLOOKUP(E:E,'（居民）工资表-4月'!E:AF,28,0)+VLOOKUP(E:E,'（居民）工资表-4月'!E:AG,29,0),0)</f>
        <v>0</v>
      </c>
      <c r="AG4" s="81">
        <f t="shared" ref="AG4:AG7" si="4">IF((AE4-AF4)&lt;0,0,AE4-AF4)</f>
        <v>0</v>
      </c>
      <c r="AH4" s="84">
        <f t="shared" ref="AH4:AH7" si="5">ROUND(IF((L4-Q4-AG4)&lt;0,0,(L4-Q4-AG4)),2)</f>
        <v>7180.1</v>
      </c>
      <c r="AI4" s="85"/>
      <c r="AJ4" s="84">
        <f t="shared" ref="AJ4:AJ7" si="6">AH4+AI4</f>
        <v>7180.1</v>
      </c>
      <c r="AK4" s="86"/>
      <c r="AL4" s="84">
        <f t="shared" ref="AL4:AL7" si="7">AJ4+AG4+AK4</f>
        <v>7180.1</v>
      </c>
      <c r="AM4" s="86"/>
      <c r="AN4" s="86"/>
      <c r="AO4" s="86"/>
      <c r="AP4" s="86"/>
      <c r="AQ4" s="86"/>
      <c r="AR4" s="91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IF(SUMPRODUCT(N(E$1:E$7=E4))&gt;1,"重复","不")</f>
        <v>不</v>
      </c>
      <c r="AT4" s="91" t="str">
        <f>IF(SUMPRODUCT(N(AO$1:AO$7=AO4))&gt;1,"重复","不")</f>
        <v>重复</v>
      </c>
    </row>
    <row r="5" spans="1:46" s="17" customFormat="1" ht="18" customHeight="1">
      <c r="A5" s="31">
        <v>2</v>
      </c>
      <c r="B5" s="32" t="s">
        <v>143</v>
      </c>
      <c r="C5" s="93" t="s">
        <v>81</v>
      </c>
      <c r="D5" s="32" t="s">
        <v>144</v>
      </c>
      <c r="E5" s="284" t="s">
        <v>82</v>
      </c>
      <c r="F5" s="33" t="str">
        <f t="shared" si="0"/>
        <v>女</v>
      </c>
      <c r="G5" s="34">
        <v>13926009696</v>
      </c>
      <c r="H5" s="95"/>
      <c r="I5" s="95"/>
      <c r="J5" s="96"/>
      <c r="K5" s="95"/>
      <c r="L5" s="60">
        <v>5800</v>
      </c>
      <c r="M5" s="60">
        <v>304.24</v>
      </c>
      <c r="N5" s="60">
        <v>123.5</v>
      </c>
      <c r="O5" s="60">
        <v>7.61</v>
      </c>
      <c r="P5" s="60">
        <v>0</v>
      </c>
      <c r="Q5" s="76">
        <f t="shared" si="1"/>
        <v>435.35</v>
      </c>
      <c r="R5" s="62">
        <v>0</v>
      </c>
      <c r="S5" s="77">
        <f>L5+IFERROR(VLOOKUP($E:$E,'（居民）工资表-4月'!$E:$S,15,0),0)</f>
        <v>5800</v>
      </c>
      <c r="T5" s="78">
        <f>5000+IFERROR(VLOOKUP($E:$E,'（居民）工资表-4月'!$E:$T,16,0),0)</f>
        <v>5000</v>
      </c>
      <c r="U5" s="78">
        <f>Q5+IFERROR(VLOOKUP($E:$E,'（居民）工资表-4月'!$E:$U,17,0),0)</f>
        <v>435.35</v>
      </c>
      <c r="V5" s="62"/>
      <c r="W5" s="62"/>
      <c r="X5" s="62"/>
      <c r="Y5" s="62"/>
      <c r="Z5" s="62"/>
      <c r="AA5" s="62"/>
      <c r="AB5" s="77">
        <f t="shared" si="2"/>
        <v>0</v>
      </c>
      <c r="AC5" s="77">
        <f>R5+IFERROR(VLOOKUP($E:$E,'（居民）工资表-4月'!$E:$AC,25,0),0)</f>
        <v>0</v>
      </c>
      <c r="AD5" s="79">
        <f t="shared" si="3"/>
        <v>364.65</v>
      </c>
      <c r="AE5" s="80">
        <f>ROUND(MAX((AD5)*{0.03;0.1;0.2;0.25;0.3;0.35;0.45}-{0;2520;16920;31920;52920;85920;181920},0),2)</f>
        <v>10.94</v>
      </c>
      <c r="AF5" s="81">
        <f>IFERROR(VLOOKUP(E:E,'（居民）工资表-4月'!E:AF,28,0)+VLOOKUP(E:E,'（居民）工资表-4月'!E:AG,29,0),0)</f>
        <v>0</v>
      </c>
      <c r="AG5" s="81">
        <f t="shared" si="4"/>
        <v>10.94</v>
      </c>
      <c r="AH5" s="84">
        <f t="shared" si="5"/>
        <v>5353.71</v>
      </c>
      <c r="AI5" s="85"/>
      <c r="AJ5" s="84">
        <f t="shared" si="6"/>
        <v>5353.71</v>
      </c>
      <c r="AK5" s="86"/>
      <c r="AL5" s="84">
        <f t="shared" si="7"/>
        <v>5364.65</v>
      </c>
      <c r="AM5" s="86"/>
      <c r="AN5" s="86"/>
      <c r="AO5" s="86"/>
      <c r="AP5" s="86"/>
      <c r="AQ5" s="86"/>
      <c r="AR5" s="91" t="str">
        <f t="shared" si="8"/>
        <v>正确</v>
      </c>
      <c r="AS5" s="91" t="str">
        <f>IF(SUMPRODUCT(N(E$1:E$7=E5))&gt;1,"重复","不")</f>
        <v>不</v>
      </c>
      <c r="AT5" s="91" t="str">
        <f>IF(SUMPRODUCT(N(AO$1:AO$7=AO5))&gt;1,"重复","不")</f>
        <v>重复</v>
      </c>
    </row>
    <row r="6" spans="1:46" s="17" customFormat="1" ht="18" customHeight="1">
      <c r="A6" s="31">
        <v>3</v>
      </c>
      <c r="B6" s="32" t="s">
        <v>143</v>
      </c>
      <c r="C6" s="32" t="s">
        <v>90</v>
      </c>
      <c r="D6" s="32" t="s">
        <v>144</v>
      </c>
      <c r="E6" s="32" t="s">
        <v>91</v>
      </c>
      <c r="F6" s="33" t="str">
        <f t="shared" si="0"/>
        <v>男</v>
      </c>
      <c r="G6" s="36">
        <v>13944441728</v>
      </c>
      <c r="H6" s="35"/>
      <c r="I6" s="35"/>
      <c r="J6" s="59"/>
      <c r="K6" s="35"/>
      <c r="L6" s="62">
        <v>8120</v>
      </c>
      <c r="M6" s="61">
        <f>244.24*2</f>
        <v>488.48</v>
      </c>
      <c r="N6" s="61">
        <f>61.06*2</f>
        <v>122.12</v>
      </c>
      <c r="O6" s="61">
        <f>9.16*2</f>
        <v>18.32</v>
      </c>
      <c r="P6" s="61">
        <f>79*2</f>
        <v>158</v>
      </c>
      <c r="Q6" s="76">
        <f t="shared" si="1"/>
        <v>786.92</v>
      </c>
      <c r="R6" s="62">
        <v>0</v>
      </c>
      <c r="S6" s="77">
        <f>L6+IFERROR(VLOOKUP($E:$E,'（居民）工资表-4月'!$E:$S,15,0),0)</f>
        <v>8120</v>
      </c>
      <c r="T6" s="78">
        <f>5000+IFERROR(VLOOKUP($E:$E,'（居民）工资表-4月'!$E:$T,16,0),0)</f>
        <v>5000</v>
      </c>
      <c r="U6" s="78">
        <f>Q6+IFERROR(VLOOKUP($E:$E,'（居民）工资表-4月'!$E:$U,17,0),0)</f>
        <v>786.92</v>
      </c>
      <c r="V6" s="62"/>
      <c r="W6" s="62"/>
      <c r="X6" s="62"/>
      <c r="Y6" s="62"/>
      <c r="Z6" s="62"/>
      <c r="AA6" s="62"/>
      <c r="AB6" s="77">
        <f t="shared" si="2"/>
        <v>0</v>
      </c>
      <c r="AC6" s="77">
        <f>R6+IFERROR(VLOOKUP($E:$E,'（居民）工资表-4月'!$E:$AC,25,0),0)</f>
        <v>0</v>
      </c>
      <c r="AD6" s="79">
        <f t="shared" si="3"/>
        <v>2333.08</v>
      </c>
      <c r="AE6" s="80">
        <f>ROUND(MAX((AD6)*{0.03;0.1;0.2;0.25;0.3;0.35;0.45}-{0;2520;16920;31920;52920;85920;181920},0),2)</f>
        <v>69.989999999999995</v>
      </c>
      <c r="AF6" s="81">
        <f>IFERROR(VLOOKUP(E:E,'（居民）工资表-4月'!E:AF,28,0)+VLOOKUP(E:E,'（居民）工资表-4月'!E:AG,29,0),0)</f>
        <v>0</v>
      </c>
      <c r="AG6" s="81">
        <f t="shared" si="4"/>
        <v>69.989999999999995</v>
      </c>
      <c r="AH6" s="84">
        <f t="shared" si="5"/>
        <v>7263.09</v>
      </c>
      <c r="AI6" s="85"/>
      <c r="AJ6" s="84">
        <f t="shared" si="6"/>
        <v>7263.09</v>
      </c>
      <c r="AK6" s="86"/>
      <c r="AL6" s="84">
        <f t="shared" si="7"/>
        <v>7333.08</v>
      </c>
      <c r="AM6" s="86"/>
      <c r="AN6" s="86"/>
      <c r="AO6" s="86"/>
      <c r="AP6" s="86"/>
      <c r="AQ6" s="86"/>
      <c r="AR6" s="91" t="str">
        <f t="shared" si="8"/>
        <v>正确</v>
      </c>
      <c r="AS6" s="91" t="str">
        <f>IF(SUMPRODUCT(N(E$1:E$7=E6))&gt;1,"重复","不")</f>
        <v>不</v>
      </c>
      <c r="AT6" s="91" t="str">
        <f>IF(SUMPRODUCT(N(AO$1:AO$7=AO6))&gt;1,"重复","不")</f>
        <v>重复</v>
      </c>
    </row>
    <row r="7" spans="1:46" s="17" customFormat="1" ht="18" customHeight="1">
      <c r="A7" s="31">
        <v>4</v>
      </c>
      <c r="B7" s="32" t="s">
        <v>143</v>
      </c>
      <c r="C7" s="32" t="s">
        <v>145</v>
      </c>
      <c r="D7" s="32" t="s">
        <v>144</v>
      </c>
      <c r="E7" s="285" t="s">
        <v>146</v>
      </c>
      <c r="F7" s="33" t="str">
        <f t="shared" si="0"/>
        <v>男</v>
      </c>
      <c r="G7" s="36"/>
      <c r="H7" s="35"/>
      <c r="I7" s="35"/>
      <c r="J7" s="59"/>
      <c r="K7" s="35"/>
      <c r="L7" s="62">
        <v>11904.76</v>
      </c>
      <c r="M7" s="61"/>
      <c r="N7" s="61"/>
      <c r="O7" s="61"/>
      <c r="P7" s="61"/>
      <c r="Q7" s="76">
        <f t="shared" si="1"/>
        <v>0</v>
      </c>
      <c r="R7" s="62">
        <v>0</v>
      </c>
      <c r="S7" s="77">
        <f>L7+IFERROR(VLOOKUP($E:$E,'（居民）工资表-4月'!$E:$S,15,0),0)</f>
        <v>11904.76</v>
      </c>
      <c r="T7" s="78">
        <f>5000+IFERROR(VLOOKUP($E:$E,'（居民）工资表-4月'!$E:$T,16,0),0)</f>
        <v>5000</v>
      </c>
      <c r="U7" s="78">
        <f>Q7+IFERROR(VLOOKUP($E:$E,'（居民）工资表-4月'!$E:$U,17,0),0)</f>
        <v>0</v>
      </c>
      <c r="V7" s="62"/>
      <c r="W7" s="62"/>
      <c r="X7" s="62"/>
      <c r="Y7" s="62"/>
      <c r="Z7" s="62"/>
      <c r="AA7" s="62"/>
      <c r="AB7" s="77">
        <f t="shared" si="2"/>
        <v>0</v>
      </c>
      <c r="AC7" s="77">
        <f>R7+IFERROR(VLOOKUP($E:$E,'（居民）工资表-4月'!$E:$AC,25,0),0)</f>
        <v>0</v>
      </c>
      <c r="AD7" s="79">
        <f t="shared" si="3"/>
        <v>6904.76</v>
      </c>
      <c r="AE7" s="80">
        <f>ROUND(MAX((AD7)*{0.03;0.1;0.2;0.25;0.3;0.35;0.45}-{0;2520;16920;31920;52920;85920;181920},0),2)</f>
        <v>207.14</v>
      </c>
      <c r="AF7" s="81">
        <f>IFERROR(VLOOKUP(E:E,'（居民）工资表-4月'!E:AF,28,0)+VLOOKUP(E:E,'（居民）工资表-4月'!E:AG,29,0),0)</f>
        <v>0</v>
      </c>
      <c r="AG7" s="81">
        <f t="shared" si="4"/>
        <v>207.14</v>
      </c>
      <c r="AH7" s="84">
        <f t="shared" si="5"/>
        <v>11697.62</v>
      </c>
      <c r="AI7" s="85"/>
      <c r="AJ7" s="84">
        <f t="shared" si="6"/>
        <v>11697.62</v>
      </c>
      <c r="AK7" s="86"/>
      <c r="AL7" s="84">
        <f t="shared" si="7"/>
        <v>11904.76</v>
      </c>
      <c r="AM7" s="86"/>
      <c r="AN7" s="86"/>
      <c r="AO7" s="86"/>
      <c r="AP7" s="86"/>
      <c r="AQ7" s="86"/>
      <c r="AR7" s="91" t="str">
        <f t="shared" si="8"/>
        <v>正确</v>
      </c>
      <c r="AS7" s="91" t="str">
        <f>IF(SUMPRODUCT(N(E$1:E$7=E7))&gt;1,"重复","不")</f>
        <v>不</v>
      </c>
      <c r="AT7" s="91" t="str">
        <f>IF(SUMPRODUCT(N(AO$1:AO$7=AO7))&gt;1,"重复","不")</f>
        <v>重复</v>
      </c>
    </row>
    <row r="8" spans="1:46" s="18" customFormat="1" ht="18" customHeight="1">
      <c r="A8" s="37"/>
      <c r="B8" s="38" t="s">
        <v>147</v>
      </c>
      <c r="C8" s="38"/>
      <c r="D8" s="39"/>
      <c r="E8" s="40"/>
      <c r="F8" s="41"/>
      <c r="G8" s="42"/>
      <c r="H8" s="41"/>
      <c r="I8" s="63"/>
      <c r="J8" s="64"/>
      <c r="K8" s="63"/>
      <c r="L8" s="65">
        <f t="shared" ref="L8:AL8" si="9">SUM(L4:L7)</f>
        <v>33524.76</v>
      </c>
      <c r="M8" s="65">
        <f t="shared" si="9"/>
        <v>1056.72</v>
      </c>
      <c r="N8" s="65">
        <f t="shared" si="9"/>
        <v>311.62</v>
      </c>
      <c r="O8" s="65">
        <f t="shared" si="9"/>
        <v>35.83</v>
      </c>
      <c r="P8" s="65">
        <f t="shared" si="9"/>
        <v>338</v>
      </c>
      <c r="Q8" s="65">
        <f t="shared" si="9"/>
        <v>1742.17</v>
      </c>
      <c r="R8" s="65">
        <f t="shared" si="9"/>
        <v>0</v>
      </c>
      <c r="S8" s="65">
        <f t="shared" si="9"/>
        <v>33524.76</v>
      </c>
      <c r="T8" s="65">
        <f t="shared" si="9"/>
        <v>20000</v>
      </c>
      <c r="U8" s="65">
        <f t="shared" si="9"/>
        <v>1742.17</v>
      </c>
      <c r="V8" s="65">
        <f t="shared" si="9"/>
        <v>0</v>
      </c>
      <c r="W8" s="65">
        <f t="shared" si="9"/>
        <v>0</v>
      </c>
      <c r="X8" s="65">
        <f t="shared" si="9"/>
        <v>5000</v>
      </c>
      <c r="Y8" s="65">
        <f t="shared" si="9"/>
        <v>0</v>
      </c>
      <c r="Z8" s="65">
        <f t="shared" si="9"/>
        <v>0</v>
      </c>
      <c r="AA8" s="65">
        <f t="shared" si="9"/>
        <v>0</v>
      </c>
      <c r="AB8" s="65">
        <f t="shared" si="9"/>
        <v>5000</v>
      </c>
      <c r="AC8" s="65">
        <f t="shared" si="9"/>
        <v>0</v>
      </c>
      <c r="AD8" s="65">
        <f t="shared" si="9"/>
        <v>6782.59</v>
      </c>
      <c r="AE8" s="65">
        <f t="shared" si="9"/>
        <v>288.07</v>
      </c>
      <c r="AF8" s="65">
        <f t="shared" si="9"/>
        <v>0</v>
      </c>
      <c r="AG8" s="65">
        <f t="shared" si="9"/>
        <v>288.07</v>
      </c>
      <c r="AH8" s="65">
        <f t="shared" si="9"/>
        <v>31494.520000000004</v>
      </c>
      <c r="AI8" s="98">
        <f t="shared" si="9"/>
        <v>0</v>
      </c>
      <c r="AJ8" s="65">
        <f t="shared" si="9"/>
        <v>31494.520000000004</v>
      </c>
      <c r="AK8" s="65">
        <f t="shared" si="9"/>
        <v>0</v>
      </c>
      <c r="AL8" s="65">
        <f t="shared" si="9"/>
        <v>31782.590000000004</v>
      </c>
      <c r="AM8" s="87"/>
      <c r="AN8" s="87"/>
      <c r="AO8" s="87"/>
      <c r="AP8" s="87"/>
      <c r="AQ8" s="87"/>
      <c r="AR8" s="41"/>
      <c r="AS8" s="41"/>
      <c r="AT8" s="92"/>
    </row>
    <row r="11" spans="1:46">
      <c r="AD11" s="82"/>
    </row>
    <row r="12" spans="1:46" ht="18.75" customHeight="1">
      <c r="B12" s="43" t="s">
        <v>124</v>
      </c>
      <c r="C12" s="43" t="s">
        <v>148</v>
      </c>
      <c r="D12" s="43" t="s">
        <v>54</v>
      </c>
      <c r="E12" s="43" t="s">
        <v>55</v>
      </c>
      <c r="AD12" s="15"/>
      <c r="AG12" s="24"/>
    </row>
    <row r="13" spans="1:46" ht="18.75" customHeight="1">
      <c r="B13" s="44">
        <f>AJ8</f>
        <v>31494.520000000004</v>
      </c>
      <c r="C13" s="44">
        <f>AG8</f>
        <v>288.07</v>
      </c>
      <c r="D13" s="44">
        <f>AK8</f>
        <v>0</v>
      </c>
      <c r="E13" s="44">
        <f>B13+C13+D13</f>
        <v>31782.590000000004</v>
      </c>
    </row>
    <row r="14" spans="1:46">
      <c r="B14" s="45"/>
      <c r="C14" s="45"/>
      <c r="D14" s="45"/>
      <c r="E14" s="45"/>
    </row>
    <row r="15" spans="1:46" s="19" customFormat="1">
      <c r="A15" s="46" t="s">
        <v>149</v>
      </c>
      <c r="B15" s="47" t="s">
        <v>150</v>
      </c>
      <c r="C15" s="48"/>
      <c r="D15" s="48"/>
      <c r="E15" s="48"/>
      <c r="G15" s="49"/>
      <c r="J15" s="66"/>
      <c r="M15" s="67"/>
      <c r="AI15" s="89"/>
    </row>
    <row r="16" spans="1:46" s="19" customFormat="1">
      <c r="A16" s="50"/>
      <c r="B16" s="51" t="s">
        <v>151</v>
      </c>
      <c r="C16" s="48"/>
      <c r="D16" s="48"/>
      <c r="E16" s="48"/>
      <c r="G16" s="49"/>
      <c r="J16" s="66"/>
      <c r="M16" s="67"/>
      <c r="AI16" s="89"/>
    </row>
    <row r="17" spans="1:35" s="19" customFormat="1">
      <c r="A17" s="47"/>
      <c r="B17" s="51" t="s">
        <v>152</v>
      </c>
      <c r="C17" s="52"/>
      <c r="D17" s="52"/>
      <c r="E17" s="52"/>
      <c r="F17" s="52"/>
      <c r="G17" s="52"/>
      <c r="H17" s="52"/>
      <c r="I17" s="52"/>
      <c r="J17" s="68"/>
      <c r="K17" s="52"/>
      <c r="L17" s="52"/>
      <c r="M17" s="69"/>
      <c r="N17" s="52"/>
      <c r="O17" s="52"/>
      <c r="P17" s="52"/>
      <c r="AI17" s="89"/>
    </row>
    <row r="18" spans="1:35" s="19" customFormat="1" ht="13.5" customHeight="1">
      <c r="A18" s="51"/>
      <c r="B18" s="51" t="s">
        <v>153</v>
      </c>
      <c r="C18" s="53"/>
      <c r="D18" s="53"/>
      <c r="E18" s="53"/>
      <c r="F18" s="53"/>
      <c r="G18" s="53"/>
      <c r="H18" s="53"/>
      <c r="I18" s="70"/>
      <c r="J18" s="71"/>
      <c r="K18" s="70"/>
      <c r="L18" s="70"/>
      <c r="M18" s="72"/>
      <c r="N18" s="70"/>
      <c r="O18" s="70"/>
      <c r="P18" s="70"/>
      <c r="AI18" s="89"/>
    </row>
    <row r="19" spans="1:35" s="19" customFormat="1" ht="13.5" customHeight="1">
      <c r="A19" s="51"/>
      <c r="B19" s="51" t="s">
        <v>154</v>
      </c>
      <c r="C19" s="53"/>
      <c r="D19" s="53"/>
      <c r="E19" s="53"/>
      <c r="F19" s="53"/>
      <c r="G19" s="53"/>
      <c r="H19" s="53"/>
      <c r="I19" s="53"/>
      <c r="J19" s="73"/>
      <c r="K19" s="53"/>
      <c r="L19" s="70"/>
      <c r="M19" s="72"/>
      <c r="N19" s="70"/>
      <c r="O19" s="70"/>
      <c r="P19" s="70"/>
      <c r="AI19" s="89"/>
    </row>
    <row r="20" spans="1:35" s="19" customFormat="1" ht="13.5" customHeight="1">
      <c r="A20" s="51"/>
      <c r="B20" s="51" t="s">
        <v>155</v>
      </c>
      <c r="C20" s="53"/>
      <c r="D20" s="53"/>
      <c r="E20" s="53"/>
      <c r="F20" s="53"/>
      <c r="G20" s="53"/>
      <c r="H20" s="53"/>
      <c r="I20" s="70"/>
      <c r="J20" s="71"/>
      <c r="K20" s="70"/>
      <c r="L20" s="70"/>
      <c r="M20" s="72"/>
      <c r="N20" s="70"/>
      <c r="O20" s="70"/>
      <c r="P20" s="70"/>
      <c r="AI20" s="89"/>
    </row>
    <row r="22" spans="1:35" ht="11.25" customHeight="1">
      <c r="B22" s="54" t="s">
        <v>156</v>
      </c>
    </row>
    <row r="23" spans="1:35">
      <c r="B23" s="55" t="s">
        <v>157</v>
      </c>
    </row>
    <row r="24" spans="1:35">
      <c r="B24" s="55" t="s">
        <v>158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0">
    <cfRule type="duplicateValues" dxfId="93" priority="2" stopIfTrue="1"/>
  </conditionalFormatting>
  <conditionalFormatting sqref="B15:B19">
    <cfRule type="duplicateValues" dxfId="92" priority="3" stopIfTrue="1"/>
  </conditionalFormatting>
  <conditionalFormatting sqref="B23:B24">
    <cfRule type="duplicateValues" dxfId="91" priority="1" stopIfTrue="1"/>
  </conditionalFormatting>
  <conditionalFormatting sqref="C12:C14">
    <cfRule type="duplicateValues" dxfId="90" priority="4" stopIfTrue="1"/>
    <cfRule type="expression" dxfId="89" priority="5" stopIfTrue="1">
      <formula>AND(COUNTIF($B$8:$B$65444,C12)+COUNTIF($B$1:$B$3,C12)&gt;1,NOT(ISBLANK(C12)))</formula>
    </cfRule>
    <cfRule type="expression" dxfId="88" priority="6" stopIfTrue="1">
      <formula>AND(COUNTIF($B$19:$B$65395,C12)+COUNTIF($B$1:$B$18,C12)&gt;1,NOT(ISBLANK(C12)))</formula>
    </cfRule>
    <cfRule type="expression" dxfId="87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9"/>
  <sheetViews>
    <sheetView tabSelected="1" workbookViewId="0">
      <pane xSplit="11" ySplit="2" topLeftCell="AX3" activePane="bottomRight" state="frozen"/>
      <selection pane="topRight"/>
      <selection pane="bottomLeft"/>
      <selection pane="bottomRight" activeCell="J17" sqref="J17"/>
    </sheetView>
  </sheetViews>
  <sheetFormatPr defaultColWidth="9" defaultRowHeight="16.5"/>
  <cols>
    <col min="1" max="1" width="3.25" style="136" customWidth="1"/>
    <col min="2" max="2" width="19.25" style="136" customWidth="1"/>
    <col min="3" max="3" width="6" style="136" customWidth="1"/>
    <col min="4" max="4" width="8.5" style="136" hidden="1" customWidth="1"/>
    <col min="5" max="5" width="8.25" style="136" hidden="1" customWidth="1"/>
    <col min="6" max="6" width="11.875" style="136" customWidth="1"/>
    <col min="7" max="7" width="16.375" style="136" customWidth="1"/>
    <col min="8" max="11" width="8.5" style="136" customWidth="1"/>
    <col min="12" max="12" width="9.125" style="136" customWidth="1"/>
    <col min="13" max="14" width="9.25" style="136" customWidth="1"/>
    <col min="15" max="15" width="7.5" style="136" customWidth="1"/>
    <col min="16" max="16" width="11.25" style="136" customWidth="1"/>
    <col min="17" max="17" width="9.125" style="136" customWidth="1"/>
    <col min="18" max="21" width="9.25" style="136" customWidth="1"/>
    <col min="22" max="22" width="9.125" style="136" customWidth="1"/>
    <col min="23" max="26" width="9.25" style="136" customWidth="1"/>
    <col min="27" max="28" width="9.125" style="136" customWidth="1"/>
    <col min="29" max="29" width="9" style="136" customWidth="1"/>
    <col min="30" max="30" width="9.125" style="136" customWidth="1"/>
    <col min="31" max="31" width="9.25" style="136" customWidth="1"/>
    <col min="32" max="32" width="8.875" style="136" customWidth="1"/>
    <col min="33" max="33" width="9.125" style="136" customWidth="1"/>
    <col min="34" max="34" width="9.25" style="136" customWidth="1"/>
    <col min="35" max="35" width="11.125" style="136" customWidth="1"/>
    <col min="36" max="36" width="9.25" style="136" customWidth="1"/>
    <col min="37" max="37" width="8.25" style="136" customWidth="1"/>
    <col min="38" max="38" width="9.125" style="136" hidden="1" customWidth="1"/>
    <col min="39" max="39" width="9.25" style="136" hidden="1" customWidth="1"/>
    <col min="40" max="40" width="9.25" style="136" customWidth="1"/>
    <col min="41" max="42" width="9.25" style="136" hidden="1" customWidth="1"/>
    <col min="43" max="43" width="9.875" style="136" customWidth="1"/>
    <col min="44" max="44" width="9.375" style="136" customWidth="1"/>
    <col min="45" max="45" width="10.25" style="142" customWidth="1"/>
    <col min="46" max="46" width="10" style="142" customWidth="1"/>
    <col min="47" max="49" width="9.25" style="142" customWidth="1"/>
    <col min="50" max="50" width="9.25" style="136" customWidth="1"/>
    <col min="51" max="51" width="5.875" style="136" customWidth="1"/>
    <col min="52" max="52" width="8.375" style="136" customWidth="1"/>
    <col min="53" max="53" width="5.875" style="136" customWidth="1"/>
    <col min="54" max="54" width="8.875" style="136" customWidth="1"/>
    <col min="55" max="55" width="10.875" style="136" customWidth="1"/>
    <col min="56" max="56" width="40.25" style="143" customWidth="1"/>
    <col min="57" max="57" width="10.625" style="136" customWidth="1"/>
    <col min="58" max="16384" width="9" style="136"/>
  </cols>
  <sheetData>
    <row r="1" spans="1:60" s="135" customFormat="1" ht="22.5" customHeight="1">
      <c r="A1" s="337" t="s">
        <v>15</v>
      </c>
      <c r="B1" s="343" t="s">
        <v>33</v>
      </c>
      <c r="C1" s="343" t="s">
        <v>34</v>
      </c>
      <c r="D1" s="337" t="s">
        <v>35</v>
      </c>
      <c r="E1" s="343" t="s">
        <v>36</v>
      </c>
      <c r="F1" s="343" t="s">
        <v>37</v>
      </c>
      <c r="G1" s="343" t="s">
        <v>38</v>
      </c>
      <c r="H1" s="343" t="s">
        <v>39</v>
      </c>
      <c r="I1" s="343" t="s">
        <v>40</v>
      </c>
      <c r="J1" s="343" t="s">
        <v>41</v>
      </c>
      <c r="K1" s="343" t="s">
        <v>42</v>
      </c>
      <c r="L1" s="336" t="s">
        <v>43</v>
      </c>
      <c r="M1" s="336"/>
      <c r="N1" s="336"/>
      <c r="O1" s="336"/>
      <c r="P1" s="336"/>
      <c r="Q1" s="336" t="s">
        <v>44</v>
      </c>
      <c r="R1" s="336"/>
      <c r="S1" s="336"/>
      <c r="T1" s="336"/>
      <c r="U1" s="336"/>
      <c r="V1" s="336" t="s">
        <v>45</v>
      </c>
      <c r="W1" s="336"/>
      <c r="X1" s="336"/>
      <c r="Y1" s="336"/>
      <c r="Z1" s="336"/>
      <c r="AA1" s="337" t="s">
        <v>46</v>
      </c>
      <c r="AB1" s="337"/>
      <c r="AC1" s="337"/>
      <c r="AD1" s="337" t="s">
        <v>47</v>
      </c>
      <c r="AE1" s="337"/>
      <c r="AF1" s="337"/>
      <c r="AG1" s="336" t="s">
        <v>48</v>
      </c>
      <c r="AH1" s="336"/>
      <c r="AI1" s="336"/>
      <c r="AJ1" s="336"/>
      <c r="AK1" s="336"/>
      <c r="AL1" s="337" t="s">
        <v>49</v>
      </c>
      <c r="AM1" s="337"/>
      <c r="AN1" s="337"/>
      <c r="AO1" s="337"/>
      <c r="AP1" s="337"/>
      <c r="AQ1" s="337" t="s">
        <v>50</v>
      </c>
      <c r="AR1" s="337"/>
      <c r="AS1" s="338" t="s">
        <v>51</v>
      </c>
      <c r="AT1" s="338"/>
      <c r="AU1" s="338"/>
      <c r="AV1" s="338"/>
      <c r="AW1" s="338"/>
      <c r="AX1" s="337" t="s">
        <v>52</v>
      </c>
      <c r="AY1" s="337"/>
      <c r="AZ1" s="337" t="s">
        <v>53</v>
      </c>
      <c r="BA1" s="337"/>
      <c r="BB1" s="337" t="s">
        <v>54</v>
      </c>
      <c r="BC1" s="337" t="s">
        <v>55</v>
      </c>
      <c r="BD1" s="346" t="s">
        <v>20</v>
      </c>
    </row>
    <row r="2" spans="1:60" ht="22.5" customHeight="1">
      <c r="A2" s="337"/>
      <c r="B2" s="344"/>
      <c r="C2" s="343"/>
      <c r="D2" s="337"/>
      <c r="E2" s="343"/>
      <c r="F2" s="345"/>
      <c r="G2" s="345"/>
      <c r="H2" s="343"/>
      <c r="I2" s="343"/>
      <c r="J2" s="343"/>
      <c r="K2" s="343"/>
      <c r="L2" s="169" t="s">
        <v>56</v>
      </c>
      <c r="M2" s="169" t="s">
        <v>57</v>
      </c>
      <c r="N2" s="169" t="s">
        <v>58</v>
      </c>
      <c r="O2" s="169" t="s">
        <v>59</v>
      </c>
      <c r="P2" s="169" t="s">
        <v>60</v>
      </c>
      <c r="Q2" s="169" t="s">
        <v>56</v>
      </c>
      <c r="R2" s="169" t="s">
        <v>57</v>
      </c>
      <c r="S2" s="169" t="s">
        <v>58</v>
      </c>
      <c r="T2" s="169" t="s">
        <v>59</v>
      </c>
      <c r="U2" s="169" t="s">
        <v>60</v>
      </c>
      <c r="V2" s="169" t="s">
        <v>56</v>
      </c>
      <c r="W2" s="169" t="s">
        <v>57</v>
      </c>
      <c r="X2" s="169" t="s">
        <v>58</v>
      </c>
      <c r="Y2" s="169" t="s">
        <v>59</v>
      </c>
      <c r="Z2" s="169" t="s">
        <v>60</v>
      </c>
      <c r="AA2" s="169" t="s">
        <v>56</v>
      </c>
      <c r="AB2" s="169" t="s">
        <v>61</v>
      </c>
      <c r="AC2" s="169" t="s">
        <v>19</v>
      </c>
      <c r="AD2" s="169" t="s">
        <v>56</v>
      </c>
      <c r="AE2" s="169" t="s">
        <v>61</v>
      </c>
      <c r="AF2" s="169" t="s">
        <v>19</v>
      </c>
      <c r="AG2" s="169" t="s">
        <v>56</v>
      </c>
      <c r="AH2" s="169" t="s">
        <v>57</v>
      </c>
      <c r="AI2" s="169" t="s">
        <v>58</v>
      </c>
      <c r="AJ2" s="169" t="s">
        <v>59</v>
      </c>
      <c r="AK2" s="169" t="s">
        <v>60</v>
      </c>
      <c r="AL2" s="169" t="s">
        <v>56</v>
      </c>
      <c r="AM2" s="169" t="s">
        <v>57</v>
      </c>
      <c r="AN2" s="169" t="s">
        <v>58</v>
      </c>
      <c r="AO2" s="169" t="s">
        <v>59</v>
      </c>
      <c r="AP2" s="169" t="s">
        <v>60</v>
      </c>
      <c r="AQ2" s="169" t="s">
        <v>62</v>
      </c>
      <c r="AR2" s="169" t="s">
        <v>63</v>
      </c>
      <c r="AS2" s="178" t="s">
        <v>64</v>
      </c>
      <c r="AT2" s="178" t="s">
        <v>65</v>
      </c>
      <c r="AU2" s="178" t="s">
        <v>66</v>
      </c>
      <c r="AV2" s="178" t="s">
        <v>67</v>
      </c>
      <c r="AW2" s="178" t="s">
        <v>27</v>
      </c>
      <c r="AX2" s="337"/>
      <c r="AY2" s="337"/>
      <c r="AZ2" s="337"/>
      <c r="BA2" s="337"/>
      <c r="BB2" s="337"/>
      <c r="BC2" s="337"/>
      <c r="BD2" s="346"/>
    </row>
    <row r="3" spans="1:60" s="137" customFormat="1" ht="18" customHeight="1">
      <c r="A3" s="144">
        <v>6</v>
      </c>
      <c r="B3" s="124" t="s">
        <v>68</v>
      </c>
      <c r="C3" s="114" t="s">
        <v>166</v>
      </c>
      <c r="D3" s="123" t="s">
        <v>70</v>
      </c>
      <c r="E3" s="124" t="s">
        <v>80</v>
      </c>
      <c r="F3" s="125" t="s">
        <v>167</v>
      </c>
      <c r="G3" s="126" t="s">
        <v>168</v>
      </c>
      <c r="H3" s="123" t="s">
        <v>160</v>
      </c>
      <c r="I3" s="123" t="s">
        <v>160</v>
      </c>
      <c r="J3" s="123" t="s">
        <v>169</v>
      </c>
      <c r="K3" s="123" t="s">
        <v>169</v>
      </c>
      <c r="L3" s="144">
        <v>3179</v>
      </c>
      <c r="M3" s="144">
        <v>0.16</v>
      </c>
      <c r="N3" s="144">
        <f t="shared" ref="N3:N12" si="0">ROUND(L3*M3,2)</f>
        <v>508.64</v>
      </c>
      <c r="O3" s="144">
        <v>0.08</v>
      </c>
      <c r="P3" s="144">
        <f t="shared" ref="P3:P12" si="1">ROUND(L3*O3,2)</f>
        <v>254.32</v>
      </c>
      <c r="Q3" s="144">
        <v>3197</v>
      </c>
      <c r="R3" s="144">
        <v>0.08</v>
      </c>
      <c r="S3" s="144">
        <f t="shared" ref="S3:S12" si="2">ROUND(Q3*R3,2)</f>
        <v>255.76</v>
      </c>
      <c r="T3" s="144">
        <v>0.02</v>
      </c>
      <c r="U3" s="144">
        <f t="shared" ref="U3:U12" si="3">ROUND(Q3*T3,2)</f>
        <v>63.94</v>
      </c>
      <c r="V3" s="144">
        <v>3179</v>
      </c>
      <c r="W3" s="144">
        <v>7.0000000000000001E-3</v>
      </c>
      <c r="X3" s="144">
        <f t="shared" ref="X3:X12" si="4">ROUND(V3*W3,2)</f>
        <v>22.25</v>
      </c>
      <c r="Y3" s="144">
        <v>3.0000000000000001E-3</v>
      </c>
      <c r="Z3" s="144">
        <f t="shared" ref="Z3:Z12" si="5">ROUND(V3*Y3,2)</f>
        <v>9.5399999999999991</v>
      </c>
      <c r="AA3" s="144">
        <v>3197</v>
      </c>
      <c r="AB3" s="144">
        <v>0.01</v>
      </c>
      <c r="AC3" s="144">
        <f t="shared" ref="AC3:AC12" si="6">ROUND(AA3*AB3,2)</f>
        <v>31.97</v>
      </c>
      <c r="AD3" s="144">
        <v>3179</v>
      </c>
      <c r="AE3" s="144">
        <v>3.5000000000000001E-3</v>
      </c>
      <c r="AF3" s="144">
        <f t="shared" ref="AF3:AF12" si="7">ROUND(AD3*AE3,2)</f>
        <v>11.13</v>
      </c>
      <c r="AG3" s="144">
        <v>3179</v>
      </c>
      <c r="AH3" s="144">
        <v>0.08</v>
      </c>
      <c r="AI3" s="144">
        <f t="shared" ref="AI3:AI12" si="8">ROUND(AG3*AH3,2)</f>
        <v>254.32</v>
      </c>
      <c r="AJ3" s="144">
        <v>0.08</v>
      </c>
      <c r="AK3" s="144">
        <f t="shared" ref="AK3:AK12" si="9">ROUND(AG3*AJ3,2)</f>
        <v>254.32</v>
      </c>
      <c r="AL3" s="175"/>
      <c r="AM3" s="144"/>
      <c r="AN3" s="144"/>
      <c r="AO3" s="144"/>
      <c r="AP3" s="124"/>
      <c r="AQ3" s="179"/>
      <c r="AR3" s="179"/>
      <c r="AS3" s="180">
        <f t="shared" ref="AS3:AS12" si="10">N3+S3+X3+AC3+AF3+AN3+AQ3</f>
        <v>829.75</v>
      </c>
      <c r="AT3" s="180">
        <f t="shared" ref="AT3:AT12" si="11">P3+U3+Z3</f>
        <v>327.8</v>
      </c>
      <c r="AU3" s="180">
        <f t="shared" ref="AU3:AU12" si="12">AI3</f>
        <v>254.32</v>
      </c>
      <c r="AV3" s="180">
        <f t="shared" ref="AV3:AV12" si="13">AK3</f>
        <v>254.32</v>
      </c>
      <c r="AW3" s="180">
        <f t="shared" ref="AW3:AW12" si="14">AV3+AS3+AT3+AU3</f>
        <v>1666.1899999999998</v>
      </c>
      <c r="AX3" s="339">
        <f t="shared" ref="AX3:AX12" si="15">AS3+AT3</f>
        <v>1157.55</v>
      </c>
      <c r="AY3" s="339"/>
      <c r="AZ3" s="339">
        <f t="shared" ref="AZ3:AZ12" si="16">AU3+AV3</f>
        <v>508.64</v>
      </c>
      <c r="BA3" s="339"/>
      <c r="BB3" s="189">
        <v>80</v>
      </c>
      <c r="BC3" s="188">
        <f t="shared" ref="BC3:BC12" si="17">AX3+AZ3+BB3</f>
        <v>1746.19</v>
      </c>
      <c r="BD3" s="192"/>
      <c r="BE3" s="205"/>
      <c r="BF3" s="205"/>
      <c r="BG3" s="205"/>
      <c r="BH3" s="205"/>
    </row>
    <row r="4" spans="1:60" s="137" customFormat="1" ht="18" customHeight="1">
      <c r="A4" s="144">
        <v>7</v>
      </c>
      <c r="B4" s="124" t="s">
        <v>68</v>
      </c>
      <c r="C4" s="114" t="s">
        <v>166</v>
      </c>
      <c r="D4" s="123" t="s">
        <v>70</v>
      </c>
      <c r="E4" s="124" t="s">
        <v>80</v>
      </c>
      <c r="F4" s="125" t="s">
        <v>170</v>
      </c>
      <c r="G4" s="126" t="s">
        <v>171</v>
      </c>
      <c r="H4" s="123" t="s">
        <v>160</v>
      </c>
      <c r="I4" s="123" t="s">
        <v>160</v>
      </c>
      <c r="J4" s="123" t="s">
        <v>169</v>
      </c>
      <c r="K4" s="123" t="s">
        <v>169</v>
      </c>
      <c r="L4" s="144">
        <v>3179</v>
      </c>
      <c r="M4" s="144">
        <v>0.16</v>
      </c>
      <c r="N4" s="144">
        <f t="shared" si="0"/>
        <v>508.64</v>
      </c>
      <c r="O4" s="144">
        <v>0.08</v>
      </c>
      <c r="P4" s="144">
        <f t="shared" si="1"/>
        <v>254.32</v>
      </c>
      <c r="Q4" s="144">
        <v>3197</v>
      </c>
      <c r="R4" s="144">
        <v>0.08</v>
      </c>
      <c r="S4" s="144">
        <f t="shared" si="2"/>
        <v>255.76</v>
      </c>
      <c r="T4" s="144">
        <v>0.02</v>
      </c>
      <c r="U4" s="144">
        <f t="shared" si="3"/>
        <v>63.94</v>
      </c>
      <c r="V4" s="144">
        <v>3179</v>
      </c>
      <c r="W4" s="144">
        <v>7.0000000000000001E-3</v>
      </c>
      <c r="X4" s="144">
        <f t="shared" si="4"/>
        <v>22.25</v>
      </c>
      <c r="Y4" s="144">
        <v>3.0000000000000001E-3</v>
      </c>
      <c r="Z4" s="144">
        <f t="shared" si="5"/>
        <v>9.5399999999999991</v>
      </c>
      <c r="AA4" s="144">
        <v>3197</v>
      </c>
      <c r="AB4" s="144">
        <v>0.01</v>
      </c>
      <c r="AC4" s="144">
        <f t="shared" si="6"/>
        <v>31.97</v>
      </c>
      <c r="AD4" s="144">
        <v>3179</v>
      </c>
      <c r="AE4" s="144">
        <v>3.5000000000000001E-3</v>
      </c>
      <c r="AF4" s="144">
        <f t="shared" si="7"/>
        <v>11.13</v>
      </c>
      <c r="AG4" s="144">
        <v>3179</v>
      </c>
      <c r="AH4" s="144">
        <v>0.08</v>
      </c>
      <c r="AI4" s="144">
        <f t="shared" si="8"/>
        <v>254.32</v>
      </c>
      <c r="AJ4" s="144">
        <v>0.08</v>
      </c>
      <c r="AK4" s="144">
        <f t="shared" si="9"/>
        <v>254.32</v>
      </c>
      <c r="AL4" s="175"/>
      <c r="AM4" s="144"/>
      <c r="AN4" s="144"/>
      <c r="AO4" s="144"/>
      <c r="AP4" s="124"/>
      <c r="AQ4" s="179"/>
      <c r="AR4" s="179"/>
      <c r="AS4" s="180">
        <f t="shared" si="10"/>
        <v>829.75</v>
      </c>
      <c r="AT4" s="180">
        <f t="shared" si="11"/>
        <v>327.8</v>
      </c>
      <c r="AU4" s="180">
        <f t="shared" si="12"/>
        <v>254.32</v>
      </c>
      <c r="AV4" s="180">
        <f t="shared" si="13"/>
        <v>254.32</v>
      </c>
      <c r="AW4" s="180">
        <f t="shared" si="14"/>
        <v>1666.1899999999998</v>
      </c>
      <c r="AX4" s="339">
        <f t="shared" si="15"/>
        <v>1157.55</v>
      </c>
      <c r="AY4" s="339"/>
      <c r="AZ4" s="339">
        <f t="shared" si="16"/>
        <v>508.64</v>
      </c>
      <c r="BA4" s="339"/>
      <c r="BB4" s="189">
        <v>80</v>
      </c>
      <c r="BC4" s="188">
        <f t="shared" si="17"/>
        <v>1746.19</v>
      </c>
      <c r="BD4" s="192"/>
      <c r="BE4" s="205"/>
      <c r="BF4" s="205"/>
      <c r="BG4" s="205"/>
      <c r="BH4" s="205"/>
    </row>
    <row r="5" spans="1:60" s="137" customFormat="1" ht="18" customHeight="1">
      <c r="A5" s="144">
        <v>8</v>
      </c>
      <c r="B5" s="124" t="s">
        <v>68</v>
      </c>
      <c r="C5" s="114" t="s">
        <v>166</v>
      </c>
      <c r="D5" s="123" t="s">
        <v>70</v>
      </c>
      <c r="E5" s="124" t="s">
        <v>80</v>
      </c>
      <c r="F5" s="125" t="s">
        <v>172</v>
      </c>
      <c r="G5" s="126" t="s">
        <v>173</v>
      </c>
      <c r="H5" s="123">
        <v>202202</v>
      </c>
      <c r="I5" s="123">
        <v>202202</v>
      </c>
      <c r="J5" s="123" t="s">
        <v>169</v>
      </c>
      <c r="K5" s="123" t="s">
        <v>169</v>
      </c>
      <c r="L5" s="144">
        <v>3179</v>
      </c>
      <c r="M5" s="144">
        <v>0.16</v>
      </c>
      <c r="N5" s="144">
        <f t="shared" si="0"/>
        <v>508.64</v>
      </c>
      <c r="O5" s="144">
        <v>0.08</v>
      </c>
      <c r="P5" s="144">
        <f t="shared" si="1"/>
        <v>254.32</v>
      </c>
      <c r="Q5" s="144">
        <v>3197</v>
      </c>
      <c r="R5" s="144">
        <v>0.08</v>
      </c>
      <c r="S5" s="144">
        <f t="shared" si="2"/>
        <v>255.76</v>
      </c>
      <c r="T5" s="144">
        <v>0.02</v>
      </c>
      <c r="U5" s="144">
        <f t="shared" si="3"/>
        <v>63.94</v>
      </c>
      <c r="V5" s="144">
        <v>3179</v>
      </c>
      <c r="W5" s="144">
        <v>7.0000000000000001E-3</v>
      </c>
      <c r="X5" s="144">
        <f t="shared" si="4"/>
        <v>22.25</v>
      </c>
      <c r="Y5" s="144">
        <v>3.0000000000000001E-3</v>
      </c>
      <c r="Z5" s="144">
        <f t="shared" si="5"/>
        <v>9.5399999999999991</v>
      </c>
      <c r="AA5" s="144">
        <v>3197</v>
      </c>
      <c r="AB5" s="144">
        <v>0.01</v>
      </c>
      <c r="AC5" s="144">
        <f t="shared" si="6"/>
        <v>31.97</v>
      </c>
      <c r="AD5" s="144">
        <v>3179</v>
      </c>
      <c r="AE5" s="144">
        <v>3.5000000000000001E-3</v>
      </c>
      <c r="AF5" s="144">
        <f t="shared" si="7"/>
        <v>11.13</v>
      </c>
      <c r="AG5" s="144">
        <v>3179</v>
      </c>
      <c r="AH5" s="144">
        <v>0.08</v>
      </c>
      <c r="AI5" s="144">
        <f t="shared" si="8"/>
        <v>254.32</v>
      </c>
      <c r="AJ5" s="144">
        <v>0.08</v>
      </c>
      <c r="AK5" s="144">
        <f t="shared" si="9"/>
        <v>254.32</v>
      </c>
      <c r="AL5" s="175"/>
      <c r="AM5" s="144"/>
      <c r="AN5" s="144"/>
      <c r="AO5" s="144"/>
      <c r="AP5" s="124"/>
      <c r="AQ5" s="179"/>
      <c r="AR5" s="179"/>
      <c r="AS5" s="180">
        <f t="shared" si="10"/>
        <v>829.75</v>
      </c>
      <c r="AT5" s="180">
        <f t="shared" si="11"/>
        <v>327.8</v>
      </c>
      <c r="AU5" s="180">
        <f t="shared" si="12"/>
        <v>254.32</v>
      </c>
      <c r="AV5" s="180">
        <f t="shared" si="13"/>
        <v>254.32</v>
      </c>
      <c r="AW5" s="180">
        <f t="shared" si="14"/>
        <v>1666.1899999999998</v>
      </c>
      <c r="AX5" s="339">
        <f t="shared" si="15"/>
        <v>1157.55</v>
      </c>
      <c r="AY5" s="339"/>
      <c r="AZ5" s="339">
        <f t="shared" si="16"/>
        <v>508.64</v>
      </c>
      <c r="BA5" s="339"/>
      <c r="BB5" s="189">
        <v>80</v>
      </c>
      <c r="BC5" s="188">
        <f t="shared" si="17"/>
        <v>1746.19</v>
      </c>
      <c r="BD5" s="192"/>
      <c r="BE5" s="205"/>
      <c r="BF5" s="205"/>
      <c r="BG5" s="205"/>
      <c r="BH5" s="205"/>
    </row>
    <row r="6" spans="1:60" s="137" customFormat="1" ht="18" customHeight="1">
      <c r="A6" s="144">
        <v>9</v>
      </c>
      <c r="B6" s="124" t="s">
        <v>68</v>
      </c>
      <c r="C6" s="114" t="s">
        <v>166</v>
      </c>
      <c r="D6" s="123" t="s">
        <v>70</v>
      </c>
      <c r="E6" s="124" t="s">
        <v>80</v>
      </c>
      <c r="F6" s="125" t="s">
        <v>174</v>
      </c>
      <c r="G6" s="282" t="s">
        <v>175</v>
      </c>
      <c r="H6" s="123">
        <v>202202</v>
      </c>
      <c r="I6" s="123">
        <v>202202</v>
      </c>
      <c r="J6" s="123" t="s">
        <v>169</v>
      </c>
      <c r="K6" s="123" t="s">
        <v>169</v>
      </c>
      <c r="L6" s="144">
        <v>3179</v>
      </c>
      <c r="M6" s="144">
        <v>0.16</v>
      </c>
      <c r="N6" s="144">
        <f t="shared" si="0"/>
        <v>508.64</v>
      </c>
      <c r="O6" s="144">
        <v>0.08</v>
      </c>
      <c r="P6" s="144">
        <f t="shared" si="1"/>
        <v>254.32</v>
      </c>
      <c r="Q6" s="144">
        <v>3197</v>
      </c>
      <c r="R6" s="144">
        <v>0.08</v>
      </c>
      <c r="S6" s="144">
        <f t="shared" si="2"/>
        <v>255.76</v>
      </c>
      <c r="T6" s="144">
        <v>0.02</v>
      </c>
      <c r="U6" s="144">
        <f t="shared" si="3"/>
        <v>63.94</v>
      </c>
      <c r="V6" s="144">
        <v>3179</v>
      </c>
      <c r="W6" s="144">
        <v>7.0000000000000001E-3</v>
      </c>
      <c r="X6" s="144">
        <f t="shared" si="4"/>
        <v>22.25</v>
      </c>
      <c r="Y6" s="144">
        <v>3.0000000000000001E-3</v>
      </c>
      <c r="Z6" s="144">
        <f t="shared" si="5"/>
        <v>9.5399999999999991</v>
      </c>
      <c r="AA6" s="144">
        <v>3197</v>
      </c>
      <c r="AB6" s="144">
        <v>0.01</v>
      </c>
      <c r="AC6" s="144">
        <f t="shared" si="6"/>
        <v>31.97</v>
      </c>
      <c r="AD6" s="144">
        <v>3179</v>
      </c>
      <c r="AE6" s="144">
        <v>3.5000000000000001E-3</v>
      </c>
      <c r="AF6" s="144">
        <f t="shared" si="7"/>
        <v>11.13</v>
      </c>
      <c r="AG6" s="144">
        <v>3179</v>
      </c>
      <c r="AH6" s="144">
        <v>0.08</v>
      </c>
      <c r="AI6" s="144">
        <f t="shared" si="8"/>
        <v>254.32</v>
      </c>
      <c r="AJ6" s="144">
        <v>0.08</v>
      </c>
      <c r="AK6" s="144">
        <f t="shared" si="9"/>
        <v>254.32</v>
      </c>
      <c r="AL6" s="175"/>
      <c r="AM6" s="144"/>
      <c r="AN6" s="144"/>
      <c r="AO6" s="144"/>
      <c r="AP6" s="124"/>
      <c r="AQ6" s="179"/>
      <c r="AR6" s="179"/>
      <c r="AS6" s="180">
        <f t="shared" si="10"/>
        <v>829.75</v>
      </c>
      <c r="AT6" s="180">
        <f t="shared" si="11"/>
        <v>327.8</v>
      </c>
      <c r="AU6" s="180">
        <f t="shared" si="12"/>
        <v>254.32</v>
      </c>
      <c r="AV6" s="180">
        <f t="shared" si="13"/>
        <v>254.32</v>
      </c>
      <c r="AW6" s="180">
        <f t="shared" si="14"/>
        <v>1666.1899999999998</v>
      </c>
      <c r="AX6" s="339">
        <f t="shared" si="15"/>
        <v>1157.55</v>
      </c>
      <c r="AY6" s="339"/>
      <c r="AZ6" s="339">
        <f t="shared" si="16"/>
        <v>508.64</v>
      </c>
      <c r="BA6" s="339"/>
      <c r="BB6" s="189">
        <v>80</v>
      </c>
      <c r="BC6" s="188">
        <f t="shared" si="17"/>
        <v>1746.19</v>
      </c>
      <c r="BD6" s="192"/>
      <c r="BE6" s="205"/>
      <c r="BF6" s="205"/>
      <c r="BG6" s="205"/>
      <c r="BH6" s="205"/>
    </row>
    <row r="7" spans="1:60" s="138" customFormat="1" ht="18" customHeight="1">
      <c r="A7" s="145">
        <v>10</v>
      </c>
      <c r="B7" s="146" t="s">
        <v>68</v>
      </c>
      <c r="C7" s="147" t="s">
        <v>166</v>
      </c>
      <c r="D7" s="148" t="s">
        <v>70</v>
      </c>
      <c r="E7" s="146" t="s">
        <v>80</v>
      </c>
      <c r="F7" s="149" t="s">
        <v>176</v>
      </c>
      <c r="G7" s="150" t="s">
        <v>177</v>
      </c>
      <c r="H7" s="148" t="s">
        <v>159</v>
      </c>
      <c r="I7" s="148" t="s">
        <v>159</v>
      </c>
      <c r="J7" s="148" t="s">
        <v>169</v>
      </c>
      <c r="K7" s="148" t="s">
        <v>169</v>
      </c>
      <c r="L7" s="145">
        <v>3179</v>
      </c>
      <c r="M7" s="145">
        <v>0.16</v>
      </c>
      <c r="N7" s="145">
        <f t="shared" si="0"/>
        <v>508.64</v>
      </c>
      <c r="O7" s="145">
        <v>0.08</v>
      </c>
      <c r="P7" s="145">
        <f t="shared" si="1"/>
        <v>254.32</v>
      </c>
      <c r="Q7" s="145">
        <v>3197</v>
      </c>
      <c r="R7" s="145">
        <v>0.08</v>
      </c>
      <c r="S7" s="145">
        <f t="shared" si="2"/>
        <v>255.76</v>
      </c>
      <c r="T7" s="145">
        <v>0.02</v>
      </c>
      <c r="U7" s="145">
        <f t="shared" si="3"/>
        <v>63.94</v>
      </c>
      <c r="V7" s="145">
        <v>3179</v>
      </c>
      <c r="W7" s="145">
        <v>7.0000000000000001E-3</v>
      </c>
      <c r="X7" s="145">
        <f t="shared" si="4"/>
        <v>22.25</v>
      </c>
      <c r="Y7" s="145">
        <v>3.0000000000000001E-3</v>
      </c>
      <c r="Z7" s="145">
        <f t="shared" si="5"/>
        <v>9.5399999999999991</v>
      </c>
      <c r="AA7" s="145">
        <v>3197</v>
      </c>
      <c r="AB7" s="145">
        <v>0.01</v>
      </c>
      <c r="AC7" s="145">
        <f t="shared" si="6"/>
        <v>31.97</v>
      </c>
      <c r="AD7" s="145">
        <v>3179</v>
      </c>
      <c r="AE7" s="145">
        <v>3.5000000000000001E-3</v>
      </c>
      <c r="AF7" s="145">
        <f t="shared" si="7"/>
        <v>11.13</v>
      </c>
      <c r="AG7" s="145">
        <v>3179</v>
      </c>
      <c r="AH7" s="145">
        <v>0.08</v>
      </c>
      <c r="AI7" s="145">
        <f t="shared" si="8"/>
        <v>254.32</v>
      </c>
      <c r="AJ7" s="145">
        <v>0.08</v>
      </c>
      <c r="AK7" s="145">
        <f t="shared" si="9"/>
        <v>254.32</v>
      </c>
      <c r="AL7" s="176"/>
      <c r="AM7" s="145"/>
      <c r="AN7" s="145"/>
      <c r="AO7" s="145"/>
      <c r="AP7" s="146"/>
      <c r="AQ7" s="181"/>
      <c r="AR7" s="181"/>
      <c r="AS7" s="182">
        <f t="shared" si="10"/>
        <v>829.75</v>
      </c>
      <c r="AT7" s="182">
        <f t="shared" si="11"/>
        <v>327.8</v>
      </c>
      <c r="AU7" s="182">
        <f t="shared" si="12"/>
        <v>254.32</v>
      </c>
      <c r="AV7" s="182">
        <f t="shared" si="13"/>
        <v>254.32</v>
      </c>
      <c r="AW7" s="182">
        <f t="shared" si="14"/>
        <v>1666.1899999999998</v>
      </c>
      <c r="AX7" s="374">
        <f t="shared" si="15"/>
        <v>1157.55</v>
      </c>
      <c r="AY7" s="374"/>
      <c r="AZ7" s="374">
        <f t="shared" si="16"/>
        <v>508.64</v>
      </c>
      <c r="BA7" s="374"/>
      <c r="BB7" s="191">
        <v>80</v>
      </c>
      <c r="BC7" s="190">
        <f t="shared" si="17"/>
        <v>1746.19</v>
      </c>
      <c r="BD7" s="193"/>
      <c r="BE7" s="206"/>
      <c r="BF7" s="206"/>
      <c r="BG7" s="206"/>
      <c r="BH7" s="206"/>
    </row>
    <row r="8" spans="1:60" s="138" customFormat="1" ht="18" customHeight="1">
      <c r="A8" s="145">
        <v>11</v>
      </c>
      <c r="B8" s="146" t="s">
        <v>68</v>
      </c>
      <c r="C8" s="147" t="s">
        <v>166</v>
      </c>
      <c r="D8" s="148" t="s">
        <v>70</v>
      </c>
      <c r="E8" s="146" t="s">
        <v>80</v>
      </c>
      <c r="F8" s="149" t="s">
        <v>178</v>
      </c>
      <c r="G8" s="150" t="s">
        <v>179</v>
      </c>
      <c r="H8" s="148" t="s">
        <v>159</v>
      </c>
      <c r="I8" s="148" t="s">
        <v>159</v>
      </c>
      <c r="J8" s="148" t="s">
        <v>169</v>
      </c>
      <c r="K8" s="148" t="s">
        <v>169</v>
      </c>
      <c r="L8" s="145">
        <v>3179</v>
      </c>
      <c r="M8" s="145">
        <v>0.16</v>
      </c>
      <c r="N8" s="145">
        <f t="shared" si="0"/>
        <v>508.64</v>
      </c>
      <c r="O8" s="145">
        <v>0.08</v>
      </c>
      <c r="P8" s="145">
        <f t="shared" si="1"/>
        <v>254.32</v>
      </c>
      <c r="Q8" s="145">
        <v>3197</v>
      </c>
      <c r="R8" s="145">
        <v>0.08</v>
      </c>
      <c r="S8" s="145">
        <f t="shared" si="2"/>
        <v>255.76</v>
      </c>
      <c r="T8" s="145">
        <v>0.02</v>
      </c>
      <c r="U8" s="145">
        <f t="shared" si="3"/>
        <v>63.94</v>
      </c>
      <c r="V8" s="145">
        <v>3179</v>
      </c>
      <c r="W8" s="145">
        <v>7.0000000000000001E-3</v>
      </c>
      <c r="X8" s="145">
        <f t="shared" si="4"/>
        <v>22.25</v>
      </c>
      <c r="Y8" s="145">
        <v>3.0000000000000001E-3</v>
      </c>
      <c r="Z8" s="145">
        <f t="shared" si="5"/>
        <v>9.5399999999999991</v>
      </c>
      <c r="AA8" s="145">
        <v>3197</v>
      </c>
      <c r="AB8" s="145">
        <v>0.01</v>
      </c>
      <c r="AC8" s="145">
        <f t="shared" si="6"/>
        <v>31.97</v>
      </c>
      <c r="AD8" s="145">
        <v>3179</v>
      </c>
      <c r="AE8" s="145">
        <v>3.5000000000000001E-3</v>
      </c>
      <c r="AF8" s="145">
        <f t="shared" si="7"/>
        <v>11.13</v>
      </c>
      <c r="AG8" s="145">
        <v>3179</v>
      </c>
      <c r="AH8" s="145">
        <v>0.08</v>
      </c>
      <c r="AI8" s="145">
        <f t="shared" si="8"/>
        <v>254.32</v>
      </c>
      <c r="AJ8" s="145">
        <v>0.08</v>
      </c>
      <c r="AK8" s="145">
        <f t="shared" si="9"/>
        <v>254.32</v>
      </c>
      <c r="AL8" s="176"/>
      <c r="AM8" s="145"/>
      <c r="AN8" s="145"/>
      <c r="AO8" s="145"/>
      <c r="AP8" s="146"/>
      <c r="AQ8" s="181"/>
      <c r="AR8" s="181"/>
      <c r="AS8" s="182">
        <f t="shared" si="10"/>
        <v>829.75</v>
      </c>
      <c r="AT8" s="182">
        <f t="shared" si="11"/>
        <v>327.8</v>
      </c>
      <c r="AU8" s="182">
        <f t="shared" si="12"/>
        <v>254.32</v>
      </c>
      <c r="AV8" s="182">
        <f t="shared" si="13"/>
        <v>254.32</v>
      </c>
      <c r="AW8" s="182">
        <f t="shared" si="14"/>
        <v>1666.1899999999998</v>
      </c>
      <c r="AX8" s="374">
        <f t="shared" si="15"/>
        <v>1157.55</v>
      </c>
      <c r="AY8" s="374"/>
      <c r="AZ8" s="374">
        <f t="shared" si="16"/>
        <v>508.64</v>
      </c>
      <c r="BA8" s="374"/>
      <c r="BB8" s="191">
        <v>80</v>
      </c>
      <c r="BC8" s="190">
        <f t="shared" si="17"/>
        <v>1746.19</v>
      </c>
      <c r="BD8" s="193"/>
      <c r="BE8" s="206"/>
      <c r="BF8" s="206"/>
      <c r="BG8" s="206"/>
      <c r="BH8" s="206"/>
    </row>
    <row r="9" spans="1:60" s="138" customFormat="1" ht="18" customHeight="1">
      <c r="A9" s="145">
        <v>12</v>
      </c>
      <c r="B9" s="146" t="s">
        <v>68</v>
      </c>
      <c r="C9" s="147" t="s">
        <v>166</v>
      </c>
      <c r="D9" s="148" t="s">
        <v>70</v>
      </c>
      <c r="E9" s="146" t="s">
        <v>80</v>
      </c>
      <c r="F9" s="149" t="s">
        <v>180</v>
      </c>
      <c r="G9" s="150" t="s">
        <v>181</v>
      </c>
      <c r="H9" s="148" t="s">
        <v>159</v>
      </c>
      <c r="I9" s="148" t="s">
        <v>159</v>
      </c>
      <c r="J9" s="148" t="s">
        <v>169</v>
      </c>
      <c r="K9" s="148" t="s">
        <v>169</v>
      </c>
      <c r="L9" s="145">
        <v>3179</v>
      </c>
      <c r="M9" s="145">
        <v>0.16</v>
      </c>
      <c r="N9" s="145">
        <f t="shared" si="0"/>
        <v>508.64</v>
      </c>
      <c r="O9" s="145">
        <v>0.08</v>
      </c>
      <c r="P9" s="145">
        <f t="shared" si="1"/>
        <v>254.32</v>
      </c>
      <c r="Q9" s="145">
        <v>3197</v>
      </c>
      <c r="R9" s="145">
        <v>0.08</v>
      </c>
      <c r="S9" s="145">
        <f t="shared" si="2"/>
        <v>255.76</v>
      </c>
      <c r="T9" s="145">
        <v>0.02</v>
      </c>
      <c r="U9" s="145">
        <f t="shared" si="3"/>
        <v>63.94</v>
      </c>
      <c r="V9" s="145">
        <v>3179</v>
      </c>
      <c r="W9" s="145">
        <v>7.0000000000000001E-3</v>
      </c>
      <c r="X9" s="145">
        <f t="shared" si="4"/>
        <v>22.25</v>
      </c>
      <c r="Y9" s="145">
        <v>3.0000000000000001E-3</v>
      </c>
      <c r="Z9" s="145">
        <f t="shared" si="5"/>
        <v>9.5399999999999991</v>
      </c>
      <c r="AA9" s="145">
        <v>3197</v>
      </c>
      <c r="AB9" s="145">
        <v>0.01</v>
      </c>
      <c r="AC9" s="145">
        <f t="shared" si="6"/>
        <v>31.97</v>
      </c>
      <c r="AD9" s="145">
        <v>3179</v>
      </c>
      <c r="AE9" s="145">
        <v>3.5000000000000001E-3</v>
      </c>
      <c r="AF9" s="145">
        <f t="shared" si="7"/>
        <v>11.13</v>
      </c>
      <c r="AG9" s="145">
        <v>3179</v>
      </c>
      <c r="AH9" s="145">
        <v>0.08</v>
      </c>
      <c r="AI9" s="145">
        <f t="shared" si="8"/>
        <v>254.32</v>
      </c>
      <c r="AJ9" s="145">
        <v>0.08</v>
      </c>
      <c r="AK9" s="145">
        <f t="shared" si="9"/>
        <v>254.32</v>
      </c>
      <c r="AL9" s="176"/>
      <c r="AM9" s="145"/>
      <c r="AN9" s="145"/>
      <c r="AO9" s="145"/>
      <c r="AP9" s="146"/>
      <c r="AQ9" s="181"/>
      <c r="AR9" s="181"/>
      <c r="AS9" s="182">
        <f t="shared" si="10"/>
        <v>829.75</v>
      </c>
      <c r="AT9" s="182">
        <f t="shared" si="11"/>
        <v>327.8</v>
      </c>
      <c r="AU9" s="182">
        <f t="shared" si="12"/>
        <v>254.32</v>
      </c>
      <c r="AV9" s="182">
        <f t="shared" si="13"/>
        <v>254.32</v>
      </c>
      <c r="AW9" s="182">
        <f t="shared" si="14"/>
        <v>1666.1899999999998</v>
      </c>
      <c r="AX9" s="374">
        <f t="shared" si="15"/>
        <v>1157.55</v>
      </c>
      <c r="AY9" s="374"/>
      <c r="AZ9" s="374">
        <f t="shared" si="16"/>
        <v>508.64</v>
      </c>
      <c r="BA9" s="374"/>
      <c r="BB9" s="191">
        <v>80</v>
      </c>
      <c r="BC9" s="190">
        <f t="shared" si="17"/>
        <v>1746.19</v>
      </c>
      <c r="BD9" s="193"/>
      <c r="BE9" s="206"/>
      <c r="BF9" s="206"/>
      <c r="BG9" s="206"/>
      <c r="BH9" s="206"/>
    </row>
    <row r="10" spans="1:60" s="138" customFormat="1" ht="18" customHeight="1">
      <c r="A10" s="145" t="s">
        <v>84</v>
      </c>
      <c r="B10" s="146" t="s">
        <v>68</v>
      </c>
      <c r="C10" s="147" t="s">
        <v>166</v>
      </c>
      <c r="D10" s="148" t="s">
        <v>70</v>
      </c>
      <c r="E10" s="146" t="s">
        <v>80</v>
      </c>
      <c r="F10" s="149" t="s">
        <v>176</v>
      </c>
      <c r="G10" s="150" t="s">
        <v>177</v>
      </c>
      <c r="H10" s="148" t="s">
        <v>159</v>
      </c>
      <c r="I10" s="148" t="s">
        <v>159</v>
      </c>
      <c r="J10" s="148" t="s">
        <v>159</v>
      </c>
      <c r="K10" s="148" t="s">
        <v>159</v>
      </c>
      <c r="L10" s="145">
        <v>3179</v>
      </c>
      <c r="M10" s="145">
        <v>0.16</v>
      </c>
      <c r="N10" s="145">
        <f t="shared" si="0"/>
        <v>508.64</v>
      </c>
      <c r="O10" s="145">
        <v>0.08</v>
      </c>
      <c r="P10" s="145">
        <f t="shared" si="1"/>
        <v>254.32</v>
      </c>
      <c r="Q10" s="145">
        <v>3197</v>
      </c>
      <c r="R10" s="145">
        <v>0.08</v>
      </c>
      <c r="S10" s="145">
        <f t="shared" si="2"/>
        <v>255.76</v>
      </c>
      <c r="T10" s="145">
        <v>0.02</v>
      </c>
      <c r="U10" s="145">
        <f t="shared" si="3"/>
        <v>63.94</v>
      </c>
      <c r="V10" s="145">
        <v>3179</v>
      </c>
      <c r="W10" s="145">
        <v>7.0000000000000001E-3</v>
      </c>
      <c r="X10" s="145">
        <f t="shared" si="4"/>
        <v>22.25</v>
      </c>
      <c r="Y10" s="145">
        <v>3.0000000000000001E-3</v>
      </c>
      <c r="Z10" s="145">
        <f t="shared" si="5"/>
        <v>9.5399999999999991</v>
      </c>
      <c r="AA10" s="145">
        <v>3197</v>
      </c>
      <c r="AB10" s="145">
        <v>0.01</v>
      </c>
      <c r="AC10" s="145">
        <f t="shared" si="6"/>
        <v>31.97</v>
      </c>
      <c r="AD10" s="145">
        <v>3179</v>
      </c>
      <c r="AE10" s="145">
        <v>3.5000000000000001E-3</v>
      </c>
      <c r="AF10" s="145">
        <f t="shared" si="7"/>
        <v>11.13</v>
      </c>
      <c r="AG10" s="145">
        <v>3179</v>
      </c>
      <c r="AH10" s="145">
        <v>0.08</v>
      </c>
      <c r="AI10" s="145">
        <f t="shared" si="8"/>
        <v>254.32</v>
      </c>
      <c r="AJ10" s="145">
        <v>0.08</v>
      </c>
      <c r="AK10" s="145">
        <f t="shared" si="9"/>
        <v>254.32</v>
      </c>
      <c r="AL10" s="176"/>
      <c r="AM10" s="145"/>
      <c r="AN10" s="145"/>
      <c r="AO10" s="145"/>
      <c r="AP10" s="146"/>
      <c r="AQ10" s="181"/>
      <c r="AR10" s="181"/>
      <c r="AS10" s="182">
        <f t="shared" si="10"/>
        <v>829.75</v>
      </c>
      <c r="AT10" s="182">
        <f t="shared" si="11"/>
        <v>327.8</v>
      </c>
      <c r="AU10" s="182">
        <f t="shared" si="12"/>
        <v>254.32</v>
      </c>
      <c r="AV10" s="182">
        <f t="shared" si="13"/>
        <v>254.32</v>
      </c>
      <c r="AW10" s="182">
        <f t="shared" si="14"/>
        <v>1666.1899999999998</v>
      </c>
      <c r="AX10" s="374">
        <f t="shared" si="15"/>
        <v>1157.55</v>
      </c>
      <c r="AY10" s="374"/>
      <c r="AZ10" s="374">
        <f t="shared" si="16"/>
        <v>508.64</v>
      </c>
      <c r="BA10" s="374"/>
      <c r="BB10" s="191">
        <v>80</v>
      </c>
      <c r="BC10" s="190">
        <f t="shared" si="17"/>
        <v>1746.19</v>
      </c>
      <c r="BD10" s="193"/>
      <c r="BE10" s="206"/>
      <c r="BF10" s="206"/>
      <c r="BG10" s="206"/>
      <c r="BH10" s="206"/>
    </row>
    <row r="11" spans="1:60" s="138" customFormat="1" ht="18" customHeight="1">
      <c r="A11" s="145" t="s">
        <v>84</v>
      </c>
      <c r="B11" s="146" t="s">
        <v>68</v>
      </c>
      <c r="C11" s="147" t="s">
        <v>166</v>
      </c>
      <c r="D11" s="148" t="s">
        <v>70</v>
      </c>
      <c r="E11" s="146" t="s">
        <v>80</v>
      </c>
      <c r="F11" s="149" t="s">
        <v>178</v>
      </c>
      <c r="G11" s="150" t="s">
        <v>179</v>
      </c>
      <c r="H11" s="148" t="s">
        <v>159</v>
      </c>
      <c r="I11" s="148" t="s">
        <v>159</v>
      </c>
      <c r="J11" s="148" t="s">
        <v>159</v>
      </c>
      <c r="K11" s="148" t="s">
        <v>159</v>
      </c>
      <c r="L11" s="145">
        <v>3179</v>
      </c>
      <c r="M11" s="145">
        <v>0.16</v>
      </c>
      <c r="N11" s="145">
        <f t="shared" si="0"/>
        <v>508.64</v>
      </c>
      <c r="O11" s="145">
        <v>0.08</v>
      </c>
      <c r="P11" s="145">
        <f t="shared" si="1"/>
        <v>254.32</v>
      </c>
      <c r="Q11" s="145">
        <v>3197</v>
      </c>
      <c r="R11" s="145">
        <v>0.08</v>
      </c>
      <c r="S11" s="145">
        <f t="shared" si="2"/>
        <v>255.76</v>
      </c>
      <c r="T11" s="145">
        <v>0.02</v>
      </c>
      <c r="U11" s="145">
        <f t="shared" si="3"/>
        <v>63.94</v>
      </c>
      <c r="V11" s="145">
        <v>3179</v>
      </c>
      <c r="W11" s="145">
        <v>7.0000000000000001E-3</v>
      </c>
      <c r="X11" s="145">
        <f t="shared" si="4"/>
        <v>22.25</v>
      </c>
      <c r="Y11" s="145">
        <v>3.0000000000000001E-3</v>
      </c>
      <c r="Z11" s="145">
        <f t="shared" si="5"/>
        <v>9.5399999999999991</v>
      </c>
      <c r="AA11" s="145">
        <v>3197</v>
      </c>
      <c r="AB11" s="145">
        <v>0.01</v>
      </c>
      <c r="AC11" s="145">
        <f t="shared" si="6"/>
        <v>31.97</v>
      </c>
      <c r="AD11" s="145">
        <v>3179</v>
      </c>
      <c r="AE11" s="145">
        <v>3.5000000000000001E-3</v>
      </c>
      <c r="AF11" s="145">
        <f t="shared" si="7"/>
        <v>11.13</v>
      </c>
      <c r="AG11" s="145">
        <v>3179</v>
      </c>
      <c r="AH11" s="145">
        <v>0.08</v>
      </c>
      <c r="AI11" s="145">
        <f t="shared" si="8"/>
        <v>254.32</v>
      </c>
      <c r="AJ11" s="145">
        <v>0.08</v>
      </c>
      <c r="AK11" s="145">
        <f t="shared" si="9"/>
        <v>254.32</v>
      </c>
      <c r="AL11" s="176"/>
      <c r="AM11" s="145"/>
      <c r="AN11" s="145"/>
      <c r="AO11" s="145"/>
      <c r="AP11" s="146"/>
      <c r="AQ11" s="181"/>
      <c r="AR11" s="181"/>
      <c r="AS11" s="182">
        <f t="shared" si="10"/>
        <v>829.75</v>
      </c>
      <c r="AT11" s="182">
        <f t="shared" si="11"/>
        <v>327.8</v>
      </c>
      <c r="AU11" s="182">
        <f t="shared" si="12"/>
        <v>254.32</v>
      </c>
      <c r="AV11" s="182">
        <f t="shared" si="13"/>
        <v>254.32</v>
      </c>
      <c r="AW11" s="182">
        <f t="shared" si="14"/>
        <v>1666.1899999999998</v>
      </c>
      <c r="AX11" s="374">
        <f t="shared" si="15"/>
        <v>1157.55</v>
      </c>
      <c r="AY11" s="374"/>
      <c r="AZ11" s="374">
        <f t="shared" si="16"/>
        <v>508.64</v>
      </c>
      <c r="BA11" s="374"/>
      <c r="BB11" s="191">
        <v>80</v>
      </c>
      <c r="BC11" s="190">
        <f t="shared" si="17"/>
        <v>1746.19</v>
      </c>
      <c r="BD11" s="193"/>
      <c r="BE11" s="206"/>
      <c r="BF11" s="206"/>
      <c r="BG11" s="206"/>
      <c r="BH11" s="206"/>
    </row>
    <row r="12" spans="1:60" s="138" customFormat="1" ht="18" customHeight="1">
      <c r="A12" s="145" t="s">
        <v>84</v>
      </c>
      <c r="B12" s="146" t="s">
        <v>68</v>
      </c>
      <c r="C12" s="147" t="s">
        <v>166</v>
      </c>
      <c r="D12" s="148" t="s">
        <v>70</v>
      </c>
      <c r="E12" s="146" t="s">
        <v>80</v>
      </c>
      <c r="F12" s="149" t="s">
        <v>180</v>
      </c>
      <c r="G12" s="150" t="s">
        <v>181</v>
      </c>
      <c r="H12" s="148" t="s">
        <v>159</v>
      </c>
      <c r="I12" s="148" t="s">
        <v>159</v>
      </c>
      <c r="J12" s="148" t="s">
        <v>159</v>
      </c>
      <c r="K12" s="148" t="s">
        <v>159</v>
      </c>
      <c r="L12" s="145">
        <v>3179</v>
      </c>
      <c r="M12" s="145">
        <v>0.16</v>
      </c>
      <c r="N12" s="145">
        <f t="shared" si="0"/>
        <v>508.64</v>
      </c>
      <c r="O12" s="145">
        <v>0.08</v>
      </c>
      <c r="P12" s="145">
        <f t="shared" si="1"/>
        <v>254.32</v>
      </c>
      <c r="Q12" s="145">
        <v>3197</v>
      </c>
      <c r="R12" s="145">
        <v>0.08</v>
      </c>
      <c r="S12" s="145">
        <f t="shared" si="2"/>
        <v>255.76</v>
      </c>
      <c r="T12" s="145">
        <v>0.02</v>
      </c>
      <c r="U12" s="145">
        <f t="shared" si="3"/>
        <v>63.94</v>
      </c>
      <c r="V12" s="145">
        <v>3179</v>
      </c>
      <c r="W12" s="145">
        <v>7.0000000000000001E-3</v>
      </c>
      <c r="X12" s="145">
        <f t="shared" si="4"/>
        <v>22.25</v>
      </c>
      <c r="Y12" s="145">
        <v>3.0000000000000001E-3</v>
      </c>
      <c r="Z12" s="145">
        <f t="shared" si="5"/>
        <v>9.5399999999999991</v>
      </c>
      <c r="AA12" s="145">
        <v>3197</v>
      </c>
      <c r="AB12" s="145">
        <v>0.01</v>
      </c>
      <c r="AC12" s="145">
        <f t="shared" si="6"/>
        <v>31.97</v>
      </c>
      <c r="AD12" s="145">
        <v>3179</v>
      </c>
      <c r="AE12" s="145">
        <v>3.5000000000000001E-3</v>
      </c>
      <c r="AF12" s="145">
        <f t="shared" si="7"/>
        <v>11.13</v>
      </c>
      <c r="AG12" s="145">
        <v>3179</v>
      </c>
      <c r="AH12" s="145">
        <v>0.08</v>
      </c>
      <c r="AI12" s="145">
        <f t="shared" si="8"/>
        <v>254.32</v>
      </c>
      <c r="AJ12" s="145">
        <v>0.08</v>
      </c>
      <c r="AK12" s="145">
        <f t="shared" si="9"/>
        <v>254.32</v>
      </c>
      <c r="AL12" s="176"/>
      <c r="AM12" s="145"/>
      <c r="AN12" s="145"/>
      <c r="AO12" s="145"/>
      <c r="AP12" s="146"/>
      <c r="AQ12" s="181"/>
      <c r="AR12" s="181"/>
      <c r="AS12" s="182">
        <f t="shared" si="10"/>
        <v>829.75</v>
      </c>
      <c r="AT12" s="182">
        <f t="shared" si="11"/>
        <v>327.8</v>
      </c>
      <c r="AU12" s="182">
        <f t="shared" si="12"/>
        <v>254.32</v>
      </c>
      <c r="AV12" s="182">
        <f t="shared" si="13"/>
        <v>254.32</v>
      </c>
      <c r="AW12" s="182">
        <f t="shared" si="14"/>
        <v>1666.1899999999998</v>
      </c>
      <c r="AX12" s="374">
        <f t="shared" si="15"/>
        <v>1157.55</v>
      </c>
      <c r="AY12" s="374"/>
      <c r="AZ12" s="374">
        <f t="shared" si="16"/>
        <v>508.64</v>
      </c>
      <c r="BA12" s="374"/>
      <c r="BB12" s="191">
        <v>80</v>
      </c>
      <c r="BC12" s="190">
        <f t="shared" si="17"/>
        <v>1746.19</v>
      </c>
      <c r="BD12" s="193"/>
      <c r="BE12" s="206"/>
      <c r="BF12" s="206"/>
      <c r="BG12" s="206"/>
      <c r="BH12" s="206"/>
    </row>
    <row r="13" spans="1:60" s="139" customFormat="1" ht="18" customHeight="1">
      <c r="A13" s="151"/>
      <c r="B13" s="152"/>
      <c r="C13" s="153"/>
      <c r="D13" s="154"/>
      <c r="E13" s="155"/>
      <c r="F13" s="156"/>
      <c r="G13" s="157"/>
      <c r="H13" s="158"/>
      <c r="I13" s="154"/>
      <c r="J13" s="158"/>
      <c r="K13" s="158"/>
      <c r="L13" s="170"/>
      <c r="M13" s="170"/>
      <c r="N13" s="171"/>
      <c r="O13" s="170"/>
      <c r="P13" s="170"/>
      <c r="Q13" s="170"/>
      <c r="R13" s="170"/>
      <c r="S13" s="170"/>
      <c r="T13" s="170"/>
      <c r="U13" s="170"/>
      <c r="V13" s="173"/>
      <c r="W13" s="173"/>
      <c r="X13" s="174"/>
      <c r="Y13" s="173"/>
      <c r="Z13" s="170"/>
      <c r="AA13" s="170"/>
      <c r="AB13" s="170"/>
      <c r="AC13" s="170"/>
      <c r="AD13" s="170"/>
      <c r="AE13" s="170"/>
      <c r="AF13" s="171"/>
      <c r="AG13" s="170"/>
      <c r="AH13" s="170"/>
      <c r="AI13" s="170"/>
      <c r="AJ13" s="170"/>
      <c r="AK13" s="170"/>
      <c r="AL13" s="177"/>
      <c r="AM13" s="170"/>
      <c r="AN13" s="170"/>
      <c r="AO13" s="170"/>
      <c r="AP13" s="183"/>
      <c r="AQ13" s="184"/>
      <c r="AR13" s="170"/>
      <c r="AS13" s="185"/>
      <c r="AT13" s="185"/>
      <c r="AU13" s="185"/>
      <c r="AV13" s="185"/>
      <c r="AW13" s="185"/>
      <c r="AX13" s="194"/>
      <c r="AY13" s="195"/>
      <c r="AZ13" s="194"/>
      <c r="BA13" s="195"/>
      <c r="BB13" s="196"/>
      <c r="BC13" s="197"/>
      <c r="BD13" s="198"/>
      <c r="BE13" s="136"/>
      <c r="BF13" s="136"/>
      <c r="BG13" s="136"/>
      <c r="BH13" s="136"/>
    </row>
    <row r="14" spans="1:60" ht="14.25">
      <c r="A14" s="159" t="s">
        <v>95</v>
      </c>
      <c r="B14" s="160"/>
      <c r="C14" s="161"/>
      <c r="D14" s="161"/>
      <c r="E14" s="162"/>
      <c r="F14" s="161"/>
      <c r="G14" s="161"/>
      <c r="H14" s="161"/>
      <c r="I14" s="161"/>
      <c r="J14" s="161"/>
      <c r="K14" s="161"/>
      <c r="L14" s="162">
        <f>SUM(L3:L13)</f>
        <v>31790</v>
      </c>
      <c r="M14" s="162">
        <f>SUM(M3:M13)</f>
        <v>1.5999999999999999</v>
      </c>
      <c r="N14" s="162">
        <f>SUM(N3:N13)</f>
        <v>5086.3999999999996</v>
      </c>
      <c r="O14" s="162">
        <f>SUM(O3:O13)</f>
        <v>0.79999999999999993</v>
      </c>
      <c r="P14" s="162">
        <f>SUM(P3:P13)</f>
        <v>2543.1999999999998</v>
      </c>
      <c r="Q14" s="162">
        <f>SUM(Q3:Q13)</f>
        <v>31970</v>
      </c>
      <c r="R14" s="162">
        <f>SUM(R3:R13)</f>
        <v>0.79999999999999993</v>
      </c>
      <c r="S14" s="162">
        <f>SUM(S3:S13)</f>
        <v>2557.6000000000004</v>
      </c>
      <c r="T14" s="162">
        <f>SUM(T3:T13)</f>
        <v>0.19999999999999998</v>
      </c>
      <c r="U14" s="162">
        <f>SUM(U3:U13)</f>
        <v>639.40000000000009</v>
      </c>
      <c r="V14" s="162">
        <f>SUM(V3:V13)</f>
        <v>31790</v>
      </c>
      <c r="W14" s="162">
        <f>SUM(W3:W13)</f>
        <v>7.0000000000000007E-2</v>
      </c>
      <c r="X14" s="162">
        <f>SUM(X3:X13)</f>
        <v>222.5</v>
      </c>
      <c r="Y14" s="162">
        <f>SUM(Y3:Y13)</f>
        <v>2.9999999999999995E-2</v>
      </c>
      <c r="Z14" s="162">
        <f>SUM(Z3:Z13)</f>
        <v>95.399999999999977</v>
      </c>
      <c r="AA14" s="162">
        <f>SUM(AA3:AA13)</f>
        <v>31970</v>
      </c>
      <c r="AB14" s="162">
        <f>SUM(AB3:AB13)</f>
        <v>9.9999999999999992E-2</v>
      </c>
      <c r="AC14" s="162">
        <f>SUM(AC3:AC13)</f>
        <v>319.70000000000005</v>
      </c>
      <c r="AD14" s="162">
        <f>SUM(AD3:AD13)</f>
        <v>31790</v>
      </c>
      <c r="AE14" s="162">
        <f>SUM(AE3:AE13)</f>
        <v>3.5000000000000003E-2</v>
      </c>
      <c r="AF14" s="162">
        <f>SUM(AF3:AF13)</f>
        <v>111.29999999999998</v>
      </c>
      <c r="AG14" s="162">
        <f>SUM(AG3:AG13)</f>
        <v>31790</v>
      </c>
      <c r="AH14" s="162">
        <f>SUM(AH3:AH13)</f>
        <v>0.79999999999999993</v>
      </c>
      <c r="AI14" s="162">
        <f>SUM(AI3:AI13)</f>
        <v>2543.1999999999998</v>
      </c>
      <c r="AJ14" s="162">
        <f>SUM(AJ3:AJ13)</f>
        <v>0.79999999999999993</v>
      </c>
      <c r="AK14" s="162">
        <f>SUM(AK3:AK13)</f>
        <v>2543.1999999999998</v>
      </c>
      <c r="AL14" s="162">
        <f>SUM(AL3:AL13)</f>
        <v>0</v>
      </c>
      <c r="AM14" s="162">
        <f>SUM(AM3:AM13)</f>
        <v>0</v>
      </c>
      <c r="AN14" s="162">
        <f>SUM(AN3:AN13)</f>
        <v>0</v>
      </c>
      <c r="AO14" s="162">
        <f>SUM(AO3:AO13)</f>
        <v>0</v>
      </c>
      <c r="AP14" s="162">
        <f>SUM(AP3:AP13)</f>
        <v>0</v>
      </c>
      <c r="AQ14" s="162">
        <f>SUM(AQ3:AQ13)</f>
        <v>0</v>
      </c>
      <c r="AR14" s="162">
        <f>SUM(AR3:AR13)</f>
        <v>0</v>
      </c>
      <c r="AS14" s="162">
        <f>SUM(AS3:AS13)</f>
        <v>8297.5</v>
      </c>
      <c r="AT14" s="162">
        <f>SUM(AT3:AT13)</f>
        <v>3278.0000000000005</v>
      </c>
      <c r="AU14" s="162">
        <f>SUM(AU3:AU13)</f>
        <v>2543.1999999999998</v>
      </c>
      <c r="AV14" s="162">
        <f>SUM(AV3:AV13)</f>
        <v>2543.1999999999998</v>
      </c>
      <c r="AW14" s="162">
        <f>SUM(AW3:AW13)</f>
        <v>16661.900000000001</v>
      </c>
      <c r="AX14" s="162">
        <f>SUM(AX3:AX13)</f>
        <v>11575.499999999998</v>
      </c>
      <c r="AY14" s="162">
        <f>SUM(AY3:AY13)</f>
        <v>0</v>
      </c>
      <c r="AZ14" s="162">
        <f>SUM(AZ3:AZ13)</f>
        <v>5086.3999999999996</v>
      </c>
      <c r="BA14" s="162">
        <f>SUM(BA3:BA13)</f>
        <v>0</v>
      </c>
      <c r="BB14" s="162">
        <f>SUM(BB3:BB13)</f>
        <v>800</v>
      </c>
      <c r="BC14" s="162">
        <f>SUM(BC3:BC13)</f>
        <v>17461.900000000001</v>
      </c>
      <c r="BD14" s="199"/>
    </row>
    <row r="15" spans="1:60" ht="14.25">
      <c r="A15" s="163" t="s">
        <v>55</v>
      </c>
      <c r="B15" s="164"/>
      <c r="C15" s="165"/>
      <c r="D15" s="165"/>
      <c r="E15" s="166"/>
      <c r="F15" s="166"/>
      <c r="G15" s="166"/>
      <c r="H15" s="166"/>
      <c r="I15" s="166"/>
      <c r="J15" s="166"/>
      <c r="K15" s="166"/>
      <c r="L15" s="172">
        <f t="shared" ref="L15:AX15" si="18">SUM(L14:L14)</f>
        <v>31790</v>
      </c>
      <c r="M15" s="172">
        <f t="shared" si="18"/>
        <v>1.5999999999999999</v>
      </c>
      <c r="N15" s="172">
        <f t="shared" si="18"/>
        <v>5086.3999999999996</v>
      </c>
      <c r="O15" s="172">
        <f t="shared" si="18"/>
        <v>0.79999999999999993</v>
      </c>
      <c r="P15" s="172">
        <f t="shared" si="18"/>
        <v>2543.1999999999998</v>
      </c>
      <c r="Q15" s="172">
        <f t="shared" si="18"/>
        <v>31970</v>
      </c>
      <c r="R15" s="172">
        <f t="shared" si="18"/>
        <v>0.79999999999999993</v>
      </c>
      <c r="S15" s="172">
        <f t="shared" si="18"/>
        <v>2557.6000000000004</v>
      </c>
      <c r="T15" s="172">
        <f t="shared" si="18"/>
        <v>0.19999999999999998</v>
      </c>
      <c r="U15" s="172">
        <f t="shared" si="18"/>
        <v>639.40000000000009</v>
      </c>
      <c r="V15" s="172">
        <f t="shared" si="18"/>
        <v>31790</v>
      </c>
      <c r="W15" s="172">
        <f t="shared" si="18"/>
        <v>7.0000000000000007E-2</v>
      </c>
      <c r="X15" s="172">
        <f t="shared" si="18"/>
        <v>222.5</v>
      </c>
      <c r="Y15" s="172">
        <f t="shared" si="18"/>
        <v>2.9999999999999995E-2</v>
      </c>
      <c r="Z15" s="172">
        <f t="shared" si="18"/>
        <v>95.399999999999977</v>
      </c>
      <c r="AA15" s="172">
        <f t="shared" si="18"/>
        <v>31970</v>
      </c>
      <c r="AB15" s="172">
        <f t="shared" si="18"/>
        <v>9.9999999999999992E-2</v>
      </c>
      <c r="AC15" s="172">
        <f t="shared" si="18"/>
        <v>319.70000000000005</v>
      </c>
      <c r="AD15" s="172">
        <f t="shared" si="18"/>
        <v>31790</v>
      </c>
      <c r="AE15" s="172">
        <f t="shared" si="18"/>
        <v>3.5000000000000003E-2</v>
      </c>
      <c r="AF15" s="172">
        <f t="shared" si="18"/>
        <v>111.29999999999998</v>
      </c>
      <c r="AG15" s="172">
        <f t="shared" si="18"/>
        <v>31790</v>
      </c>
      <c r="AH15" s="172">
        <f t="shared" si="18"/>
        <v>0.79999999999999993</v>
      </c>
      <c r="AI15" s="172">
        <f t="shared" si="18"/>
        <v>2543.1999999999998</v>
      </c>
      <c r="AJ15" s="172">
        <f t="shared" si="18"/>
        <v>0.79999999999999993</v>
      </c>
      <c r="AK15" s="172">
        <f t="shared" si="18"/>
        <v>2543.1999999999998</v>
      </c>
      <c r="AL15" s="172">
        <f t="shared" si="18"/>
        <v>0</v>
      </c>
      <c r="AM15" s="172">
        <f t="shared" si="18"/>
        <v>0</v>
      </c>
      <c r="AN15" s="172">
        <f t="shared" si="18"/>
        <v>0</v>
      </c>
      <c r="AO15" s="172">
        <f t="shared" si="18"/>
        <v>0</v>
      </c>
      <c r="AP15" s="172">
        <f t="shared" si="18"/>
        <v>0</v>
      </c>
      <c r="AQ15" s="172">
        <f t="shared" si="18"/>
        <v>0</v>
      </c>
      <c r="AR15" s="172">
        <f t="shared" si="18"/>
        <v>0</v>
      </c>
      <c r="AS15" s="186">
        <f t="shared" si="18"/>
        <v>8297.5</v>
      </c>
      <c r="AT15" s="186">
        <f t="shared" si="18"/>
        <v>3278.0000000000005</v>
      </c>
      <c r="AU15" s="186">
        <f t="shared" si="18"/>
        <v>2543.1999999999998</v>
      </c>
      <c r="AV15" s="186">
        <f t="shared" si="18"/>
        <v>2543.1999999999998</v>
      </c>
      <c r="AW15" s="186">
        <f t="shared" si="18"/>
        <v>16661.900000000001</v>
      </c>
      <c r="AX15" s="341">
        <f t="shared" si="18"/>
        <v>11575.499999999998</v>
      </c>
      <c r="AY15" s="341"/>
      <c r="AZ15" s="341">
        <f t="shared" ref="AZ15:BC15" si="19">SUM(AZ14:AZ14)</f>
        <v>5086.3999999999996</v>
      </c>
      <c r="BA15" s="341"/>
      <c r="BB15" s="172">
        <f t="shared" si="19"/>
        <v>800</v>
      </c>
      <c r="BC15" s="172">
        <f t="shared" si="19"/>
        <v>17461.900000000001</v>
      </c>
      <c r="BD15" s="200"/>
    </row>
    <row r="16" spans="1:60" s="140" customFormat="1">
      <c r="A16" s="167"/>
      <c r="B16" s="167"/>
      <c r="C16" s="167"/>
      <c r="D16" s="167"/>
      <c r="E16" s="167"/>
      <c r="F16" s="168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87"/>
      <c r="AT16" s="187"/>
      <c r="AU16" s="187"/>
      <c r="AV16" s="187"/>
      <c r="AW16" s="187"/>
      <c r="AX16" s="167"/>
      <c r="AY16" s="167"/>
      <c r="AZ16" s="167"/>
      <c r="BA16" s="167"/>
      <c r="BB16" s="167"/>
      <c r="BC16" s="167">
        <f>'（居民）工资表-2月'!E18</f>
        <v>124775.78</v>
      </c>
      <c r="BD16" s="201"/>
    </row>
    <row r="17" spans="1:56" s="141" customFormat="1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36"/>
      <c r="AK17" s="136"/>
      <c r="AL17" s="136"/>
      <c r="AM17" s="136"/>
      <c r="AN17" s="136"/>
      <c r="AO17" s="136"/>
      <c r="AP17" s="136"/>
      <c r="AQ17" s="136"/>
      <c r="AR17" s="136"/>
      <c r="AS17" s="142"/>
      <c r="AT17" s="142"/>
      <c r="AU17" s="142"/>
      <c r="AV17" s="142"/>
      <c r="AW17" s="142"/>
      <c r="AX17" s="136"/>
      <c r="AY17" s="136"/>
      <c r="AZ17" s="136"/>
      <c r="BA17" s="136"/>
      <c r="BB17" s="136"/>
      <c r="BC17" s="136"/>
      <c r="BD17" s="143"/>
    </row>
    <row r="19" spans="1:56">
      <c r="AX19" s="342"/>
      <c r="AY19" s="342"/>
      <c r="BC19" s="202"/>
    </row>
  </sheetData>
  <autoFilter ref="A2:BH12">
    <filterColumn colId="49" showButton="0"/>
    <filterColumn colId="51" showButton="0"/>
  </autoFilter>
  <mergeCells count="48">
    <mergeCell ref="BB1:BB2"/>
    <mergeCell ref="BC1:BC2"/>
    <mergeCell ref="BD1:BD2"/>
    <mergeCell ref="AX1:AY2"/>
    <mergeCell ref="AZ1:BA2"/>
    <mergeCell ref="AX15:AY15"/>
    <mergeCell ref="AZ15:BA15"/>
    <mergeCell ref="AX19:AY19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X10:AY10"/>
    <mergeCell ref="AZ10:BA10"/>
    <mergeCell ref="AX11:AY11"/>
    <mergeCell ref="AZ11:BA11"/>
    <mergeCell ref="AX12:AY12"/>
    <mergeCell ref="AZ12:BA12"/>
    <mergeCell ref="AX7:AY7"/>
    <mergeCell ref="AZ7:BA7"/>
    <mergeCell ref="AX8:AY8"/>
    <mergeCell ref="AZ8:BA8"/>
    <mergeCell ref="AX9:AY9"/>
    <mergeCell ref="AZ9:BA9"/>
    <mergeCell ref="AX4:AY4"/>
    <mergeCell ref="AZ4:BA4"/>
    <mergeCell ref="AX5:AY5"/>
    <mergeCell ref="AZ5:BA5"/>
    <mergeCell ref="AX6:AY6"/>
    <mergeCell ref="AZ6:BA6"/>
    <mergeCell ref="AX3:AY3"/>
    <mergeCell ref="AZ3:BA3"/>
    <mergeCell ref="AG1:AK1"/>
    <mergeCell ref="AL1:AP1"/>
    <mergeCell ref="AQ1:AR1"/>
    <mergeCell ref="AS1:AW1"/>
    <mergeCell ref="L1:P1"/>
    <mergeCell ref="Q1:U1"/>
    <mergeCell ref="V1:Z1"/>
    <mergeCell ref="AA1:AC1"/>
    <mergeCell ref="AD1:AF1"/>
  </mergeCells>
  <phoneticPr fontId="112" type="noConversion"/>
  <conditionalFormatting sqref="H1:I1">
    <cfRule type="expression" dxfId="86" priority="1" stopIfTrue="1">
      <formula>AND(COUNTIF($J$1:$J$1,H1)&gt;1,NOT(ISBLANK(H1)))</formula>
    </cfRule>
  </conditionalFormatting>
  <conditionalFormatting sqref="J1">
    <cfRule type="duplicateValues" dxfId="85" priority="2" stopIfTrue="1"/>
  </conditionalFormatting>
  <conditionalFormatting sqref="K1:L1">
    <cfRule type="duplicateValues" dxfId="84" priority="3" stopIfTrue="1"/>
  </conditionalFormatting>
  <conditionalFormatting sqref="Q1">
    <cfRule type="duplicateValues" dxfId="83" priority="4" stopIfTrue="1"/>
  </conditionalFormatting>
  <conditionalFormatting sqref="V1">
    <cfRule type="duplicateValues" dxfId="82" priority="5" stopIfTrue="1"/>
  </conditionalFormatting>
  <conditionalFormatting sqref="AG1">
    <cfRule type="duplicateValues" dxfId="81" priority="6" stopIfTrue="1"/>
  </conditionalFormatting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 pane="topRight"/>
      <selection pane="bottomLeft"/>
      <selection pane="bottomRight" activeCell="M7" sqref="M7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12.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3.37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4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143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8980</v>
      </c>
      <c r="M4" s="61">
        <v>264</v>
      </c>
      <c r="N4" s="61">
        <v>66</v>
      </c>
      <c r="O4" s="61">
        <v>9.9</v>
      </c>
      <c r="P4" s="61">
        <v>180</v>
      </c>
      <c r="Q4" s="76">
        <f>ROUND(SUM(M4:P4),2)</f>
        <v>519.9</v>
      </c>
      <c r="R4" s="62">
        <v>0</v>
      </c>
      <c r="S4" s="77">
        <f>L4+IFERROR(VLOOKUP($E:$E,'（居民）工资表-5月'!$E:$S,15,0),0)</f>
        <v>16680</v>
      </c>
      <c r="T4" s="78">
        <f>5000+IFERROR(VLOOKUP($E:$E,'（居民）工资表-5月'!$E:$T,16,0),0)</f>
        <v>10000</v>
      </c>
      <c r="U4" s="78">
        <f>Q4+IFERROR(VLOOKUP($E:$E,'（居民）工资表-5月'!$E:$U,17,0),0)</f>
        <v>1039.8</v>
      </c>
      <c r="V4" s="62"/>
      <c r="W4" s="62"/>
      <c r="X4" s="62">
        <v>6000</v>
      </c>
      <c r="Y4" s="62"/>
      <c r="Z4" s="62"/>
      <c r="AA4" s="62"/>
      <c r="AB4" s="77">
        <f>ROUND(SUM(V4:AA4),2)</f>
        <v>6000</v>
      </c>
      <c r="AC4" s="77">
        <f>R4+IFERROR(VLOOKUP($E:$E,'（居民）工资表-5月'!$E:$AC,25,0),0)</f>
        <v>0</v>
      </c>
      <c r="AD4" s="79">
        <f>ROUND(S4-T4-U4-AB4-AC4,2)</f>
        <v>-359.8</v>
      </c>
      <c r="AE4" s="80">
        <f>ROUND(MAX((AD4)*{0.03;0.1;0.2;0.25;0.3;0.35;0.45}-{0;2520;16920;31920;52920;85920;181920},0),2)</f>
        <v>0</v>
      </c>
      <c r="AF4" s="81">
        <f>IFERROR(VLOOKUP(E:E,'（居民）工资表-5月'!E:AF,28,0)+VLOOKUP(E:E,'（居民）工资表-5月'!E:AG,29,0),0)</f>
        <v>0</v>
      </c>
      <c r="AG4" s="81">
        <f>IF((AE4-AF4)&lt;0,0,AE4-AF4)</f>
        <v>0</v>
      </c>
      <c r="AH4" s="84">
        <f>ROUND(IF((L4-Q4-AG4)&lt;0,0,(L4-Q4-AG4)),2)</f>
        <v>8460.1</v>
      </c>
      <c r="AI4" s="85"/>
      <c r="AJ4" s="84">
        <f>AH4+AI4</f>
        <v>8460.1</v>
      </c>
      <c r="AK4" s="86"/>
      <c r="AL4" s="84">
        <f>AJ4+AG4+AK4</f>
        <v>8460.1</v>
      </c>
      <c r="AM4" s="86"/>
      <c r="AN4" s="86"/>
      <c r="AO4" s="86"/>
      <c r="AP4" s="86"/>
      <c r="AQ4" s="86"/>
      <c r="AR4" s="9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IF(SUMPRODUCT(N(E$1:E$7=E4))&gt;1,"重复","不")</f>
        <v>不</v>
      </c>
      <c r="AT4" s="91" t="str">
        <f>IF(SUMPRODUCT(N(AO$1:AO$7=AO4))&gt;1,"重复","不")</f>
        <v>重复</v>
      </c>
    </row>
    <row r="5" spans="1:46" s="17" customFormat="1" ht="18" customHeight="1">
      <c r="A5" s="31">
        <v>2</v>
      </c>
      <c r="B5" s="32" t="s">
        <v>143</v>
      </c>
      <c r="C5" s="32" t="s">
        <v>81</v>
      </c>
      <c r="D5" s="32" t="s">
        <v>144</v>
      </c>
      <c r="E5" s="285" t="s">
        <v>82</v>
      </c>
      <c r="F5" s="33" t="s">
        <v>183</v>
      </c>
      <c r="G5" s="36">
        <v>13926009696</v>
      </c>
      <c r="H5" s="35"/>
      <c r="I5" s="35"/>
      <c r="J5" s="59"/>
      <c r="K5" s="35"/>
      <c r="L5" s="62">
        <v>5800</v>
      </c>
      <c r="M5" s="61">
        <v>304.24</v>
      </c>
      <c r="N5" s="61">
        <v>123.5</v>
      </c>
      <c r="O5" s="61">
        <v>7.61</v>
      </c>
      <c r="P5" s="61">
        <v>0</v>
      </c>
      <c r="Q5" s="76">
        <f>ROUND(SUM(M5:P5),2)</f>
        <v>435.35</v>
      </c>
      <c r="R5" s="62">
        <v>0</v>
      </c>
      <c r="S5" s="77">
        <f>L5+IFERROR(VLOOKUP($E:$E,'（居民）工资表-5月'!$E:$S,15,0),0)</f>
        <v>11600</v>
      </c>
      <c r="T5" s="78">
        <f>5000+IFERROR(VLOOKUP($E:$E,'（居民）工资表-5月'!$E:$T,16,0),0)</f>
        <v>10000</v>
      </c>
      <c r="U5" s="78">
        <f>Q5+IFERROR(VLOOKUP($E:$E,'（居民）工资表-5月'!$E:$U,17,0),0)</f>
        <v>870.7</v>
      </c>
      <c r="V5" s="62"/>
      <c r="W5" s="62"/>
      <c r="X5" s="62"/>
      <c r="Y5" s="62"/>
      <c r="Z5" s="62"/>
      <c r="AA5" s="62"/>
      <c r="AB5" s="77">
        <f>ROUND(SUM(V5:AA5),2)</f>
        <v>0</v>
      </c>
      <c r="AC5" s="77">
        <f>R5+IFERROR(VLOOKUP($E:$E,'（居民）工资表-5月'!$E:$AC,25,0),0)</f>
        <v>0</v>
      </c>
      <c r="AD5" s="79">
        <f>ROUND(S5-T5-U5-AB5-AC5,2)</f>
        <v>729.3</v>
      </c>
      <c r="AE5" s="80">
        <f>ROUND(MAX((AD5)*{0.03;0.1;0.2;0.25;0.3;0.35;0.45}-{0;2520;16920;31920;52920;85920;181920},0),2)</f>
        <v>21.88</v>
      </c>
      <c r="AF5" s="81">
        <f>IFERROR(VLOOKUP(E:E,'（居民）工资表-5月'!E:AF,28,0)+VLOOKUP(E:E,'（居民）工资表-5月'!E:AG,29,0),0)</f>
        <v>10.94</v>
      </c>
      <c r="AG5" s="81">
        <f>IF((AE5-AF5)&lt;0,0,AE5-AF5)</f>
        <v>10.94</v>
      </c>
      <c r="AH5" s="84">
        <f>ROUND(IF((L5-Q5-AG5)&lt;0,0,(L5-Q5-AG5)),2)</f>
        <v>5353.71</v>
      </c>
      <c r="AI5" s="85"/>
      <c r="AJ5" s="84">
        <f>AH5+AI5</f>
        <v>5353.71</v>
      </c>
      <c r="AK5" s="86"/>
      <c r="AL5" s="84">
        <f>AJ5+AG5+AK5</f>
        <v>5364.65</v>
      </c>
      <c r="AM5" s="86"/>
      <c r="AN5" s="86"/>
      <c r="AO5" s="86"/>
      <c r="AP5" s="86"/>
      <c r="AQ5" s="86"/>
      <c r="AR5" s="9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1" t="str">
        <f>IF(SUMPRODUCT(N(E$1:E$7=E5))&gt;1,"重复","不")</f>
        <v>不</v>
      </c>
      <c r="AT5" s="91" t="str">
        <f>IF(SUMPRODUCT(N(AO$1:AO$7=AO5))&gt;1,"重复","不")</f>
        <v>重复</v>
      </c>
    </row>
    <row r="6" spans="1:46" s="17" customFormat="1" ht="18" customHeight="1">
      <c r="A6" s="31">
        <v>3</v>
      </c>
      <c r="B6" s="32" t="s">
        <v>143</v>
      </c>
      <c r="C6" s="32" t="s">
        <v>90</v>
      </c>
      <c r="D6" s="32" t="s">
        <v>144</v>
      </c>
      <c r="E6" s="32" t="s">
        <v>91</v>
      </c>
      <c r="F6" s="33" t="s">
        <v>182</v>
      </c>
      <c r="G6" s="36">
        <v>13944441728</v>
      </c>
      <c r="H6" s="35"/>
      <c r="I6" s="35"/>
      <c r="J6" s="59"/>
      <c r="K6" s="35"/>
      <c r="L6" s="62">
        <v>8120</v>
      </c>
      <c r="M6" s="61">
        <v>488.48</v>
      </c>
      <c r="N6" s="61">
        <v>122.12</v>
      </c>
      <c r="O6" s="61">
        <v>18.32</v>
      </c>
      <c r="P6" s="61">
        <v>158</v>
      </c>
      <c r="Q6" s="76">
        <f>ROUND(SUM(M6:P6),2)</f>
        <v>786.92</v>
      </c>
      <c r="R6" s="62">
        <v>0</v>
      </c>
      <c r="S6" s="77">
        <f>L6+IFERROR(VLOOKUP($E:$E,'（居民）工资表-5月'!$E:$S,15,0),0)</f>
        <v>16240</v>
      </c>
      <c r="T6" s="78">
        <f>5000+IFERROR(VLOOKUP($E:$E,'（居民）工资表-5月'!$E:$T,16,0),0)</f>
        <v>10000</v>
      </c>
      <c r="U6" s="78">
        <f>Q6+IFERROR(VLOOKUP($E:$E,'（居民）工资表-5月'!$E:$U,17,0),0)</f>
        <v>1573.84</v>
      </c>
      <c r="V6" s="62"/>
      <c r="W6" s="62"/>
      <c r="X6" s="62"/>
      <c r="Y6" s="62"/>
      <c r="Z6" s="62"/>
      <c r="AA6" s="62"/>
      <c r="AB6" s="77">
        <f>ROUND(SUM(V6:AA6),2)</f>
        <v>0</v>
      </c>
      <c r="AC6" s="77">
        <f>R6+IFERROR(VLOOKUP($E:$E,'（居民）工资表-5月'!$E:$AC,25,0),0)</f>
        <v>0</v>
      </c>
      <c r="AD6" s="79">
        <f>ROUND(S6-T6-U6-AB6-AC6,2)</f>
        <v>4666.16</v>
      </c>
      <c r="AE6" s="80">
        <f>ROUND(MAX((AD6)*{0.03;0.1;0.2;0.25;0.3;0.35;0.45}-{0;2520;16920;31920;52920;85920;181920},0),2)</f>
        <v>139.97999999999999</v>
      </c>
      <c r="AF6" s="81">
        <f>IFERROR(VLOOKUP(E:E,'（居民）工资表-5月'!E:AF,28,0)+VLOOKUP(E:E,'（居民）工资表-5月'!E:AG,29,0),0)</f>
        <v>69.989999999999995</v>
      </c>
      <c r="AG6" s="81">
        <f>IF((AE6-AF6)&lt;0,0,AE6-AF6)</f>
        <v>69.989999999999995</v>
      </c>
      <c r="AH6" s="84">
        <f>ROUND(IF((L6-Q6-AG6)&lt;0,0,(L6-Q6-AG6)),2)</f>
        <v>7263.09</v>
      </c>
      <c r="AI6" s="85"/>
      <c r="AJ6" s="84">
        <f>AH6+AI6</f>
        <v>7263.09</v>
      </c>
      <c r="AK6" s="86"/>
      <c r="AL6" s="84">
        <f>AJ6+AG6+AK6</f>
        <v>7333.08</v>
      </c>
      <c r="AM6" s="86"/>
      <c r="AN6" s="86"/>
      <c r="AO6" s="86"/>
      <c r="AP6" s="86"/>
      <c r="AQ6" s="86"/>
      <c r="AR6" s="9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1" t="str">
        <f>IF(SUMPRODUCT(N(E$1:E$7=E6))&gt;1,"重复","不")</f>
        <v>不</v>
      </c>
      <c r="AT6" s="91" t="str">
        <f>IF(SUMPRODUCT(N(AO$1:AO$7=AO6))&gt;1,"重复","不")</f>
        <v>重复</v>
      </c>
    </row>
    <row r="7" spans="1:46" s="17" customFormat="1" ht="18" customHeight="1">
      <c r="A7" s="31">
        <v>4</v>
      </c>
      <c r="B7" s="32" t="s">
        <v>143</v>
      </c>
      <c r="C7" s="32" t="s">
        <v>145</v>
      </c>
      <c r="D7" s="32" t="s">
        <v>144</v>
      </c>
      <c r="E7" s="285" t="s">
        <v>146</v>
      </c>
      <c r="F7" s="33" t="s">
        <v>182</v>
      </c>
      <c r="G7" s="36"/>
      <c r="H7" s="35"/>
      <c r="I7" s="35"/>
      <c r="J7" s="59"/>
      <c r="K7" s="35"/>
      <c r="L7" s="62">
        <v>25000</v>
      </c>
      <c r="M7" s="61">
        <f>320*2</f>
        <v>640</v>
      </c>
      <c r="N7" s="61">
        <f>80*2+86.67</f>
        <v>246.67</v>
      </c>
      <c r="O7" s="61">
        <f>12*2</f>
        <v>24</v>
      </c>
      <c r="P7" s="61">
        <v>400</v>
      </c>
      <c r="Q7" s="76">
        <f>ROUND(SUM(M7:P7),2)</f>
        <v>1310.67</v>
      </c>
      <c r="R7" s="62">
        <v>0</v>
      </c>
      <c r="S7" s="77">
        <f>L7+IFERROR(VLOOKUP($E:$E,'（居民）工资表-5月'!$E:$S,15,0),0)</f>
        <v>36904.76</v>
      </c>
      <c r="T7" s="78">
        <f>5000+IFERROR(VLOOKUP($E:$E,'（居民）工资表-5月'!$E:$T,16,0),0)</f>
        <v>10000</v>
      </c>
      <c r="U7" s="78">
        <f>Q7+IFERROR(VLOOKUP($E:$E,'（居民）工资表-5月'!$E:$U,17,0),0)</f>
        <v>1310.67</v>
      </c>
      <c r="V7" s="62"/>
      <c r="W7" s="62"/>
      <c r="X7" s="62"/>
      <c r="Y7" s="62"/>
      <c r="Z7" s="62"/>
      <c r="AA7" s="62"/>
      <c r="AB7" s="77">
        <f>ROUND(SUM(V7:AA7),2)</f>
        <v>0</v>
      </c>
      <c r="AC7" s="77">
        <f>R7+IFERROR(VLOOKUP($E:$E,'（居民）工资表-5月'!$E:$AC,25,0),0)</f>
        <v>0</v>
      </c>
      <c r="AD7" s="79">
        <f>ROUND(S7-T7-U7-AB7-AC7,2)</f>
        <v>25594.09</v>
      </c>
      <c r="AE7" s="80">
        <f>ROUND(MAX((AD7)*{0.03;0.1;0.2;0.25;0.3;0.35;0.45}-{0;2520;16920;31920;52920;85920;181920},0),2)</f>
        <v>767.82</v>
      </c>
      <c r="AF7" s="81">
        <f>IFERROR(VLOOKUP(E:E,'（居民）工资表-5月'!E:AF,28,0)+VLOOKUP(E:E,'（居民）工资表-5月'!E:AG,29,0),0)</f>
        <v>207.14</v>
      </c>
      <c r="AG7" s="81">
        <f>IF((AE7-AF7)&lt;0,0,AE7-AF7)</f>
        <v>560.68000000000006</v>
      </c>
      <c r="AH7" s="84">
        <f>ROUND(IF((L7-Q7-AG7)&lt;0,0,(L7-Q7-AG7)),2)</f>
        <v>23128.65</v>
      </c>
      <c r="AI7" s="85"/>
      <c r="AJ7" s="84">
        <f>AH7+AI7</f>
        <v>23128.65</v>
      </c>
      <c r="AK7" s="86"/>
      <c r="AL7" s="84">
        <f>AJ7+AG7+AK7</f>
        <v>23689.33</v>
      </c>
      <c r="AM7" s="86"/>
      <c r="AN7" s="86"/>
      <c r="AO7" s="86"/>
      <c r="AP7" s="86"/>
      <c r="AQ7" s="86"/>
      <c r="AR7" s="9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1" t="str">
        <f>IF(SUMPRODUCT(N(E$1:E$7=E7))&gt;1,"重复","不")</f>
        <v>不</v>
      </c>
      <c r="AT7" s="91" t="str">
        <f>IF(SUMPRODUCT(N(AO$1:AO$7=AO7))&gt;1,"重复","不")</f>
        <v>重复</v>
      </c>
    </row>
    <row r="8" spans="1:46" s="18" customFormat="1" ht="18" customHeight="1">
      <c r="A8" s="37"/>
      <c r="B8" s="38" t="s">
        <v>147</v>
      </c>
      <c r="C8" s="38"/>
      <c r="D8" s="39"/>
      <c r="E8" s="40"/>
      <c r="F8" s="41"/>
      <c r="G8" s="42"/>
      <c r="H8" s="41"/>
      <c r="I8" s="63"/>
      <c r="J8" s="64"/>
      <c r="K8" s="63"/>
      <c r="L8" s="65">
        <f t="shared" ref="L8:AL8" si="0">SUM(L4:L7)</f>
        <v>47900</v>
      </c>
      <c r="M8" s="65">
        <f t="shared" si="0"/>
        <v>1696.72</v>
      </c>
      <c r="N8" s="65">
        <f t="shared" si="0"/>
        <v>558.29</v>
      </c>
      <c r="O8" s="65">
        <f t="shared" si="0"/>
        <v>59.83</v>
      </c>
      <c r="P8" s="65">
        <f t="shared" si="0"/>
        <v>738</v>
      </c>
      <c r="Q8" s="65">
        <f t="shared" si="0"/>
        <v>3052.84</v>
      </c>
      <c r="R8" s="65">
        <f t="shared" si="0"/>
        <v>0</v>
      </c>
      <c r="S8" s="65">
        <f t="shared" si="0"/>
        <v>81424.760000000009</v>
      </c>
      <c r="T8" s="65">
        <f t="shared" si="0"/>
        <v>40000</v>
      </c>
      <c r="U8" s="65">
        <f t="shared" si="0"/>
        <v>4795.01</v>
      </c>
      <c r="V8" s="65">
        <f t="shared" si="0"/>
        <v>0</v>
      </c>
      <c r="W8" s="65">
        <f t="shared" si="0"/>
        <v>0</v>
      </c>
      <c r="X8" s="65">
        <f t="shared" si="0"/>
        <v>6000</v>
      </c>
      <c r="Y8" s="65">
        <f t="shared" si="0"/>
        <v>0</v>
      </c>
      <c r="Z8" s="65">
        <f t="shared" si="0"/>
        <v>0</v>
      </c>
      <c r="AA8" s="65">
        <f t="shared" si="0"/>
        <v>0</v>
      </c>
      <c r="AB8" s="65">
        <f t="shared" si="0"/>
        <v>6000</v>
      </c>
      <c r="AC8" s="65">
        <f t="shared" si="0"/>
        <v>0</v>
      </c>
      <c r="AD8" s="65">
        <f t="shared" si="0"/>
        <v>30629.75</v>
      </c>
      <c r="AE8" s="65">
        <f t="shared" si="0"/>
        <v>929.68000000000006</v>
      </c>
      <c r="AF8" s="65">
        <f t="shared" si="0"/>
        <v>288.07</v>
      </c>
      <c r="AG8" s="65">
        <f t="shared" si="0"/>
        <v>641.61</v>
      </c>
      <c r="AH8" s="65">
        <f t="shared" si="0"/>
        <v>44205.55</v>
      </c>
      <c r="AI8" s="98">
        <f t="shared" si="0"/>
        <v>0</v>
      </c>
      <c r="AJ8" s="65">
        <f t="shared" si="0"/>
        <v>44205.55</v>
      </c>
      <c r="AK8" s="65">
        <f t="shared" si="0"/>
        <v>0</v>
      </c>
      <c r="AL8" s="65">
        <f t="shared" si="0"/>
        <v>44847.16</v>
      </c>
      <c r="AM8" s="87"/>
      <c r="AN8" s="87"/>
      <c r="AO8" s="87"/>
      <c r="AP8" s="87"/>
      <c r="AQ8" s="87"/>
      <c r="AR8" s="41"/>
      <c r="AS8" s="41"/>
      <c r="AT8" s="92"/>
    </row>
    <row r="11" spans="1:46">
      <c r="AD11" s="82"/>
    </row>
    <row r="12" spans="1:46" ht="18.75" customHeight="1">
      <c r="B12" s="43" t="s">
        <v>124</v>
      </c>
      <c r="C12" s="43" t="s">
        <v>148</v>
      </c>
      <c r="D12" s="43" t="s">
        <v>54</v>
      </c>
      <c r="E12" s="43" t="s">
        <v>55</v>
      </c>
      <c r="AD12" s="15"/>
    </row>
    <row r="13" spans="1:46" ht="18.75" customHeight="1">
      <c r="B13" s="44">
        <f>AJ8</f>
        <v>44205.55</v>
      </c>
      <c r="C13" s="44">
        <f>AG8</f>
        <v>641.61</v>
      </c>
      <c r="D13" s="44">
        <f>AK8</f>
        <v>0</v>
      </c>
      <c r="E13" s="44">
        <f>B13+C13+D13</f>
        <v>44847.16</v>
      </c>
    </row>
    <row r="14" spans="1:46">
      <c r="B14" s="45"/>
      <c r="C14" s="45"/>
      <c r="D14" s="45"/>
      <c r="E14" s="45"/>
    </row>
    <row r="15" spans="1:46" s="19" customFormat="1">
      <c r="A15" s="46" t="s">
        <v>149</v>
      </c>
      <c r="B15" s="47" t="s">
        <v>150</v>
      </c>
      <c r="C15" s="48"/>
      <c r="D15" s="48"/>
      <c r="E15" s="48"/>
      <c r="G15" s="49"/>
      <c r="J15" s="66"/>
      <c r="M15" s="67"/>
      <c r="AI15" s="89"/>
    </row>
    <row r="16" spans="1:46" s="19" customFormat="1">
      <c r="A16" s="50"/>
      <c r="B16" s="51" t="s">
        <v>151</v>
      </c>
      <c r="C16" s="48"/>
      <c r="D16" s="48"/>
      <c r="E16" s="48"/>
      <c r="G16" s="49"/>
      <c r="J16" s="66"/>
      <c r="M16" s="67"/>
      <c r="AI16" s="89"/>
    </row>
    <row r="17" spans="1:35" s="19" customFormat="1">
      <c r="A17" s="47"/>
      <c r="B17" s="51" t="s">
        <v>152</v>
      </c>
      <c r="C17" s="52"/>
      <c r="D17" s="52"/>
      <c r="E17" s="52"/>
      <c r="F17" s="52"/>
      <c r="G17" s="52"/>
      <c r="H17" s="52"/>
      <c r="I17" s="52"/>
      <c r="J17" s="68"/>
      <c r="K17" s="52"/>
      <c r="L17" s="52"/>
      <c r="M17" s="69"/>
      <c r="N17" s="52"/>
      <c r="O17" s="52"/>
      <c r="P17" s="52"/>
      <c r="AI17" s="89"/>
    </row>
    <row r="18" spans="1:35" s="19" customFormat="1" ht="13.5" customHeight="1">
      <c r="A18" s="51"/>
      <c r="B18" s="51" t="s">
        <v>153</v>
      </c>
      <c r="C18" s="53"/>
      <c r="D18" s="53"/>
      <c r="E18" s="53"/>
      <c r="F18" s="53"/>
      <c r="G18" s="53"/>
      <c r="H18" s="53"/>
      <c r="I18" s="70"/>
      <c r="J18" s="71"/>
      <c r="K18" s="70"/>
      <c r="L18" s="70"/>
      <c r="M18" s="72"/>
      <c r="N18" s="70"/>
      <c r="O18" s="70"/>
      <c r="P18" s="70"/>
      <c r="AI18" s="89"/>
    </row>
    <row r="19" spans="1:35" s="19" customFormat="1" ht="13.5" customHeight="1">
      <c r="A19" s="51"/>
      <c r="B19" s="51" t="s">
        <v>154</v>
      </c>
      <c r="C19" s="53"/>
      <c r="D19" s="53"/>
      <c r="E19" s="53"/>
      <c r="F19" s="53"/>
      <c r="G19" s="53"/>
      <c r="H19" s="53"/>
      <c r="I19" s="53"/>
      <c r="J19" s="73"/>
      <c r="K19" s="53"/>
      <c r="L19" s="70"/>
      <c r="M19" s="72"/>
      <c r="N19" s="70"/>
      <c r="O19" s="70"/>
      <c r="P19" s="70"/>
      <c r="AI19" s="89"/>
    </row>
    <row r="20" spans="1:35" s="19" customFormat="1" ht="13.5" customHeight="1">
      <c r="A20" s="51"/>
      <c r="B20" s="51" t="s">
        <v>155</v>
      </c>
      <c r="C20" s="53"/>
      <c r="D20" s="53"/>
      <c r="E20" s="53"/>
      <c r="F20" s="53"/>
      <c r="G20" s="53"/>
      <c r="H20" s="53"/>
      <c r="I20" s="70"/>
      <c r="J20" s="71"/>
      <c r="K20" s="70"/>
      <c r="L20" s="70"/>
      <c r="M20" s="72"/>
      <c r="N20" s="70"/>
      <c r="O20" s="70"/>
      <c r="P20" s="70"/>
      <c r="AI20" s="89"/>
    </row>
    <row r="22" spans="1:35" ht="11.25" customHeight="1">
      <c r="B22" s="54" t="s">
        <v>156</v>
      </c>
    </row>
    <row r="23" spans="1:35">
      <c r="B23" s="55" t="s">
        <v>157</v>
      </c>
    </row>
    <row r="24" spans="1:35">
      <c r="B24" s="55" t="s">
        <v>158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0">
    <cfRule type="duplicateValues" dxfId="80" priority="2" stopIfTrue="1"/>
  </conditionalFormatting>
  <conditionalFormatting sqref="B15:B19">
    <cfRule type="duplicateValues" dxfId="79" priority="3" stopIfTrue="1"/>
  </conditionalFormatting>
  <conditionalFormatting sqref="B23:B24">
    <cfRule type="duplicateValues" dxfId="78" priority="1" stopIfTrue="1"/>
  </conditionalFormatting>
  <conditionalFormatting sqref="C12:C14">
    <cfRule type="duplicateValues" dxfId="77" priority="4" stopIfTrue="1"/>
    <cfRule type="expression" dxfId="76" priority="5" stopIfTrue="1">
      <formula>AND(COUNTIF($B$8:$B$65444,C12)+COUNTIF($B$1:$B$3,C12)&gt;1,NOT(ISBLANK(C12)))</formula>
    </cfRule>
    <cfRule type="expression" dxfId="75" priority="6" stopIfTrue="1">
      <formula>AND(COUNTIF($B$19:$B$65395,C12)+COUNTIF($B$1:$B$18,C12)&gt;1,NOT(ISBLANK(C12)))</formula>
    </cfRule>
    <cfRule type="expression" dxfId="74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12.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3.37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4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143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7700</v>
      </c>
      <c r="M4" s="61">
        <v>264</v>
      </c>
      <c r="N4" s="61">
        <v>66</v>
      </c>
      <c r="O4" s="61">
        <v>9.9</v>
      </c>
      <c r="P4" s="61">
        <v>180</v>
      </c>
      <c r="Q4" s="76">
        <f>ROUND(SUM(M4:P4),2)</f>
        <v>519.9</v>
      </c>
      <c r="R4" s="62">
        <v>0</v>
      </c>
      <c r="S4" s="77">
        <f>L4+IFERROR(VLOOKUP($E:$E,'（居民）工资表-6月'!$E:$S,15,0),0)</f>
        <v>24380</v>
      </c>
      <c r="T4" s="78">
        <f>5000+IFERROR(VLOOKUP($E:$E,'（居民）工资表-6月'!$E:$T,16,0),0)</f>
        <v>15000</v>
      </c>
      <c r="U4" s="78">
        <f>Q4+IFERROR(VLOOKUP($E:$E,'（居民）工资表-6月'!$E:$U,17,0),0)</f>
        <v>1559.6999999999998</v>
      </c>
      <c r="V4" s="62"/>
      <c r="W4" s="62"/>
      <c r="X4" s="62">
        <v>7000</v>
      </c>
      <c r="Y4" s="62"/>
      <c r="Z4" s="62"/>
      <c r="AA4" s="62"/>
      <c r="AB4" s="77">
        <f>ROUND(SUM(V4:AA4),2)</f>
        <v>7000</v>
      </c>
      <c r="AC4" s="77">
        <f>R4+IFERROR(VLOOKUP($E:$E,'（居民）工资表-6月'!$E:$AC,25,0),0)</f>
        <v>0</v>
      </c>
      <c r="AD4" s="79">
        <f>ROUND(S4-T4-U4-AB4-AC4,2)</f>
        <v>820.3</v>
      </c>
      <c r="AE4" s="80">
        <f>ROUND(MAX((AD4)*{0.03;0.1;0.2;0.25;0.3;0.35;0.45}-{0;2520;16920;31920;52920;85920;181920},0),2)</f>
        <v>24.61</v>
      </c>
      <c r="AF4" s="81">
        <f>IFERROR(VLOOKUP(E:E,'（居民）工资表-6月'!E:AF,28,0)+VLOOKUP(E:E,'（居民）工资表-6月'!E:AG,29,0),0)</f>
        <v>0</v>
      </c>
      <c r="AG4" s="81">
        <f>IF((AE4-AF4)&lt;0,0,AE4-AF4)</f>
        <v>24.61</v>
      </c>
      <c r="AH4" s="84">
        <f>ROUND(IF((L4-Q4-AG4)&lt;0,0,(L4-Q4-AG4)),2)</f>
        <v>7155.49</v>
      </c>
      <c r="AI4" s="85"/>
      <c r="AJ4" s="84">
        <f>AH4+AI4</f>
        <v>7155.49</v>
      </c>
      <c r="AK4" s="86"/>
      <c r="AL4" s="84">
        <f>AJ4+AG4+AK4</f>
        <v>7180.0999999999995</v>
      </c>
      <c r="AM4" s="86"/>
      <c r="AN4" s="86"/>
      <c r="AO4" s="86"/>
      <c r="AP4" s="86"/>
      <c r="AQ4" s="86"/>
      <c r="AR4" s="9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IF(SUMPRODUCT(N(E$1:E$8=E4))&gt;1,"重复","不")</f>
        <v>不</v>
      </c>
      <c r="AT4" s="91" t="str">
        <f>IF(SUMPRODUCT(N(AO$1:AO$8=AO4))&gt;1,"重复","不")</f>
        <v>重复</v>
      </c>
    </row>
    <row r="5" spans="1:46" s="17" customFormat="1" ht="18" customHeight="1">
      <c r="A5" s="31">
        <v>2</v>
      </c>
      <c r="B5" s="32" t="s">
        <v>143</v>
      </c>
      <c r="C5" s="32" t="s">
        <v>81</v>
      </c>
      <c r="D5" s="32" t="s">
        <v>144</v>
      </c>
      <c r="E5" s="285" t="s">
        <v>82</v>
      </c>
      <c r="F5" s="33" t="s">
        <v>183</v>
      </c>
      <c r="G5" s="36">
        <v>13926009696</v>
      </c>
      <c r="H5" s="35"/>
      <c r="I5" s="35"/>
      <c r="J5" s="59"/>
      <c r="K5" s="35"/>
      <c r="L5" s="62">
        <v>4745.4545454545496</v>
      </c>
      <c r="M5" s="61">
        <v>304.24</v>
      </c>
      <c r="N5" s="61">
        <v>123.5</v>
      </c>
      <c r="O5" s="61">
        <v>7.61</v>
      </c>
      <c r="P5" s="61">
        <v>0</v>
      </c>
      <c r="Q5" s="76">
        <f>ROUND(SUM(M5:P5),2)</f>
        <v>435.35</v>
      </c>
      <c r="R5" s="62">
        <v>0</v>
      </c>
      <c r="S5" s="77">
        <f>L5+IFERROR(VLOOKUP($E:$E,'（居民）工资表-6月'!$E:$S,15,0),0)</f>
        <v>16345.45454545455</v>
      </c>
      <c r="T5" s="78">
        <f>5000+IFERROR(VLOOKUP($E:$E,'（居民）工资表-6月'!$E:$T,16,0),0)</f>
        <v>15000</v>
      </c>
      <c r="U5" s="78">
        <f>Q5+IFERROR(VLOOKUP($E:$E,'（居民）工资表-6月'!$E:$U,17,0),0)</f>
        <v>1306.0500000000002</v>
      </c>
      <c r="V5" s="62"/>
      <c r="W5" s="62"/>
      <c r="X5" s="62"/>
      <c r="Y5" s="62"/>
      <c r="Z5" s="62"/>
      <c r="AA5" s="62"/>
      <c r="AB5" s="77">
        <f>ROUND(SUM(V5:AA5),2)</f>
        <v>0</v>
      </c>
      <c r="AC5" s="77">
        <f>R5+IFERROR(VLOOKUP($E:$E,'（居民）工资表-6月'!$E:$AC,25,0),0)</f>
        <v>0</v>
      </c>
      <c r="AD5" s="79">
        <f>ROUND(S5-T5-U5-AB5-AC5,2)</f>
        <v>39.4</v>
      </c>
      <c r="AE5" s="80">
        <f>ROUND(MAX((AD5)*{0.03;0.1;0.2;0.25;0.3;0.35;0.45}-{0;2520;16920;31920;52920;85920;181920},0),2)</f>
        <v>1.18</v>
      </c>
      <c r="AF5" s="81">
        <f>IFERROR(VLOOKUP(E:E,'（居民）工资表-6月'!E:AF,28,0)+VLOOKUP(E:E,'（居民）工资表-6月'!E:AG,29,0),0)</f>
        <v>21.88</v>
      </c>
      <c r="AG5" s="81">
        <f>IF((AE5-AF5)&lt;0,0,AE5-AF5)</f>
        <v>0</v>
      </c>
      <c r="AH5" s="84">
        <f>ROUND(IF((L5-Q5-AG5)&lt;0,0,(L5-Q5-AG5)),2)</f>
        <v>4310.1000000000004</v>
      </c>
      <c r="AI5" s="85"/>
      <c r="AJ5" s="84">
        <f>AH5+AI5</f>
        <v>4310.1000000000004</v>
      </c>
      <c r="AK5" s="86"/>
      <c r="AL5" s="84">
        <f>AJ5+AG5+AK5</f>
        <v>4310.1000000000004</v>
      </c>
      <c r="AM5" s="86"/>
      <c r="AN5" s="86"/>
      <c r="AO5" s="86"/>
      <c r="AP5" s="86"/>
      <c r="AQ5" s="86"/>
      <c r="AR5" s="9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1" t="str">
        <f>IF(SUMPRODUCT(N(E$1:E$8=E5))&gt;1,"重复","不")</f>
        <v>不</v>
      </c>
      <c r="AT5" s="91" t="str">
        <f>IF(SUMPRODUCT(N(AO$1:AO$8=AO5))&gt;1,"重复","不")</f>
        <v>重复</v>
      </c>
    </row>
    <row r="6" spans="1:46" s="17" customFormat="1" ht="18" customHeight="1">
      <c r="A6" s="31">
        <v>3</v>
      </c>
      <c r="B6" s="32" t="s">
        <v>143</v>
      </c>
      <c r="C6" s="32" t="s">
        <v>90</v>
      </c>
      <c r="D6" s="32" t="s">
        <v>144</v>
      </c>
      <c r="E6" s="32" t="s">
        <v>91</v>
      </c>
      <c r="F6" s="33" t="s">
        <v>182</v>
      </c>
      <c r="G6" s="36">
        <v>13944441728</v>
      </c>
      <c r="H6" s="35"/>
      <c r="I6" s="35"/>
      <c r="J6" s="59"/>
      <c r="K6" s="35"/>
      <c r="L6" s="62">
        <v>7000</v>
      </c>
      <c r="M6" s="61">
        <v>244.24</v>
      </c>
      <c r="N6" s="61">
        <v>61.06</v>
      </c>
      <c r="O6" s="61">
        <v>9.16</v>
      </c>
      <c r="P6" s="61">
        <v>79</v>
      </c>
      <c r="Q6" s="76">
        <f>ROUND(SUM(M6:P6),2)</f>
        <v>393.46</v>
      </c>
      <c r="R6" s="62">
        <v>0</v>
      </c>
      <c r="S6" s="77">
        <f>L6+IFERROR(VLOOKUP($E:$E,'（居民）工资表-6月'!$E:$S,15,0),0)</f>
        <v>23240</v>
      </c>
      <c r="T6" s="78">
        <f>5000+IFERROR(VLOOKUP($E:$E,'（居民）工资表-6月'!$E:$T,16,0),0)</f>
        <v>15000</v>
      </c>
      <c r="U6" s="78">
        <f>Q6+IFERROR(VLOOKUP($E:$E,'（居民）工资表-6月'!$E:$U,17,0),0)</f>
        <v>1967.3</v>
      </c>
      <c r="V6" s="62"/>
      <c r="W6" s="62"/>
      <c r="X6" s="62"/>
      <c r="Y6" s="62"/>
      <c r="Z6" s="62"/>
      <c r="AA6" s="62"/>
      <c r="AB6" s="77">
        <f>ROUND(SUM(V6:AA6),2)</f>
        <v>0</v>
      </c>
      <c r="AC6" s="77">
        <f>R6+IFERROR(VLOOKUP($E:$E,'（居民）工资表-6月'!$E:$AC,25,0),0)</f>
        <v>0</v>
      </c>
      <c r="AD6" s="79">
        <f>ROUND(S6-T6-U6-AB6-AC6,2)</f>
        <v>6272.7</v>
      </c>
      <c r="AE6" s="80">
        <f>ROUND(MAX((AD6)*{0.03;0.1;0.2;0.25;0.3;0.35;0.45}-{0;2520;16920;31920;52920;85920;181920},0),2)</f>
        <v>188.18</v>
      </c>
      <c r="AF6" s="81">
        <f>IFERROR(VLOOKUP(E:E,'（居民）工资表-6月'!E:AF,28,0)+VLOOKUP(E:E,'（居民）工资表-6月'!E:AG,29,0),0)</f>
        <v>139.97999999999999</v>
      </c>
      <c r="AG6" s="81">
        <f>IF((AE6-AF6)&lt;0,0,AE6-AF6)</f>
        <v>48.200000000000017</v>
      </c>
      <c r="AH6" s="84">
        <f>ROUND(IF((L6-Q6-AG6)&lt;0,0,(L6-Q6-AG6)),2)</f>
        <v>6558.34</v>
      </c>
      <c r="AI6" s="85"/>
      <c r="AJ6" s="84">
        <f>AH6+AI6</f>
        <v>6558.34</v>
      </c>
      <c r="AK6" s="86"/>
      <c r="AL6" s="84">
        <f>AJ6+AG6+AK6</f>
        <v>6606.54</v>
      </c>
      <c r="AM6" s="86"/>
      <c r="AN6" s="86"/>
      <c r="AO6" s="86"/>
      <c r="AP6" s="86"/>
      <c r="AQ6" s="86"/>
      <c r="AR6" s="9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1" t="str">
        <f>IF(SUMPRODUCT(N(E$1:E$8=E6))&gt;1,"重复","不")</f>
        <v>不</v>
      </c>
      <c r="AT6" s="91" t="str">
        <f>IF(SUMPRODUCT(N(AO$1:AO$8=AO6))&gt;1,"重复","不")</f>
        <v>重复</v>
      </c>
    </row>
    <row r="7" spans="1:46" s="17" customFormat="1" ht="18" customHeight="1">
      <c r="A7" s="31">
        <v>4</v>
      </c>
      <c r="B7" s="32" t="s">
        <v>143</v>
      </c>
      <c r="C7" s="32" t="s">
        <v>145</v>
      </c>
      <c r="D7" s="32" t="s">
        <v>144</v>
      </c>
      <c r="E7" s="285" t="s">
        <v>146</v>
      </c>
      <c r="F7" s="33" t="s">
        <v>182</v>
      </c>
      <c r="G7" s="36">
        <v>18607383005</v>
      </c>
      <c r="H7" s="35"/>
      <c r="I7" s="35"/>
      <c r="J7" s="59"/>
      <c r="K7" s="35"/>
      <c r="L7" s="62">
        <v>24800</v>
      </c>
      <c r="M7" s="61">
        <f>320</f>
        <v>320</v>
      </c>
      <c r="N7" s="61">
        <f>80</f>
        <v>80</v>
      </c>
      <c r="O7" s="61">
        <f>12</f>
        <v>12</v>
      </c>
      <c r="P7" s="61">
        <v>200</v>
      </c>
      <c r="Q7" s="76">
        <f>ROUND(SUM(M7:P7),2)</f>
        <v>612</v>
      </c>
      <c r="R7" s="62">
        <v>0</v>
      </c>
      <c r="S7" s="77">
        <f>L7+IFERROR(VLOOKUP($E:$E,'（居民）工资表-6月'!$E:$S,15,0),0)</f>
        <v>61704.76</v>
      </c>
      <c r="T7" s="78">
        <f>5000+IFERROR(VLOOKUP($E:$E,'（居民）工资表-6月'!$E:$T,16,0),0)</f>
        <v>15000</v>
      </c>
      <c r="U7" s="78">
        <f>Q7+IFERROR(VLOOKUP($E:$E,'（居民）工资表-6月'!$E:$U,17,0),0)</f>
        <v>1922.67</v>
      </c>
      <c r="V7" s="62"/>
      <c r="W7" s="62"/>
      <c r="X7" s="62"/>
      <c r="Y7" s="62"/>
      <c r="Z7" s="62"/>
      <c r="AA7" s="62"/>
      <c r="AB7" s="77">
        <f>ROUND(SUM(V7:AA7),2)</f>
        <v>0</v>
      </c>
      <c r="AC7" s="77">
        <f>R7+IFERROR(VLOOKUP($E:$E,'（居民）工资表-6月'!$E:$AC,25,0),0)</f>
        <v>0</v>
      </c>
      <c r="AD7" s="79">
        <f>ROUND(S7-T7-U7-AB7-AC7,2)</f>
        <v>44782.09</v>
      </c>
      <c r="AE7" s="80">
        <f>ROUND(MAX((AD7)*{0.03;0.1;0.2;0.25;0.3;0.35;0.45}-{0;2520;16920;31920;52920;85920;181920},0),2)</f>
        <v>1958.21</v>
      </c>
      <c r="AF7" s="81">
        <f>IFERROR(VLOOKUP(E:E,'（居民）工资表-6月'!E:AF,28,0)+VLOOKUP(E:E,'（居民）工资表-6月'!E:AG,29,0),0)</f>
        <v>767.82</v>
      </c>
      <c r="AG7" s="81">
        <f>IF((AE7-AF7)&lt;0,0,AE7-AF7)</f>
        <v>1190.3899999999999</v>
      </c>
      <c r="AH7" s="84">
        <f>ROUND(IF((L7-Q7-AG7)&lt;0,0,(L7-Q7-AG7)),2)</f>
        <v>22997.61</v>
      </c>
      <c r="AI7" s="85"/>
      <c r="AJ7" s="84">
        <f>AH7+AI7</f>
        <v>22997.61</v>
      </c>
      <c r="AK7" s="86"/>
      <c r="AL7" s="84">
        <f>AJ7+AG7+AK7</f>
        <v>24188</v>
      </c>
      <c r="AM7" s="86"/>
      <c r="AN7" s="86"/>
      <c r="AO7" s="86"/>
      <c r="AP7" s="86"/>
      <c r="AQ7" s="86"/>
      <c r="AR7" s="9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1" t="str">
        <f>IF(SUMPRODUCT(N(E$1:E$8=E7))&gt;1,"重复","不")</f>
        <v>不</v>
      </c>
      <c r="AT7" s="91" t="str">
        <f>IF(SUMPRODUCT(N(AO$1:AO$8=AO7))&gt;1,"重复","不")</f>
        <v>重复</v>
      </c>
    </row>
    <row r="8" spans="1:46" s="17" customFormat="1" ht="18" customHeight="1">
      <c r="A8" s="31">
        <v>5</v>
      </c>
      <c r="B8" s="32" t="s">
        <v>143</v>
      </c>
      <c r="C8" s="32" t="s">
        <v>164</v>
      </c>
      <c r="D8" s="32" t="s">
        <v>144</v>
      </c>
      <c r="E8" s="285" t="s">
        <v>165</v>
      </c>
      <c r="F8" s="33" t="str">
        <f>IF(MOD(MID(E8,17,1),2)=1,"男","女")</f>
        <v>女</v>
      </c>
      <c r="G8" s="36">
        <v>15360550807</v>
      </c>
      <c r="H8" s="35"/>
      <c r="I8" s="35"/>
      <c r="J8" s="59"/>
      <c r="K8" s="35"/>
      <c r="L8" s="62">
        <v>3523.6363636363599</v>
      </c>
      <c r="M8" s="61"/>
      <c r="N8" s="61"/>
      <c r="O8" s="61"/>
      <c r="P8" s="61"/>
      <c r="Q8" s="76">
        <f>ROUND(SUM(M8:P8),2)</f>
        <v>0</v>
      </c>
      <c r="R8" s="62">
        <v>0</v>
      </c>
      <c r="S8" s="77">
        <f>L8+IFERROR(VLOOKUP($E:$E,'（居民）工资表-6月'!$E:$S,15,0),0)</f>
        <v>3523.6363636363599</v>
      </c>
      <c r="T8" s="78">
        <f>5000+IFERROR(VLOOKUP($E:$E,'（居民）工资表-6月'!$E:$T,16,0),0)</f>
        <v>5000</v>
      </c>
      <c r="U8" s="78">
        <f>Q8+IFERROR(VLOOKUP($E:$E,'（居民）工资表-6月'!$E:$U,17,0),0)</f>
        <v>0</v>
      </c>
      <c r="V8" s="62"/>
      <c r="W8" s="62"/>
      <c r="X8" s="62"/>
      <c r="Y8" s="62"/>
      <c r="Z8" s="62"/>
      <c r="AA8" s="62"/>
      <c r="AB8" s="77">
        <f>ROUND(SUM(V8:AA8),2)</f>
        <v>0</v>
      </c>
      <c r="AC8" s="77">
        <f>R8+IFERROR(VLOOKUP($E:$E,'（居民）工资表-6月'!$E:$AC,25,0),0)</f>
        <v>0</v>
      </c>
      <c r="AD8" s="79">
        <f>ROUND(S8-T8-U8-AB8-AC8,2)</f>
        <v>-1476.36</v>
      </c>
      <c r="AE8" s="80">
        <f>ROUND(MAX((AD8)*{0.03;0.1;0.2;0.25;0.3;0.35;0.45}-{0;2520;16920;31920;52920;85920;181920},0),2)</f>
        <v>0</v>
      </c>
      <c r="AF8" s="81">
        <f>IFERROR(VLOOKUP(E:E,'（居民）工资表-6月'!E:AF,28,0)+VLOOKUP(E:E,'（居民）工资表-6月'!E:AG,29,0),0)</f>
        <v>0</v>
      </c>
      <c r="AG8" s="81">
        <f>IF((AE8-AF8)&lt;0,0,AE8-AF8)</f>
        <v>0</v>
      </c>
      <c r="AH8" s="84">
        <f>ROUND(IF((L8-Q8-AG8)&lt;0,0,(L8-Q8-AG8)),2)</f>
        <v>3523.64</v>
      </c>
      <c r="AI8" s="85"/>
      <c r="AJ8" s="84">
        <f>AH8+AI8</f>
        <v>3523.64</v>
      </c>
      <c r="AK8" s="86"/>
      <c r="AL8" s="84">
        <f>AJ8+AG8+AK8</f>
        <v>3523.64</v>
      </c>
      <c r="AM8" s="86"/>
      <c r="AN8" s="86"/>
      <c r="AO8" s="86"/>
      <c r="AP8" s="86"/>
      <c r="AQ8" s="86"/>
      <c r="AR8" s="9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1" t="str">
        <f>IF(SUMPRODUCT(N(E$1:E$8=E8))&gt;1,"重复","不")</f>
        <v>不</v>
      </c>
      <c r="AT8" s="91" t="str">
        <f>IF(SUMPRODUCT(N(AO$1:AO$8=AO8))&gt;1,"重复","不")</f>
        <v>重复</v>
      </c>
    </row>
    <row r="9" spans="1:46" s="18" customFormat="1" ht="18" customHeight="1">
      <c r="A9" s="37"/>
      <c r="B9" s="38" t="s">
        <v>147</v>
      </c>
      <c r="C9" s="38"/>
      <c r="D9" s="39"/>
      <c r="E9" s="40"/>
      <c r="F9" s="41"/>
      <c r="G9" s="42"/>
      <c r="H9" s="41"/>
      <c r="I9" s="63"/>
      <c r="J9" s="64"/>
      <c r="K9" s="63"/>
      <c r="L9" s="65">
        <f t="shared" ref="L9:AL9" si="0">SUM(L4:L8)</f>
        <v>47769.090909090897</v>
      </c>
      <c r="M9" s="65">
        <f t="shared" si="0"/>
        <v>1132.48</v>
      </c>
      <c r="N9" s="65">
        <f t="shared" si="0"/>
        <v>330.56</v>
      </c>
      <c r="O9" s="65">
        <f t="shared" si="0"/>
        <v>38.67</v>
      </c>
      <c r="P9" s="65">
        <f t="shared" si="0"/>
        <v>459</v>
      </c>
      <c r="Q9" s="65">
        <f t="shared" si="0"/>
        <v>1960.71</v>
      </c>
      <c r="R9" s="65">
        <f t="shared" si="0"/>
        <v>0</v>
      </c>
      <c r="S9" s="65">
        <f t="shared" si="0"/>
        <v>129193.85090909091</v>
      </c>
      <c r="T9" s="65">
        <f t="shared" si="0"/>
        <v>65000</v>
      </c>
      <c r="U9" s="65">
        <f t="shared" si="0"/>
        <v>6755.72</v>
      </c>
      <c r="V9" s="65">
        <f t="shared" si="0"/>
        <v>0</v>
      </c>
      <c r="W9" s="65">
        <f t="shared" si="0"/>
        <v>0</v>
      </c>
      <c r="X9" s="65">
        <f t="shared" si="0"/>
        <v>7000</v>
      </c>
      <c r="Y9" s="65">
        <f t="shared" si="0"/>
        <v>0</v>
      </c>
      <c r="Z9" s="65">
        <f t="shared" si="0"/>
        <v>0</v>
      </c>
      <c r="AA9" s="65">
        <f t="shared" si="0"/>
        <v>0</v>
      </c>
      <c r="AB9" s="65">
        <f t="shared" si="0"/>
        <v>7000</v>
      </c>
      <c r="AC9" s="65">
        <f t="shared" si="0"/>
        <v>0</v>
      </c>
      <c r="AD9" s="65">
        <f t="shared" si="0"/>
        <v>50438.13</v>
      </c>
      <c r="AE9" s="65">
        <f t="shared" si="0"/>
        <v>2172.1799999999998</v>
      </c>
      <c r="AF9" s="65">
        <f t="shared" si="0"/>
        <v>929.68000000000006</v>
      </c>
      <c r="AG9" s="65">
        <f t="shared" si="0"/>
        <v>1263.1999999999998</v>
      </c>
      <c r="AH9" s="65">
        <f t="shared" si="0"/>
        <v>44545.18</v>
      </c>
      <c r="AI9" s="98">
        <f t="shared" si="0"/>
        <v>0</v>
      </c>
      <c r="AJ9" s="65">
        <f t="shared" si="0"/>
        <v>44545.18</v>
      </c>
      <c r="AK9" s="65">
        <f t="shared" si="0"/>
        <v>0</v>
      </c>
      <c r="AL9" s="65">
        <f t="shared" si="0"/>
        <v>45808.380000000005</v>
      </c>
      <c r="AM9" s="87"/>
      <c r="AN9" s="87"/>
      <c r="AO9" s="87"/>
      <c r="AP9" s="87"/>
      <c r="AQ9" s="87"/>
      <c r="AR9" s="41"/>
      <c r="AS9" s="41"/>
      <c r="AT9" s="92"/>
    </row>
    <row r="12" spans="1:46">
      <c r="AD12" s="82"/>
    </row>
    <row r="13" spans="1:46" ht="18.75" customHeight="1">
      <c r="B13" s="43" t="s">
        <v>124</v>
      </c>
      <c r="C13" s="43" t="s">
        <v>148</v>
      </c>
      <c r="D13" s="43" t="s">
        <v>54</v>
      </c>
      <c r="E13" s="43" t="s">
        <v>55</v>
      </c>
      <c r="AD13" s="15"/>
    </row>
    <row r="14" spans="1:46" ht="18.75" customHeight="1">
      <c r="B14" s="44">
        <f>AJ9</f>
        <v>44545.18</v>
      </c>
      <c r="C14" s="44">
        <f>AG9</f>
        <v>1263.1999999999998</v>
      </c>
      <c r="D14" s="44">
        <f>AK9</f>
        <v>0</v>
      </c>
      <c r="E14" s="44">
        <f>B14+C14+D14</f>
        <v>45808.38</v>
      </c>
    </row>
    <row r="15" spans="1:46">
      <c r="B15" s="45"/>
      <c r="C15" s="45"/>
      <c r="D15" s="45"/>
      <c r="E15" s="45">
        <f>社保1!BC15</f>
        <v>17461.900000000001</v>
      </c>
    </row>
    <row r="16" spans="1:46" s="19" customFormat="1">
      <c r="A16" s="46" t="s">
        <v>149</v>
      </c>
      <c r="B16" s="47" t="s">
        <v>150</v>
      </c>
      <c r="C16" s="48"/>
      <c r="D16" s="48"/>
      <c r="E16" s="48"/>
      <c r="G16" s="49"/>
      <c r="J16" s="66"/>
      <c r="M16" s="67"/>
      <c r="AI16" s="89"/>
    </row>
    <row r="17" spans="1:35" s="19" customFormat="1">
      <c r="A17" s="50"/>
      <c r="B17" s="51" t="s">
        <v>151</v>
      </c>
      <c r="C17" s="48"/>
      <c r="D17" s="48"/>
      <c r="E17" s="48"/>
      <c r="G17" s="49"/>
      <c r="J17" s="66"/>
      <c r="M17" s="67"/>
      <c r="AI17" s="89"/>
    </row>
    <row r="18" spans="1:35" s="19" customFormat="1">
      <c r="A18" s="47"/>
      <c r="B18" s="51" t="s">
        <v>152</v>
      </c>
      <c r="C18" s="52"/>
      <c r="D18" s="52"/>
      <c r="E18" s="52"/>
      <c r="F18" s="52"/>
      <c r="G18" s="52"/>
      <c r="H18" s="52"/>
      <c r="I18" s="52"/>
      <c r="J18" s="68"/>
      <c r="K18" s="52"/>
      <c r="L18" s="52"/>
      <c r="M18" s="69"/>
      <c r="N18" s="52"/>
      <c r="O18" s="52"/>
      <c r="P18" s="52"/>
      <c r="AI18" s="89"/>
    </row>
    <row r="19" spans="1:35" s="19" customFormat="1" ht="13.5" customHeight="1">
      <c r="A19" s="51"/>
      <c r="B19" s="51" t="s">
        <v>153</v>
      </c>
      <c r="C19" s="53"/>
      <c r="D19" s="53"/>
      <c r="E19" s="53"/>
      <c r="F19" s="53"/>
      <c r="G19" s="53"/>
      <c r="H19" s="53"/>
      <c r="I19" s="70"/>
      <c r="J19" s="71"/>
      <c r="K19" s="70"/>
      <c r="L19" s="70"/>
      <c r="M19" s="72"/>
      <c r="N19" s="70"/>
      <c r="O19" s="70"/>
      <c r="P19" s="70"/>
      <c r="AI19" s="89"/>
    </row>
    <row r="20" spans="1:35" s="19" customFormat="1" ht="13.5" customHeight="1">
      <c r="A20" s="51"/>
      <c r="B20" s="51" t="s">
        <v>154</v>
      </c>
      <c r="C20" s="53"/>
      <c r="D20" s="53"/>
      <c r="E20" s="53"/>
      <c r="F20" s="53"/>
      <c r="G20" s="53"/>
      <c r="H20" s="53"/>
      <c r="I20" s="53"/>
      <c r="J20" s="73"/>
      <c r="K20" s="53"/>
      <c r="L20" s="70"/>
      <c r="M20" s="72"/>
      <c r="N20" s="70"/>
      <c r="O20" s="70"/>
      <c r="P20" s="70"/>
      <c r="AI20" s="89"/>
    </row>
    <row r="21" spans="1:35" s="19" customFormat="1" ht="13.5" customHeight="1">
      <c r="A21" s="51"/>
      <c r="B21" s="51" t="s">
        <v>155</v>
      </c>
      <c r="C21" s="53"/>
      <c r="D21" s="53"/>
      <c r="E21" s="53"/>
      <c r="F21" s="53"/>
      <c r="G21" s="53"/>
      <c r="H21" s="53"/>
      <c r="I21" s="70"/>
      <c r="J21" s="71"/>
      <c r="K21" s="70"/>
      <c r="L21" s="70"/>
      <c r="M21" s="72"/>
      <c r="N21" s="70"/>
      <c r="O21" s="70"/>
      <c r="P21" s="70"/>
      <c r="AI21" s="89"/>
    </row>
    <row r="23" spans="1:35" ht="11.25" customHeight="1">
      <c r="B23" s="54" t="s">
        <v>156</v>
      </c>
    </row>
    <row r="24" spans="1:35">
      <c r="B24" s="55" t="s">
        <v>157</v>
      </c>
    </row>
    <row r="25" spans="1:35">
      <c r="B25" s="55" t="s">
        <v>158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1">
    <cfRule type="duplicateValues" dxfId="73" priority="2" stopIfTrue="1"/>
  </conditionalFormatting>
  <conditionalFormatting sqref="B16:B20">
    <cfRule type="duplicateValues" dxfId="72" priority="3" stopIfTrue="1"/>
  </conditionalFormatting>
  <conditionalFormatting sqref="B24:B25">
    <cfRule type="duplicateValues" dxfId="71" priority="1" stopIfTrue="1"/>
  </conditionalFormatting>
  <conditionalFormatting sqref="C13:C15">
    <cfRule type="duplicateValues" dxfId="70" priority="4" stopIfTrue="1"/>
    <cfRule type="expression" dxfId="69" priority="5" stopIfTrue="1">
      <formula>AND(COUNTIF($B$9:$B$65445,C13)+COUNTIF($B$1:$B$3,C13)&gt;1,NOT(ISBLANK(C13)))</formula>
    </cfRule>
    <cfRule type="expression" dxfId="68" priority="6" stopIfTrue="1">
      <formula>AND(COUNTIF($B$20:$B$65396,C13)+COUNTIF($B$1:$B$19,C13)&gt;1,NOT(ISBLANK(C13)))</formula>
    </cfRule>
    <cfRule type="expression" dxfId="67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104" hidden="1" customWidth="1"/>
    <col min="2" max="2" width="9.375" style="105" hidden="1" customWidth="1"/>
    <col min="3" max="3" width="9.625" style="105" hidden="1" customWidth="1"/>
    <col min="4" max="4" width="13.125" style="105" hidden="1" customWidth="1"/>
    <col min="5" max="5" width="25.75" style="104" hidden="1" customWidth="1"/>
    <col min="6" max="6" width="29.375" style="104" hidden="1" customWidth="1"/>
    <col min="7" max="7" width="10.25" style="106" hidden="1" customWidth="1"/>
    <col min="8" max="9" width="8.5" style="104" hidden="1" customWidth="1"/>
    <col min="10" max="10" width="8.5" style="104" customWidth="1"/>
    <col min="11" max="11" width="18" style="104" customWidth="1"/>
    <col min="12" max="12" width="11.25" style="104" customWidth="1"/>
    <col min="13" max="13" width="12.25" style="104" customWidth="1"/>
    <col min="14" max="14" width="8.5" style="104" customWidth="1"/>
    <col min="15" max="15" width="10.25" style="104" customWidth="1"/>
    <col min="16" max="16" width="8.5" style="104" customWidth="1"/>
    <col min="17" max="17" width="8.5" style="107" customWidth="1"/>
    <col min="18" max="18" width="10.25" style="105" customWidth="1"/>
    <col min="19" max="19" width="12.25" style="104" customWidth="1"/>
    <col min="20" max="23" width="12.5" style="104" customWidth="1"/>
    <col min="24" max="24" width="10.75" style="104" customWidth="1"/>
    <col min="25" max="25" width="12.5" style="104" customWidth="1"/>
    <col min="26" max="26" width="14.125" style="104" customWidth="1"/>
    <col min="27" max="27" width="12.5" style="104" customWidth="1"/>
    <col min="28" max="28" width="16.25" style="104" customWidth="1"/>
    <col min="29" max="29" width="12.5" style="104" customWidth="1"/>
    <col min="30" max="30" width="16.125" style="104" customWidth="1"/>
    <col min="31" max="31" width="12.25" style="104" customWidth="1"/>
    <col min="32" max="33" width="16.125" style="104" customWidth="1"/>
    <col min="34" max="34" width="20.5" style="104" customWidth="1"/>
    <col min="35" max="35" width="8.5" style="104" customWidth="1"/>
    <col min="36" max="36" width="5" style="104" customWidth="1"/>
    <col min="37" max="37" width="10.25" style="104" customWidth="1"/>
    <col min="38" max="38" width="14.25" style="108" customWidth="1"/>
    <col min="39" max="39" width="11.5" style="108" customWidth="1"/>
    <col min="40" max="40" width="13.875" style="108" customWidth="1"/>
    <col min="41" max="41" width="13.625" style="108" customWidth="1"/>
    <col min="42" max="16384" width="9" style="104"/>
  </cols>
  <sheetData>
    <row r="1" spans="1:41" s="99" customFormat="1" ht="16.5">
      <c r="A1" s="377" t="s">
        <v>15</v>
      </c>
      <c r="B1" s="376" t="s">
        <v>184</v>
      </c>
      <c r="C1" s="377" t="s">
        <v>36</v>
      </c>
      <c r="D1" s="377" t="s">
        <v>185</v>
      </c>
      <c r="E1" s="377" t="s">
        <v>186</v>
      </c>
      <c r="F1" s="376" t="s">
        <v>33</v>
      </c>
      <c r="G1" s="378" t="s">
        <v>187</v>
      </c>
      <c r="H1" s="377" t="s">
        <v>35</v>
      </c>
      <c r="I1" s="377" t="s">
        <v>188</v>
      </c>
      <c r="J1" s="376" t="s">
        <v>37</v>
      </c>
      <c r="K1" s="376" t="s">
        <v>189</v>
      </c>
      <c r="L1" s="376" t="s">
        <v>190</v>
      </c>
      <c r="M1" s="376" t="s">
        <v>191</v>
      </c>
      <c r="N1" s="376" t="s">
        <v>192</v>
      </c>
      <c r="O1" s="376" t="s">
        <v>193</v>
      </c>
      <c r="P1" s="376" t="s">
        <v>194</v>
      </c>
      <c r="Q1" s="379" t="s">
        <v>195</v>
      </c>
      <c r="R1" s="376" t="s">
        <v>196</v>
      </c>
      <c r="S1" s="380" t="s">
        <v>197</v>
      </c>
      <c r="T1" s="375" t="s">
        <v>198</v>
      </c>
      <c r="U1" s="375"/>
      <c r="V1" s="375"/>
      <c r="W1" s="375"/>
      <c r="X1" s="375"/>
      <c r="Y1" s="375"/>
      <c r="Z1" s="380" t="s">
        <v>199</v>
      </c>
      <c r="AA1" s="376" t="s">
        <v>200</v>
      </c>
      <c r="AB1" s="376"/>
      <c r="AC1" s="376"/>
      <c r="AD1" s="377" t="s">
        <v>201</v>
      </c>
      <c r="AE1" s="377" t="s">
        <v>202</v>
      </c>
      <c r="AF1" s="377" t="s">
        <v>203</v>
      </c>
      <c r="AG1" s="377" t="s">
        <v>204</v>
      </c>
      <c r="AH1" s="377" t="s">
        <v>205</v>
      </c>
      <c r="AI1" s="377" t="s">
        <v>206</v>
      </c>
      <c r="AJ1" s="377" t="s">
        <v>20</v>
      </c>
      <c r="AK1" s="381" t="s">
        <v>207</v>
      </c>
      <c r="AL1" s="382" t="s">
        <v>208</v>
      </c>
      <c r="AM1" s="382" t="s">
        <v>209</v>
      </c>
      <c r="AN1" s="383" t="s">
        <v>210</v>
      </c>
      <c r="AO1" s="383" t="s">
        <v>211</v>
      </c>
    </row>
    <row r="2" spans="1:41" s="100" customFormat="1" ht="24">
      <c r="A2" s="377"/>
      <c r="B2" s="376"/>
      <c r="C2" s="377"/>
      <c r="D2" s="377"/>
      <c r="E2" s="377"/>
      <c r="F2" s="376"/>
      <c r="G2" s="378"/>
      <c r="H2" s="377"/>
      <c r="I2" s="377"/>
      <c r="J2" s="376"/>
      <c r="K2" s="376"/>
      <c r="L2" s="376"/>
      <c r="M2" s="376"/>
      <c r="N2" s="376"/>
      <c r="O2" s="376"/>
      <c r="P2" s="376"/>
      <c r="Q2" s="379"/>
      <c r="R2" s="376"/>
      <c r="S2" s="380"/>
      <c r="T2" s="128" t="s">
        <v>212</v>
      </c>
      <c r="U2" s="128" t="s">
        <v>213</v>
      </c>
      <c r="V2" s="128" t="s">
        <v>214</v>
      </c>
      <c r="W2" s="128" t="s">
        <v>215</v>
      </c>
      <c r="X2" s="128" t="s">
        <v>216</v>
      </c>
      <c r="Y2" s="128" t="s">
        <v>217</v>
      </c>
      <c r="Z2" s="380"/>
      <c r="AA2" s="128" t="s">
        <v>218</v>
      </c>
      <c r="AB2" s="128" t="s">
        <v>219</v>
      </c>
      <c r="AC2" s="128" t="s">
        <v>220</v>
      </c>
      <c r="AD2" s="377"/>
      <c r="AE2" s="377"/>
      <c r="AF2" s="377"/>
      <c r="AG2" s="377"/>
      <c r="AH2" s="377"/>
      <c r="AI2" s="377"/>
      <c r="AJ2" s="377"/>
      <c r="AK2" s="381"/>
      <c r="AL2" s="382"/>
      <c r="AM2" s="382"/>
      <c r="AN2" s="383"/>
      <c r="AO2" s="384"/>
    </row>
    <row r="3" spans="1:41" s="101" customFormat="1" ht="14.25">
      <c r="A3" s="109">
        <v>1</v>
      </c>
      <c r="B3" s="110">
        <v>44306</v>
      </c>
      <c r="C3" s="111"/>
      <c r="D3" s="111" t="s">
        <v>221</v>
      </c>
      <c r="E3" s="109"/>
      <c r="F3" s="112" t="s">
        <v>68</v>
      </c>
      <c r="G3" s="112"/>
      <c r="H3" s="109" t="s">
        <v>70</v>
      </c>
      <c r="I3" s="109"/>
      <c r="J3" s="120" t="s">
        <v>145</v>
      </c>
      <c r="K3" s="286" t="s">
        <v>146</v>
      </c>
      <c r="L3" s="109">
        <v>18607383005</v>
      </c>
      <c r="M3" s="112"/>
      <c r="N3" s="109" t="s">
        <v>222</v>
      </c>
      <c r="O3" s="109" t="s">
        <v>161</v>
      </c>
      <c r="P3" s="109" t="s">
        <v>223</v>
      </c>
      <c r="Q3" s="110">
        <v>44296</v>
      </c>
      <c r="R3" s="109" t="s">
        <v>224</v>
      </c>
      <c r="S3" s="112" t="s">
        <v>225</v>
      </c>
      <c r="T3" s="129">
        <v>2021.05</v>
      </c>
      <c r="U3" s="109">
        <v>4000</v>
      </c>
      <c r="V3" s="109">
        <v>4000</v>
      </c>
      <c r="W3" s="109">
        <v>4000</v>
      </c>
      <c r="X3" s="109">
        <v>4000</v>
      </c>
      <c r="Y3" s="109">
        <v>4000</v>
      </c>
      <c r="Z3" s="112" t="s">
        <v>225</v>
      </c>
      <c r="AA3" s="132" t="s">
        <v>226</v>
      </c>
      <c r="AB3" s="132" t="s">
        <v>227</v>
      </c>
      <c r="AC3" s="132" t="s">
        <v>228</v>
      </c>
      <c r="AD3" s="109" t="s">
        <v>229</v>
      </c>
      <c r="AE3" s="109"/>
      <c r="AF3" s="109"/>
      <c r="AG3" s="109"/>
      <c r="AH3" s="109"/>
      <c r="AI3" s="109"/>
      <c r="AJ3" s="109"/>
      <c r="AK3" s="112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pans="1:41" s="102" customFormat="1">
      <c r="A4" s="109"/>
      <c r="B4" s="110"/>
      <c r="C4" s="113"/>
      <c r="D4" s="111"/>
      <c r="E4" s="114"/>
      <c r="F4" s="112"/>
      <c r="G4" s="115"/>
      <c r="H4" s="114"/>
      <c r="I4" s="114"/>
      <c r="J4" s="121"/>
      <c r="K4" s="121"/>
      <c r="L4" s="114"/>
      <c r="M4" s="115"/>
      <c r="N4" s="114"/>
      <c r="O4" s="114"/>
      <c r="P4" s="109"/>
      <c r="Q4" s="116"/>
      <c r="R4" s="109"/>
      <c r="S4" s="112"/>
      <c r="T4" s="130"/>
      <c r="U4" s="114"/>
      <c r="V4" s="114"/>
      <c r="W4" s="114"/>
      <c r="X4" s="114"/>
      <c r="Y4" s="114"/>
      <c r="Z4" s="112"/>
      <c r="AA4" s="133"/>
      <c r="AB4" s="133"/>
      <c r="AC4" s="133"/>
      <c r="AD4" s="114"/>
      <c r="AE4" s="114"/>
      <c r="AF4" s="114"/>
      <c r="AG4" s="114"/>
      <c r="AH4" s="114"/>
      <c r="AI4" s="114"/>
      <c r="AJ4" s="114"/>
      <c r="AK4" s="112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pans="1:41" s="102" customFormat="1">
      <c r="A5" s="114"/>
      <c r="B5" s="116"/>
      <c r="C5" s="113"/>
      <c r="D5" s="113"/>
      <c r="E5" s="114"/>
      <c r="F5" s="115"/>
      <c r="G5" s="115"/>
      <c r="H5" s="114"/>
      <c r="I5" s="114"/>
      <c r="J5" s="122"/>
      <c r="K5" s="122"/>
      <c r="L5" s="114"/>
      <c r="M5" s="115"/>
      <c r="N5" s="114"/>
      <c r="O5" s="114"/>
      <c r="P5" s="114"/>
      <c r="Q5" s="116"/>
      <c r="R5" s="114"/>
      <c r="S5" s="115"/>
      <c r="T5" s="114"/>
      <c r="U5" s="114"/>
      <c r="V5" s="114"/>
      <c r="W5" s="114"/>
      <c r="X5" s="114"/>
      <c r="Y5" s="114"/>
      <c r="Z5" s="115"/>
      <c r="AA5" s="133"/>
      <c r="AB5" s="133"/>
      <c r="AC5" s="133"/>
      <c r="AD5" s="114"/>
      <c r="AE5" s="114"/>
      <c r="AF5" s="114"/>
      <c r="AG5" s="114"/>
      <c r="AH5" s="114"/>
      <c r="AI5" s="114"/>
      <c r="AJ5" s="114"/>
      <c r="AK5" s="115"/>
    </row>
    <row r="6" spans="1:41" s="102" customFormat="1">
      <c r="A6" s="114"/>
      <c r="B6" s="116"/>
      <c r="C6" s="113"/>
      <c r="D6" s="113"/>
      <c r="E6" s="114"/>
      <c r="F6" s="115"/>
      <c r="G6" s="115"/>
      <c r="H6" s="114"/>
      <c r="I6" s="114"/>
      <c r="J6" s="122"/>
      <c r="K6" s="122"/>
      <c r="L6" s="114"/>
      <c r="M6" s="115"/>
      <c r="N6" s="114"/>
      <c r="O6" s="114"/>
      <c r="P6" s="114"/>
      <c r="Q6" s="116"/>
      <c r="R6" s="114"/>
      <c r="S6" s="115"/>
      <c r="T6" s="114"/>
      <c r="U6" s="114"/>
      <c r="V6" s="114"/>
      <c r="W6" s="114"/>
      <c r="X6" s="114"/>
      <c r="Y6" s="114"/>
      <c r="Z6" s="115"/>
      <c r="AA6" s="133"/>
      <c r="AB6" s="133"/>
      <c r="AC6" s="133"/>
      <c r="AD6" s="114"/>
      <c r="AE6" s="114"/>
      <c r="AF6" s="114"/>
      <c r="AG6" s="114"/>
      <c r="AH6" s="114"/>
      <c r="AI6" s="114"/>
      <c r="AJ6" s="114"/>
      <c r="AK6" s="115"/>
    </row>
    <row r="7" spans="1:41" s="102" customFormat="1">
      <c r="A7" s="114"/>
      <c r="B7" s="116"/>
      <c r="C7" s="113"/>
      <c r="D7" s="113"/>
      <c r="E7" s="114"/>
      <c r="F7" s="115"/>
      <c r="G7" s="115"/>
      <c r="H7" s="114"/>
      <c r="I7" s="114"/>
      <c r="J7" s="122"/>
      <c r="K7" s="122"/>
      <c r="L7" s="114"/>
      <c r="M7" s="115"/>
      <c r="N7" s="114"/>
      <c r="O7" s="114"/>
      <c r="P7" s="114"/>
      <c r="Q7" s="116"/>
      <c r="R7" s="114"/>
      <c r="S7" s="115"/>
      <c r="T7" s="114"/>
      <c r="U7" s="114"/>
      <c r="V7" s="114"/>
      <c r="W7" s="114"/>
      <c r="X7" s="114"/>
      <c r="Y7" s="114"/>
      <c r="Z7" s="115"/>
      <c r="AA7" s="133"/>
      <c r="AB7" s="133"/>
      <c r="AC7" s="133"/>
      <c r="AD7" s="114"/>
      <c r="AE7" s="114"/>
      <c r="AF7" s="114"/>
      <c r="AG7" s="114"/>
      <c r="AH7" s="114"/>
      <c r="AI7" s="114"/>
      <c r="AJ7" s="114"/>
      <c r="AK7" s="115"/>
    </row>
    <row r="8" spans="1:41" s="102" customFormat="1">
      <c r="A8" s="114"/>
      <c r="B8" s="116"/>
      <c r="C8" s="113"/>
      <c r="D8" s="113"/>
      <c r="E8" s="114"/>
      <c r="F8" s="115"/>
      <c r="G8" s="115"/>
      <c r="H8" s="114"/>
      <c r="I8" s="114"/>
      <c r="J8" s="122" t="s">
        <v>230</v>
      </c>
      <c r="K8" s="122"/>
      <c r="L8" s="114"/>
      <c r="M8" s="115"/>
      <c r="N8" s="114"/>
      <c r="O8" s="114"/>
      <c r="P8" s="114"/>
      <c r="Q8" s="116"/>
      <c r="R8" s="114"/>
      <c r="S8" s="115"/>
      <c r="T8" s="114"/>
      <c r="U8" s="114"/>
      <c r="V8" s="114"/>
      <c r="W8" s="114"/>
      <c r="X8" s="114"/>
      <c r="Y8" s="114"/>
      <c r="Z8" s="115"/>
      <c r="AA8" s="133"/>
      <c r="AB8" s="133"/>
      <c r="AC8" s="133"/>
      <c r="AD8" s="114"/>
      <c r="AE8" s="114"/>
      <c r="AF8" s="114"/>
      <c r="AG8" s="114"/>
      <c r="AH8" s="114"/>
      <c r="AI8" s="114"/>
      <c r="AJ8" s="114"/>
      <c r="AK8" s="115"/>
    </row>
    <row r="9" spans="1:41" s="102" customFormat="1" ht="12.75">
      <c r="A9" s="114"/>
      <c r="B9" s="116"/>
      <c r="C9" s="113"/>
      <c r="D9" s="113"/>
      <c r="E9" s="114"/>
      <c r="F9" s="115"/>
      <c r="G9" s="115"/>
      <c r="H9" s="114"/>
      <c r="I9" s="114"/>
      <c r="J9" s="114" t="s">
        <v>79</v>
      </c>
      <c r="K9" s="123" t="s">
        <v>70</v>
      </c>
      <c r="L9" s="124" t="s">
        <v>80</v>
      </c>
      <c r="M9" s="125" t="s">
        <v>81</v>
      </c>
      <c r="N9" s="282" t="s">
        <v>82</v>
      </c>
      <c r="O9" s="114"/>
      <c r="P9" s="114"/>
      <c r="Q9" s="131">
        <v>202106</v>
      </c>
      <c r="R9" s="114"/>
      <c r="S9" s="115"/>
      <c r="T9" s="114"/>
      <c r="U9" s="114"/>
      <c r="V9" s="114"/>
      <c r="W9" s="114"/>
      <c r="X9" s="114"/>
      <c r="Y9" s="114"/>
      <c r="Z9" s="115"/>
      <c r="AA9" s="133"/>
      <c r="AB9" s="133"/>
      <c r="AC9" s="133"/>
      <c r="AD9" s="114"/>
      <c r="AE9" s="114"/>
      <c r="AF9" s="114"/>
      <c r="AG9" s="114"/>
      <c r="AH9" s="114"/>
      <c r="AI9" s="114"/>
      <c r="AJ9" s="114"/>
      <c r="AK9" s="115"/>
    </row>
    <row r="10" spans="1:41" s="102" customFormat="1">
      <c r="A10" s="114"/>
      <c r="B10" s="116"/>
      <c r="C10" s="113"/>
      <c r="D10" s="113"/>
      <c r="E10" s="114"/>
      <c r="F10" s="115"/>
      <c r="G10" s="115"/>
      <c r="H10" s="114"/>
      <c r="I10" s="114"/>
      <c r="J10" s="122"/>
      <c r="K10" s="122"/>
      <c r="L10" s="114"/>
      <c r="M10" s="115"/>
      <c r="N10" s="114"/>
      <c r="O10" s="114"/>
      <c r="P10" s="114"/>
      <c r="Q10" s="116"/>
      <c r="R10" s="114"/>
      <c r="S10" s="115"/>
      <c r="T10" s="114"/>
      <c r="U10" s="114"/>
      <c r="V10" s="114"/>
      <c r="W10" s="114"/>
      <c r="X10" s="114"/>
      <c r="Y10" s="114"/>
      <c r="Z10" s="115"/>
      <c r="AA10" s="133"/>
      <c r="AB10" s="133"/>
      <c r="AC10" s="133"/>
      <c r="AD10" s="114"/>
      <c r="AE10" s="114"/>
      <c r="AF10" s="114"/>
      <c r="AG10" s="114"/>
      <c r="AH10" s="114"/>
      <c r="AI10" s="114"/>
      <c r="AJ10" s="114"/>
      <c r="AK10" s="115"/>
    </row>
    <row r="11" spans="1:41" s="102" customFormat="1">
      <c r="A11" s="114"/>
      <c r="B11" s="116"/>
      <c r="C11" s="113"/>
      <c r="D11" s="113"/>
      <c r="E11" s="114"/>
      <c r="F11" s="115"/>
      <c r="G11" s="115"/>
      <c r="H11" s="114"/>
      <c r="I11" s="114"/>
      <c r="J11" s="122"/>
      <c r="K11" s="122"/>
      <c r="L11" s="114"/>
      <c r="M11" s="115"/>
      <c r="N11" s="114"/>
      <c r="O11" s="114"/>
      <c r="P11" s="114"/>
      <c r="Q11" s="116"/>
      <c r="R11" s="114"/>
      <c r="S11" s="115"/>
      <c r="T11" s="114"/>
      <c r="U11" s="114"/>
      <c r="V11" s="114"/>
      <c r="W11" s="114"/>
      <c r="X11" s="114"/>
      <c r="Y11" s="114"/>
      <c r="Z11" s="115"/>
      <c r="AA11" s="133"/>
      <c r="AB11" s="133"/>
      <c r="AC11" s="133"/>
      <c r="AD11" s="114"/>
      <c r="AE11" s="114"/>
      <c r="AF11" s="114"/>
      <c r="AG11" s="114"/>
      <c r="AH11" s="114"/>
      <c r="AI11" s="114"/>
      <c r="AJ11" s="114"/>
      <c r="AK11" s="115"/>
    </row>
    <row r="12" spans="1:41" s="103" customFormat="1">
      <c r="A12" s="117"/>
      <c r="B12" s="118"/>
      <c r="C12" s="113"/>
      <c r="D12" s="113"/>
      <c r="E12" s="114"/>
      <c r="F12" s="115"/>
      <c r="G12" s="119"/>
      <c r="H12" s="117"/>
      <c r="I12" s="114"/>
      <c r="J12" s="122"/>
      <c r="K12" s="122"/>
      <c r="L12" s="114"/>
      <c r="M12" s="115"/>
      <c r="N12" s="117"/>
      <c r="O12" s="117"/>
      <c r="P12" s="117"/>
      <c r="Q12" s="117"/>
      <c r="R12" s="117"/>
      <c r="S12" s="115"/>
      <c r="T12" s="117"/>
      <c r="U12" s="117"/>
      <c r="V12" s="117"/>
      <c r="W12" s="117"/>
      <c r="X12" s="117"/>
      <c r="Y12" s="117"/>
      <c r="Z12" s="115"/>
      <c r="AA12" s="134"/>
      <c r="AB12" s="134"/>
      <c r="AC12" s="134"/>
      <c r="AD12" s="117"/>
      <c r="AE12" s="117"/>
      <c r="AF12" s="117"/>
      <c r="AG12" s="117"/>
      <c r="AH12" s="117"/>
      <c r="AI12" s="117"/>
      <c r="AJ12" s="117"/>
      <c r="AK12" s="115"/>
      <c r="AL12" s="102"/>
      <c r="AM12" s="102"/>
      <c r="AN12" s="102"/>
      <c r="AO12" s="102"/>
    </row>
    <row r="13" spans="1:41" s="103" customFormat="1">
      <c r="A13" s="117"/>
      <c r="B13" s="118"/>
      <c r="C13" s="113"/>
      <c r="D13" s="113"/>
      <c r="E13" s="114"/>
      <c r="F13" s="115"/>
      <c r="G13" s="119"/>
      <c r="H13" s="117"/>
      <c r="I13" s="117"/>
      <c r="J13" s="127"/>
      <c r="K13" s="127"/>
      <c r="L13" s="117"/>
      <c r="M13" s="115"/>
      <c r="N13" s="117"/>
      <c r="O13" s="117"/>
      <c r="P13" s="117"/>
      <c r="Q13" s="117"/>
      <c r="R13" s="117"/>
      <c r="S13" s="115"/>
      <c r="T13" s="117"/>
      <c r="U13" s="117"/>
      <c r="V13" s="117"/>
      <c r="W13" s="117"/>
      <c r="X13" s="117"/>
      <c r="Y13" s="117"/>
      <c r="Z13" s="115"/>
      <c r="AA13" s="134"/>
      <c r="AB13" s="134"/>
      <c r="AC13" s="134"/>
      <c r="AD13" s="117"/>
      <c r="AE13" s="117"/>
      <c r="AF13" s="117"/>
      <c r="AG13" s="117"/>
      <c r="AH13" s="117"/>
      <c r="AI13" s="117"/>
      <c r="AJ13" s="117"/>
      <c r="AK13" s="115"/>
      <c r="AL13" s="102"/>
      <c r="AM13" s="102"/>
      <c r="AN13" s="102"/>
      <c r="AO13" s="102"/>
    </row>
    <row r="14" spans="1:41" s="103" customFormat="1">
      <c r="A14" s="117"/>
      <c r="B14" s="118"/>
      <c r="C14" s="113"/>
      <c r="D14" s="113"/>
      <c r="E14" s="114"/>
      <c r="F14" s="115"/>
      <c r="G14" s="119"/>
      <c r="H14" s="117"/>
      <c r="I14" s="117"/>
      <c r="J14" s="127"/>
      <c r="K14" s="127"/>
      <c r="L14" s="117"/>
      <c r="M14" s="115"/>
      <c r="N14" s="117"/>
      <c r="O14" s="117"/>
      <c r="P14" s="117"/>
      <c r="Q14" s="117"/>
      <c r="R14" s="117"/>
      <c r="S14" s="115"/>
      <c r="T14" s="117"/>
      <c r="U14" s="117"/>
      <c r="V14" s="117"/>
      <c r="W14" s="117"/>
      <c r="X14" s="117"/>
      <c r="Y14" s="117"/>
      <c r="Z14" s="115"/>
      <c r="AA14" s="134"/>
      <c r="AB14" s="134"/>
      <c r="AC14" s="134"/>
      <c r="AD14" s="117"/>
      <c r="AE14" s="117"/>
      <c r="AF14" s="117"/>
      <c r="AG14" s="117"/>
      <c r="AH14" s="117"/>
      <c r="AI14" s="117"/>
      <c r="AJ14" s="117"/>
      <c r="AK14" s="115"/>
      <c r="AL14" s="102"/>
      <c r="AM14" s="102"/>
      <c r="AN14" s="102"/>
      <c r="AO14" s="102"/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12" type="noConversion"/>
  <conditionalFormatting sqref="J12:J14">
    <cfRule type="duplicateValues" dxfId="66" priority="3"/>
  </conditionalFormatting>
  <conditionalFormatting sqref="J5:J8 J10:J11">
    <cfRule type="duplicateValues" dxfId="65" priority="1"/>
    <cfRule type="duplicateValues" dxfId="64" priority="2"/>
  </conditionalFormatting>
  <dataValidations count="7"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H3:H11">
      <formula1>"派遣,代理"</formula1>
    </dataValidation>
    <dataValidation type="list" allowBlank="1" showInputMessage="1" showErrorMessage="1" sqref="S3:S4 S5:S14 Z3:Z4 Z5:Z14">
      <formula1>"新参,调入"</formula1>
    </dataValidation>
    <dataValidation type="list" allowBlank="1" showInputMessage="1" showErrorMessage="1" sqref="P3:P4 P5:P11">
      <formula1>"本地城镇,本地农村,外地城镇,外地农村"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M3:M8 M10:M14">
      <formula1>"是,否"</formula1>
    </dataValidation>
  </dataValidations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12.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3.37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3.375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143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8660</v>
      </c>
      <c r="M4" s="61">
        <v>264</v>
      </c>
      <c r="N4" s="61">
        <v>66</v>
      </c>
      <c r="O4" s="61">
        <v>9.9</v>
      </c>
      <c r="P4" s="61">
        <v>180</v>
      </c>
      <c r="Q4" s="76">
        <f>ROUND(SUM(M4:P4),2)</f>
        <v>519.9</v>
      </c>
      <c r="R4" s="62">
        <v>0</v>
      </c>
      <c r="S4" s="77">
        <f>L4+IFERROR(VLOOKUP($E:$E,'（居民）工资表-7月'!$E:$S,15,0),0)</f>
        <v>33040</v>
      </c>
      <c r="T4" s="78">
        <f>5000+IFERROR(VLOOKUP($E:$E,'（居民）工资表-7月'!$E:$T,16,0),0)</f>
        <v>20000</v>
      </c>
      <c r="U4" s="78">
        <f>Q4+IFERROR(VLOOKUP($E:$E,'（居民）工资表-7月'!$E:$U,17,0),0)</f>
        <v>2079.6</v>
      </c>
      <c r="V4" s="62"/>
      <c r="W4" s="62"/>
      <c r="X4" s="62">
        <v>8000</v>
      </c>
      <c r="Y4" s="62"/>
      <c r="Z4" s="62"/>
      <c r="AA4" s="62"/>
      <c r="AB4" s="77">
        <f>ROUND(SUM(V4:AA4),2)</f>
        <v>8000</v>
      </c>
      <c r="AC4" s="77">
        <f>R4+IFERROR(VLOOKUP($E:$E,'（居民）工资表-7月'!$E:$AC,25,0),0)</f>
        <v>0</v>
      </c>
      <c r="AD4" s="79">
        <f>ROUND(S4-T4-U4-AB4-AC4,2)</f>
        <v>2960.4</v>
      </c>
      <c r="AE4" s="80">
        <f>ROUND(MAX((AD4)*{0.03;0.1;0.2;0.25;0.3;0.35;0.45}-{0;2520;16920;31920;52920;85920;181920},0),2)</f>
        <v>88.81</v>
      </c>
      <c r="AF4" s="81">
        <f>IFERROR(VLOOKUP(E:E,'（居民）工资表-7月'!E:AF,28,0)+VLOOKUP(E:E,'（居民）工资表-7月'!E:AG,29,0),0)</f>
        <v>24.61</v>
      </c>
      <c r="AG4" s="81">
        <f>IF((AE4-AF4)&lt;0,0,AE4-AF4)</f>
        <v>64.2</v>
      </c>
      <c r="AH4" s="84">
        <f>ROUND(IF((L4-Q4-AG4)&lt;0,0,(L4-Q4-AG4)),2)</f>
        <v>8075.9</v>
      </c>
      <c r="AI4" s="85"/>
      <c r="AJ4" s="84">
        <f>AH4+AI4</f>
        <v>8075.9</v>
      </c>
      <c r="AK4" s="86"/>
      <c r="AL4" s="84">
        <f>AJ4+AG4+AK4</f>
        <v>8140.0999999999995</v>
      </c>
      <c r="AM4" s="86"/>
      <c r="AN4" s="86"/>
      <c r="AO4" s="86"/>
      <c r="AP4" s="86"/>
      <c r="AQ4" s="86"/>
      <c r="AR4" s="9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IF(SUMPRODUCT(N(E$1:E$7=E4))&gt;1,"重复","不")</f>
        <v>不</v>
      </c>
      <c r="AT4" s="91" t="str">
        <f>IF(SUMPRODUCT(N(AO$1:AO$7=AO4))&gt;1,"重复","不")</f>
        <v>重复</v>
      </c>
    </row>
    <row r="5" spans="1:46" s="17" customFormat="1" ht="18" customHeight="1">
      <c r="A5" s="31">
        <v>2</v>
      </c>
      <c r="B5" s="32" t="s">
        <v>143</v>
      </c>
      <c r="C5" s="32" t="s">
        <v>90</v>
      </c>
      <c r="D5" s="32" t="s">
        <v>144</v>
      </c>
      <c r="E5" s="32" t="s">
        <v>91</v>
      </c>
      <c r="F5" s="33" t="s">
        <v>182</v>
      </c>
      <c r="G5" s="36">
        <v>13944441728</v>
      </c>
      <c r="H5" s="35"/>
      <c r="I5" s="35"/>
      <c r="J5" s="59"/>
      <c r="K5" s="35"/>
      <c r="L5" s="62">
        <v>6921</v>
      </c>
      <c r="M5" s="61">
        <v>244.24</v>
      </c>
      <c r="N5" s="61">
        <v>61.06</v>
      </c>
      <c r="O5" s="61">
        <v>9.16</v>
      </c>
      <c r="P5" s="61">
        <v>79</v>
      </c>
      <c r="Q5" s="76">
        <f>ROUND(SUM(M5:P5),2)</f>
        <v>393.46</v>
      </c>
      <c r="R5" s="62">
        <v>0</v>
      </c>
      <c r="S5" s="77">
        <f>L5+IFERROR(VLOOKUP($E:$E,'（居民）工资表-7月'!$E:$S,15,0),0)</f>
        <v>30161</v>
      </c>
      <c r="T5" s="78">
        <f>5000+IFERROR(VLOOKUP($E:$E,'（居民）工资表-7月'!$E:$T,16,0),0)</f>
        <v>20000</v>
      </c>
      <c r="U5" s="78">
        <f>Q5+IFERROR(VLOOKUP($E:$E,'（居民）工资表-7月'!$E:$U,17,0),0)</f>
        <v>2360.7599999999998</v>
      </c>
      <c r="V5" s="62"/>
      <c r="W5" s="62"/>
      <c r="X5" s="62"/>
      <c r="Y5" s="62"/>
      <c r="Z5" s="62"/>
      <c r="AA5" s="62"/>
      <c r="AB5" s="77">
        <f>ROUND(SUM(V5:AA5),2)</f>
        <v>0</v>
      </c>
      <c r="AC5" s="77">
        <f>R5+IFERROR(VLOOKUP($E:$E,'（居民）工资表-7月'!$E:$AC,25,0),0)</f>
        <v>0</v>
      </c>
      <c r="AD5" s="79">
        <f>ROUND(S5-T5-U5-AB5-AC5,2)</f>
        <v>7800.24</v>
      </c>
      <c r="AE5" s="80">
        <f>ROUND(MAX((AD5)*{0.03;0.1;0.2;0.25;0.3;0.35;0.45}-{0;2520;16920;31920;52920;85920;181920},0),2)</f>
        <v>234.01</v>
      </c>
      <c r="AF5" s="81">
        <f>IFERROR(VLOOKUP(E:E,'（居民）工资表-7月'!E:AF,28,0)+VLOOKUP(E:E,'（居民）工资表-7月'!E:AG,29,0),0)</f>
        <v>188.18</v>
      </c>
      <c r="AG5" s="81">
        <f>IF((AE5-AF5)&lt;0,0,AE5-AF5)</f>
        <v>45.829999999999984</v>
      </c>
      <c r="AH5" s="84">
        <f>ROUND(IF((L5-Q5-AG5)&lt;0,0,(L5-Q5-AG5)),2)</f>
        <v>6481.71</v>
      </c>
      <c r="AI5" s="85"/>
      <c r="AJ5" s="84">
        <f>AH5+AI5</f>
        <v>6481.71</v>
      </c>
      <c r="AK5" s="86"/>
      <c r="AL5" s="84">
        <f>AJ5+AG5+AK5</f>
        <v>6527.54</v>
      </c>
      <c r="AM5" s="86"/>
      <c r="AN5" s="86"/>
      <c r="AO5" s="86"/>
      <c r="AP5" s="86"/>
      <c r="AQ5" s="86"/>
      <c r="AR5" s="9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1" t="str">
        <f>IF(SUMPRODUCT(N(E$1:E$7=E5))&gt;1,"重复","不")</f>
        <v>不</v>
      </c>
      <c r="AT5" s="91" t="str">
        <f>IF(SUMPRODUCT(N(AO$1:AO$7=AO5))&gt;1,"重复","不")</f>
        <v>重复</v>
      </c>
    </row>
    <row r="6" spans="1:46" s="17" customFormat="1" ht="18" customHeight="1">
      <c r="A6" s="31">
        <v>3</v>
      </c>
      <c r="B6" s="32" t="s">
        <v>143</v>
      </c>
      <c r="C6" s="32" t="s">
        <v>145</v>
      </c>
      <c r="D6" s="32" t="s">
        <v>144</v>
      </c>
      <c r="E6" s="285" t="s">
        <v>146</v>
      </c>
      <c r="F6" s="33" t="s">
        <v>182</v>
      </c>
      <c r="G6" s="36">
        <v>18607383005</v>
      </c>
      <c r="H6" s="35"/>
      <c r="I6" s="35"/>
      <c r="J6" s="59"/>
      <c r="K6" s="35"/>
      <c r="L6" s="62">
        <v>24800</v>
      </c>
      <c r="M6" s="61">
        <f>320</f>
        <v>320</v>
      </c>
      <c r="N6" s="61">
        <f>80</f>
        <v>80</v>
      </c>
      <c r="O6" s="61">
        <f>12</f>
        <v>12</v>
      </c>
      <c r="P6" s="61">
        <v>200</v>
      </c>
      <c r="Q6" s="76">
        <f>ROUND(SUM(M6:P6),2)</f>
        <v>612</v>
      </c>
      <c r="R6" s="62">
        <v>0</v>
      </c>
      <c r="S6" s="77">
        <f>L6+IFERROR(VLOOKUP($E:$E,'（居民）工资表-7月'!$E:$S,15,0),0)</f>
        <v>86504.760000000009</v>
      </c>
      <c r="T6" s="78">
        <f>5000+IFERROR(VLOOKUP($E:$E,'（居民）工资表-7月'!$E:$T,16,0),0)</f>
        <v>20000</v>
      </c>
      <c r="U6" s="78">
        <f>Q6+IFERROR(VLOOKUP($E:$E,'（居民）工资表-7月'!$E:$U,17,0),0)</f>
        <v>2534.67</v>
      </c>
      <c r="V6" s="62"/>
      <c r="W6" s="62"/>
      <c r="X6" s="62"/>
      <c r="Y6" s="62"/>
      <c r="Z6" s="62"/>
      <c r="AA6" s="62"/>
      <c r="AB6" s="77">
        <f>ROUND(SUM(V6:AA6),2)</f>
        <v>0</v>
      </c>
      <c r="AC6" s="77">
        <f>R6+IFERROR(VLOOKUP($E:$E,'（居民）工资表-7月'!$E:$AC,25,0),0)</f>
        <v>0</v>
      </c>
      <c r="AD6" s="79">
        <f>ROUND(S6-T6-U6-AB6-AC6,2)</f>
        <v>63970.09</v>
      </c>
      <c r="AE6" s="80">
        <f>ROUND(MAX((AD6)*{0.03;0.1;0.2;0.25;0.3;0.35;0.45}-{0;2520;16920;31920;52920;85920;181920},0),2)</f>
        <v>3877.01</v>
      </c>
      <c r="AF6" s="81">
        <f>IFERROR(VLOOKUP(E:E,'（居民）工资表-7月'!E:AF,28,0)+VLOOKUP(E:E,'（居民）工资表-7月'!E:AG,29,0),0)</f>
        <v>1958.21</v>
      </c>
      <c r="AG6" s="81">
        <f>IF((AE6-AF6)&lt;0,0,AE6-AF6)</f>
        <v>1918.8000000000002</v>
      </c>
      <c r="AH6" s="84">
        <f>ROUND(IF((L6-Q6-AG6)&lt;0,0,(L6-Q6-AG6)),2)</f>
        <v>22269.200000000001</v>
      </c>
      <c r="AI6" s="85"/>
      <c r="AJ6" s="84">
        <f>AH6+AI6</f>
        <v>22269.200000000001</v>
      </c>
      <c r="AK6" s="86"/>
      <c r="AL6" s="84">
        <f>AJ6+AG6+AK6</f>
        <v>24188</v>
      </c>
      <c r="AM6" s="86"/>
      <c r="AN6" s="86"/>
      <c r="AO6" s="86"/>
      <c r="AP6" s="86"/>
      <c r="AQ6" s="86"/>
      <c r="AR6" s="9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1" t="str">
        <f>IF(SUMPRODUCT(N(E$1:E$7=E6))&gt;1,"重复","不")</f>
        <v>不</v>
      </c>
      <c r="AT6" s="91" t="str">
        <f>IF(SUMPRODUCT(N(AO$1:AO$7=AO6))&gt;1,"重复","不")</f>
        <v>重复</v>
      </c>
    </row>
    <row r="7" spans="1:46" s="17" customFormat="1" ht="18" customHeight="1">
      <c r="A7" s="31">
        <v>4</v>
      </c>
      <c r="B7" s="32" t="s">
        <v>143</v>
      </c>
      <c r="C7" s="32" t="s">
        <v>164</v>
      </c>
      <c r="D7" s="32" t="s">
        <v>144</v>
      </c>
      <c r="E7" s="285" t="s">
        <v>165</v>
      </c>
      <c r="F7" s="33" t="str">
        <f>IF(MOD(MID(E7,17,1),2)=1,"男","女")</f>
        <v>女</v>
      </c>
      <c r="G7" s="36">
        <v>15360550807</v>
      </c>
      <c r="H7" s="35"/>
      <c r="I7" s="35"/>
      <c r="J7" s="59"/>
      <c r="K7" s="35"/>
      <c r="L7" s="62">
        <v>4560</v>
      </c>
      <c r="M7" s="61"/>
      <c r="N7" s="61"/>
      <c r="O7" s="61"/>
      <c r="P7" s="61"/>
      <c r="Q7" s="76">
        <f>ROUND(SUM(M7:P7),2)</f>
        <v>0</v>
      </c>
      <c r="R7" s="62">
        <v>0</v>
      </c>
      <c r="S7" s="77">
        <f>L7+IFERROR(VLOOKUP($E:$E,'（居民）工资表-7月'!$E:$S,15,0),0)</f>
        <v>8083.6363636363603</v>
      </c>
      <c r="T7" s="78">
        <f>5000+IFERROR(VLOOKUP($E:$E,'（居民）工资表-7月'!$E:$T,16,0),0)</f>
        <v>10000</v>
      </c>
      <c r="U7" s="78">
        <f>Q7+IFERROR(VLOOKUP($E:$E,'（居民）工资表-7月'!$E:$U,17,0),0)</f>
        <v>0</v>
      </c>
      <c r="V7" s="62"/>
      <c r="W7" s="62"/>
      <c r="X7" s="62"/>
      <c r="Y7" s="62"/>
      <c r="Z7" s="62"/>
      <c r="AA7" s="62"/>
      <c r="AB7" s="77">
        <f>ROUND(SUM(V7:AA7),2)</f>
        <v>0</v>
      </c>
      <c r="AC7" s="77">
        <f>R7+IFERROR(VLOOKUP($E:$E,'（居民）工资表-7月'!$E:$AC,25,0),0)</f>
        <v>0</v>
      </c>
      <c r="AD7" s="79">
        <f>ROUND(S7-T7-U7-AB7-AC7,2)</f>
        <v>-1916.36</v>
      </c>
      <c r="AE7" s="80">
        <f>ROUND(MAX((AD7)*{0.03;0.1;0.2;0.25;0.3;0.35;0.45}-{0;2520;16920;31920;52920;85920;181920},0),2)</f>
        <v>0</v>
      </c>
      <c r="AF7" s="81">
        <f>IFERROR(VLOOKUP(E:E,'（居民）工资表-7月'!E:AF,28,0)+VLOOKUP(E:E,'（居民）工资表-7月'!E:AG,29,0),0)</f>
        <v>0</v>
      </c>
      <c r="AG7" s="81">
        <f>IF((AE7-AF7)&lt;0,0,AE7-AF7)</f>
        <v>0</v>
      </c>
      <c r="AH7" s="84">
        <f>ROUND(IF((L7-Q7-AG7)&lt;0,0,(L7-Q7-AG7)),2)</f>
        <v>4560</v>
      </c>
      <c r="AI7" s="85"/>
      <c r="AJ7" s="84">
        <f>AH7+AI7</f>
        <v>4560</v>
      </c>
      <c r="AK7" s="86"/>
      <c r="AL7" s="84">
        <f>AJ7+AG7+AK7</f>
        <v>4560</v>
      </c>
      <c r="AM7" s="86"/>
      <c r="AN7" s="86"/>
      <c r="AO7" s="86"/>
      <c r="AP7" s="86"/>
      <c r="AQ7" s="86"/>
      <c r="AR7" s="9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1" t="str">
        <f>IF(SUMPRODUCT(N(E$1:E$7=E7))&gt;1,"重复","不")</f>
        <v>不</v>
      </c>
      <c r="AT7" s="91" t="str">
        <f>IF(SUMPRODUCT(N(AO$1:AO$7=AO7))&gt;1,"重复","不")</f>
        <v>重复</v>
      </c>
    </row>
    <row r="8" spans="1:46" s="18" customFormat="1" ht="18" customHeight="1">
      <c r="A8" s="37"/>
      <c r="B8" s="38" t="s">
        <v>147</v>
      </c>
      <c r="C8" s="38"/>
      <c r="D8" s="39"/>
      <c r="E8" s="40"/>
      <c r="F8" s="41"/>
      <c r="G8" s="42"/>
      <c r="H8" s="41"/>
      <c r="I8" s="63"/>
      <c r="J8" s="64"/>
      <c r="K8" s="63"/>
      <c r="L8" s="65">
        <f t="shared" ref="L8:AL8" si="0">SUM(L4:L7)</f>
        <v>44941</v>
      </c>
      <c r="M8" s="65">
        <f t="shared" si="0"/>
        <v>828.24</v>
      </c>
      <c r="N8" s="65">
        <f t="shared" si="0"/>
        <v>207.06</v>
      </c>
      <c r="O8" s="65">
        <f t="shared" si="0"/>
        <v>31.06</v>
      </c>
      <c r="P8" s="65">
        <f t="shared" si="0"/>
        <v>459</v>
      </c>
      <c r="Q8" s="65">
        <f t="shared" si="0"/>
        <v>1525.36</v>
      </c>
      <c r="R8" s="65">
        <f t="shared" si="0"/>
        <v>0</v>
      </c>
      <c r="S8" s="65">
        <f t="shared" si="0"/>
        <v>157789.39636363636</v>
      </c>
      <c r="T8" s="65">
        <f t="shared" si="0"/>
        <v>70000</v>
      </c>
      <c r="U8" s="65">
        <f t="shared" si="0"/>
        <v>6975.03</v>
      </c>
      <c r="V8" s="65">
        <f t="shared" si="0"/>
        <v>0</v>
      </c>
      <c r="W8" s="65">
        <f t="shared" si="0"/>
        <v>0</v>
      </c>
      <c r="X8" s="65">
        <f t="shared" si="0"/>
        <v>8000</v>
      </c>
      <c r="Y8" s="65">
        <f t="shared" si="0"/>
        <v>0</v>
      </c>
      <c r="Z8" s="65">
        <f t="shared" si="0"/>
        <v>0</v>
      </c>
      <c r="AA8" s="65">
        <f t="shared" si="0"/>
        <v>0</v>
      </c>
      <c r="AB8" s="65">
        <f t="shared" si="0"/>
        <v>8000</v>
      </c>
      <c r="AC8" s="65">
        <f t="shared" si="0"/>
        <v>0</v>
      </c>
      <c r="AD8" s="65">
        <f t="shared" si="0"/>
        <v>72814.37</v>
      </c>
      <c r="AE8" s="65">
        <f t="shared" si="0"/>
        <v>4199.83</v>
      </c>
      <c r="AF8" s="65">
        <f t="shared" si="0"/>
        <v>2171</v>
      </c>
      <c r="AG8" s="65">
        <f t="shared" si="0"/>
        <v>2028.8300000000002</v>
      </c>
      <c r="AH8" s="65">
        <f t="shared" si="0"/>
        <v>41386.81</v>
      </c>
      <c r="AI8" s="98">
        <f t="shared" si="0"/>
        <v>0</v>
      </c>
      <c r="AJ8" s="65">
        <f t="shared" si="0"/>
        <v>41386.81</v>
      </c>
      <c r="AK8" s="65">
        <f t="shared" si="0"/>
        <v>0</v>
      </c>
      <c r="AL8" s="65">
        <f t="shared" si="0"/>
        <v>43415.64</v>
      </c>
      <c r="AM8" s="87"/>
      <c r="AN8" s="87"/>
      <c r="AO8" s="87"/>
      <c r="AP8" s="87"/>
      <c r="AQ8" s="87"/>
      <c r="AR8" s="41"/>
      <c r="AS8" s="41"/>
      <c r="AT8" s="92"/>
    </row>
    <row r="11" spans="1:46">
      <c r="AD11" s="82"/>
    </row>
    <row r="12" spans="1:46" ht="18.75" customHeight="1">
      <c r="B12" s="43" t="s">
        <v>124</v>
      </c>
      <c r="C12" s="43" t="s">
        <v>148</v>
      </c>
      <c r="D12" s="43" t="s">
        <v>54</v>
      </c>
      <c r="E12" s="43" t="s">
        <v>55</v>
      </c>
      <c r="AD12" s="15"/>
    </row>
    <row r="13" spans="1:46" ht="18.75" customHeight="1">
      <c r="B13" s="44">
        <f>AJ8</f>
        <v>41386.81</v>
      </c>
      <c r="C13" s="44">
        <f>AG8</f>
        <v>2028.8300000000002</v>
      </c>
      <c r="D13" s="44">
        <f>AK8</f>
        <v>0</v>
      </c>
      <c r="E13" s="44">
        <f>B13+C13+D13</f>
        <v>43415.64</v>
      </c>
    </row>
    <row r="14" spans="1:46">
      <c r="B14" s="45"/>
      <c r="C14" s="45"/>
      <c r="D14" s="45"/>
      <c r="E14" s="45"/>
    </row>
    <row r="15" spans="1:46" s="19" customFormat="1">
      <c r="A15" s="46" t="s">
        <v>149</v>
      </c>
      <c r="B15" s="47" t="s">
        <v>150</v>
      </c>
      <c r="C15" s="48"/>
      <c r="D15" s="48"/>
      <c r="E15" s="48"/>
      <c r="G15" s="49"/>
      <c r="J15" s="66"/>
      <c r="M15" s="67"/>
      <c r="AI15" s="89"/>
    </row>
    <row r="16" spans="1:46" s="19" customFormat="1">
      <c r="A16" s="50"/>
      <c r="B16" s="51" t="s">
        <v>151</v>
      </c>
      <c r="C16" s="48"/>
      <c r="D16" s="48"/>
      <c r="E16" s="48"/>
      <c r="G16" s="49"/>
      <c r="J16" s="66"/>
      <c r="M16" s="67"/>
      <c r="AI16" s="89"/>
    </row>
    <row r="17" spans="1:35" s="19" customFormat="1">
      <c r="A17" s="47"/>
      <c r="B17" s="51" t="s">
        <v>152</v>
      </c>
      <c r="C17" s="52"/>
      <c r="D17" s="52"/>
      <c r="E17" s="52"/>
      <c r="F17" s="52"/>
      <c r="G17" s="52"/>
      <c r="H17" s="52"/>
      <c r="I17" s="52"/>
      <c r="J17" s="68"/>
      <c r="K17" s="52"/>
      <c r="L17" s="52"/>
      <c r="M17" s="69"/>
      <c r="N17" s="52"/>
      <c r="O17" s="52"/>
      <c r="P17" s="52"/>
      <c r="AI17" s="89"/>
    </row>
    <row r="18" spans="1:35" s="19" customFormat="1" ht="13.5" customHeight="1">
      <c r="A18" s="51"/>
      <c r="B18" s="51" t="s">
        <v>153</v>
      </c>
      <c r="C18" s="53"/>
      <c r="D18" s="53"/>
      <c r="E18" s="53"/>
      <c r="F18" s="53"/>
      <c r="G18" s="53"/>
      <c r="H18" s="53"/>
      <c r="I18" s="70"/>
      <c r="J18" s="71"/>
      <c r="K18" s="70"/>
      <c r="L18" s="70"/>
      <c r="M18" s="72"/>
      <c r="N18" s="70"/>
      <c r="O18" s="70"/>
      <c r="P18" s="70"/>
      <c r="AI18" s="89"/>
    </row>
    <row r="19" spans="1:35" s="19" customFormat="1" ht="13.5" customHeight="1">
      <c r="A19" s="51"/>
      <c r="B19" s="51" t="s">
        <v>154</v>
      </c>
      <c r="C19" s="53"/>
      <c r="D19" s="53"/>
      <c r="E19" s="53"/>
      <c r="F19" s="53"/>
      <c r="G19" s="53"/>
      <c r="H19" s="53"/>
      <c r="I19" s="53"/>
      <c r="J19" s="73"/>
      <c r="K19" s="53"/>
      <c r="L19" s="70"/>
      <c r="M19" s="72"/>
      <c r="N19" s="70"/>
      <c r="O19" s="70"/>
      <c r="P19" s="70"/>
      <c r="AI19" s="89"/>
    </row>
    <row r="20" spans="1:35" s="19" customFormat="1" ht="13.5" customHeight="1">
      <c r="A20" s="51"/>
      <c r="B20" s="51" t="s">
        <v>155</v>
      </c>
      <c r="C20" s="53"/>
      <c r="D20" s="53"/>
      <c r="E20" s="53"/>
      <c r="F20" s="53"/>
      <c r="G20" s="53"/>
      <c r="H20" s="53"/>
      <c r="I20" s="70"/>
      <c r="J20" s="71"/>
      <c r="K20" s="70"/>
      <c r="L20" s="70"/>
      <c r="M20" s="72"/>
      <c r="N20" s="70"/>
      <c r="O20" s="70"/>
      <c r="P20" s="70"/>
      <c r="AI20" s="89"/>
    </row>
    <row r="22" spans="1:35" ht="11.25" customHeight="1">
      <c r="B22" s="54" t="s">
        <v>156</v>
      </c>
    </row>
    <row r="23" spans="1:35">
      <c r="B23" s="55" t="s">
        <v>157</v>
      </c>
    </row>
    <row r="24" spans="1:35">
      <c r="B24" s="55" t="s">
        <v>158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0">
    <cfRule type="duplicateValues" dxfId="63" priority="2" stopIfTrue="1"/>
  </conditionalFormatting>
  <conditionalFormatting sqref="B15:B19">
    <cfRule type="duplicateValues" dxfId="62" priority="3" stopIfTrue="1"/>
  </conditionalFormatting>
  <conditionalFormatting sqref="B23:B24">
    <cfRule type="duplicateValues" dxfId="61" priority="1" stopIfTrue="1"/>
  </conditionalFormatting>
  <conditionalFormatting sqref="C12:C14">
    <cfRule type="duplicateValues" dxfId="60" priority="4" stopIfTrue="1"/>
    <cfRule type="expression" dxfId="59" priority="5" stopIfTrue="1">
      <formula>AND(COUNTIF($B$8:$B$65444,C12)+COUNTIF($B$1:$B$3,C12)&gt;1,NOT(ISBLANK(C12)))</formula>
    </cfRule>
    <cfRule type="expression" dxfId="58" priority="6" stopIfTrue="1">
      <formula>AND(COUNTIF($B$19:$B$65395,C12)+COUNTIF($B$1:$B$18,C12)&gt;1,NOT(ISBLANK(C12)))</formula>
    </cfRule>
    <cfRule type="expression" dxfId="57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20" customWidth="1"/>
    <col min="2" max="2" width="12.625" style="20" customWidth="1"/>
    <col min="3" max="3" width="10.5" style="20" customWidth="1"/>
    <col min="4" max="4" width="8.75" style="20" customWidth="1"/>
    <col min="5" max="5" width="19.5" style="21" customWidth="1"/>
    <col min="6" max="6" width="9" style="20"/>
    <col min="7" max="7" width="11.875" style="22" customWidth="1"/>
    <col min="8" max="8" width="4.625" style="20" hidden="1" customWidth="1"/>
    <col min="9" max="9" width="5.25" style="20" hidden="1" customWidth="1"/>
    <col min="10" max="10" width="11.75" style="23" customWidth="1"/>
    <col min="11" max="11" width="5.25" style="20" customWidth="1"/>
    <col min="12" max="12" width="11.75" style="20" customWidth="1"/>
    <col min="13" max="13" width="12.5" style="20" customWidth="1" outlineLevel="1"/>
    <col min="14" max="15" width="9" style="20" customWidth="1" outlineLevel="1"/>
    <col min="16" max="16" width="11.125" style="20" customWidth="1" outlineLevel="1"/>
    <col min="17" max="17" width="9.75" style="20" customWidth="1"/>
    <col min="18" max="18" width="9.5" style="20" customWidth="1"/>
    <col min="19" max="19" width="13.375" style="20" customWidth="1"/>
    <col min="20" max="21" width="12.25" style="20" customWidth="1"/>
    <col min="22" max="27" width="9" style="20" customWidth="1" outlineLevel="1"/>
    <col min="28" max="28" width="11.25" style="20" customWidth="1"/>
    <col min="29" max="29" width="8.5" style="20" customWidth="1"/>
    <col min="30" max="30" width="15.25" style="20" customWidth="1"/>
    <col min="31" max="31" width="13.375" style="20" customWidth="1"/>
    <col min="32" max="32" width="10.75" style="20" customWidth="1"/>
    <col min="33" max="33" width="12.25" style="20" customWidth="1"/>
    <col min="34" max="34" width="11.5" style="20" customWidth="1"/>
    <col min="35" max="35" width="7.875" style="24" customWidth="1"/>
    <col min="36" max="36" width="11.5" style="20" customWidth="1"/>
    <col min="37" max="37" width="9" style="20"/>
    <col min="38" max="38" width="11.5" style="20" customWidth="1"/>
    <col min="39" max="40" width="9" style="20" customWidth="1"/>
    <col min="41" max="41" width="19" style="20" customWidth="1"/>
    <col min="42" max="42" width="12.25" style="20" customWidth="1"/>
    <col min="43" max="43" width="9" style="20"/>
    <col min="44" max="44" width="7" style="20" customWidth="1"/>
    <col min="45" max="45" width="6.75" style="20" customWidth="1"/>
    <col min="46" max="46" width="6.125" style="20" customWidth="1"/>
    <col min="47" max="16384" width="9" style="20"/>
  </cols>
  <sheetData>
    <row r="1" spans="1:46" s="15" customFormat="1" ht="29.25" customHeight="1">
      <c r="A1" s="25" t="s">
        <v>96</v>
      </c>
      <c r="B1" s="26"/>
      <c r="C1" s="27"/>
      <c r="D1" s="28"/>
      <c r="E1" s="29"/>
      <c r="F1" s="29"/>
      <c r="G1" s="30"/>
      <c r="J1" s="56"/>
      <c r="L1" s="57"/>
      <c r="M1" s="347" t="s">
        <v>97</v>
      </c>
      <c r="N1" s="347"/>
      <c r="O1" s="347"/>
      <c r="P1" s="347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7"/>
      <c r="AE1" s="57"/>
      <c r="AF1" s="57"/>
      <c r="AG1" s="57"/>
      <c r="AH1" s="57"/>
      <c r="AI1" s="83"/>
      <c r="AJ1" s="57"/>
      <c r="AK1" s="57"/>
      <c r="AL1" s="57"/>
      <c r="AM1" s="29"/>
      <c r="AN1" s="29"/>
      <c r="AO1" s="90"/>
      <c r="AP1" s="29"/>
      <c r="AQ1" s="29"/>
      <c r="AR1" s="29"/>
      <c r="AS1" s="29"/>
    </row>
    <row r="2" spans="1:46" s="16" customFormat="1" ht="20.100000000000001" customHeight="1">
      <c r="A2" s="354" t="s">
        <v>15</v>
      </c>
      <c r="B2" s="356" t="s">
        <v>98</v>
      </c>
      <c r="C2" s="358" t="s">
        <v>99</v>
      </c>
      <c r="D2" s="358" t="s">
        <v>100</v>
      </c>
      <c r="E2" s="360" t="s">
        <v>101</v>
      </c>
      <c r="F2" s="362" t="s">
        <v>102</v>
      </c>
      <c r="G2" s="360" t="s">
        <v>103</v>
      </c>
      <c r="H2" s="360" t="s">
        <v>104</v>
      </c>
      <c r="I2" s="360" t="s">
        <v>105</v>
      </c>
      <c r="J2" s="364" t="s">
        <v>106</v>
      </c>
      <c r="K2" s="360" t="s">
        <v>107</v>
      </c>
      <c r="L2" s="360" t="s">
        <v>108</v>
      </c>
      <c r="M2" s="348" t="s">
        <v>109</v>
      </c>
      <c r="N2" s="349"/>
      <c r="O2" s="349"/>
      <c r="P2" s="350"/>
      <c r="Q2" s="362" t="s">
        <v>110</v>
      </c>
      <c r="R2" s="360" t="s">
        <v>111</v>
      </c>
      <c r="S2" s="362" t="s">
        <v>112</v>
      </c>
      <c r="T2" s="366" t="s">
        <v>113</v>
      </c>
      <c r="U2" s="362" t="s">
        <v>114</v>
      </c>
      <c r="V2" s="351" t="s">
        <v>115</v>
      </c>
      <c r="W2" s="352"/>
      <c r="X2" s="352"/>
      <c r="Y2" s="352"/>
      <c r="Z2" s="352"/>
      <c r="AA2" s="353"/>
      <c r="AB2" s="362" t="s">
        <v>116</v>
      </c>
      <c r="AC2" s="362" t="s">
        <v>117</v>
      </c>
      <c r="AD2" s="366" t="s">
        <v>118</v>
      </c>
      <c r="AE2" s="366" t="s">
        <v>119</v>
      </c>
      <c r="AF2" s="366" t="s">
        <v>120</v>
      </c>
      <c r="AG2" s="366" t="s">
        <v>121</v>
      </c>
      <c r="AH2" s="368" t="s">
        <v>122</v>
      </c>
      <c r="AI2" s="370" t="s">
        <v>123</v>
      </c>
      <c r="AJ2" s="368" t="s">
        <v>124</v>
      </c>
      <c r="AK2" s="358" t="s">
        <v>54</v>
      </c>
      <c r="AL2" s="368" t="s">
        <v>125</v>
      </c>
      <c r="AM2" s="360" t="s">
        <v>126</v>
      </c>
      <c r="AN2" s="360" t="s">
        <v>127</v>
      </c>
      <c r="AO2" s="372" t="s">
        <v>128</v>
      </c>
      <c r="AP2" s="360" t="s">
        <v>129</v>
      </c>
      <c r="AQ2" s="360" t="s">
        <v>130</v>
      </c>
      <c r="AR2" s="362" t="s">
        <v>131</v>
      </c>
      <c r="AS2" s="362" t="s">
        <v>132</v>
      </c>
      <c r="AT2" s="362" t="s">
        <v>133</v>
      </c>
    </row>
    <row r="3" spans="1:46" s="16" customFormat="1" ht="27" customHeight="1">
      <c r="A3" s="355"/>
      <c r="B3" s="357"/>
      <c r="C3" s="359"/>
      <c r="D3" s="359"/>
      <c r="E3" s="361"/>
      <c r="F3" s="363"/>
      <c r="G3" s="361"/>
      <c r="H3" s="361"/>
      <c r="I3" s="361"/>
      <c r="J3" s="365"/>
      <c r="K3" s="361"/>
      <c r="L3" s="361"/>
      <c r="M3" s="58" t="s">
        <v>134</v>
      </c>
      <c r="N3" s="58" t="s">
        <v>135</v>
      </c>
      <c r="O3" s="58" t="s">
        <v>136</v>
      </c>
      <c r="P3" s="58" t="s">
        <v>67</v>
      </c>
      <c r="Q3" s="363"/>
      <c r="R3" s="361"/>
      <c r="S3" s="363"/>
      <c r="T3" s="367"/>
      <c r="U3" s="363"/>
      <c r="V3" s="75" t="s">
        <v>137</v>
      </c>
      <c r="W3" s="75" t="s">
        <v>138</v>
      </c>
      <c r="X3" s="75" t="s">
        <v>139</v>
      </c>
      <c r="Y3" s="75" t="s">
        <v>140</v>
      </c>
      <c r="Z3" s="75" t="s">
        <v>141</v>
      </c>
      <c r="AA3" s="75" t="s">
        <v>142</v>
      </c>
      <c r="AB3" s="363"/>
      <c r="AC3" s="363"/>
      <c r="AD3" s="367"/>
      <c r="AE3" s="367"/>
      <c r="AF3" s="367"/>
      <c r="AG3" s="367"/>
      <c r="AH3" s="369"/>
      <c r="AI3" s="371"/>
      <c r="AJ3" s="369"/>
      <c r="AK3" s="359"/>
      <c r="AL3" s="369"/>
      <c r="AM3" s="361"/>
      <c r="AN3" s="361"/>
      <c r="AO3" s="373"/>
      <c r="AP3" s="361"/>
      <c r="AQ3" s="361"/>
      <c r="AR3" s="363"/>
      <c r="AS3" s="363"/>
      <c r="AT3" s="363"/>
    </row>
    <row r="4" spans="1:46" s="17" customFormat="1" ht="18" customHeight="1">
      <c r="A4" s="31">
        <v>1</v>
      </c>
      <c r="B4" s="32" t="s">
        <v>143</v>
      </c>
      <c r="C4" s="32" t="s">
        <v>72</v>
      </c>
      <c r="D4" s="32" t="s">
        <v>144</v>
      </c>
      <c r="E4" s="32" t="s">
        <v>73</v>
      </c>
      <c r="F4" s="33" t="s">
        <v>182</v>
      </c>
      <c r="G4" s="36">
        <v>18035163638</v>
      </c>
      <c r="H4" s="35"/>
      <c r="I4" s="35"/>
      <c r="J4" s="59"/>
      <c r="K4" s="35"/>
      <c r="L4" s="62">
        <v>9780</v>
      </c>
      <c r="M4" s="61">
        <v>264</v>
      </c>
      <c r="N4" s="61">
        <v>66</v>
      </c>
      <c r="O4" s="61">
        <v>9.9</v>
      </c>
      <c r="P4" s="61">
        <v>180</v>
      </c>
      <c r="Q4" s="76">
        <f>ROUND(SUM(M4:P4),2)</f>
        <v>519.9</v>
      </c>
      <c r="R4" s="62">
        <v>0</v>
      </c>
      <c r="S4" s="77">
        <f>L4+IFERROR(VLOOKUP($E:$E,'（居民）工资表-8月'!$E:$S,15,0),0)</f>
        <v>42820</v>
      </c>
      <c r="T4" s="78">
        <f>5000+IFERROR(VLOOKUP($E:$E,'（居民）工资表-8月'!$E:$T,16,0),0)</f>
        <v>25000</v>
      </c>
      <c r="U4" s="78">
        <f>Q4+IFERROR(VLOOKUP($E:$E,'（居民）工资表-8月'!$E:$U,17,0),0)</f>
        <v>2599.5</v>
      </c>
      <c r="V4" s="62"/>
      <c r="W4" s="62"/>
      <c r="X4" s="62">
        <v>9000</v>
      </c>
      <c r="Y4" s="62"/>
      <c r="Z4" s="62"/>
      <c r="AA4" s="62"/>
      <c r="AB4" s="77">
        <f>ROUND(SUM(V4:AA4),2)</f>
        <v>9000</v>
      </c>
      <c r="AC4" s="77">
        <f>R4+IFERROR(VLOOKUP($E:$E,'（居民）工资表-8月'!$E:$AC,25,0),0)</f>
        <v>0</v>
      </c>
      <c r="AD4" s="79">
        <f>ROUND(S4-T4-U4-AB4-AC4,2)</f>
        <v>6220.5</v>
      </c>
      <c r="AE4" s="80">
        <f>ROUND(MAX((AD4)*{0.03;0.1;0.2;0.25;0.3;0.35;0.45}-{0;2520;16920;31920;52920;85920;181920},0),2)</f>
        <v>186.62</v>
      </c>
      <c r="AF4" s="81">
        <f>IFERROR(VLOOKUP(E:E,'（居民）工资表-8月'!E:AF,28,0)+VLOOKUP(E:E,'（居民）工资表-8月'!E:AG,29,0),0)</f>
        <v>88.81</v>
      </c>
      <c r="AG4" s="81">
        <f>IF((AE4-AF4)&lt;0,0,AE4-AF4)</f>
        <v>97.81</v>
      </c>
      <c r="AH4" s="84">
        <f>ROUND(IF((L4-Q4-AG4)&lt;0,0,(L4-Q4-AG4)),2)</f>
        <v>9162.2900000000009</v>
      </c>
      <c r="AI4" s="85"/>
      <c r="AJ4" s="84">
        <f>AH4+AI4</f>
        <v>9162.2900000000009</v>
      </c>
      <c r="AK4" s="86"/>
      <c r="AL4" s="84">
        <f>AJ4+AG4+AK4</f>
        <v>9260.1</v>
      </c>
      <c r="AM4" s="86"/>
      <c r="AN4" s="86"/>
      <c r="AO4" s="86"/>
      <c r="AP4" s="86"/>
      <c r="AQ4" s="86"/>
      <c r="AR4" s="9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1" t="str">
        <f>IF(SUMPRODUCT(N(E$1:E$7=E4))&gt;1,"重复","不")</f>
        <v>不</v>
      </c>
      <c r="AT4" s="91" t="str">
        <f>IF(SUMPRODUCT(N(AO$1:AO$7=AO4))&gt;1,"重复","不")</f>
        <v>重复</v>
      </c>
    </row>
    <row r="5" spans="1:46" s="17" customFormat="1" ht="18" customHeight="1">
      <c r="A5" s="31">
        <v>2</v>
      </c>
      <c r="B5" s="32" t="s">
        <v>143</v>
      </c>
      <c r="C5" s="32" t="s">
        <v>90</v>
      </c>
      <c r="D5" s="32" t="s">
        <v>144</v>
      </c>
      <c r="E5" s="32" t="s">
        <v>91</v>
      </c>
      <c r="F5" s="33" t="s">
        <v>182</v>
      </c>
      <c r="G5" s="36">
        <v>13944441728</v>
      </c>
      <c r="H5" s="35"/>
      <c r="I5" s="35"/>
      <c r="J5" s="59"/>
      <c r="K5" s="35"/>
      <c r="L5" s="62">
        <v>6921</v>
      </c>
      <c r="M5" s="61">
        <v>244.24</v>
      </c>
      <c r="N5" s="61">
        <v>61.06</v>
      </c>
      <c r="O5" s="61">
        <v>9.16</v>
      </c>
      <c r="P5" s="61">
        <v>79</v>
      </c>
      <c r="Q5" s="76">
        <f>ROUND(SUM(M5:P5),2)</f>
        <v>393.46</v>
      </c>
      <c r="R5" s="62">
        <v>0</v>
      </c>
      <c r="S5" s="77">
        <f>L5+IFERROR(VLOOKUP($E:$E,'（居民）工资表-8月'!$E:$S,15,0),0)</f>
        <v>37082</v>
      </c>
      <c r="T5" s="78">
        <f>5000+IFERROR(VLOOKUP($E:$E,'（居民）工资表-8月'!$E:$T,16,0),0)</f>
        <v>25000</v>
      </c>
      <c r="U5" s="78">
        <f>Q5+IFERROR(VLOOKUP($E:$E,'（居民）工资表-8月'!$E:$U,17,0),0)</f>
        <v>2754.22</v>
      </c>
      <c r="V5" s="62"/>
      <c r="W5" s="62"/>
      <c r="X5" s="62"/>
      <c r="Y5" s="62"/>
      <c r="Z5" s="62"/>
      <c r="AA5" s="62"/>
      <c r="AB5" s="77">
        <f>ROUND(SUM(V5:AA5),2)</f>
        <v>0</v>
      </c>
      <c r="AC5" s="77">
        <f>R5+IFERROR(VLOOKUP($E:$E,'（居民）工资表-8月'!$E:$AC,25,0),0)</f>
        <v>0</v>
      </c>
      <c r="AD5" s="79">
        <f>ROUND(S5-T5-U5-AB5-AC5,2)</f>
        <v>9327.7800000000007</v>
      </c>
      <c r="AE5" s="80">
        <f>ROUND(MAX((AD5)*{0.03;0.1;0.2;0.25;0.3;0.35;0.45}-{0;2520;16920;31920;52920;85920;181920},0),2)</f>
        <v>279.83</v>
      </c>
      <c r="AF5" s="81">
        <f>IFERROR(VLOOKUP(E:E,'（居民）工资表-8月'!E:AF,28,0)+VLOOKUP(E:E,'（居民）工资表-8月'!E:AG,29,0),0)</f>
        <v>234.01</v>
      </c>
      <c r="AG5" s="81">
        <f>IF((AE5-AF5)&lt;0,0,AE5-AF5)</f>
        <v>45.819999999999993</v>
      </c>
      <c r="AH5" s="84">
        <f>ROUND(IF((L5-Q5-AG5)&lt;0,0,(L5-Q5-AG5)),2)</f>
        <v>6481.72</v>
      </c>
      <c r="AI5" s="85"/>
      <c r="AJ5" s="84">
        <f>AH5+AI5</f>
        <v>6481.72</v>
      </c>
      <c r="AK5" s="86"/>
      <c r="AL5" s="84">
        <f>AJ5+AG5+AK5</f>
        <v>6527.54</v>
      </c>
      <c r="AM5" s="86"/>
      <c r="AN5" s="86"/>
      <c r="AO5" s="86"/>
      <c r="AP5" s="86"/>
      <c r="AQ5" s="86"/>
      <c r="AR5" s="9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1" t="str">
        <f>IF(SUMPRODUCT(N(E$1:E$7=E5))&gt;1,"重复","不")</f>
        <v>不</v>
      </c>
      <c r="AT5" s="91" t="str">
        <f>IF(SUMPRODUCT(N(AO$1:AO$7=AO5))&gt;1,"重复","不")</f>
        <v>重复</v>
      </c>
    </row>
    <row r="6" spans="1:46" s="17" customFormat="1" ht="18" customHeight="1">
      <c r="A6" s="31">
        <v>3</v>
      </c>
      <c r="B6" s="32" t="s">
        <v>143</v>
      </c>
      <c r="C6" s="32" t="s">
        <v>145</v>
      </c>
      <c r="D6" s="32" t="s">
        <v>144</v>
      </c>
      <c r="E6" s="285" t="s">
        <v>146</v>
      </c>
      <c r="F6" s="33" t="s">
        <v>182</v>
      </c>
      <c r="G6" s="36">
        <v>18607383005</v>
      </c>
      <c r="H6" s="35"/>
      <c r="I6" s="35"/>
      <c r="J6" s="59"/>
      <c r="K6" s="35"/>
      <c r="L6" s="62">
        <v>22800</v>
      </c>
      <c r="M6" s="61">
        <f>320</f>
        <v>320</v>
      </c>
      <c r="N6" s="61">
        <f>80</f>
        <v>80</v>
      </c>
      <c r="O6" s="61">
        <f>12</f>
        <v>12</v>
      </c>
      <c r="P6" s="61">
        <v>200</v>
      </c>
      <c r="Q6" s="76">
        <f>ROUND(SUM(M6:P6),2)</f>
        <v>612</v>
      </c>
      <c r="R6" s="62">
        <v>0</v>
      </c>
      <c r="S6" s="77">
        <f>L6+IFERROR(VLOOKUP($E:$E,'（居民）工资表-8月'!$E:$S,15,0),0)</f>
        <v>109304.76000000001</v>
      </c>
      <c r="T6" s="78">
        <f>5000+IFERROR(VLOOKUP($E:$E,'（居民）工资表-8月'!$E:$T,16,0),0)</f>
        <v>25000</v>
      </c>
      <c r="U6" s="78">
        <f>Q6+IFERROR(VLOOKUP($E:$E,'（居民）工资表-8月'!$E:$U,17,0),0)</f>
        <v>3146.67</v>
      </c>
      <c r="V6" s="62"/>
      <c r="W6" s="62"/>
      <c r="X6" s="62"/>
      <c r="Y6" s="62"/>
      <c r="Z6" s="62"/>
      <c r="AA6" s="62"/>
      <c r="AB6" s="77">
        <f>ROUND(SUM(V6:AA6),2)</f>
        <v>0</v>
      </c>
      <c r="AC6" s="77">
        <f>R6+IFERROR(VLOOKUP($E:$E,'（居民）工资表-8月'!$E:$AC,25,0),0)</f>
        <v>0</v>
      </c>
      <c r="AD6" s="79">
        <f>ROUND(S6-T6-U6-AB6-AC6,2)</f>
        <v>81158.09</v>
      </c>
      <c r="AE6" s="80">
        <f>ROUND(MAX((AD6)*{0.03;0.1;0.2;0.25;0.3;0.35;0.45}-{0;2520;16920;31920;52920;85920;181920},0),2)</f>
        <v>5595.81</v>
      </c>
      <c r="AF6" s="81">
        <f>IFERROR(VLOOKUP(E:E,'（居民）工资表-8月'!E:AF,28,0)+VLOOKUP(E:E,'（居民）工资表-8月'!E:AG,29,0),0)</f>
        <v>3877.01</v>
      </c>
      <c r="AG6" s="81">
        <f>IF((AE6-AF6)&lt;0,0,AE6-AF6)</f>
        <v>1718.8000000000002</v>
      </c>
      <c r="AH6" s="84">
        <f>ROUND(IF((L6-Q6-AG6)&lt;0,0,(L6-Q6-AG6)),2)</f>
        <v>20469.2</v>
      </c>
      <c r="AI6" s="85"/>
      <c r="AJ6" s="84">
        <f>AH6+AI6</f>
        <v>20469.2</v>
      </c>
      <c r="AK6" s="86"/>
      <c r="AL6" s="84">
        <f>AJ6+AG6+AK6</f>
        <v>22188</v>
      </c>
      <c r="AM6" s="86"/>
      <c r="AN6" s="86"/>
      <c r="AO6" s="86"/>
      <c r="AP6" s="86"/>
      <c r="AQ6" s="86"/>
      <c r="AR6" s="9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1" t="str">
        <f>IF(SUMPRODUCT(N(E$1:E$7=E6))&gt;1,"重复","不")</f>
        <v>不</v>
      </c>
      <c r="AT6" s="91" t="str">
        <f>IF(SUMPRODUCT(N(AO$1:AO$7=AO6))&gt;1,"重复","不")</f>
        <v>重复</v>
      </c>
    </row>
    <row r="7" spans="1:46" s="17" customFormat="1" ht="18" customHeight="1">
      <c r="A7" s="31">
        <v>4</v>
      </c>
      <c r="B7" s="32" t="s">
        <v>143</v>
      </c>
      <c r="C7" s="32" t="s">
        <v>164</v>
      </c>
      <c r="D7" s="32" t="s">
        <v>144</v>
      </c>
      <c r="E7" s="285" t="s">
        <v>165</v>
      </c>
      <c r="F7" s="33" t="str">
        <f>IF(MOD(MID(E7,17,1),2)=1,"男","女")</f>
        <v>女</v>
      </c>
      <c r="G7" s="36">
        <v>15360550807</v>
      </c>
      <c r="H7" s="35"/>
      <c r="I7" s="35"/>
      <c r="J7" s="59"/>
      <c r="K7" s="35"/>
      <c r="L7" s="62">
        <v>4560</v>
      </c>
      <c r="M7" s="61"/>
      <c r="N7" s="61"/>
      <c r="O7" s="61"/>
      <c r="P7" s="61"/>
      <c r="Q7" s="76">
        <f>ROUND(SUM(M7:P7),2)</f>
        <v>0</v>
      </c>
      <c r="R7" s="62">
        <v>0</v>
      </c>
      <c r="S7" s="77">
        <f>L7+IFERROR(VLOOKUP($E:$E,'（居民）工资表-8月'!$E:$S,15,0),0)</f>
        <v>12643.63636363636</v>
      </c>
      <c r="T7" s="78">
        <f>5000+IFERROR(VLOOKUP($E:$E,'（居民）工资表-8月'!$E:$T,16,0),0)</f>
        <v>15000</v>
      </c>
      <c r="U7" s="78">
        <f>Q7+IFERROR(VLOOKUP($E:$E,'（居民）工资表-8月'!$E:$U,17,0),0)</f>
        <v>0</v>
      </c>
      <c r="V7" s="62"/>
      <c r="W7" s="62"/>
      <c r="X7" s="62"/>
      <c r="Y7" s="62"/>
      <c r="Z7" s="62"/>
      <c r="AA7" s="62"/>
      <c r="AB7" s="77">
        <f>ROUND(SUM(V7:AA7),2)</f>
        <v>0</v>
      </c>
      <c r="AC7" s="77">
        <f>R7+IFERROR(VLOOKUP($E:$E,'（居民）工资表-8月'!$E:$AC,25,0),0)</f>
        <v>0</v>
      </c>
      <c r="AD7" s="79">
        <f>ROUND(S7-T7-U7-AB7-AC7,2)</f>
        <v>-2356.36</v>
      </c>
      <c r="AE7" s="80">
        <f>ROUND(MAX((AD7)*{0.03;0.1;0.2;0.25;0.3;0.35;0.45}-{0;2520;16920;31920;52920;85920;181920},0),2)</f>
        <v>0</v>
      </c>
      <c r="AF7" s="81">
        <f>IFERROR(VLOOKUP(E:E,'（居民）工资表-8月'!E:AF,28,0)+VLOOKUP(E:E,'（居民）工资表-8月'!E:AG,29,0),0)</f>
        <v>0</v>
      </c>
      <c r="AG7" s="81">
        <f>IF((AE7-AF7)&lt;0,0,AE7-AF7)</f>
        <v>0</v>
      </c>
      <c r="AH7" s="84">
        <f>ROUND(IF((L7-Q7-AG7)&lt;0,0,(L7-Q7-AG7)),2)</f>
        <v>4560</v>
      </c>
      <c r="AI7" s="85"/>
      <c r="AJ7" s="84">
        <f>AH7+AI7</f>
        <v>4560</v>
      </c>
      <c r="AK7" s="86"/>
      <c r="AL7" s="84">
        <f>AJ7+AG7+AK7</f>
        <v>4560</v>
      </c>
      <c r="AM7" s="86"/>
      <c r="AN7" s="86"/>
      <c r="AO7" s="86"/>
      <c r="AP7" s="86"/>
      <c r="AQ7" s="86"/>
      <c r="AR7" s="9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1" t="str">
        <f>IF(SUMPRODUCT(N(E$1:E$7=E7))&gt;1,"重复","不")</f>
        <v>不</v>
      </c>
      <c r="AT7" s="91" t="str">
        <f>IF(SUMPRODUCT(N(AO$1:AO$7=AO7))&gt;1,"重复","不")</f>
        <v>重复</v>
      </c>
    </row>
    <row r="8" spans="1:46" s="18" customFormat="1" ht="18" customHeight="1">
      <c r="A8" s="37"/>
      <c r="B8" s="38" t="s">
        <v>147</v>
      </c>
      <c r="C8" s="38"/>
      <c r="D8" s="39"/>
      <c r="E8" s="40"/>
      <c r="F8" s="41"/>
      <c r="G8" s="42"/>
      <c r="H8" s="41"/>
      <c r="I8" s="63"/>
      <c r="J8" s="64"/>
      <c r="K8" s="63"/>
      <c r="L8" s="65">
        <f t="shared" ref="L8:AL8" si="0">SUM(L4:L7)</f>
        <v>44061</v>
      </c>
      <c r="M8" s="65">
        <f t="shared" si="0"/>
        <v>828.24</v>
      </c>
      <c r="N8" s="65">
        <f t="shared" si="0"/>
        <v>207.06</v>
      </c>
      <c r="O8" s="65">
        <f t="shared" si="0"/>
        <v>31.06</v>
      </c>
      <c r="P8" s="65">
        <f t="shared" si="0"/>
        <v>459</v>
      </c>
      <c r="Q8" s="65">
        <f t="shared" si="0"/>
        <v>1525.36</v>
      </c>
      <c r="R8" s="65">
        <f t="shared" si="0"/>
        <v>0</v>
      </c>
      <c r="S8" s="65">
        <f t="shared" si="0"/>
        <v>201850.39636363636</v>
      </c>
      <c r="T8" s="65">
        <f t="shared" si="0"/>
        <v>90000</v>
      </c>
      <c r="U8" s="65">
        <f t="shared" si="0"/>
        <v>8500.39</v>
      </c>
      <c r="V8" s="65">
        <f t="shared" si="0"/>
        <v>0</v>
      </c>
      <c r="W8" s="65">
        <f t="shared" si="0"/>
        <v>0</v>
      </c>
      <c r="X8" s="65">
        <f t="shared" si="0"/>
        <v>9000</v>
      </c>
      <c r="Y8" s="65">
        <f t="shared" si="0"/>
        <v>0</v>
      </c>
      <c r="Z8" s="65">
        <f t="shared" si="0"/>
        <v>0</v>
      </c>
      <c r="AA8" s="65">
        <f t="shared" si="0"/>
        <v>0</v>
      </c>
      <c r="AB8" s="65">
        <f t="shared" si="0"/>
        <v>9000</v>
      </c>
      <c r="AC8" s="65">
        <f t="shared" si="0"/>
        <v>0</v>
      </c>
      <c r="AD8" s="65">
        <f t="shared" si="0"/>
        <v>94350.01</v>
      </c>
      <c r="AE8" s="65">
        <f t="shared" si="0"/>
        <v>6062.26</v>
      </c>
      <c r="AF8" s="65">
        <f t="shared" si="0"/>
        <v>4199.83</v>
      </c>
      <c r="AG8" s="65">
        <f t="shared" si="0"/>
        <v>1862.4300000000003</v>
      </c>
      <c r="AH8" s="65">
        <f t="shared" si="0"/>
        <v>40673.210000000006</v>
      </c>
      <c r="AI8" s="98">
        <f t="shared" si="0"/>
        <v>0</v>
      </c>
      <c r="AJ8" s="65">
        <f t="shared" si="0"/>
        <v>40673.210000000006</v>
      </c>
      <c r="AK8" s="65">
        <f t="shared" si="0"/>
        <v>0</v>
      </c>
      <c r="AL8" s="65">
        <f t="shared" si="0"/>
        <v>42535.64</v>
      </c>
      <c r="AM8" s="87"/>
      <c r="AN8" s="87"/>
      <c r="AO8" s="87"/>
      <c r="AP8" s="87"/>
      <c r="AQ8" s="87"/>
      <c r="AR8" s="41"/>
      <c r="AS8" s="41"/>
      <c r="AT8" s="92"/>
    </row>
    <row r="11" spans="1:46">
      <c r="AD11" s="82"/>
    </row>
    <row r="12" spans="1:46" ht="18.75" customHeight="1">
      <c r="B12" s="43" t="s">
        <v>124</v>
      </c>
      <c r="C12" s="43" t="s">
        <v>148</v>
      </c>
      <c r="D12" s="43" t="s">
        <v>54</v>
      </c>
      <c r="E12" s="43" t="s">
        <v>55</v>
      </c>
      <c r="AD12" s="15"/>
    </row>
    <row r="13" spans="1:46" ht="18.75" customHeight="1">
      <c r="B13" s="44">
        <f>AJ8</f>
        <v>40673.210000000006</v>
      </c>
      <c r="C13" s="44">
        <f>AG8</f>
        <v>1862.4300000000003</v>
      </c>
      <c r="D13" s="44">
        <f>AK8</f>
        <v>0</v>
      </c>
      <c r="E13" s="44">
        <f>B13+C13+D13</f>
        <v>42535.640000000007</v>
      </c>
    </row>
    <row r="14" spans="1:46">
      <c r="B14" s="45"/>
      <c r="C14" s="45"/>
      <c r="D14" s="45"/>
      <c r="E14" s="45"/>
    </row>
    <row r="15" spans="1:46" s="19" customFormat="1">
      <c r="A15" s="46" t="s">
        <v>149</v>
      </c>
      <c r="B15" s="47" t="s">
        <v>150</v>
      </c>
      <c r="C15" s="48"/>
      <c r="D15" s="48"/>
      <c r="E15" s="48"/>
      <c r="G15" s="49"/>
      <c r="J15" s="66"/>
      <c r="M15" s="67"/>
      <c r="AI15" s="89"/>
    </row>
    <row r="16" spans="1:46" s="19" customFormat="1">
      <c r="A16" s="50"/>
      <c r="B16" s="51" t="s">
        <v>151</v>
      </c>
      <c r="C16" s="48"/>
      <c r="D16" s="48"/>
      <c r="E16" s="48"/>
      <c r="G16" s="49"/>
      <c r="J16" s="66"/>
      <c r="M16" s="67"/>
      <c r="AI16" s="89"/>
    </row>
    <row r="17" spans="1:35" s="19" customFormat="1">
      <c r="A17" s="47"/>
      <c r="B17" s="51" t="s">
        <v>152</v>
      </c>
      <c r="C17" s="52"/>
      <c r="D17" s="52"/>
      <c r="E17" s="52"/>
      <c r="F17" s="52"/>
      <c r="G17" s="52"/>
      <c r="H17" s="52"/>
      <c r="I17" s="52"/>
      <c r="J17" s="68"/>
      <c r="K17" s="52"/>
      <c r="L17" s="52"/>
      <c r="M17" s="69"/>
      <c r="N17" s="52"/>
      <c r="O17" s="52"/>
      <c r="P17" s="52"/>
      <c r="AI17" s="89"/>
    </row>
    <row r="18" spans="1:35" s="19" customFormat="1" ht="13.5" customHeight="1">
      <c r="A18" s="51"/>
      <c r="B18" s="51" t="s">
        <v>153</v>
      </c>
      <c r="C18" s="53"/>
      <c r="D18" s="53"/>
      <c r="E18" s="53"/>
      <c r="F18" s="53"/>
      <c r="G18" s="53"/>
      <c r="H18" s="53"/>
      <c r="I18" s="70"/>
      <c r="J18" s="71"/>
      <c r="K18" s="70"/>
      <c r="L18" s="70"/>
      <c r="M18" s="72"/>
      <c r="N18" s="70"/>
      <c r="O18" s="70"/>
      <c r="P18" s="70"/>
      <c r="AI18" s="89"/>
    </row>
    <row r="19" spans="1:35" s="19" customFormat="1" ht="13.5" customHeight="1">
      <c r="A19" s="51"/>
      <c r="B19" s="51" t="s">
        <v>154</v>
      </c>
      <c r="C19" s="53"/>
      <c r="D19" s="53"/>
      <c r="E19" s="53"/>
      <c r="F19" s="53"/>
      <c r="G19" s="53"/>
      <c r="H19" s="53"/>
      <c r="I19" s="53"/>
      <c r="J19" s="73"/>
      <c r="K19" s="53"/>
      <c r="L19" s="70"/>
      <c r="M19" s="72"/>
      <c r="N19" s="70"/>
      <c r="O19" s="70"/>
      <c r="P19" s="70"/>
      <c r="AI19" s="89"/>
    </row>
    <row r="20" spans="1:35" s="19" customFormat="1" ht="13.5" customHeight="1">
      <c r="A20" s="51"/>
      <c r="B20" s="51" t="s">
        <v>155</v>
      </c>
      <c r="C20" s="53"/>
      <c r="D20" s="53"/>
      <c r="E20" s="53"/>
      <c r="F20" s="53"/>
      <c r="G20" s="53"/>
      <c r="H20" s="53"/>
      <c r="I20" s="70"/>
      <c r="J20" s="71"/>
      <c r="K20" s="70"/>
      <c r="L20" s="70"/>
      <c r="M20" s="72"/>
      <c r="N20" s="70"/>
      <c r="O20" s="70"/>
      <c r="P20" s="70"/>
      <c r="AI20" s="89"/>
    </row>
    <row r="22" spans="1:35" ht="11.25" customHeight="1">
      <c r="B22" s="54" t="s">
        <v>156</v>
      </c>
    </row>
    <row r="23" spans="1:35">
      <c r="B23" s="55" t="s">
        <v>157</v>
      </c>
    </row>
    <row r="24" spans="1:35">
      <c r="B24" s="55" t="s">
        <v>158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2" type="noConversion"/>
  <conditionalFormatting sqref="B20">
    <cfRule type="duplicateValues" dxfId="56" priority="2" stopIfTrue="1"/>
  </conditionalFormatting>
  <conditionalFormatting sqref="B15:B19">
    <cfRule type="duplicateValues" dxfId="55" priority="3" stopIfTrue="1"/>
  </conditionalFormatting>
  <conditionalFormatting sqref="B23:B24">
    <cfRule type="duplicateValues" dxfId="54" priority="1" stopIfTrue="1"/>
  </conditionalFormatting>
  <conditionalFormatting sqref="C12:C14">
    <cfRule type="duplicateValues" dxfId="53" priority="4" stopIfTrue="1"/>
    <cfRule type="expression" dxfId="52" priority="5" stopIfTrue="1">
      <formula>AND(COUNTIF($B$8:$B$65444,C12)+COUNTIF($B$1:$B$3,C12)&gt;1,NOT(ISBLANK(C12)))</formula>
    </cfRule>
    <cfRule type="expression" dxfId="51" priority="6" stopIfTrue="1">
      <formula>AND(COUNTIF($B$19:$B$65395,C12)+COUNTIF($B$1:$B$18,C12)&gt;1,NOT(ISBLANK(C12)))</formula>
    </cfRule>
    <cfRule type="expression" dxfId="50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12</vt:i4>
      </vt:variant>
    </vt:vector>
  </HeadingPairs>
  <TitlesOfParts>
    <vt:vector size="30" baseType="lpstr">
      <vt:lpstr>付款通知</vt:lpstr>
      <vt:lpstr>社保</vt:lpstr>
      <vt:lpstr>（居民）工资表-5月</vt:lpstr>
      <vt:lpstr>社保1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增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2019-02-02T09:30:00Z</cp:lastPrinted>
  <dcterms:created xsi:type="dcterms:W3CDTF">2018-08-01T08:19:00Z</dcterms:created>
  <dcterms:modified xsi:type="dcterms:W3CDTF">2022-04-07T04:13:49Z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2052-11.1.0.11365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