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/>
  </bookViews>
  <sheets>
    <sheet name="付款通知" sheetId="26" r:id="rId1"/>
    <sheet name="（居民）工资表-3月" sheetId="16" state="hidden" r:id="rId2"/>
    <sheet name="社保" sheetId="27" state="hidden" r:id="rId3"/>
    <sheet name="（居民）工资表-4月" sheetId="17" state="hidden" r:id="rId4"/>
    <sheet name="（居民）工资表-5月" sheetId="18" state="hidden" r:id="rId5"/>
    <sheet name="社保1" sheetId="28" r:id="rId6"/>
    <sheet name="增" sheetId="30" r:id="rId7"/>
    <sheet name="（居民）工资表-6月" sheetId="19" state="hidden" r:id="rId8"/>
    <sheet name="（居民）工资表-7月" sheetId="20" state="hidden" r:id="rId9"/>
    <sheet name="增减" sheetId="29" state="hidden" r:id="rId10"/>
    <sheet name="（居民）工资表-8月" sheetId="21" state="hidden" r:id="rId11"/>
    <sheet name="（居民）工资表-9月" sheetId="22" state="hidden" r:id="rId12"/>
    <sheet name="（居民）工资表-10月" sheetId="23" state="hidden" r:id="rId13"/>
    <sheet name="（居民）工资表-11月" sheetId="24" state="hidden" r:id="rId14"/>
    <sheet name="（居民）工资表-1月" sheetId="1" state="hidden" r:id="rId15"/>
    <sheet name="（居民）工资表-12月" sheetId="25" state="hidden" r:id="rId16"/>
    <sheet name="（居民）工资表-2月" sheetId="15" state="hidden" r:id="rId17"/>
    <sheet name="Sheet1" sheetId="14" state="hidden" r:id="rId18"/>
  </sheets>
  <definedNames>
    <definedName name="_xlnm._FilterDatabase" localSheetId="12" hidden="1">'（居民）工资表-10月'!$A$3:$AT$8</definedName>
    <definedName name="_xlnm._FilterDatabase" localSheetId="13" hidden="1">'（居民）工资表-11月'!$A$3:$AT$9</definedName>
    <definedName name="_xlnm._FilterDatabase" localSheetId="15" hidden="1">'（居民）工资表-12月'!$A$3:$AT$9</definedName>
    <definedName name="_xlnm._FilterDatabase" localSheetId="14" hidden="1">'（居民）工资表-1月'!$A$3:$AT$9</definedName>
    <definedName name="_xlnm._FilterDatabase" localSheetId="16" hidden="1">'（居民）工资表-2月'!$A$3:$AT$9</definedName>
    <definedName name="_xlnm._FilterDatabase" localSheetId="1" hidden="1">'（居民）工资表-3月'!$A$3:$AT$6</definedName>
    <definedName name="_xlnm._FilterDatabase" localSheetId="3" hidden="1">'（居民）工资表-4月'!$A$3:$AT$7</definedName>
    <definedName name="_xlnm._FilterDatabase" localSheetId="4" hidden="1">'（居民）工资表-5月'!$A$3:$AT$8</definedName>
    <definedName name="_xlnm._FilterDatabase" localSheetId="7" hidden="1">'（居民）工资表-6月'!$A$3:$AT$8</definedName>
    <definedName name="_xlnm._FilterDatabase" localSheetId="8" hidden="1">'（居民）工资表-7月'!$A$3:$AT$9</definedName>
    <definedName name="_xlnm._FilterDatabase" localSheetId="10" hidden="1">'（居民）工资表-8月'!$A$3:$AT$8</definedName>
    <definedName name="_xlnm._FilterDatabase" localSheetId="11" hidden="1">'（居民）工资表-9月'!$A$3:$AT$8</definedName>
    <definedName name="_xlnm.Print_Area" localSheetId="12">'（居民）工资表-10月'!$A$1:$AT$14</definedName>
    <definedName name="_xlnm.Print_Area" localSheetId="13">'（居民）工资表-11月'!$A$1:$AT$15</definedName>
    <definedName name="_xlnm.Print_Area" localSheetId="15">'（居民）工资表-12月'!$A$1:$AT$15</definedName>
    <definedName name="_xlnm.Print_Area" localSheetId="14">'（居民）工资表-1月'!$A$1:$AT$15</definedName>
    <definedName name="_xlnm.Print_Area" localSheetId="16">'（居民）工资表-2月'!$A$1:$AT$15</definedName>
    <definedName name="_xlnm.Print_Area" localSheetId="1">'（居民）工资表-3月'!$A$1:$AT$12</definedName>
    <definedName name="_xlnm.Print_Area" localSheetId="3">'（居民）工资表-4月'!$A$1:$AT$13</definedName>
    <definedName name="_xlnm.Print_Area" localSheetId="4">'（居民）工资表-5月'!$A$1:$AT$14</definedName>
    <definedName name="_xlnm.Print_Area" localSheetId="7">'（居民）工资表-6月'!$A$1:$AT$14</definedName>
    <definedName name="_xlnm.Print_Area" localSheetId="8">'（居民）工资表-7月'!$A$1:$AT$15</definedName>
    <definedName name="_xlnm.Print_Area" localSheetId="10">'（居民）工资表-8月'!$A$1:$AT$14</definedName>
    <definedName name="_xlnm.Print_Area" localSheetId="11">'（居民）工资表-9月'!$A$1:$AT$14</definedName>
  </definedNames>
  <calcPr calcId="144525"/>
</workbook>
</file>

<file path=xl/calcChain.xml><?xml version="1.0" encoding="utf-8"?>
<calcChain xmlns="http://schemas.openxmlformats.org/spreadsheetml/2006/main">
  <c r="E14" i="15" l="1"/>
  <c r="D14" i="15"/>
  <c r="C14" i="15"/>
  <c r="B14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O7" i="15"/>
  <c r="N7" i="15"/>
  <c r="M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U5" i="22"/>
  <c r="U5" i="23" s="1"/>
  <c r="U5" i="24" s="1"/>
  <c r="U5" i="25" s="1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F7" i="21"/>
  <c r="AC7" i="21"/>
  <c r="AC7" i="22" s="1"/>
  <c r="AC7" i="23" s="1"/>
  <c r="AC6" i="24" s="1"/>
  <c r="AC6" i="25" s="1"/>
  <c r="AB7" i="21"/>
  <c r="U7" i="21"/>
  <c r="U7" i="22" s="1"/>
  <c r="U7" i="23" s="1"/>
  <c r="U6" i="24" s="1"/>
  <c r="U6" i="25" s="1"/>
  <c r="T7" i="21"/>
  <c r="T7" i="22" s="1"/>
  <c r="T7" i="23" s="1"/>
  <c r="T6" i="24" s="1"/>
  <c r="T6" i="25" s="1"/>
  <c r="S7" i="21"/>
  <c r="S7" i="22" s="1"/>
  <c r="Q7" i="21"/>
  <c r="F7" i="21"/>
  <c r="AT6" i="21"/>
  <c r="AS6" i="21"/>
  <c r="AR6" i="21"/>
  <c r="AF6" i="21"/>
  <c r="AC6" i="21"/>
  <c r="AC6" i="22" s="1"/>
  <c r="AC6" i="23" s="1"/>
  <c r="AC7" i="24" s="1"/>
  <c r="AC7" i="25" s="1"/>
  <c r="AB6" i="21"/>
  <c r="U6" i="21"/>
  <c r="U6" i="22" s="1"/>
  <c r="U6" i="23" s="1"/>
  <c r="U7" i="24" s="1"/>
  <c r="U7" i="25" s="1"/>
  <c r="T6" i="21"/>
  <c r="T6" i="22" s="1"/>
  <c r="T6" i="23" s="1"/>
  <c r="T7" i="24" s="1"/>
  <c r="T7" i="25" s="1"/>
  <c r="S6" i="21"/>
  <c r="Q6" i="21"/>
  <c r="O6" i="21"/>
  <c r="N6" i="21"/>
  <c r="M6" i="21"/>
  <c r="AT5" i="21"/>
  <c r="AS5" i="21"/>
  <c r="AR5" i="21"/>
  <c r="AF5" i="21"/>
  <c r="AC5" i="21"/>
  <c r="AC5" i="22" s="1"/>
  <c r="AC5" i="23" s="1"/>
  <c r="AC5" i="24" s="1"/>
  <c r="AC5" i="25" s="1"/>
  <c r="AB5" i="21"/>
  <c r="U5" i="21"/>
  <c r="T5" i="21"/>
  <c r="T5" i="22" s="1"/>
  <c r="T5" i="23" s="1"/>
  <c r="S5" i="21"/>
  <c r="S5" i="22" s="1"/>
  <c r="Q5" i="21"/>
  <c r="AT4" i="21"/>
  <c r="AS4" i="21"/>
  <c r="AR4" i="21"/>
  <c r="AF4" i="21"/>
  <c r="AC4" i="21"/>
  <c r="AC4" i="22" s="1"/>
  <c r="AC4" i="23" s="1"/>
  <c r="AB4" i="21"/>
  <c r="U4" i="21"/>
  <c r="U8" i="21" s="1"/>
  <c r="T4" i="21"/>
  <c r="T4" i="22" s="1"/>
  <c r="T4" i="23" s="1"/>
  <c r="T4" i="24" s="1"/>
  <c r="S4" i="21"/>
  <c r="S4" i="22" s="1"/>
  <c r="Q4" i="21"/>
  <c r="AK4" i="29"/>
  <c r="AK3" i="29"/>
  <c r="E14" i="20"/>
  <c r="D14" i="20"/>
  <c r="C14" i="20"/>
  <c r="B14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AT8" i="20"/>
  <c r="AS8" i="20"/>
  <c r="AR8" i="20"/>
  <c r="AL8" i="20"/>
  <c r="AJ8" i="20"/>
  <c r="AH8" i="20"/>
  <c r="AG8" i="20"/>
  <c r="AF8" i="20"/>
  <c r="AE8" i="20"/>
  <c r="AD8" i="20"/>
  <c r="AC8" i="20"/>
  <c r="AB8" i="20"/>
  <c r="U8" i="20"/>
  <c r="T8" i="20"/>
  <c r="S8" i="20"/>
  <c r="Q8" i="20"/>
  <c r="F8" i="20"/>
  <c r="AT7" i="20"/>
  <c r="AS7" i="20"/>
  <c r="AR7" i="20"/>
  <c r="AL7" i="20"/>
  <c r="AJ7" i="20"/>
  <c r="AH7" i="20"/>
  <c r="AG7" i="20"/>
  <c r="AF7" i="20"/>
  <c r="AE7" i="20"/>
  <c r="AD7" i="20"/>
  <c r="AC7" i="20"/>
  <c r="AB7" i="20"/>
  <c r="U7" i="20"/>
  <c r="T7" i="20"/>
  <c r="S7" i="20"/>
  <c r="Q7" i="20"/>
  <c r="O7" i="20"/>
  <c r="N7" i="20"/>
  <c r="M7" i="20"/>
  <c r="AT6" i="20"/>
  <c r="AS6" i="20"/>
  <c r="AR6" i="20"/>
  <c r="AL6" i="20"/>
  <c r="AJ6" i="20"/>
  <c r="AH6" i="20"/>
  <c r="AG6" i="20"/>
  <c r="AF6" i="20"/>
  <c r="AE6" i="20"/>
  <c r="AD6" i="20"/>
  <c r="AC6" i="20"/>
  <c r="AB6" i="20"/>
  <c r="U6" i="20"/>
  <c r="T6" i="20"/>
  <c r="S6" i="20"/>
  <c r="Q6" i="20"/>
  <c r="AT5" i="20"/>
  <c r="AS5" i="20"/>
  <c r="AR5" i="20"/>
  <c r="AL5" i="20"/>
  <c r="AJ5" i="20"/>
  <c r="AH5" i="20"/>
  <c r="AG5" i="20"/>
  <c r="AF5" i="20"/>
  <c r="AE5" i="20"/>
  <c r="AD5" i="20"/>
  <c r="AC5" i="20"/>
  <c r="AB5" i="20"/>
  <c r="U5" i="20"/>
  <c r="T5" i="20"/>
  <c r="S5" i="20"/>
  <c r="Q5" i="20"/>
  <c r="AT4" i="20"/>
  <c r="AS4" i="20"/>
  <c r="AR4" i="20"/>
  <c r="AL4" i="20"/>
  <c r="AJ4" i="20"/>
  <c r="AH4" i="20"/>
  <c r="AG4" i="20"/>
  <c r="AF4" i="20"/>
  <c r="AE4" i="20"/>
  <c r="AD4" i="20"/>
  <c r="AC4" i="20"/>
  <c r="AB4" i="20"/>
  <c r="U4" i="20"/>
  <c r="T4" i="20"/>
  <c r="S4" i="20"/>
  <c r="Q4" i="20"/>
  <c r="E13" i="19"/>
  <c r="D13" i="19"/>
  <c r="C13" i="19"/>
  <c r="B13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AT7" i="19"/>
  <c r="AS7" i="19"/>
  <c r="AR7" i="19"/>
  <c r="AL7" i="19"/>
  <c r="AJ7" i="19"/>
  <c r="AH7" i="19"/>
  <c r="AG7" i="19"/>
  <c r="AF7" i="19"/>
  <c r="AE7" i="19"/>
  <c r="AD7" i="19"/>
  <c r="AC7" i="19"/>
  <c r="AB7" i="19"/>
  <c r="U7" i="19"/>
  <c r="T7" i="19"/>
  <c r="S7" i="19"/>
  <c r="Q7" i="19"/>
  <c r="O7" i="19"/>
  <c r="N7" i="19"/>
  <c r="M7" i="19"/>
  <c r="AT6" i="19"/>
  <c r="AS6" i="19"/>
  <c r="AR6" i="19"/>
  <c r="AL6" i="19"/>
  <c r="AJ6" i="19"/>
  <c r="AH6" i="19"/>
  <c r="AG6" i="19"/>
  <c r="AF6" i="19"/>
  <c r="AE6" i="19"/>
  <c r="AD6" i="19"/>
  <c r="AC6" i="19"/>
  <c r="AB6" i="19"/>
  <c r="U6" i="19"/>
  <c r="T6" i="19"/>
  <c r="S6" i="19"/>
  <c r="Q6" i="19"/>
  <c r="AT5" i="19"/>
  <c r="AS5" i="19"/>
  <c r="AR5" i="19"/>
  <c r="AL5" i="19"/>
  <c r="AJ5" i="19"/>
  <c r="AH5" i="19"/>
  <c r="AG5" i="19"/>
  <c r="AF5" i="19"/>
  <c r="AE5" i="19"/>
  <c r="AD5" i="19"/>
  <c r="AC5" i="19"/>
  <c r="AB5" i="19"/>
  <c r="U5" i="19"/>
  <c r="T5" i="19"/>
  <c r="S5" i="19"/>
  <c r="Q5" i="19"/>
  <c r="AT4" i="19"/>
  <c r="AS4" i="19"/>
  <c r="AR4" i="19"/>
  <c r="AL4" i="19"/>
  <c r="AJ4" i="19"/>
  <c r="AH4" i="19"/>
  <c r="AG4" i="19"/>
  <c r="AF4" i="19"/>
  <c r="AE4" i="19"/>
  <c r="AD4" i="19"/>
  <c r="AC4" i="19"/>
  <c r="AB4" i="19"/>
  <c r="U4" i="19"/>
  <c r="T4" i="19"/>
  <c r="S4" i="19"/>
  <c r="Q4" i="19"/>
  <c r="BC31" i="28"/>
  <c r="BB30" i="28"/>
  <c r="AX30" i="28"/>
  <c r="AT30" i="28"/>
  <c r="AS30" i="28"/>
  <c r="AR30" i="28"/>
  <c r="AQ30" i="28"/>
  <c r="AP30" i="28"/>
  <c r="AO30" i="28"/>
  <c r="AN30" i="28"/>
  <c r="AM30" i="28"/>
  <c r="AL30" i="28"/>
  <c r="AG30" i="28"/>
  <c r="AF30" i="28"/>
  <c r="AE30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BB29" i="28"/>
  <c r="BA29" i="28"/>
  <c r="AY29" i="28"/>
  <c r="AX29" i="28"/>
  <c r="AT29" i="28"/>
  <c r="AS29" i="28"/>
  <c r="AR29" i="28"/>
  <c r="AQ29" i="28"/>
  <c r="AP29" i="28"/>
  <c r="AO29" i="28"/>
  <c r="AN29" i="28"/>
  <c r="AM29" i="28"/>
  <c r="AL29" i="28"/>
  <c r="AK29" i="28"/>
  <c r="AK30" i="28" s="1"/>
  <c r="AJ29" i="28"/>
  <c r="AJ30" i="28" s="1"/>
  <c r="AI29" i="28"/>
  <c r="AI30" i="28" s="1"/>
  <c r="AH29" i="28"/>
  <c r="AH30" i="28" s="1"/>
  <c r="AG29" i="28"/>
  <c r="AF29" i="28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BC27" i="28"/>
  <c r="AZ27" i="28"/>
  <c r="AX27" i="28"/>
  <c r="AW27" i="28"/>
  <c r="AV27" i="28"/>
  <c r="AU27" i="28"/>
  <c r="AT27" i="28"/>
  <c r="AS27" i="28"/>
  <c r="AK27" i="28"/>
  <c r="AI27" i="28"/>
  <c r="AF27" i="28"/>
  <c r="Z27" i="28"/>
  <c r="X27" i="28"/>
  <c r="U27" i="28"/>
  <c r="S27" i="28"/>
  <c r="P27" i="28"/>
  <c r="N27" i="28"/>
  <c r="AX26" i="28"/>
  <c r="AT26" i="28"/>
  <c r="AS26" i="28"/>
  <c r="AK26" i="28"/>
  <c r="AV26" i="28" s="1"/>
  <c r="AV29" i="28" s="1"/>
  <c r="AV30" i="28" s="1"/>
  <c r="AI26" i="28"/>
  <c r="AU26" i="28" s="1"/>
  <c r="AF26" i="28"/>
  <c r="Z26" i="28"/>
  <c r="X26" i="28"/>
  <c r="U26" i="28"/>
  <c r="S26" i="28"/>
  <c r="P26" i="28"/>
  <c r="N26" i="28"/>
  <c r="BC25" i="28"/>
  <c r="AZ25" i="28"/>
  <c r="AX25" i="28"/>
  <c r="AW25" i="28"/>
  <c r="AV25" i="28"/>
  <c r="AU25" i="28"/>
  <c r="AT25" i="28"/>
  <c r="AS25" i="28"/>
  <c r="AK25" i="28"/>
  <c r="AI25" i="28"/>
  <c r="AF25" i="28"/>
  <c r="Z25" i="28"/>
  <c r="X25" i="28"/>
  <c r="U25" i="28"/>
  <c r="S25" i="28"/>
  <c r="P25" i="28"/>
  <c r="N25" i="28"/>
  <c r="BC24" i="28"/>
  <c r="AZ24" i="28"/>
  <c r="AX24" i="28"/>
  <c r="AW24" i="28"/>
  <c r="AV24" i="28"/>
  <c r="AU24" i="28"/>
  <c r="AT24" i="28"/>
  <c r="AS24" i="28"/>
  <c r="AK24" i="28"/>
  <c r="AI24" i="28"/>
  <c r="AF24" i="28"/>
  <c r="Z24" i="28"/>
  <c r="X24" i="28"/>
  <c r="U24" i="28"/>
  <c r="S24" i="28"/>
  <c r="P24" i="28"/>
  <c r="N24" i="28"/>
  <c r="BC23" i="28"/>
  <c r="AZ23" i="28"/>
  <c r="AX23" i="28"/>
  <c r="AW23" i="28"/>
  <c r="AV23" i="28"/>
  <c r="AU23" i="28"/>
  <c r="AT23" i="28"/>
  <c r="AS23" i="28"/>
  <c r="AK23" i="28"/>
  <c r="AI23" i="28"/>
  <c r="AF23" i="28"/>
  <c r="Z23" i="28"/>
  <c r="X23" i="28"/>
  <c r="U23" i="28"/>
  <c r="S23" i="28"/>
  <c r="P23" i="28"/>
  <c r="N23" i="28"/>
  <c r="BC22" i="28"/>
  <c r="AZ22" i="28"/>
  <c r="AX22" i="28"/>
  <c r="AW22" i="28"/>
  <c r="AV22" i="28"/>
  <c r="AU22" i="28"/>
  <c r="AT22" i="28"/>
  <c r="AS22" i="28"/>
  <c r="AK22" i="28"/>
  <c r="AI22" i="28"/>
  <c r="AF22" i="28"/>
  <c r="Z22" i="28"/>
  <c r="X22" i="28"/>
  <c r="U22" i="28"/>
  <c r="S22" i="28"/>
  <c r="P22" i="28"/>
  <c r="N22" i="28"/>
  <c r="BC21" i="28"/>
  <c r="AZ21" i="28"/>
  <c r="AX21" i="28"/>
  <c r="AW21" i="28"/>
  <c r="AV21" i="28"/>
  <c r="AU21" i="28"/>
  <c r="AT21" i="28"/>
  <c r="AS21" i="28"/>
  <c r="AK21" i="28"/>
  <c r="AI21" i="28"/>
  <c r="AF21" i="28"/>
  <c r="Z21" i="28"/>
  <c r="X21" i="28"/>
  <c r="U21" i="28"/>
  <c r="S21" i="28"/>
  <c r="P21" i="28"/>
  <c r="N21" i="28"/>
  <c r="BC20" i="28"/>
  <c r="AZ20" i="28"/>
  <c r="AX20" i="28"/>
  <c r="AW20" i="28"/>
  <c r="AV20" i="28"/>
  <c r="AU20" i="28"/>
  <c r="AT20" i="28"/>
  <c r="AS20" i="28"/>
  <c r="AK20" i="28"/>
  <c r="AI20" i="28"/>
  <c r="AF20" i="28"/>
  <c r="Z20" i="28"/>
  <c r="X20" i="28"/>
  <c r="U20" i="28"/>
  <c r="S20" i="28"/>
  <c r="P20" i="28"/>
  <c r="N20" i="28"/>
  <c r="BC19" i="28"/>
  <c r="AZ19" i="28"/>
  <c r="AX19" i="28"/>
  <c r="AW19" i="28"/>
  <c r="AV19" i="28"/>
  <c r="AU19" i="28"/>
  <c r="AT19" i="28"/>
  <c r="AS19" i="28"/>
  <c r="AK19" i="28"/>
  <c r="AI19" i="28"/>
  <c r="AF19" i="28"/>
  <c r="Z19" i="28"/>
  <c r="X19" i="28"/>
  <c r="U19" i="28"/>
  <c r="S19" i="28"/>
  <c r="P19" i="28"/>
  <c r="N19" i="28"/>
  <c r="BC18" i="28"/>
  <c r="AZ18" i="28"/>
  <c r="AX18" i="28"/>
  <c r="AW18" i="28"/>
  <c r="AV18" i="28"/>
  <c r="AU18" i="28"/>
  <c r="AT18" i="28"/>
  <c r="AS18" i="28"/>
  <c r="AK18" i="28"/>
  <c r="AI18" i="28"/>
  <c r="AF18" i="28"/>
  <c r="Z18" i="28"/>
  <c r="X18" i="28"/>
  <c r="U18" i="28"/>
  <c r="S18" i="28"/>
  <c r="P18" i="28"/>
  <c r="N18" i="28"/>
  <c r="BC17" i="28"/>
  <c r="AZ17" i="28"/>
  <c r="AX17" i="28"/>
  <c r="AW17" i="28"/>
  <c r="AV17" i="28"/>
  <c r="AU17" i="28"/>
  <c r="AT17" i="28"/>
  <c r="AS17" i="28"/>
  <c r="AK17" i="28"/>
  <c r="AI17" i="28"/>
  <c r="AF17" i="28"/>
  <c r="Z17" i="28"/>
  <c r="X17" i="28"/>
  <c r="U17" i="28"/>
  <c r="S17" i="28"/>
  <c r="P17" i="28"/>
  <c r="N17" i="28"/>
  <c r="BC16" i="28"/>
  <c r="AZ16" i="28"/>
  <c r="AX16" i="28"/>
  <c r="AW16" i="28"/>
  <c r="AV16" i="28"/>
  <c r="AU16" i="28"/>
  <c r="AT16" i="28"/>
  <c r="AS16" i="28"/>
  <c r="AK16" i="28"/>
  <c r="AI16" i="28"/>
  <c r="AF16" i="28"/>
  <c r="Z16" i="28"/>
  <c r="X16" i="28"/>
  <c r="U16" i="28"/>
  <c r="S16" i="28"/>
  <c r="P16" i="28"/>
  <c r="N16" i="28"/>
  <c r="BC15" i="28"/>
  <c r="AZ15" i="28"/>
  <c r="AX15" i="28"/>
  <c r="AW15" i="28"/>
  <c r="AV15" i="28"/>
  <c r="AU15" i="28"/>
  <c r="AT15" i="28"/>
  <c r="AS15" i="28"/>
  <c r="AK15" i="28"/>
  <c r="AI15" i="28"/>
  <c r="AF15" i="28"/>
  <c r="Z15" i="28"/>
  <c r="X15" i="28"/>
  <c r="U15" i="28"/>
  <c r="S15" i="28"/>
  <c r="P15" i="28"/>
  <c r="N15" i="28"/>
  <c r="BC14" i="28"/>
  <c r="AZ14" i="28"/>
  <c r="AX14" i="28"/>
  <c r="AW14" i="28"/>
  <c r="AV14" i="28"/>
  <c r="AU14" i="28"/>
  <c r="AT14" i="28"/>
  <c r="AS14" i="28"/>
  <c r="AK14" i="28"/>
  <c r="AI14" i="28"/>
  <c r="AF14" i="28"/>
  <c r="Z14" i="28"/>
  <c r="X14" i="28"/>
  <c r="U14" i="28"/>
  <c r="S14" i="28"/>
  <c r="P14" i="28"/>
  <c r="N14" i="28"/>
  <c r="BC13" i="28"/>
  <c r="AZ13" i="28"/>
  <c r="AX13" i="28"/>
  <c r="AW13" i="28"/>
  <c r="AV13" i="28"/>
  <c r="AU13" i="28"/>
  <c r="AT13" i="28"/>
  <c r="AS13" i="28"/>
  <c r="AK13" i="28"/>
  <c r="AI13" i="28"/>
  <c r="AF13" i="28"/>
  <c r="Z13" i="28"/>
  <c r="X13" i="28"/>
  <c r="U13" i="28"/>
  <c r="S13" i="28"/>
  <c r="P13" i="28"/>
  <c r="N13" i="28"/>
  <c r="BC12" i="28"/>
  <c r="AZ12" i="28"/>
  <c r="AX12" i="28"/>
  <c r="AW12" i="28"/>
  <c r="AV12" i="28"/>
  <c r="AU12" i="28"/>
  <c r="AT12" i="28"/>
  <c r="AS12" i="28"/>
  <c r="AK12" i="28"/>
  <c r="AI12" i="28"/>
  <c r="AF12" i="28"/>
  <c r="Z12" i="28"/>
  <c r="X12" i="28"/>
  <c r="U12" i="28"/>
  <c r="S12" i="28"/>
  <c r="P12" i="28"/>
  <c r="N12" i="28"/>
  <c r="BC11" i="28"/>
  <c r="AZ11" i="28"/>
  <c r="AX11" i="28"/>
  <c r="AW11" i="28"/>
  <c r="AV11" i="28"/>
  <c r="AU11" i="28"/>
  <c r="AT11" i="28"/>
  <c r="AS11" i="28"/>
  <c r="AK11" i="28"/>
  <c r="AI11" i="28"/>
  <c r="AF11" i="28"/>
  <c r="Z11" i="28"/>
  <c r="X11" i="28"/>
  <c r="U11" i="28"/>
  <c r="S11" i="28"/>
  <c r="P11" i="28"/>
  <c r="N11" i="28"/>
  <c r="BC10" i="28"/>
  <c r="AZ10" i="28"/>
  <c r="AX10" i="28"/>
  <c r="AW10" i="28"/>
  <c r="AV10" i="28"/>
  <c r="AU10" i="28"/>
  <c r="AT10" i="28"/>
  <c r="AS10" i="28"/>
  <c r="AK10" i="28"/>
  <c r="AI10" i="28"/>
  <c r="AF10" i="28"/>
  <c r="Z10" i="28"/>
  <c r="X10" i="28"/>
  <c r="U10" i="28"/>
  <c r="S10" i="28"/>
  <c r="P10" i="28"/>
  <c r="N10" i="28"/>
  <c r="BC9" i="28"/>
  <c r="AZ9" i="28"/>
  <c r="AX9" i="28"/>
  <c r="AW9" i="28"/>
  <c r="AV9" i="28"/>
  <c r="AU9" i="28"/>
  <c r="AT9" i="28"/>
  <c r="AS9" i="28"/>
  <c r="AK9" i="28"/>
  <c r="AI9" i="28"/>
  <c r="AF9" i="28"/>
  <c r="Z9" i="28"/>
  <c r="X9" i="28"/>
  <c r="U9" i="28"/>
  <c r="S9" i="28"/>
  <c r="P9" i="28"/>
  <c r="N9" i="28"/>
  <c r="BC8" i="28"/>
  <c r="AZ8" i="28"/>
  <c r="AX8" i="28"/>
  <c r="AW8" i="28"/>
  <c r="AV8" i="28"/>
  <c r="AU8" i="28"/>
  <c r="AT8" i="28"/>
  <c r="AS8" i="28"/>
  <c r="AK8" i="28"/>
  <c r="AI8" i="28"/>
  <c r="AF8" i="28"/>
  <c r="Z8" i="28"/>
  <c r="X8" i="28"/>
  <c r="U8" i="28"/>
  <c r="S8" i="28"/>
  <c r="P8" i="28"/>
  <c r="N8" i="28"/>
  <c r="BC7" i="28"/>
  <c r="AZ7" i="28"/>
  <c r="AX7" i="28"/>
  <c r="AW7" i="28"/>
  <c r="AV7" i="28"/>
  <c r="AU7" i="28"/>
  <c r="AT7" i="28"/>
  <c r="AS7" i="28"/>
  <c r="AK7" i="28"/>
  <c r="AI7" i="28"/>
  <c r="AF7" i="28"/>
  <c r="Z7" i="28"/>
  <c r="X7" i="28"/>
  <c r="U7" i="28"/>
  <c r="S7" i="28"/>
  <c r="P7" i="28"/>
  <c r="N7" i="28"/>
  <c r="BC6" i="28"/>
  <c r="AZ6" i="28"/>
  <c r="AX6" i="28"/>
  <c r="AW6" i="28"/>
  <c r="AV6" i="28"/>
  <c r="AU6" i="28"/>
  <c r="AT6" i="28"/>
  <c r="AS6" i="28"/>
  <c r="AK6" i="28"/>
  <c r="AI6" i="28"/>
  <c r="AF6" i="28"/>
  <c r="Z6" i="28"/>
  <c r="X6" i="28"/>
  <c r="U6" i="28"/>
  <c r="S6" i="28"/>
  <c r="P6" i="28"/>
  <c r="N6" i="28"/>
  <c r="BC5" i="28"/>
  <c r="AZ5" i="28"/>
  <c r="AX5" i="28"/>
  <c r="AW5" i="28"/>
  <c r="AV5" i="28"/>
  <c r="AU5" i="28"/>
  <c r="AT5" i="28"/>
  <c r="AS5" i="28"/>
  <c r="AK5" i="28"/>
  <c r="AI5" i="28"/>
  <c r="AF5" i="28"/>
  <c r="Z5" i="28"/>
  <c r="X5" i="28"/>
  <c r="U5" i="28"/>
  <c r="S5" i="28"/>
  <c r="P5" i="28"/>
  <c r="N5" i="28"/>
  <c r="BC4" i="28"/>
  <c r="AZ4" i="28"/>
  <c r="AX4" i="28"/>
  <c r="AW4" i="28"/>
  <c r="AV4" i="28"/>
  <c r="AU4" i="28"/>
  <c r="AT4" i="28"/>
  <c r="AS4" i="28"/>
  <c r="AK4" i="28"/>
  <c r="AI4" i="28"/>
  <c r="AF4" i="28"/>
  <c r="Z4" i="28"/>
  <c r="X4" i="28"/>
  <c r="U4" i="28"/>
  <c r="S4" i="28"/>
  <c r="P4" i="28"/>
  <c r="N4" i="28"/>
  <c r="BC3" i="28"/>
  <c r="AZ3" i="28"/>
  <c r="AX3" i="28"/>
  <c r="AW3" i="28"/>
  <c r="AV3" i="28"/>
  <c r="AU3" i="28"/>
  <c r="AT3" i="28"/>
  <c r="AS3" i="28"/>
  <c r="AK3" i="28"/>
  <c r="AI3" i="28"/>
  <c r="AF3" i="28"/>
  <c r="AC3" i="28"/>
  <c r="Z3" i="28"/>
  <c r="X3" i="28"/>
  <c r="U3" i="28"/>
  <c r="S3" i="28"/>
  <c r="P3" i="28"/>
  <c r="N3" i="28"/>
  <c r="E13" i="18"/>
  <c r="D13" i="18"/>
  <c r="C13" i="18"/>
  <c r="B13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AT7" i="18"/>
  <c r="AS7" i="18"/>
  <c r="AR7" i="18"/>
  <c r="AL7" i="18"/>
  <c r="AJ7" i="18"/>
  <c r="AH7" i="18"/>
  <c r="AG7" i="18"/>
  <c r="AF7" i="18"/>
  <c r="AE7" i="18"/>
  <c r="AD7" i="18"/>
  <c r="AC7" i="18"/>
  <c r="AB7" i="18"/>
  <c r="U7" i="18"/>
  <c r="T7" i="18"/>
  <c r="S7" i="18"/>
  <c r="Q7" i="18"/>
  <c r="F7" i="18"/>
  <c r="AT6" i="18"/>
  <c r="AS6" i="18"/>
  <c r="AR6" i="18"/>
  <c r="AL6" i="18"/>
  <c r="AJ6" i="18"/>
  <c r="AH6" i="18"/>
  <c r="AG6" i="18"/>
  <c r="AF6" i="18"/>
  <c r="AE6" i="18"/>
  <c r="AD6" i="18"/>
  <c r="AC6" i="18"/>
  <c r="AB6" i="18"/>
  <c r="U6" i="18"/>
  <c r="T6" i="18"/>
  <c r="S6" i="18"/>
  <c r="Q6" i="18"/>
  <c r="P6" i="18"/>
  <c r="O6" i="18"/>
  <c r="N6" i="18"/>
  <c r="M6" i="18"/>
  <c r="F6" i="18"/>
  <c r="AT5" i="18"/>
  <c r="AS5" i="18"/>
  <c r="AR5" i="18"/>
  <c r="AL5" i="18"/>
  <c r="AJ5" i="18"/>
  <c r="AH5" i="18"/>
  <c r="AG5" i="18"/>
  <c r="AF5" i="18"/>
  <c r="AE5" i="18"/>
  <c r="AD5" i="18"/>
  <c r="AC5" i="18"/>
  <c r="AB5" i="18"/>
  <c r="U5" i="18"/>
  <c r="T5" i="18"/>
  <c r="S5" i="18"/>
  <c r="Q5" i="18"/>
  <c r="F5" i="18"/>
  <c r="AT4" i="18"/>
  <c r="AS4" i="18"/>
  <c r="AR4" i="18"/>
  <c r="AL4" i="18"/>
  <c r="AJ4" i="18"/>
  <c r="AH4" i="18"/>
  <c r="AG4" i="18"/>
  <c r="AF4" i="18"/>
  <c r="AE4" i="18"/>
  <c r="AD4" i="18"/>
  <c r="AC4" i="18"/>
  <c r="AB4" i="18"/>
  <c r="U4" i="18"/>
  <c r="T4" i="18"/>
  <c r="S4" i="18"/>
  <c r="Q4" i="18"/>
  <c r="F4" i="18"/>
  <c r="E13" i="17"/>
  <c r="E12" i="17"/>
  <c r="D12" i="17"/>
  <c r="C12" i="17"/>
  <c r="B12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AT6" i="17"/>
  <c r="AS6" i="17"/>
  <c r="AR6" i="17"/>
  <c r="AL6" i="17"/>
  <c r="AJ6" i="17"/>
  <c r="AH6" i="17"/>
  <c r="AG6" i="17"/>
  <c r="AF6" i="17"/>
  <c r="AE6" i="17"/>
  <c r="AD6" i="17"/>
  <c r="AC6" i="17"/>
  <c r="AB6" i="17"/>
  <c r="U6" i="17"/>
  <c r="T6" i="17"/>
  <c r="S6" i="17"/>
  <c r="Q6" i="17"/>
  <c r="F6" i="17"/>
  <c r="AT5" i="17"/>
  <c r="AS5" i="17"/>
  <c r="AR5" i="17"/>
  <c r="AL5" i="17"/>
  <c r="AJ5" i="17"/>
  <c r="AH5" i="17"/>
  <c r="AG5" i="17"/>
  <c r="AF5" i="17"/>
  <c r="AE5" i="17"/>
  <c r="AD5" i="17"/>
  <c r="AC5" i="17"/>
  <c r="AB5" i="17"/>
  <c r="U5" i="17"/>
  <c r="T5" i="17"/>
  <c r="S5" i="17"/>
  <c r="Q5" i="17"/>
  <c r="F5" i="17"/>
  <c r="AT4" i="17"/>
  <c r="AS4" i="17"/>
  <c r="AR4" i="17"/>
  <c r="AL4" i="17"/>
  <c r="AJ4" i="17"/>
  <c r="AH4" i="17"/>
  <c r="AG4" i="17"/>
  <c r="AF4" i="17"/>
  <c r="AE4" i="17"/>
  <c r="AD4" i="17"/>
  <c r="AC4" i="17"/>
  <c r="AB4" i="17"/>
  <c r="U4" i="17"/>
  <c r="T4" i="17"/>
  <c r="S4" i="17"/>
  <c r="Q4" i="17"/>
  <c r="F4" i="17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E11" i="16"/>
  <c r="D11" i="16"/>
  <c r="C11" i="16"/>
  <c r="B11" i="16"/>
  <c r="AL6" i="16"/>
  <c r="AK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F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F4" i="16"/>
  <c r="G22" i="26"/>
  <c r="G19" i="26"/>
  <c r="G18" i="26"/>
  <c r="AZ26" i="28" l="1"/>
  <c r="AU29" i="28"/>
  <c r="AU30" i="28" s="1"/>
  <c r="U4" i="22"/>
  <c r="U4" i="23" s="1"/>
  <c r="U4" i="24" s="1"/>
  <c r="U4" i="25"/>
  <c r="T5" i="24"/>
  <c r="T5" i="25" s="1"/>
  <c r="T8" i="23"/>
  <c r="AD5" i="21"/>
  <c r="AE5" i="21" s="1"/>
  <c r="AG5" i="21" s="1"/>
  <c r="AH5" i="21" s="1"/>
  <c r="AJ5" i="21" s="1"/>
  <c r="AL5" i="21" s="1"/>
  <c r="T8" i="21"/>
  <c r="AC8" i="22"/>
  <c r="S8" i="21"/>
  <c r="AC8" i="21"/>
  <c r="AD7" i="21"/>
  <c r="AE7" i="21" s="1"/>
  <c r="AG7" i="21" s="1"/>
  <c r="AH7" i="21" s="1"/>
  <c r="AJ7" i="21" s="1"/>
  <c r="AL7" i="21" s="1"/>
  <c r="AC8" i="23"/>
  <c r="AD5" i="22"/>
  <c r="AE5" i="22" s="1"/>
  <c r="S5" i="23"/>
  <c r="AC4" i="24"/>
  <c r="U8" i="23"/>
  <c r="AZ29" i="28"/>
  <c r="AZ30" i="28" s="1"/>
  <c r="G20" i="26" s="1"/>
  <c r="G21" i="26" s="1"/>
  <c r="G24" i="26" s="1"/>
  <c r="BC26" i="28"/>
  <c r="BC29" i="28" s="1"/>
  <c r="BC30" i="28" s="1"/>
  <c r="E15" i="20" s="1"/>
  <c r="AF8" i="21"/>
  <c r="T4" i="25"/>
  <c r="AW26" i="28"/>
  <c r="AW29" i="28" s="1"/>
  <c r="AW30" i="28" s="1"/>
  <c r="T8" i="22"/>
  <c r="AD4" i="21"/>
  <c r="AD6" i="21"/>
  <c r="AE6" i="21" s="1"/>
  <c r="AG6" i="21" s="1"/>
  <c r="S6" i="22"/>
  <c r="S4" i="23"/>
  <c r="AD7" i="22"/>
  <c r="AE7" i="22" s="1"/>
  <c r="S7" i="23"/>
  <c r="U8" i="22" l="1"/>
  <c r="AD4" i="22"/>
  <c r="AF5" i="22"/>
  <c r="S8" i="22"/>
  <c r="AD6" i="22"/>
  <c r="AE6" i="22" s="1"/>
  <c r="S6" i="23"/>
  <c r="AC4" i="25"/>
  <c r="AH6" i="21"/>
  <c r="AJ6" i="21" s="1"/>
  <c r="AL6" i="21" s="1"/>
  <c r="AF6" i="22"/>
  <c r="AE4" i="22"/>
  <c r="AE4" i="21"/>
  <c r="AD8" i="21"/>
  <c r="S4" i="24"/>
  <c r="AD4" i="23"/>
  <c r="G25" i="26"/>
  <c r="E9" i="26"/>
  <c r="D10" i="26"/>
  <c r="E8" i="26" s="1"/>
  <c r="AD5" i="23"/>
  <c r="AE5" i="23" s="1"/>
  <c r="S5" i="24"/>
  <c r="S6" i="24"/>
  <c r="AD7" i="23"/>
  <c r="AE7" i="23" s="1"/>
  <c r="AF7" i="22"/>
  <c r="AG7" i="22" s="1"/>
  <c r="AH7" i="22" s="1"/>
  <c r="AJ7" i="22" s="1"/>
  <c r="AL7" i="22" s="1"/>
  <c r="AF5" i="23" l="1"/>
  <c r="AG5" i="22"/>
  <c r="AH5" i="22" s="1"/>
  <c r="AJ5" i="22" s="1"/>
  <c r="AL5" i="22" s="1"/>
  <c r="AF7" i="23"/>
  <c r="AG5" i="23"/>
  <c r="AH5" i="23" s="1"/>
  <c r="AJ5" i="23" s="1"/>
  <c r="AL5" i="23" s="1"/>
  <c r="AE4" i="23"/>
  <c r="AG4" i="21"/>
  <c r="AE8" i="21"/>
  <c r="AD6" i="23"/>
  <c r="AE6" i="23" s="1"/>
  <c r="S7" i="24"/>
  <c r="AD4" i="24"/>
  <c r="S4" i="25"/>
  <c r="AE8" i="22"/>
  <c r="AG6" i="22"/>
  <c r="AH6" i="22" s="1"/>
  <c r="AJ6" i="22" s="1"/>
  <c r="AL6" i="22" s="1"/>
  <c r="AD5" i="24"/>
  <c r="AE5" i="24" s="1"/>
  <c r="S5" i="25"/>
  <c r="AD5" i="25" s="1"/>
  <c r="AE5" i="25" s="1"/>
  <c r="AF6" i="23"/>
  <c r="AG7" i="23"/>
  <c r="AH7" i="23" s="1"/>
  <c r="AJ7" i="23" s="1"/>
  <c r="AL7" i="23" s="1"/>
  <c r="S6" i="25"/>
  <c r="AD6" i="25" s="1"/>
  <c r="AE6" i="25" s="1"/>
  <c r="AD6" i="24"/>
  <c r="AE6" i="24" s="1"/>
  <c r="S8" i="23"/>
  <c r="AD8" i="22"/>
  <c r="AD8" i="23" l="1"/>
  <c r="AF5" i="24"/>
  <c r="AG5" i="24" s="1"/>
  <c r="AH5" i="24" s="1"/>
  <c r="AJ5" i="24" s="1"/>
  <c r="AL5" i="24" s="1"/>
  <c r="AF7" i="24"/>
  <c r="AG6" i="23"/>
  <c r="AH6" i="23" s="1"/>
  <c r="AJ6" i="23" s="1"/>
  <c r="AL6" i="23" s="1"/>
  <c r="AE8" i="23"/>
  <c r="AD4" i="25"/>
  <c r="AD7" i="24"/>
  <c r="AE7" i="24" s="1"/>
  <c r="S7" i="25"/>
  <c r="AD7" i="25" s="1"/>
  <c r="AE7" i="25" s="1"/>
  <c r="AE4" i="24"/>
  <c r="AG8" i="21"/>
  <c r="C13" i="21" s="1"/>
  <c r="AH4" i="21"/>
  <c r="AF4" i="22"/>
  <c r="AF6" i="24"/>
  <c r="AG6" i="24" s="1"/>
  <c r="AH6" i="24" s="1"/>
  <c r="AJ6" i="24" s="1"/>
  <c r="AL6" i="24" s="1"/>
  <c r="AF5" i="25" l="1"/>
  <c r="AG5" i="25" s="1"/>
  <c r="AH5" i="25" s="1"/>
  <c r="AJ5" i="25" s="1"/>
  <c r="AL5" i="25" s="1"/>
  <c r="AG7" i="24"/>
  <c r="AH7" i="24" s="1"/>
  <c r="AJ7" i="24" s="1"/>
  <c r="AL7" i="24" s="1"/>
  <c r="AF6" i="25"/>
  <c r="AG6" i="25" s="1"/>
  <c r="AH6" i="25" s="1"/>
  <c r="AJ6" i="25" s="1"/>
  <c r="AL6" i="25" s="1"/>
  <c r="AG7" i="25"/>
  <c r="AH7" i="25" s="1"/>
  <c r="AJ7" i="25" s="1"/>
  <c r="AL7" i="25" s="1"/>
  <c r="AE4" i="25"/>
  <c r="AF8" i="22"/>
  <c r="AG4" i="22"/>
  <c r="AF4" i="23" s="1"/>
  <c r="AF7" i="25"/>
  <c r="AJ4" i="21"/>
  <c r="AH8" i="21"/>
  <c r="AF8" i="23" l="1"/>
  <c r="AG4" i="23"/>
  <c r="AF4" i="24" s="1"/>
  <c r="AL4" i="21"/>
  <c r="AL8" i="21" s="1"/>
  <c r="AJ8" i="21"/>
  <c r="B13" i="21" s="1"/>
  <c r="E13" i="21" s="1"/>
  <c r="AH4" i="22"/>
  <c r="AG8" i="22"/>
  <c r="C13" i="22" s="1"/>
  <c r="AH8" i="22" l="1"/>
  <c r="AJ4" i="22"/>
  <c r="AG4" i="24"/>
  <c r="AF4" i="25" s="1"/>
  <c r="AG8" i="23"/>
  <c r="C13" i="23" s="1"/>
  <c r="AH4" i="23"/>
  <c r="AG4" i="25" l="1"/>
  <c r="AJ8" i="22"/>
  <c r="B13" i="22" s="1"/>
  <c r="E13" i="22" s="1"/>
  <c r="AL4" i="22"/>
  <c r="AL8" i="22" s="1"/>
  <c r="AJ4" i="23"/>
  <c r="AH8" i="23"/>
  <c r="AH4" i="24"/>
  <c r="AH4" i="25" l="1"/>
  <c r="AJ4" i="24"/>
  <c r="AJ8" i="23"/>
  <c r="B13" i="23" s="1"/>
  <c r="E13" i="23" s="1"/>
  <c r="AL4" i="23"/>
  <c r="AL8" i="23" s="1"/>
  <c r="AL4" i="24" l="1"/>
  <c r="T8" i="24"/>
  <c r="AF8" i="24"/>
  <c r="AC8" i="24"/>
  <c r="U8" i="24"/>
  <c r="S8" i="24"/>
  <c r="AJ4" i="25"/>
  <c r="T8" i="25" l="1"/>
  <c r="T9" i="25" s="1"/>
  <c r="T9" i="24"/>
  <c r="U8" i="25"/>
  <c r="U9" i="25" s="1"/>
  <c r="U9" i="24"/>
  <c r="AF9" i="24"/>
  <c r="AD8" i="24"/>
  <c r="S8" i="25"/>
  <c r="S9" i="24"/>
  <c r="AL4" i="25"/>
  <c r="AC8" i="25"/>
  <c r="AC9" i="25" s="1"/>
  <c r="AC9" i="24"/>
  <c r="AD8" i="25" l="1"/>
  <c r="S9" i="25"/>
  <c r="AE8" i="24"/>
  <c r="AD9" i="24"/>
  <c r="AG8" i="24" l="1"/>
  <c r="AE9" i="24"/>
  <c r="AE8" i="25"/>
  <c r="AD9" i="25"/>
  <c r="AE9" i="25" l="1"/>
  <c r="AH8" i="24"/>
  <c r="AG9" i="24"/>
  <c r="C14" i="24" s="1"/>
  <c r="AF8" i="25"/>
  <c r="AF9" i="25" s="1"/>
  <c r="AJ8" i="24" l="1"/>
  <c r="AH9" i="24"/>
  <c r="AG8" i="25"/>
  <c r="AH8" i="25" l="1"/>
  <c r="AG9" i="25"/>
  <c r="C14" i="25" s="1"/>
  <c r="AL8" i="24"/>
  <c r="AL9" i="24" s="1"/>
  <c r="AJ9" i="24"/>
  <c r="B14" i="24" s="1"/>
  <c r="E14" i="24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7.xml><?xml version="1.0" encoding="utf-8"?>
<comments xmlns="http://schemas.openxmlformats.org/spreadsheetml/2006/main">
  <authors>
    <author>kk</author>
  </authors>
  <commentList>
    <comment ref="C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H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I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L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M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D18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J18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K18" authorId="0">
      <text>
        <r>
          <rPr>
            <sz val="9"/>
            <rFont val="Tahoma"/>
            <family val="2"/>
          </rPr>
          <t>“</t>
        </r>
        <r>
          <rPr>
            <sz val="9"/>
            <rFont val="宋体"/>
            <family val="3"/>
            <charset val="134"/>
          </rPr>
          <t>本地</t>
        </r>
        <r>
          <rPr>
            <sz val="9"/>
            <rFont val="Tahoma"/>
            <family val="2"/>
          </rPr>
          <t>”</t>
        </r>
        <r>
          <rPr>
            <sz val="9"/>
            <rFont val="宋体"/>
            <family val="3"/>
            <charset val="134"/>
          </rPr>
          <t>以社保缴纳地为准，本地城镇、本地农村、外地城镇、外地农村，请选择即可</t>
        </r>
      </text>
    </comment>
    <comment ref="L18" authorId="0">
      <text>
        <r>
          <rPr>
            <sz val="9"/>
            <rFont val="宋体"/>
            <family val="3"/>
            <charset val="134"/>
          </rPr>
          <t>离职日期为员工实际离职日期，填写格式：</t>
        </r>
        <r>
          <rPr>
            <sz val="9"/>
            <rFont val="Tahoma"/>
            <family val="2"/>
          </rPr>
          <t>20140416</t>
        </r>
        <r>
          <rPr>
            <sz val="9"/>
            <rFont val="宋体"/>
            <family val="3"/>
            <charset val="134"/>
          </rPr>
          <t>【</t>
        </r>
        <r>
          <rPr>
            <sz val="9"/>
            <rFont val="Tahoma"/>
            <family val="2"/>
          </rPr>
          <t>YYYYMMDD</t>
        </r>
        <r>
          <rPr>
            <sz val="9"/>
            <rFont val="宋体"/>
            <family val="3"/>
            <charset val="134"/>
          </rPr>
          <t>】；</t>
        </r>
      </text>
    </comment>
    <comment ref="O18" authorId="0">
      <text>
        <r>
          <rPr>
            <sz val="9"/>
            <rFont val="宋体"/>
            <family val="3"/>
            <charset val="134"/>
          </rPr>
          <t>员工离职原因：辞职、合同主动解除、合同被动解除、合同到期终止、试用期解除、死亡、其他（必填），请选择即可；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<sst xmlns="http://schemas.openxmlformats.org/spreadsheetml/2006/main" count="1859" uniqueCount="325">
  <si>
    <t>付款通知书</t>
  </si>
  <si>
    <t>尊敬的客户：北京创联致信科技有限公司海淀分公司</t>
  </si>
  <si>
    <t>根据贵公司与我公司所签订的服务协议，请贵公司在2022年4月6日之前按照下列表格内容支付相关款项.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</si>
  <si>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</si>
  <si>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</si>
  <si>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</si>
  <si>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</si>
  <si>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</si>
  <si>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</si>
  <si>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</si>
  <si>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</si>
  <si>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</si>
  <si>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</si>
  <si>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</si>
  <si>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</si>
  <si>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</si>
  <si>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</si>
  <si>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</si>
  <si>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</si>
  <si>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</si>
  <si>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</si>
  <si>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</si>
  <si>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</si>
  <si>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</si>
  <si>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</si>
  <si>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</si>
  <si>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</si>
  <si>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</si>
  <si>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</si>
  <si>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</si>
  <si>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</si>
  <si>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</si>
  <si>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</si>
  <si>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</si>
  <si>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</si>
  <si>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</si>
  <si>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</si>
  <si>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</si>
  <si>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</si>
  <si>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</si>
  <si>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</si>
  <si>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</si>
  <si>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</si>
  <si>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</si>
  <si>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</si>
  <si>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</si>
  <si>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</si>
  <si>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</si>
  <si>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</si>
  <si>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</si>
  <si>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</si>
  <si>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</si>
  <si>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</si>
  <si>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</si>
  <si>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</si>
  <si>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</si>
  <si>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</si>
  <si>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</si>
  <si>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</si>
  <si>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</si>
  <si>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</si>
  <si>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</si>
  <si>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</si>
  <si>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</si>
  <si>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</si>
  <si>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</si>
  <si>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</si>
  <si>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</si>
  <si>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</si>
  <si>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</si>
  <si>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</si>
  <si>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</si>
  <si>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</si>
  <si>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</si>
  <si>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</si>
  <si>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</si>
  <si>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</si>
  <si>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</si>
  <si>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</si>
  <si>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</si>
  <si>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</si>
  <si>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</si>
  <si>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</si>
  <si>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</si>
  <si>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</si>
  <si>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</si>
  <si>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</si>
  <si>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</si>
  <si>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</si>
  <si>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</si>
  <si>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</si>
  <si>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</si>
  <si>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</si>
  <si>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</si>
  <si>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</si>
  <si>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</si>
  <si>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</si>
  <si>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</si>
  <si>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</si>
  <si>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</si>
  <si>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</si>
  <si>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</si>
  <si>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</si>
  <si>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</si>
  <si>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</si>
  <si>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</si>
  <si>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</si>
  <si>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</si>
  <si>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</si>
  <si>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</si>
  <si>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</si>
  <si>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</si>
  <si>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</si>
  <si>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</si>
  <si>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</si>
  <si>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</si>
  <si>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</si>
  <si>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</si>
  <si>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</si>
  <si>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</si>
  <si>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</si>
  <si>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</si>
  <si>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</si>
  <si>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</si>
  <si>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</si>
  <si>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</si>
  <si>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</si>
  <si>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</si>
  <si>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</si>
  <si>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</si>
  <si>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</si>
  <si>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</si>
  <si>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</si>
  <si>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</si>
  <si>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</si>
  <si>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</si>
  <si>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</si>
  <si>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</si>
  <si>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</si>
  <si>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</si>
  <si>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</si>
  <si>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</si>
  <si>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</si>
  <si>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</si>
  <si>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</si>
  <si>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</si>
  <si>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</si>
  <si>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</si>
  <si>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</si>
  <si>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</si>
  <si>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</si>
  <si>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</si>
  <si>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</si>
  <si>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</si>
  <si>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</si>
  <si>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</si>
  <si>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</si>
  <si>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</si>
  <si>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</si>
  <si>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</si>
  <si>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</si>
  <si>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</si>
  <si>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北京创联致信科技有限公司海淀分公司</t>
  </si>
  <si>
    <t>福州</t>
  </si>
  <si>
    <t>周江</t>
  </si>
  <si>
    <t>421222200004074811</t>
  </si>
  <si>
    <t>202203</t>
  </si>
  <si>
    <t>202205</t>
  </si>
  <si>
    <t>合肥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</si>
  <si>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</si>
  <si>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</si>
  <si>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</si>
  <si>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</si>
  <si>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</si>
  <si>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</si>
  <si>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</si>
  <si>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</si>
  <si>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</si>
  <si>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</si>
  <si>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</si>
  <si>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</si>
  <si>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</si>
  <si>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</si>
  <si>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</si>
  <si>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</si>
  <si>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</si>
  <si>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</si>
  <si>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赵云峰</t>
  </si>
  <si>
    <t>342601199310204632</t>
  </si>
  <si>
    <t>郭正荣</t>
  </si>
  <si>
    <t>340825199510124311</t>
  </si>
  <si>
    <t>王润</t>
  </si>
  <si>
    <t>342427198605132216</t>
  </si>
  <si>
    <t>伍申</t>
  </si>
  <si>
    <t>342623199602135016</t>
  </si>
  <si>
    <t>202204</t>
  </si>
  <si>
    <t>汪积烊</t>
  </si>
  <si>
    <t>340123199109103150</t>
  </si>
  <si>
    <t>闫驰</t>
  </si>
  <si>
    <t>340121198905059134</t>
  </si>
  <si>
    <t>黄震</t>
  </si>
  <si>
    <t>340402199709200215</t>
  </si>
  <si>
    <t>章柏顺</t>
  </si>
  <si>
    <t>340123199310161096</t>
  </si>
  <si>
    <t>杨大帅</t>
  </si>
  <si>
    <t>341126199411113210</t>
  </si>
  <si>
    <t>罗志远</t>
  </si>
  <si>
    <t>342401199211201873</t>
  </si>
  <si>
    <t>吴其峰</t>
  </si>
  <si>
    <t>34082319950702532</t>
  </si>
  <si>
    <t>田志民</t>
  </si>
  <si>
    <t>341203199512023119</t>
  </si>
  <si>
    <t>潘浪</t>
  </si>
  <si>
    <t>34010319911128301X</t>
  </si>
  <si>
    <t>报送时间</t>
  </si>
  <si>
    <t>身份证号</t>
  </si>
  <si>
    <t>手机号码</t>
  </si>
  <si>
    <t>月薪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</si>
  <si>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</si>
  <si>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</si>
  <si>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</si>
  <si>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</si>
  <si>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</si>
  <si>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</si>
  <si>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</si>
  <si>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</si>
  <si>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合同工资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</si>
  <si>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</si>
  <si>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</si>
  <si>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</si>
  <si>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</si>
  <si>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</si>
  <si>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</si>
  <si>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</si>
  <si>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</si>
  <si>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</si>
  <si>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14</t>
  </si>
  <si>
    <t>创联海淀</t>
  </si>
  <si>
    <t>外地城镇</t>
  </si>
  <si>
    <t>调入</t>
  </si>
  <si>
    <t>4月</t>
  </si>
  <si>
    <t>15</t>
  </si>
  <si>
    <t>16</t>
  </si>
  <si>
    <t>郭俊</t>
  </si>
  <si>
    <t>342601199112183615</t>
  </si>
  <si>
    <t>本地农村</t>
  </si>
  <si>
    <t>15055162305</t>
  </si>
  <si>
    <t>5月</t>
  </si>
  <si>
    <t>18255403861</t>
  </si>
  <si>
    <t>14755159042</t>
  </si>
  <si>
    <t>18862807411</t>
  </si>
  <si>
    <t>外地农村</t>
  </si>
  <si>
    <t>18762961264</t>
  </si>
  <si>
    <t>17356922898</t>
  </si>
  <si>
    <t>18815592988</t>
  </si>
  <si>
    <t>18963715485</t>
  </si>
  <si>
    <t>是否需要外呼</t>
  </si>
  <si>
    <t>工作地点</t>
  </si>
  <si>
    <t>社保最后缴费月</t>
  </si>
  <si>
    <t>公积金最后缴费月</t>
  </si>
  <si>
    <t>减员原因</t>
  </si>
  <si>
    <t>辞职</t>
  </si>
  <si>
    <t>取消增，无费用减</t>
  </si>
  <si>
    <t>男</t>
  </si>
  <si>
    <t>女</t>
  </si>
  <si>
    <t>梁敏霞</t>
  </si>
  <si>
    <t>440883199611084547</t>
  </si>
  <si>
    <t>所属公司</t>
  </si>
  <si>
    <t>使用供应商</t>
  </si>
  <si>
    <t>项目编号</t>
  </si>
  <si>
    <t>员工工号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</si>
  <si>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</si>
  <si>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</si>
  <si>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</si>
  <si>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</si>
  <si>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</si>
  <si>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</si>
  <si>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</si>
  <si>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</si>
  <si>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</si>
  <si>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</si>
  <si>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北京易才博普奥</t>
  </si>
  <si>
    <t>湖南长沙</t>
  </si>
  <si>
    <t>长沙</t>
  </si>
  <si>
    <t>长春</t>
  </si>
  <si>
    <t>2021.05</t>
  </si>
  <si>
    <t>5%</t>
  </si>
  <si>
    <t>4000</t>
  </si>
  <si>
    <t>是</t>
  </si>
  <si>
    <t>减</t>
  </si>
  <si>
    <t>谢锋明</t>
  </si>
  <si>
    <t>43022319780815051X</t>
  </si>
  <si>
    <t>创联致信（上月工资上月社保账单费用）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</si>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</sst>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78" formatCode="[DBNum2][$-804]General"/>
    <numFmt numFmtId="179" formatCode="0.00_ "/>
    <numFmt numFmtId="180" formatCode="0.00;[Red]0.00"/>
    <numFmt numFmtId="181" formatCode="0.00_);[Red]\(0.00\)"/>
    <numFmt numFmtId="182" formatCode="#,##0_);[Red]\(#,##0\)"/>
    <numFmt numFmtId="183" formatCode="#,##0.00_);[Red]\(#,##0.00\)"/>
    <numFmt numFmtId="184" formatCode="0_);[Red]\(0\)"/>
    <numFmt numFmtId="185" formatCode="[$-10432]yyyy/mm/dd;@"/>
    <numFmt numFmtId="186" formatCode="yyyy&quot;年&quot;m&quot;月&quot;d&quot;日&quot;;@"/>
    <numFmt numFmtId="187" formatCode="&quot;$&quot;0_ "/>
    <numFmt numFmtId="188" formatCode="&quot;$&quot;#,##0_ ;[Red]\-&quot;$&quot;#,##0_ "/>
    <numFmt numFmtId="189" formatCode="General\ &quot;年&quot;"/>
    <numFmt numFmtId="190" formatCode="0.00_);\(0.00\)"/>
  </numFmts>
  <fonts count="115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.5"/>
      <color rgb="FF191F25"/>
      <name val="宋体"/>
      <family val="3"/>
      <charset val="134"/>
    </font>
    <font>
      <sz val="10"/>
      <color rgb="FF171A1D"/>
      <name val="Segoe UI"/>
      <family val="2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color indexed="8"/>
      <name val="Verdana"/>
      <family val="2"/>
    </font>
    <font>
      <u/>
      <sz val="10"/>
      <color indexed="12"/>
      <name val="新細明體"/>
      <charset val="134"/>
    </font>
    <font>
      <sz val="12"/>
      <name val="Times New Roman"/>
      <family val="1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443">
    <xf numFmtId="0" fontId="0" fillId="0" borderId="0">
      <alignment vertical="center"/>
    </xf>
    <xf numFmtId="0" fontId="94" fillId="0" borderId="5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79" fillId="0" borderId="0">
      <alignment vertical="center"/>
    </xf>
    <xf numFmtId="0" fontId="93" fillId="17" borderId="48" applyNumberFormat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17" borderId="53" applyNumberFormat="0" applyAlignment="0" applyProtection="0">
      <alignment vertical="center"/>
    </xf>
    <xf numFmtId="0" fontId="39" fillId="0" borderId="0"/>
    <xf numFmtId="0" fontId="9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113" fillId="0" borderId="0">
      <alignment vertical="center"/>
    </xf>
    <xf numFmtId="0" fontId="96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1" fillId="0" borderId="0"/>
    <xf numFmtId="0" fontId="6" fillId="18" borderId="49" applyNumberFormat="0" applyFont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18" borderId="49" applyNumberFormat="0" applyFont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39" fillId="0" borderId="0">
      <alignment vertical="center"/>
    </xf>
    <xf numFmtId="0" fontId="95" fillId="6" borderId="51" applyNumberFormat="0" applyAlignment="0" applyProtection="0">
      <alignment vertical="center"/>
    </xf>
    <xf numFmtId="0" fontId="39" fillId="0" borderId="0"/>
    <xf numFmtId="0" fontId="6" fillId="18" borderId="49" applyNumberFormat="0" applyFont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9" fillId="0" borderId="0"/>
    <xf numFmtId="0" fontId="93" fillId="17" borderId="48" applyNumberFormat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79" fillId="0" borderId="0"/>
    <xf numFmtId="0" fontId="92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79" fillId="0" borderId="0"/>
    <xf numFmtId="0" fontId="6" fillId="21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39" fillId="0" borderId="0"/>
    <xf numFmtId="0" fontId="6" fillId="0" borderId="0"/>
    <xf numFmtId="0" fontId="6" fillId="21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13" fillId="0" borderId="0"/>
    <xf numFmtId="0" fontId="9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39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8" fontId="39" fillId="0" borderId="0"/>
    <xf numFmtId="0" fontId="97" fillId="17" borderId="5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7" fillId="17" borderId="5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0" borderId="0">
      <alignment vertical="center"/>
    </xf>
    <xf numFmtId="0" fontId="96" fillId="15" borderId="0" applyNumberFormat="0" applyBorder="0" applyAlignment="0" applyProtection="0">
      <alignment vertical="center"/>
    </xf>
    <xf numFmtId="0" fontId="113" fillId="0" borderId="0">
      <alignment vertical="center"/>
    </xf>
    <xf numFmtId="0" fontId="96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96" fillId="15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31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39" fillId="0" borderId="0">
      <alignment vertical="center"/>
    </xf>
    <xf numFmtId="0" fontId="96" fillId="28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96" fillId="24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9" fontId="6" fillId="0" borderId="0">
      <alignment vertical="center"/>
    </xf>
    <xf numFmtId="0" fontId="103" fillId="30" borderId="0" applyNumberFormat="0" applyBorder="0" applyAlignment="0" applyProtection="0">
      <alignment vertical="center"/>
    </xf>
    <xf numFmtId="9" fontId="6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6" fillId="0" borderId="56" applyNumberFormat="0" applyFill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6" fillId="0" borderId="0">
      <alignment vertical="center"/>
    </xf>
    <xf numFmtId="0" fontId="105" fillId="0" borderId="54" applyNumberFormat="0" applyFill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105" fillId="0" borderId="54" applyNumberFormat="0" applyFill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0" fontId="99" fillId="0" borderId="0"/>
    <xf numFmtId="0" fontId="104" fillId="0" borderId="55" applyNumberFormat="0" applyFill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0" fontId="104" fillId="0" borderId="55" applyNumberFormat="0" applyFill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9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02" fillId="32" borderId="53" applyNumberFormat="0" applyAlignment="0" applyProtection="0">
      <alignment vertical="center"/>
    </xf>
    <xf numFmtId="0" fontId="14" fillId="0" borderId="0">
      <alignment vertical="center"/>
    </xf>
    <xf numFmtId="0" fontId="99" fillId="0" borderId="0"/>
    <xf numFmtId="0" fontId="102" fillId="32" borderId="53" applyNumberFormat="0" applyAlignment="0" applyProtection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6" fillId="0" borderId="0"/>
    <xf numFmtId="0" fontId="102" fillId="32" borderId="53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9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96" fillId="28" borderId="0" applyNumberFormat="0" applyBorder="0" applyAlignment="0" applyProtection="0">
      <alignment vertical="center"/>
    </xf>
    <xf numFmtId="0" fontId="6" fillId="0" borderId="0"/>
    <xf numFmtId="0" fontId="96" fillId="28" borderId="0" applyNumberFormat="0" applyBorder="0" applyAlignment="0" applyProtection="0">
      <alignment vertical="center"/>
    </xf>
    <xf numFmtId="0" fontId="39" fillId="0" borderId="0"/>
    <xf numFmtId="0" fontId="96" fillId="2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" fillId="0" borderId="0">
      <alignment vertical="center"/>
    </xf>
    <xf numFmtId="0" fontId="98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3" fillId="0" borderId="0">
      <alignment vertical="center"/>
    </xf>
    <xf numFmtId="0" fontId="96" fillId="23" borderId="0" applyNumberFormat="0" applyBorder="0" applyAlignment="0" applyProtection="0">
      <alignment vertical="center"/>
    </xf>
    <xf numFmtId="0" fontId="113" fillId="0" borderId="0">
      <alignment vertical="center"/>
    </xf>
    <xf numFmtId="0" fontId="96" fillId="23" borderId="0" applyNumberFormat="0" applyBorder="0" applyAlignment="0" applyProtection="0">
      <alignment vertical="center"/>
    </xf>
    <xf numFmtId="0" fontId="113" fillId="0" borderId="0">
      <alignment vertical="center"/>
    </xf>
    <xf numFmtId="0" fontId="39" fillId="0" borderId="0"/>
    <xf numFmtId="0" fontId="39" fillId="0" borderId="0"/>
    <xf numFmtId="0" fontId="102" fillId="32" borderId="53" applyNumberFormat="0" applyAlignment="0" applyProtection="0">
      <alignment vertical="center"/>
    </xf>
    <xf numFmtId="0" fontId="6" fillId="0" borderId="0">
      <alignment vertical="center"/>
    </xf>
    <xf numFmtId="0" fontId="39" fillId="0" borderId="0"/>
    <xf numFmtId="0" fontId="96" fillId="33" borderId="0" applyNumberFormat="0" applyBorder="0" applyAlignment="0" applyProtection="0">
      <alignment vertical="center"/>
    </xf>
    <xf numFmtId="0" fontId="79" fillId="0" borderId="0">
      <alignment vertical="center"/>
    </xf>
    <xf numFmtId="0" fontId="113" fillId="0" borderId="0">
      <alignment vertical="center"/>
    </xf>
    <xf numFmtId="0" fontId="6" fillId="18" borderId="4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9" fillId="0" borderId="0"/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79" fillId="0" borderId="0"/>
    <xf numFmtId="0" fontId="96" fillId="19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95" fillId="6" borderId="51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0" fontId="94" fillId="0" borderId="50" applyNumberFormat="0" applyFill="0" applyAlignment="0" applyProtection="0">
      <alignment vertical="center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93" fillId="17" borderId="48" applyNumberFormat="0" applyAlignment="0" applyProtection="0">
      <alignment vertical="center"/>
    </xf>
    <xf numFmtId="0" fontId="101" fillId="0" borderId="0"/>
    <xf numFmtId="0" fontId="102" fillId="32" borderId="53" applyNumberFormat="0" applyAlignment="0" applyProtection="0">
      <alignment vertical="center"/>
    </xf>
    <xf numFmtId="0" fontId="101" fillId="0" borderId="0"/>
    <xf numFmtId="0" fontId="102" fillId="32" borderId="53" applyNumberFormat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102" fillId="32" borderId="53" applyNumberFormat="0" applyAlignment="0" applyProtection="0">
      <alignment vertical="center"/>
    </xf>
    <xf numFmtId="0" fontId="111" fillId="0" borderId="0"/>
    <xf numFmtId="0" fontId="79" fillId="0" borderId="0"/>
    <xf numFmtId="0" fontId="101" fillId="0" borderId="0"/>
    <xf numFmtId="0" fontId="101" fillId="0" borderId="0"/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6" fillId="18" borderId="49" applyNumberFormat="0" applyFon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57" fillId="0" borderId="0">
      <alignment vertical="center"/>
    </xf>
  </cellStyleXfs>
  <cellXfs count="43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261" applyBorder="1">
      <alignment vertical="center"/>
    </xf>
    <xf numFmtId="0" fontId="7" fillId="0" borderId="0" xfId="261" applyNumberFormat="1" applyFont="1" applyFill="1" applyBorder="1" applyAlignment="1" applyProtection="1">
      <alignment horizontal="center" vertical="center"/>
    </xf>
    <xf numFmtId="0" fontId="6" fillId="0" borderId="0" xfId="261" applyFill="1">
      <alignment vertical="center"/>
    </xf>
    <xf numFmtId="0" fontId="6" fillId="0" borderId="0" xfId="261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261">
      <alignment vertical="center"/>
    </xf>
    <xf numFmtId="0" fontId="6" fillId="0" borderId="0" xfId="261" applyNumberFormat="1">
      <alignment vertical="center"/>
    </xf>
    <xf numFmtId="0" fontId="6" fillId="0" borderId="0" xfId="261" applyNumberFormat="1" applyAlignment="1">
      <alignment horizontal="center" vertical="center"/>
    </xf>
    <xf numFmtId="14" fontId="6" fillId="0" borderId="0" xfId="261" applyNumberFormat="1">
      <alignment vertical="center"/>
    </xf>
    <xf numFmtId="181" fontId="6" fillId="0" borderId="0" xfId="261" applyNumberFormat="1">
      <alignment vertical="center"/>
    </xf>
    <xf numFmtId="182" fontId="8" fillId="0" borderId="0" xfId="63" applyNumberFormat="1" applyFont="1" applyFill="1" applyBorder="1" applyAlignment="1" applyProtection="1">
      <alignment vertical="center"/>
    </xf>
    <xf numFmtId="182" fontId="9" fillId="0" borderId="0" xfId="63" applyNumberFormat="1" applyFont="1" applyFill="1" applyBorder="1" applyAlignment="1" applyProtection="1">
      <alignment vertical="center"/>
    </xf>
    <xf numFmtId="182" fontId="10" fillId="0" borderId="0" xfId="63" applyNumberFormat="1" applyFont="1" applyFill="1" applyBorder="1" applyAlignment="1" applyProtection="1">
      <alignment vertical="center"/>
    </xf>
    <xf numFmtId="182" fontId="10" fillId="0" borderId="0" xfId="63" applyNumberFormat="1" applyFont="1" applyFill="1" applyBorder="1" applyAlignment="1" applyProtection="1">
      <alignment horizontal="center" vertical="top"/>
    </xf>
    <xf numFmtId="0" fontId="6" fillId="0" borderId="0" xfId="261" applyNumberFormat="1" applyFont="1" applyFill="1" applyBorder="1" applyAlignment="1" applyProtection="1">
      <alignment horizontal="center" vertical="center"/>
    </xf>
    <xf numFmtId="0" fontId="6" fillId="0" borderId="0" xfId="261" applyNumberFormat="1" applyBorder="1" applyAlignment="1">
      <alignment horizontal="center" vertical="center"/>
    </xf>
    <xf numFmtId="182" fontId="14" fillId="0" borderId="6" xfId="261" applyNumberFormat="1" applyFont="1" applyFill="1" applyBorder="1" applyAlignment="1" applyProtection="1">
      <alignment horizontal="center" vertical="center"/>
    </xf>
    <xf numFmtId="0" fontId="15" fillId="0" borderId="7" xfId="261" applyFont="1" applyFill="1" applyBorder="1" applyAlignment="1">
      <alignment horizontal="center" vertical="center" wrapText="1"/>
    </xf>
    <xf numFmtId="49" fontId="16" fillId="4" borderId="8" xfId="261" applyNumberFormat="1" applyFont="1" applyFill="1" applyBorder="1" applyAlignment="1">
      <alignment horizontal="center" vertical="center" wrapText="1"/>
    </xf>
    <xf numFmtId="0" fontId="6" fillId="0" borderId="7" xfId="261" applyNumberFormat="1" applyFill="1" applyBorder="1" applyAlignment="1">
      <alignment horizontal="center" vertical="center"/>
    </xf>
    <xf numFmtId="0" fontId="6" fillId="0" borderId="8" xfId="261" applyFill="1" applyBorder="1">
      <alignment vertical="center"/>
    </xf>
    <xf numFmtId="182" fontId="14" fillId="4" borderId="6" xfId="261" applyNumberFormat="1" applyFont="1" applyFill="1" applyBorder="1" applyAlignment="1" applyProtection="1">
      <alignment horizontal="center" vertical="center" shrinkToFit="1"/>
    </xf>
    <xf numFmtId="182" fontId="17" fillId="4" borderId="7" xfId="261" applyNumberFormat="1" applyFont="1" applyFill="1" applyBorder="1" applyAlignment="1" applyProtection="1">
      <alignment horizontal="center" vertical="center" shrinkToFit="1"/>
    </xf>
    <xf numFmtId="182" fontId="17" fillId="4" borderId="7" xfId="261" applyNumberFormat="1" applyFont="1" applyFill="1" applyBorder="1" applyAlignment="1" applyProtection="1">
      <alignment horizontal="center" vertical="top" shrinkToFit="1"/>
    </xf>
    <xf numFmtId="0" fontId="16" fillId="4" borderId="7" xfId="261" applyNumberFormat="1" applyFont="1" applyFill="1" applyBorder="1" applyAlignment="1">
      <alignment horizontal="center" vertical="center" shrinkToFit="1"/>
    </xf>
    <xf numFmtId="0" fontId="6" fillId="4" borderId="7" xfId="261" applyNumberFormat="1" applyFont="1" applyFill="1" applyBorder="1" applyAlignment="1" applyProtection="1">
      <alignment horizontal="center" vertical="center" shrinkToFit="1"/>
    </xf>
    <xf numFmtId="0" fontId="6" fillId="4" borderId="7" xfId="261" applyNumberFormat="1" applyFill="1" applyBorder="1" applyAlignment="1">
      <alignment horizontal="center" vertical="center" shrinkToFit="1"/>
    </xf>
    <xf numFmtId="0" fontId="6" fillId="3" borderId="7" xfId="261" applyFont="1" applyFill="1" applyBorder="1" applyAlignment="1">
      <alignment horizontal="center" vertical="center"/>
    </xf>
    <xf numFmtId="181" fontId="6" fillId="4" borderId="7" xfId="261" applyNumberFormat="1" applyFont="1" applyFill="1" applyBorder="1" applyAlignment="1">
      <alignment horizontal="center" vertical="center"/>
    </xf>
    <xf numFmtId="183" fontId="6" fillId="0" borderId="0" xfId="261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3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261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261" applyNumberFormat="1" applyBorder="1">
      <alignment vertical="center"/>
    </xf>
    <xf numFmtId="182" fontId="10" fillId="0" borderId="0" xfId="63" applyNumberFormat="1" applyFont="1" applyFill="1" applyBorder="1" applyAlignment="1" applyProtection="1">
      <alignment horizontal="center" vertical="center"/>
    </xf>
    <xf numFmtId="0" fontId="12" fillId="3" borderId="7" xfId="354" applyNumberFormat="1" applyFont="1" applyFill="1" applyBorder="1" applyAlignment="1" applyProtection="1">
      <alignment horizontal="center" vertical="center" wrapText="1"/>
    </xf>
    <xf numFmtId="14" fontId="6" fillId="0" borderId="8" xfId="261" applyNumberFormat="1" applyFill="1" applyBorder="1">
      <alignment vertical="center"/>
    </xf>
    <xf numFmtId="179" fontId="14" fillId="0" borderId="7" xfId="261" applyNumberFormat="1" applyFont="1" applyFill="1" applyBorder="1">
      <alignment vertical="center"/>
    </xf>
    <xf numFmtId="179" fontId="14" fillId="0" borderId="7" xfId="261" applyNumberFormat="1" applyFont="1" applyFill="1" applyBorder="1" applyAlignment="1">
      <alignment horizontal="center" vertical="center"/>
    </xf>
    <xf numFmtId="0" fontId="6" fillId="4" borderId="8" xfId="261" applyNumberFormat="1" applyFont="1" applyFill="1" applyBorder="1" applyAlignment="1" applyProtection="1">
      <alignment horizontal="center" vertical="center" shrinkToFit="1"/>
    </xf>
    <xf numFmtId="14" fontId="6" fillId="4" borderId="8" xfId="261" applyNumberFormat="1" applyFont="1" applyFill="1" applyBorder="1" applyAlignment="1" applyProtection="1">
      <alignment horizontal="center" vertical="center" shrinkToFit="1"/>
    </xf>
    <xf numFmtId="183" fontId="17" fillId="4" borderId="7" xfId="261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4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4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9" fontId="0" fillId="0" borderId="0" xfId="261" applyNumberFormat="1" applyFont="1" applyFill="1" applyBorder="1" applyAlignment="1">
      <alignment horizontal="left" vertical="center"/>
    </xf>
    <xf numFmtId="0" fontId="13" fillId="3" borderId="7" xfId="354" applyNumberFormat="1" applyFont="1" applyFill="1" applyBorder="1" applyAlignment="1" applyProtection="1">
      <alignment horizontal="center" vertical="center" wrapText="1"/>
    </xf>
    <xf numFmtId="179" fontId="14" fillId="4" borderId="7" xfId="261" applyNumberFormat="1" applyFont="1" applyFill="1" applyBorder="1">
      <alignment vertical="center"/>
    </xf>
    <xf numFmtId="179" fontId="14" fillId="4" borderId="10" xfId="261" applyNumberFormat="1" applyFont="1" applyFill="1" applyBorder="1" applyAlignment="1">
      <alignment horizontal="center" vertical="center"/>
    </xf>
    <xf numFmtId="179" fontId="14" fillId="4" borderId="10" xfId="261" applyNumberFormat="1" applyFont="1" applyFill="1" applyBorder="1">
      <alignment vertical="center"/>
    </xf>
    <xf numFmtId="183" fontId="14" fillId="4" borderId="10" xfId="261" applyNumberFormat="1" applyFont="1" applyFill="1" applyBorder="1" applyAlignment="1" applyProtection="1">
      <alignment horizontal="center" vertical="center"/>
    </xf>
    <xf numFmtId="181" fontId="20" fillId="4" borderId="7" xfId="244" applyNumberFormat="1" applyFont="1" applyFill="1" applyBorder="1" applyAlignment="1" applyProtection="1">
      <alignment horizontal="center" vertical="center"/>
    </xf>
    <xf numFmtId="181" fontId="25" fillId="4" borderId="7" xfId="354" applyNumberFormat="1" applyFont="1" applyFill="1" applyBorder="1" applyAlignment="1" applyProtection="1">
      <alignment horizontal="center" vertical="center"/>
    </xf>
    <xf numFmtId="183" fontId="14" fillId="0" borderId="0" xfId="261" applyNumberFormat="1" applyFont="1" applyFill="1" applyBorder="1" applyAlignment="1" applyProtection="1">
      <alignment horizontal="center" vertical="center"/>
    </xf>
    <xf numFmtId="181" fontId="10" fillId="0" borderId="0" xfId="63" applyNumberFormat="1" applyFont="1" applyFill="1" applyBorder="1" applyAlignment="1" applyProtection="1">
      <alignment horizontal="center" vertical="center" wrapText="1"/>
    </xf>
    <xf numFmtId="183" fontId="14" fillId="4" borderId="7" xfId="261" applyNumberFormat="1" applyFont="1" applyFill="1" applyBorder="1" applyAlignment="1" applyProtection="1">
      <alignment horizontal="center" vertical="center"/>
    </xf>
    <xf numFmtId="181" fontId="16" fillId="0" borderId="7" xfId="261" applyNumberFormat="1" applyFont="1" applyFill="1" applyBorder="1" applyAlignment="1">
      <alignment horizontal="center" vertical="center" wrapText="1"/>
    </xf>
    <xf numFmtId="183" fontId="14" fillId="0" borderId="7" xfId="261" applyNumberFormat="1" applyFont="1" applyFill="1" applyBorder="1" applyAlignment="1" applyProtection="1">
      <alignment horizontal="center" vertical="center"/>
    </xf>
    <xf numFmtId="181" fontId="17" fillId="4" borderId="7" xfId="261" applyNumberFormat="1" applyFont="1" applyFill="1" applyBorder="1" applyAlignment="1" applyProtection="1">
      <alignment horizontal="center" vertical="center" shrinkToFit="1"/>
    </xf>
    <xf numFmtId="183" fontId="14" fillId="4" borderId="7" xfId="261" applyNumberFormat="1" applyFont="1" applyFill="1" applyBorder="1" applyAlignment="1" applyProtection="1">
      <alignment horizontal="center" vertical="center" shrinkToFit="1"/>
    </xf>
    <xf numFmtId="181" fontId="6" fillId="0" borderId="0" xfId="0" applyNumberFormat="1" applyFont="1" applyFill="1" applyBorder="1" applyAlignment="1" applyProtection="1">
      <alignment vertical="center"/>
    </xf>
    <xf numFmtId="49" fontId="6" fillId="0" borderId="0" xfId="261" applyNumberFormat="1" applyFont="1" applyFill="1" applyBorder="1" applyAlignment="1" applyProtection="1">
      <alignment horizontal="center" vertical="center"/>
    </xf>
    <xf numFmtId="0" fontId="25" fillId="4" borderId="7" xfId="261" applyFont="1" applyFill="1" applyBorder="1" applyAlignment="1">
      <alignment horizontal="center" vertical="center"/>
    </xf>
    <xf numFmtId="0" fontId="25" fillId="4" borderId="7" xfId="261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184" fontId="14" fillId="0" borderId="0" xfId="0" applyNumberFormat="1" applyFont="1" applyFill="1" applyBorder="1" applyAlignment="1" applyProtection="1">
      <alignment horizontal="left" vertical="center"/>
      <protection locked="0"/>
    </xf>
    <xf numFmtId="185" fontId="14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84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49" fontId="24" fillId="6" borderId="7" xfId="316" applyNumberFormat="1" applyFont="1" applyFill="1" applyBorder="1" applyAlignment="1" applyProtection="1">
      <alignment horizontal="center" vertical="center" wrapText="1"/>
    </xf>
    <xf numFmtId="179" fontId="27" fillId="0" borderId="7" xfId="0" applyNumberFormat="1" applyFont="1" applyFill="1" applyBorder="1" applyAlignment="1" applyProtection="1">
      <alignment horizontal="center" vertical="center"/>
      <protection locked="0"/>
    </xf>
    <xf numFmtId="179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4" fontId="14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85" fontId="14" fillId="0" borderId="0" xfId="0" applyNumberFormat="1" applyFont="1" applyBorder="1" applyAlignment="1" applyProtection="1">
      <alignment horizontal="left" vertical="center"/>
      <protection locked="0"/>
    </xf>
    <xf numFmtId="49" fontId="38" fillId="0" borderId="7" xfId="0" applyNumberFormat="1" applyFont="1" applyFill="1" applyBorder="1" applyAlignment="1" applyProtection="1">
      <alignment horizontal="left" vertical="center"/>
    </xf>
    <xf numFmtId="14" fontId="14" fillId="0" borderId="7" xfId="0" applyNumberFormat="1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>
      <alignment vertical="center"/>
    </xf>
    <xf numFmtId="0" fontId="39" fillId="0" borderId="7" xfId="0" applyFont="1" applyFill="1" applyBorder="1" applyAlignment="1">
      <alignment vertical="center"/>
    </xf>
    <xf numFmtId="49" fontId="38" fillId="0" borderId="7" xfId="0" applyNumberFormat="1" applyFont="1" applyFill="1" applyBorder="1" applyProtection="1">
      <alignment vertical="center"/>
    </xf>
    <xf numFmtId="0" fontId="0" fillId="3" borderId="7" xfId="0" applyFill="1" applyBorder="1">
      <alignment vertical="center"/>
    </xf>
    <xf numFmtId="49" fontId="38" fillId="3" borderId="7" xfId="0" applyNumberFormat="1" applyFont="1" applyFill="1" applyBorder="1" applyProtection="1">
      <alignment vertical="center"/>
    </xf>
    <xf numFmtId="49" fontId="38" fillId="0" borderId="0" xfId="0" applyNumberFormat="1" applyFont="1" applyFill="1" applyBorder="1" applyAlignment="1" applyProtection="1">
      <alignment horizontal="left" vertical="center"/>
    </xf>
    <xf numFmtId="14" fontId="14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39" fillId="0" borderId="13" xfId="0" applyNumberFormat="1" applyFont="1" applyFill="1" applyBorder="1" applyAlignment="1">
      <alignment vertical="center"/>
    </xf>
    <xf numFmtId="49" fontId="39" fillId="0" borderId="7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37" fillId="2" borderId="5" xfId="363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40" fillId="0" borderId="7" xfId="0" applyFont="1" applyFill="1" applyBorder="1" applyAlignment="1" applyProtection="1">
      <alignment horizontal="left" vertical="center"/>
    </xf>
    <xf numFmtId="49" fontId="42" fillId="9" borderId="7" xfId="316" applyNumberFormat="1" applyFont="1" applyFill="1" applyBorder="1" applyAlignment="1" applyProtection="1">
      <alignment horizontal="center" vertical="center" wrapText="1"/>
    </xf>
    <xf numFmtId="186" fontId="0" fillId="7" borderId="7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49" fontId="38" fillId="3" borderId="7" xfId="0" applyNumberFormat="1" applyFont="1" applyFill="1" applyBorder="1" applyAlignment="1" applyProtection="1">
      <alignment horizontal="left" vertical="center"/>
    </xf>
    <xf numFmtId="186" fontId="0" fillId="3" borderId="7" xfId="0" applyNumberFormat="1" applyFont="1" applyFill="1" applyBorder="1">
      <alignment vertical="center"/>
    </xf>
    <xf numFmtId="14" fontId="14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left" vertical="center"/>
    </xf>
    <xf numFmtId="14" fontId="43" fillId="10" borderId="7" xfId="0" applyNumberFormat="1" applyFont="1" applyFill="1" applyBorder="1" applyAlignment="1">
      <alignment vertical="center"/>
    </xf>
    <xf numFmtId="0" fontId="43" fillId="0" borderId="7" xfId="0" applyNumberFormat="1" applyFont="1" applyFill="1" applyBorder="1" applyAlignment="1">
      <alignment horizontal="center" vertical="center"/>
    </xf>
    <xf numFmtId="0" fontId="37" fillId="2" borderId="5" xfId="363" applyFont="1" applyFill="1" applyBorder="1" applyAlignment="1" applyProtection="1">
      <alignment vertical="center" wrapText="1"/>
    </xf>
    <xf numFmtId="0" fontId="12" fillId="0" borderId="7" xfId="316" applyNumberFormat="1" applyFont="1" applyFill="1" applyBorder="1" applyAlignment="1" applyProtection="1">
      <alignment horizontal="left" vertical="center" wrapText="1"/>
    </xf>
    <xf numFmtId="49" fontId="44" fillId="0" borderId="7" xfId="316" applyNumberFormat="1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0" fontId="38" fillId="0" borderId="7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5" fillId="11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left" vertical="center"/>
    </xf>
    <xf numFmtId="0" fontId="32" fillId="11" borderId="7" xfId="0" applyFont="1" applyFill="1" applyBorder="1" applyAlignment="1">
      <alignment horizontal="center"/>
    </xf>
    <xf numFmtId="49" fontId="32" fillId="11" borderId="7" xfId="0" applyNumberFormat="1" applyFont="1" applyFill="1" applyBorder="1" applyAlignment="1">
      <alignment horizontal="left" vertical="center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49" fontId="32" fillId="11" borderId="7" xfId="0" applyNumberFormat="1" applyFont="1" applyFill="1" applyBorder="1" applyAlignment="1">
      <alignment horizontal="center"/>
    </xf>
    <xf numFmtId="49" fontId="32" fillId="11" borderId="7" xfId="0" applyNumberFormat="1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/>
    </xf>
    <xf numFmtId="49" fontId="34" fillId="11" borderId="7" xfId="0" applyNumberFormat="1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/>
    </xf>
    <xf numFmtId="49" fontId="50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50" fillId="0" borderId="6" xfId="0" applyNumberFormat="1" applyFont="1" applyFill="1" applyBorder="1" applyAlignment="1">
      <alignment horizontal="center"/>
    </xf>
    <xf numFmtId="49" fontId="51" fillId="0" borderId="15" xfId="0" applyNumberFormat="1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49" fontId="53" fillId="0" borderId="6" xfId="0" applyNumberFormat="1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/>
    </xf>
    <xf numFmtId="0" fontId="19" fillId="12" borderId="16" xfId="0" applyFont="1" applyFill="1" applyBorder="1" applyAlignment="1">
      <alignment horizontal="left" vertical="center"/>
    </xf>
    <xf numFmtId="4" fontId="19" fillId="12" borderId="17" xfId="0" applyNumberFormat="1" applyFont="1" applyFill="1" applyBorder="1" applyAlignment="1">
      <alignment horizontal="right" vertical="center"/>
    </xf>
    <xf numFmtId="4" fontId="19" fillId="12" borderId="6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right" vertical="center"/>
    </xf>
    <xf numFmtId="0" fontId="19" fillId="12" borderId="18" xfId="0" applyFont="1" applyFill="1" applyBorder="1" applyAlignment="1">
      <alignment horizontal="left" vertical="center"/>
    </xf>
    <xf numFmtId="4" fontId="19" fillId="12" borderId="19" xfId="0" applyNumberFormat="1" applyFont="1" applyFill="1" applyBorder="1" applyAlignment="1">
      <alignment horizontal="right" vertical="center"/>
    </xf>
    <xf numFmtId="4" fontId="19" fillId="12" borderId="20" xfId="0" applyNumberFormat="1" applyFont="1" applyFill="1" applyBorder="1" applyAlignment="1">
      <alignment horizontal="right" vertical="center"/>
    </xf>
    <xf numFmtId="4" fontId="19" fillId="12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2" fillId="0" borderId="0" xfId="0" applyFont="1" applyFill="1" applyAlignment="1">
      <alignment vertical="center"/>
    </xf>
    <xf numFmtId="0" fontId="20" fillId="12" borderId="7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4" fontId="19" fillId="12" borderId="22" xfId="0" applyNumberFormat="1" applyFont="1" applyFill="1" applyBorder="1" applyAlignment="1">
      <alignment horizontal="right" vertical="center"/>
    </xf>
    <xf numFmtId="0" fontId="50" fillId="3" borderId="15" xfId="0" applyFont="1" applyFill="1" applyBorder="1" applyAlignment="1">
      <alignment horizontal="center"/>
    </xf>
    <xf numFmtId="0" fontId="51" fillId="3" borderId="15" xfId="0" applyFont="1" applyFill="1" applyBorder="1" applyAlignment="1">
      <alignment horizontal="center"/>
    </xf>
    <xf numFmtId="0" fontId="45" fillId="0" borderId="7" xfId="0" applyFont="1" applyFill="1" applyBorder="1" applyAlignment="1">
      <alignment vertical="center"/>
    </xf>
    <xf numFmtId="0" fontId="45" fillId="11" borderId="7" xfId="0" applyFont="1" applyFill="1" applyBorder="1" applyAlignment="1">
      <alignment vertical="center"/>
    </xf>
    <xf numFmtId="0" fontId="46" fillId="0" borderId="15" xfId="0" applyFont="1" applyFill="1" applyBorder="1" applyAlignment="1">
      <alignment vertical="center"/>
    </xf>
    <xf numFmtId="0" fontId="20" fillId="12" borderId="7" xfId="0" applyNumberFormat="1" applyFont="1" applyFill="1" applyBorder="1" applyAlignment="1">
      <alignment horizontal="center" vertical="center" wrapText="1"/>
    </xf>
    <xf numFmtId="180" fontId="54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0" fontId="54" fillId="11" borderId="7" xfId="0" applyNumberFormat="1" applyFont="1" applyFill="1" applyBorder="1" applyAlignment="1">
      <alignment horizontal="left" vertical="center"/>
    </xf>
    <xf numFmtId="0" fontId="32" fillId="11" borderId="7" xfId="0" applyNumberFormat="1" applyFont="1" applyFill="1" applyBorder="1" applyAlignment="1">
      <alignment horizontal="center"/>
    </xf>
    <xf numFmtId="49" fontId="50" fillId="0" borderId="15" xfId="0" applyNumberFormat="1" applyFont="1" applyFill="1" applyBorder="1" applyAlignment="1">
      <alignment horizontal="center" vertical="center"/>
    </xf>
    <xf numFmtId="180" fontId="55" fillId="0" borderId="15" xfId="0" applyNumberFormat="1" applyFont="1" applyFill="1" applyBorder="1" applyAlignment="1">
      <alignment horizontal="left" vertical="center"/>
    </xf>
    <xf numFmtId="0" fontId="50" fillId="0" borderId="15" xfId="0" applyNumberFormat="1" applyFont="1" applyFill="1" applyBorder="1" applyAlignment="1">
      <alignment horizontal="center"/>
    </xf>
    <xf numFmtId="0" fontId="19" fillId="12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57" fillId="11" borderId="7" xfId="0" applyNumberFormat="1" applyFont="1" applyFill="1" applyBorder="1" applyAlignment="1">
      <alignment horizontal="center" vertical="center" wrapText="1"/>
    </xf>
    <xf numFmtId="0" fontId="57" fillId="11" borderId="7" xfId="0" applyNumberFormat="1" applyFont="1" applyFill="1" applyBorder="1" applyAlignment="1">
      <alignment horizontal="center" vertical="center" wrapText="1"/>
    </xf>
    <xf numFmtId="49" fontId="58" fillId="11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6" fillId="12" borderId="7" xfId="0" applyNumberFormat="1" applyFont="1" applyFill="1" applyBorder="1" applyAlignment="1">
      <alignment horizontal="right" vertical="center"/>
    </xf>
    <xf numFmtId="4" fontId="56" fillId="12" borderId="4" xfId="0" applyNumberFormat="1" applyFont="1" applyFill="1" applyBorder="1" applyAlignment="1">
      <alignment horizontal="right" vertical="center"/>
    </xf>
    <xf numFmtId="0" fontId="49" fillId="0" borderId="0" xfId="0" applyFont="1" applyFill="1" applyAlignment="1"/>
    <xf numFmtId="179" fontId="6" fillId="0" borderId="0" xfId="0" applyNumberFormat="1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0" fillId="11" borderId="0" xfId="0" applyFont="1" applyFill="1" applyAlignment="1">
      <alignment vertical="center"/>
    </xf>
    <xf numFmtId="0" fontId="57" fillId="7" borderId="8" xfId="309" applyFont="1" applyFill="1" applyBorder="1" applyAlignment="1">
      <alignment horizontal="left" vertical="center"/>
    </xf>
    <xf numFmtId="49" fontId="57" fillId="0" borderId="7" xfId="225" applyNumberFormat="1" applyFont="1" applyBorder="1" applyAlignment="1" applyProtection="1">
      <protection locked="0"/>
    </xf>
    <xf numFmtId="0" fontId="6" fillId="0" borderId="7" xfId="261" applyNumberFormat="1" applyFont="1" applyFill="1" applyBorder="1" applyAlignment="1">
      <alignment horizontal="center" vertical="center"/>
    </xf>
    <xf numFmtId="0" fontId="6" fillId="0" borderId="8" xfId="261" applyFont="1" applyFill="1" applyBorder="1" applyAlignment="1">
      <alignment vertical="center"/>
    </xf>
    <xf numFmtId="0" fontId="57" fillId="7" borderId="7" xfId="225" applyFont="1" applyFill="1" applyBorder="1" applyAlignment="1">
      <alignment horizontal="left" vertical="center"/>
    </xf>
    <xf numFmtId="14" fontId="6" fillId="0" borderId="8" xfId="261" applyNumberFormat="1" applyFont="1" applyFill="1" applyBorder="1" applyAlignment="1">
      <alignment vertical="center"/>
    </xf>
    <xf numFmtId="179" fontId="14" fillId="0" borderId="7" xfId="261" applyNumberFormat="1" applyFont="1" applyFill="1" applyBorder="1" applyAlignment="1">
      <alignment vertical="center"/>
    </xf>
    <xf numFmtId="183" fontId="6" fillId="0" borderId="0" xfId="261" applyNumberFormat="1">
      <alignment vertical="center"/>
    </xf>
    <xf numFmtId="0" fontId="61" fillId="0" borderId="0" xfId="0" applyFont="1" applyFill="1" applyAlignment="1">
      <alignment vertical="center"/>
    </xf>
    <xf numFmtId="0" fontId="62" fillId="0" borderId="7" xfId="0" applyFont="1" applyFill="1" applyBorder="1" applyAlignment="1">
      <alignment horizontal="center"/>
    </xf>
    <xf numFmtId="49" fontId="62" fillId="0" borderId="7" xfId="0" applyNumberFormat="1" applyFont="1" applyFill="1" applyBorder="1" applyAlignment="1">
      <alignment horizontal="center" vertical="center"/>
    </xf>
    <xf numFmtId="49" fontId="62" fillId="0" borderId="7" xfId="0" applyNumberFormat="1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 vertical="center"/>
    </xf>
    <xf numFmtId="49" fontId="64" fillId="0" borderId="7" xfId="0" applyNumberFormat="1" applyFont="1" applyFill="1" applyBorder="1" applyAlignment="1">
      <alignment horizontal="center" vertical="center"/>
    </xf>
    <xf numFmtId="0" fontId="62" fillId="3" borderId="7" xfId="0" applyFont="1" applyFill="1" applyBorder="1" applyAlignment="1">
      <alignment horizontal="center"/>
    </xf>
    <xf numFmtId="0" fontId="61" fillId="0" borderId="7" xfId="0" applyFont="1" applyFill="1" applyBorder="1" applyAlignment="1">
      <alignment vertical="center"/>
    </xf>
    <xf numFmtId="180" fontId="65" fillId="0" borderId="7" xfId="0" applyNumberFormat="1" applyFont="1" applyFill="1" applyBorder="1" applyAlignment="1">
      <alignment horizontal="left" vertical="center"/>
    </xf>
    <xf numFmtId="0" fontId="62" fillId="0" borderId="7" xfId="0" applyNumberFormat="1" applyFont="1" applyFill="1" applyBorder="1" applyAlignment="1">
      <alignment horizontal="center"/>
    </xf>
    <xf numFmtId="4" fontId="44" fillId="0" borderId="7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center" vertical="center" wrapText="1"/>
    </xf>
    <xf numFmtId="49" fontId="66" fillId="0" borderId="10" xfId="0" applyNumberFormat="1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49" fontId="32" fillId="0" borderId="24" xfId="0" applyNumberFormat="1" applyFont="1" applyFill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9" fillId="13" borderId="0" xfId="442" applyNumberFormat="1" applyFont="1" applyFill="1" applyBorder="1" applyAlignment="1" applyProtection="1">
      <alignment horizontal="center" vertical="center"/>
      <protection locked="0"/>
    </xf>
    <xf numFmtId="0" fontId="69" fillId="13" borderId="0" xfId="442" applyNumberFormat="1" applyFont="1" applyFill="1" applyBorder="1" applyAlignment="1" applyProtection="1">
      <alignment horizontal="left" vertical="center"/>
      <protection locked="0"/>
    </xf>
    <xf numFmtId="0" fontId="70" fillId="13" borderId="0" xfId="442" applyNumberFormat="1" applyFont="1" applyFill="1" applyBorder="1" applyAlignment="1" applyProtection="1">
      <alignment horizontal="center" vertical="center"/>
      <protection locked="0"/>
    </xf>
    <xf numFmtId="0" fontId="71" fillId="13" borderId="0" xfId="442" applyNumberFormat="1" applyFont="1" applyFill="1" applyBorder="1" applyAlignment="1" applyProtection="1">
      <alignment horizontal="left" vertical="center"/>
      <protection locked="0"/>
    </xf>
    <xf numFmtId="0" fontId="57" fillId="13" borderId="0" xfId="0" applyFont="1" applyFill="1" applyBorder="1" applyAlignment="1" applyProtection="1">
      <alignment horizontal="right" vertical="center"/>
      <protection locked="0"/>
    </xf>
    <xf numFmtId="49" fontId="72" fillId="13" borderId="0" xfId="441" applyNumberFormat="1" applyFont="1" applyFill="1" applyBorder="1" applyAlignment="1" applyProtection="1">
      <alignment horizontal="left" vertical="center"/>
      <protection locked="0"/>
    </xf>
    <xf numFmtId="0" fontId="60" fillId="13" borderId="0" xfId="0" applyFont="1" applyFill="1" applyBorder="1" applyAlignment="1" applyProtection="1">
      <alignment horizontal="left" vertical="center"/>
      <protection locked="0"/>
    </xf>
    <xf numFmtId="0" fontId="73" fillId="13" borderId="0" xfId="442" applyFont="1" applyFill="1" applyBorder="1" applyAlignment="1">
      <alignment horizontal="right" vertical="center"/>
    </xf>
    <xf numFmtId="14" fontId="74" fillId="13" borderId="0" xfId="0" applyNumberFormat="1" applyFont="1" applyFill="1" applyBorder="1" applyAlignment="1" applyProtection="1">
      <alignment horizontal="left" vertical="center"/>
      <protection locked="0"/>
    </xf>
    <xf numFmtId="0" fontId="74" fillId="13" borderId="0" xfId="0" applyFont="1" applyFill="1" applyBorder="1" applyAlignment="1" applyProtection="1">
      <alignment horizontal="right" vertical="center"/>
      <protection locked="0"/>
    </xf>
    <xf numFmtId="0" fontId="75" fillId="13" borderId="0" xfId="0" applyFont="1" applyFill="1" applyBorder="1" applyAlignment="1">
      <alignment horizontal="left" vertical="center"/>
    </xf>
    <xf numFmtId="0" fontId="71" fillId="13" borderId="0" xfId="442" applyNumberFormat="1" applyFont="1" applyFill="1" applyBorder="1" applyAlignment="1" applyProtection="1">
      <alignment horizontal="center" vertical="center"/>
      <protection locked="0"/>
    </xf>
    <xf numFmtId="0" fontId="75" fillId="13" borderId="0" xfId="0" applyFont="1" applyFill="1" applyBorder="1" applyAlignment="1" applyProtection="1">
      <alignment horizontal="left" vertical="center"/>
      <protection locked="0"/>
    </xf>
    <xf numFmtId="0" fontId="76" fillId="13" borderId="0" xfId="442" applyNumberFormat="1" applyFont="1" applyFill="1" applyBorder="1" applyAlignment="1" applyProtection="1">
      <alignment horizontal="center" vertical="center"/>
      <protection locked="0"/>
    </xf>
    <xf numFmtId="187" fontId="74" fillId="13" borderId="0" xfId="441" applyNumberFormat="1" applyFont="1" applyFill="1" applyBorder="1" applyAlignment="1" applyProtection="1">
      <alignment horizontal="left" vertical="center"/>
      <protection locked="0"/>
    </xf>
    <xf numFmtId="43" fontId="79" fillId="13" borderId="6" xfId="0" applyNumberFormat="1" applyFont="1" applyFill="1" applyBorder="1" applyAlignment="1" applyProtection="1">
      <alignment horizontal="left" vertical="center" shrinkToFit="1"/>
    </xf>
    <xf numFmtId="43" fontId="79" fillId="13" borderId="37" xfId="0" applyNumberFormat="1" applyFont="1" applyFill="1" applyBorder="1" applyAlignment="1" applyProtection="1">
      <alignment horizontal="left" vertical="center" shrinkToFit="1"/>
      <protection locked="0"/>
    </xf>
    <xf numFmtId="43" fontId="79" fillId="13" borderId="7" xfId="0" applyNumberFormat="1" applyFont="1" applyFill="1" applyBorder="1" applyAlignment="1" applyProtection="1">
      <alignment horizontal="left" vertical="center" shrinkToFit="1"/>
      <protection locked="0"/>
    </xf>
    <xf numFmtId="43" fontId="79" fillId="13" borderId="39" xfId="0" applyNumberFormat="1" applyFont="1" applyFill="1" applyBorder="1" applyAlignment="1" applyProtection="1">
      <alignment horizontal="left" vertical="center" shrinkToFit="1"/>
      <protection locked="0"/>
    </xf>
    <xf numFmtId="43" fontId="79" fillId="13" borderId="41" xfId="441" applyNumberFormat="1" applyFont="1" applyFill="1" applyBorder="1" applyAlignment="1" applyProtection="1">
      <alignment horizontal="left" vertical="center" shrinkToFit="1"/>
      <protection locked="0"/>
    </xf>
    <xf numFmtId="43" fontId="79" fillId="13" borderId="45" xfId="441" applyNumberFormat="1" applyFont="1" applyFill="1" applyBorder="1" applyAlignment="1" applyProtection="1">
      <alignment horizontal="left" vertical="center" shrinkToFit="1"/>
      <protection locked="0"/>
    </xf>
    <xf numFmtId="189" fontId="80" fillId="13" borderId="0" xfId="441" applyNumberFormat="1" applyFont="1" applyFill="1" applyBorder="1" applyAlignment="1" applyProtection="1">
      <alignment horizontal="left" vertical="center"/>
      <protection locked="0"/>
    </xf>
    <xf numFmtId="0" fontId="81" fillId="0" borderId="25" xfId="439" applyFont="1" applyFill="1" applyBorder="1" applyAlignment="1">
      <alignment horizontal="center" vertical="center" wrapText="1"/>
    </xf>
    <xf numFmtId="0" fontId="81" fillId="0" borderId="46" xfId="439" applyFont="1" applyFill="1" applyBorder="1" applyAlignment="1">
      <alignment horizontal="center" vertical="center" wrapText="1"/>
    </xf>
    <xf numFmtId="184" fontId="81" fillId="0" borderId="46" xfId="439" applyNumberFormat="1" applyFont="1" applyFill="1" applyBorder="1" applyAlignment="1">
      <alignment horizontal="center" vertical="center" wrapText="1"/>
    </xf>
    <xf numFmtId="190" fontId="81" fillId="0" borderId="46" xfId="439" applyNumberFormat="1" applyFont="1" applyFill="1" applyBorder="1" applyAlignment="1">
      <alignment horizontal="center" vertical="center" wrapText="1"/>
    </xf>
    <xf numFmtId="0" fontId="81" fillId="0" borderId="47" xfId="439" applyFont="1" applyFill="1" applyBorder="1" applyAlignment="1">
      <alignment horizontal="center" vertical="center" wrapText="1"/>
    </xf>
    <xf numFmtId="0" fontId="58" fillId="0" borderId="38" xfId="439" applyFont="1" applyFill="1" applyBorder="1" applyAlignment="1">
      <alignment horizontal="center" vertical="center"/>
    </xf>
    <xf numFmtId="0" fontId="58" fillId="0" borderId="7" xfId="439" applyFont="1" applyFill="1" applyBorder="1" applyAlignment="1">
      <alignment horizontal="center" vertical="center"/>
    </xf>
    <xf numFmtId="184" fontId="58" fillId="0" borderId="7" xfId="439" applyNumberFormat="1" applyFont="1" applyFill="1" applyBorder="1" applyAlignment="1">
      <alignment horizontal="center" vertical="center"/>
    </xf>
    <xf numFmtId="190" fontId="58" fillId="0" borderId="7" xfId="439" applyNumberFormat="1" applyFont="1" applyFill="1" applyBorder="1" applyAlignment="1">
      <alignment horizontal="right" vertical="center"/>
    </xf>
    <xf numFmtId="0" fontId="58" fillId="0" borderId="39" xfId="439" applyFont="1" applyFill="1" applyBorder="1" applyAlignment="1">
      <alignment horizontal="left" vertical="center"/>
    </xf>
    <xf numFmtId="43" fontId="58" fillId="0" borderId="7" xfId="439" applyNumberFormat="1" applyFont="1" applyFill="1" applyBorder="1" applyAlignment="1">
      <alignment vertical="center"/>
    </xf>
    <xf numFmtId="43" fontId="58" fillId="0" borderId="7" xfId="439" applyNumberFormat="1" applyFont="1" applyFill="1" applyBorder="1" applyAlignment="1">
      <alignment horizontal="center" vertical="center"/>
    </xf>
    <xf numFmtId="0" fontId="58" fillId="0" borderId="39" xfId="439" applyFont="1" applyFill="1" applyBorder="1" applyAlignment="1">
      <alignment vertical="center" wrapText="1"/>
    </xf>
    <xf numFmtId="190" fontId="42" fillId="0" borderId="7" xfId="439" applyNumberFormat="1" applyFont="1" applyFill="1" applyBorder="1" applyAlignment="1">
      <alignment horizontal="right" vertical="center"/>
    </xf>
    <xf numFmtId="0" fontId="58" fillId="0" borderId="39" xfId="439" applyFont="1" applyFill="1" applyBorder="1" applyAlignment="1">
      <alignment vertical="center"/>
    </xf>
    <xf numFmtId="0" fontId="58" fillId="0" borderId="7" xfId="439" applyFont="1" applyFill="1" applyBorder="1" applyAlignment="1">
      <alignment horizontal="center" vertical="center" wrapText="1"/>
    </xf>
    <xf numFmtId="190" fontId="37" fillId="14" borderId="7" xfId="439" applyNumberFormat="1" applyFont="1" applyFill="1" applyBorder="1" applyAlignment="1">
      <alignment vertical="center"/>
    </xf>
    <xf numFmtId="0" fontId="58" fillId="14" borderId="39" xfId="439" applyFont="1" applyFill="1" applyBorder="1" applyAlignment="1">
      <alignment horizontal="left" vertical="center"/>
    </xf>
    <xf numFmtId="190" fontId="37" fillId="14" borderId="41" xfId="439" applyNumberFormat="1" applyFont="1" applyFill="1" applyBorder="1" applyAlignment="1">
      <alignment vertical="center"/>
    </xf>
    <xf numFmtId="0" fontId="58" fillId="14" borderId="45" xfId="439" applyFont="1" applyFill="1" applyBorder="1" applyAlignment="1">
      <alignment horizontal="left" vertical="center"/>
    </xf>
    <xf numFmtId="187" fontId="74" fillId="13" borderId="0" xfId="441" applyNumberFormat="1" applyFont="1" applyFill="1" applyBorder="1" applyAlignment="1" applyProtection="1">
      <alignment horizontal="right" vertical="center"/>
      <protection locked="0"/>
    </xf>
    <xf numFmtId="0" fontId="20" fillId="13" borderId="0" xfId="442" applyFont="1" applyFill="1" applyBorder="1" applyAlignment="1">
      <alignment horizontal="right" vertical="center"/>
    </xf>
    <xf numFmtId="14" fontId="72" fillId="13" borderId="0" xfId="0" applyNumberFormat="1" applyFont="1" applyFill="1" applyBorder="1" applyAlignment="1" applyProtection="1">
      <alignment horizontal="left" vertical="center"/>
      <protection locked="0"/>
    </xf>
    <xf numFmtId="0" fontId="82" fillId="13" borderId="0" xfId="442" applyNumberFormat="1" applyFont="1" applyFill="1" applyBorder="1" applyAlignment="1" applyProtection="1">
      <alignment horizontal="right" vertical="center"/>
      <protection locked="0"/>
    </xf>
    <xf numFmtId="0" fontId="83" fillId="13" borderId="0" xfId="442" applyNumberFormat="1" applyFont="1" applyFill="1" applyBorder="1" applyAlignment="1" applyProtection="1">
      <alignment horizontal="left" vertical="center"/>
      <protection locked="0"/>
    </xf>
    <xf numFmtId="0" fontId="85" fillId="13" borderId="0" xfId="442" applyNumberFormat="1" applyFont="1" applyFill="1" applyBorder="1" applyAlignment="1" applyProtection="1">
      <alignment horizontal="left" vertical="center"/>
      <protection locked="0"/>
    </xf>
    <xf numFmtId="0" fontId="86" fillId="13" borderId="0" xfId="442" applyNumberFormat="1" applyFont="1" applyFill="1" applyBorder="1" applyAlignment="1" applyProtection="1">
      <alignment horizontal="left" vertical="center"/>
      <protection locked="0"/>
    </xf>
    <xf numFmtId="0" fontId="87" fillId="13" borderId="0" xfId="442" applyNumberFormat="1" applyFont="1" applyFill="1" applyBorder="1" applyAlignment="1" applyProtection="1">
      <alignment horizontal="left" vertical="center"/>
      <protection locked="0"/>
    </xf>
    <xf numFmtId="0" fontId="88" fillId="13" borderId="0" xfId="442" applyNumberFormat="1" applyFont="1" applyFill="1" applyBorder="1" applyAlignment="1" applyProtection="1">
      <alignment horizontal="left" vertical="center"/>
      <protection locked="0"/>
    </xf>
    <xf numFmtId="0" fontId="87" fillId="13" borderId="0" xfId="442" applyNumberFormat="1" applyFont="1" applyFill="1" applyBorder="1" applyAlignment="1" applyProtection="1">
      <alignment horizontal="right" vertical="center"/>
      <protection locked="0"/>
    </xf>
    <xf numFmtId="49" fontId="89" fillId="13" borderId="0" xfId="442" applyNumberFormat="1" applyFont="1" applyFill="1" applyBorder="1" applyAlignment="1" applyProtection="1">
      <alignment horizontal="left" vertical="center"/>
      <protection locked="0"/>
    </xf>
    <xf numFmtId="0" fontId="90" fillId="13" borderId="0" xfId="0" applyFont="1" applyFill="1" applyBorder="1" applyAlignment="1">
      <alignment horizontal="left" vertical="center"/>
    </xf>
    <xf numFmtId="0" fontId="91" fillId="13" borderId="0" xfId="0" applyFont="1" applyFill="1" applyAlignment="1">
      <alignment vertical="center"/>
    </xf>
    <xf numFmtId="49" fontId="80" fillId="13" borderId="0" xfId="441" applyNumberFormat="1" applyFont="1" applyFill="1" applyBorder="1" applyAlignment="1" applyProtection="1">
      <alignment horizontal="left" vertical="center"/>
      <protection locked="0"/>
    </xf>
    <xf numFmtId="49" fontId="73" fillId="13" borderId="0" xfId="442" applyNumberFormat="1" applyFont="1" applyFill="1" applyBorder="1" applyAlignment="1" applyProtection="1">
      <alignment horizontal="left" vertical="center"/>
      <protection locked="0"/>
    </xf>
    <xf numFmtId="49" fontId="74" fillId="13" borderId="0" xfId="441" applyNumberFormat="1" applyFont="1" applyFill="1" applyBorder="1" applyAlignment="1" applyProtection="1">
      <alignment horizontal="left" vertical="center"/>
      <protection locked="0"/>
    </xf>
    <xf numFmtId="49" fontId="57" fillId="0" borderId="7" xfId="225" quotePrefix="1" applyNumberFormat="1" applyFont="1" applyBorder="1" applyAlignment="1" applyProtection="1">
      <protection locked="0"/>
    </xf>
    <xf numFmtId="49" fontId="34" fillId="0" borderId="7" xfId="0" quotePrefix="1" applyNumberFormat="1" applyFont="1" applyFill="1" applyBorder="1" applyAlignment="1">
      <alignment horizontal="center" vertical="center"/>
    </xf>
    <xf numFmtId="49" fontId="64" fillId="0" borderId="7" xfId="0" quotePrefix="1" applyNumberFormat="1" applyFont="1" applyFill="1" applyBorder="1" applyAlignment="1">
      <alignment horizontal="center" vertical="center"/>
    </xf>
    <xf numFmtId="0" fontId="15" fillId="0" borderId="7" xfId="261" quotePrefix="1" applyFont="1" applyFill="1" applyBorder="1" applyAlignment="1">
      <alignment horizontal="center" vertical="center" wrapText="1"/>
    </xf>
    <xf numFmtId="0" fontId="0" fillId="3" borderId="7" xfId="0" quotePrefix="1" applyFill="1" applyBorder="1">
      <alignment vertical="center"/>
    </xf>
    <xf numFmtId="0" fontId="31" fillId="0" borderId="0" xfId="0" quotePrefix="1" applyFont="1" applyFill="1" applyAlignment="1">
      <alignment vertical="center"/>
    </xf>
    <xf numFmtId="0" fontId="68" fillId="13" borderId="0" xfId="442" applyFont="1" applyFill="1" applyBorder="1" applyAlignment="1">
      <alignment horizontal="center" vertical="center"/>
    </xf>
    <xf numFmtId="0" fontId="75" fillId="13" borderId="0" xfId="0" applyFont="1" applyFill="1" applyBorder="1" applyAlignment="1">
      <alignment horizontal="left" vertical="center"/>
    </xf>
    <xf numFmtId="0" fontId="75" fillId="13" borderId="0" xfId="0" applyFont="1" applyFill="1" applyAlignment="1">
      <alignment horizontal="left" vertical="center"/>
    </xf>
    <xf numFmtId="0" fontId="77" fillId="13" borderId="25" xfId="0" applyFont="1" applyFill="1" applyBorder="1" applyAlignment="1" applyProtection="1">
      <alignment horizontal="center" vertical="center"/>
      <protection locked="0"/>
    </xf>
    <xf numFmtId="0" fontId="77" fillId="13" borderId="26" xfId="0" applyFont="1" applyFill="1" applyBorder="1" applyAlignment="1" applyProtection="1">
      <alignment horizontal="center" vertical="center"/>
      <protection locked="0"/>
    </xf>
    <xf numFmtId="0" fontId="84" fillId="13" borderId="0" xfId="442" applyNumberFormat="1" applyFont="1" applyFill="1" applyBorder="1" applyAlignment="1" applyProtection="1">
      <alignment horizontal="right" vertical="center"/>
      <protection locked="0"/>
    </xf>
    <xf numFmtId="0" fontId="13" fillId="13" borderId="27" xfId="440" applyNumberFormat="1" applyFont="1" applyFill="1" applyBorder="1" applyAlignment="1" applyProtection="1">
      <alignment horizontal="left" vertical="center"/>
      <protection locked="0"/>
    </xf>
    <xf numFmtId="0" fontId="13" fillId="13" borderId="6" xfId="440" applyNumberFormat="1" applyFont="1" applyFill="1" applyBorder="1" applyAlignment="1" applyProtection="1">
      <alignment horizontal="left" vertical="center"/>
      <protection locked="0"/>
    </xf>
    <xf numFmtId="43" fontId="78" fillId="13" borderId="8" xfId="0" applyNumberFormat="1" applyFont="1" applyFill="1" applyBorder="1" applyAlignment="1" applyProtection="1">
      <alignment horizontal="left" vertical="center" shrinkToFit="1"/>
    </xf>
    <xf numFmtId="43" fontId="78" fillId="13" borderId="9" xfId="0" applyNumberFormat="1" applyFont="1" applyFill="1" applyBorder="1" applyAlignment="1" applyProtection="1">
      <alignment horizontal="left" vertical="center" shrinkToFit="1"/>
    </xf>
    <xf numFmtId="43" fontId="78" fillId="13" borderId="28" xfId="0" applyNumberFormat="1" applyFont="1" applyFill="1" applyBorder="1" applyAlignment="1" applyProtection="1">
      <alignment horizontal="left" vertical="center" shrinkToFit="1"/>
    </xf>
    <xf numFmtId="0" fontId="88" fillId="13" borderId="0" xfId="442" applyNumberFormat="1" applyFont="1" applyFill="1" applyBorder="1" applyAlignment="1" applyProtection="1">
      <alignment horizontal="left" vertical="center"/>
      <protection locked="0"/>
    </xf>
    <xf numFmtId="0" fontId="13" fillId="13" borderId="29" xfId="440" applyNumberFormat="1" applyFont="1" applyFill="1" applyBorder="1" applyAlignment="1" applyProtection="1">
      <alignment horizontal="left" vertical="center"/>
      <protection locked="0"/>
    </xf>
    <xf numFmtId="0" fontId="13" fillId="13" borderId="30" xfId="440" applyNumberFormat="1" applyFont="1" applyFill="1" applyBorder="1" applyAlignment="1" applyProtection="1">
      <alignment horizontal="left" vertical="center"/>
      <protection locked="0"/>
    </xf>
    <xf numFmtId="178" fontId="78" fillId="13" borderId="31" xfId="0" applyNumberFormat="1" applyFont="1" applyFill="1" applyBorder="1" applyAlignment="1" applyProtection="1">
      <alignment horizontal="right" vertical="center" shrinkToFit="1"/>
    </xf>
    <xf numFmtId="178" fontId="78" fillId="13" borderId="32" xfId="0" applyNumberFormat="1" applyFont="1" applyFill="1" applyBorder="1" applyAlignment="1" applyProtection="1">
      <alignment horizontal="right" vertical="center" shrinkToFit="1"/>
    </xf>
    <xf numFmtId="178" fontId="78" fillId="13" borderId="33" xfId="0" applyNumberFormat="1" applyFont="1" applyFill="1" applyBorder="1" applyAlignment="1" applyProtection="1">
      <alignment horizontal="right" vertical="center" shrinkToFit="1"/>
    </xf>
    <xf numFmtId="0" fontId="75" fillId="13" borderId="0" xfId="96" applyFont="1" applyFill="1" applyBorder="1" applyAlignment="1">
      <alignment horizontal="left" vertical="center"/>
    </xf>
    <xf numFmtId="0" fontId="75" fillId="13" borderId="0" xfId="96" applyFont="1" applyFill="1" applyAlignment="1">
      <alignment horizontal="left" vertical="center"/>
    </xf>
    <xf numFmtId="0" fontId="25" fillId="13" borderId="27" xfId="441" applyNumberFormat="1" applyFont="1" applyFill="1" applyBorder="1" applyAlignment="1" applyProtection="1">
      <alignment horizontal="left" vertical="center"/>
      <protection locked="0"/>
    </xf>
    <xf numFmtId="0" fontId="25" fillId="13" borderId="6" xfId="441" applyNumberFormat="1" applyFont="1" applyFill="1" applyBorder="1" applyAlignment="1" applyProtection="1">
      <alignment horizontal="left" vertical="center"/>
      <protection locked="0"/>
    </xf>
    <xf numFmtId="0" fontId="25" fillId="13" borderId="34" xfId="441" applyNumberFormat="1" applyFont="1" applyFill="1" applyBorder="1" applyAlignment="1" applyProtection="1">
      <alignment horizontal="left" vertical="center"/>
      <protection locked="0"/>
    </xf>
    <xf numFmtId="0" fontId="25" fillId="13" borderId="35" xfId="441" applyNumberFormat="1" applyFont="1" applyFill="1" applyBorder="1" applyAlignment="1" applyProtection="1">
      <alignment horizontal="left" vertical="center"/>
      <protection locked="0"/>
    </xf>
    <xf numFmtId="0" fontId="25" fillId="13" borderId="36" xfId="441" applyNumberFormat="1" applyFont="1" applyFill="1" applyBorder="1" applyAlignment="1" applyProtection="1">
      <alignment horizontal="left" vertical="center"/>
      <protection locked="0"/>
    </xf>
    <xf numFmtId="0" fontId="75" fillId="13" borderId="0" xfId="96" applyFont="1" applyFill="1" applyBorder="1" applyAlignment="1">
      <alignment horizontal="left" vertical="center" wrapText="1"/>
    </xf>
    <xf numFmtId="0" fontId="75" fillId="13" borderId="0" xfId="96" applyFont="1" applyFill="1" applyAlignment="1">
      <alignment horizontal="left" vertical="center" wrapText="1"/>
    </xf>
    <xf numFmtId="0" fontId="14" fillId="13" borderId="38" xfId="115" applyFont="1" applyFill="1" applyBorder="1" applyAlignment="1">
      <alignment vertical="center"/>
    </xf>
    <xf numFmtId="0" fontId="14" fillId="13" borderId="7" xfId="115" applyFont="1" applyFill="1" applyBorder="1" applyAlignment="1">
      <alignment vertical="center"/>
    </xf>
    <xf numFmtId="0" fontId="14" fillId="13" borderId="8" xfId="115" applyFont="1" applyFill="1" applyBorder="1" applyAlignment="1">
      <alignment horizontal="left" vertical="center"/>
    </xf>
    <xf numFmtId="0" fontId="14" fillId="13" borderId="9" xfId="115" applyFont="1" applyFill="1" applyBorder="1" applyAlignment="1">
      <alignment horizontal="left" vertical="center"/>
    </xf>
    <xf numFmtId="0" fontId="14" fillId="13" borderId="10" xfId="115" applyFont="1" applyFill="1" applyBorder="1" applyAlignment="1">
      <alignment horizontal="left" vertical="center"/>
    </xf>
    <xf numFmtId="49" fontId="20" fillId="13" borderId="0" xfId="442" applyNumberFormat="1" applyFont="1" applyFill="1" applyBorder="1" applyAlignment="1" applyProtection="1">
      <alignment horizontal="left" vertical="center"/>
      <protection locked="0"/>
    </xf>
    <xf numFmtId="0" fontId="14" fillId="13" borderId="40" xfId="115" applyFont="1" applyFill="1" applyBorder="1" applyAlignment="1">
      <alignment vertical="center"/>
    </xf>
    <xf numFmtId="0" fontId="14" fillId="13" borderId="41" xfId="115" applyFont="1" applyFill="1" applyBorder="1" applyAlignment="1">
      <alignment vertical="center"/>
    </xf>
    <xf numFmtId="188" fontId="25" fillId="13" borderId="42" xfId="441" applyNumberFormat="1" applyFont="1" applyFill="1" applyBorder="1" applyAlignment="1" applyProtection="1">
      <alignment horizontal="left" vertical="center"/>
      <protection locked="0"/>
    </xf>
    <xf numFmtId="188" fontId="25" fillId="13" borderId="43" xfId="441" applyNumberFormat="1" applyFont="1" applyFill="1" applyBorder="1" applyAlignment="1" applyProtection="1">
      <alignment horizontal="left" vertical="center"/>
      <protection locked="0"/>
    </xf>
    <xf numFmtId="188" fontId="25" fillId="13" borderId="44" xfId="441" applyNumberFormat="1" applyFont="1" applyFill="1" applyBorder="1" applyAlignment="1" applyProtection="1">
      <alignment horizontal="left" vertical="center"/>
      <protection locked="0"/>
    </xf>
    <xf numFmtId="49" fontId="57" fillId="13" borderId="0" xfId="441" applyNumberFormat="1" applyFont="1" applyFill="1" applyBorder="1" applyAlignment="1" applyProtection="1">
      <alignment horizontal="left" vertical="center"/>
      <protection locked="0"/>
    </xf>
    <xf numFmtId="0" fontId="70" fillId="13" borderId="0" xfId="442" applyNumberFormat="1" applyFont="1" applyFill="1" applyBorder="1" applyAlignment="1" applyProtection="1">
      <alignment horizontal="center" vertical="center"/>
      <protection locked="0"/>
    </xf>
    <xf numFmtId="0" fontId="81" fillId="0" borderId="46" xfId="439" applyFont="1" applyFill="1" applyBorder="1" applyAlignment="1">
      <alignment horizontal="center" vertical="center" wrapText="1"/>
    </xf>
    <xf numFmtId="43" fontId="58" fillId="0" borderId="7" xfId="439" applyNumberFormat="1" applyFont="1" applyFill="1" applyBorder="1" applyAlignment="1">
      <alignment horizontal="left" vertical="center"/>
    </xf>
    <xf numFmtId="43" fontId="42" fillId="0" borderId="7" xfId="439" applyNumberFormat="1" applyFont="1" applyFill="1" applyBorder="1" applyAlignment="1">
      <alignment horizontal="center" vertical="center"/>
    </xf>
    <xf numFmtId="10" fontId="42" fillId="0" borderId="7" xfId="439" applyNumberFormat="1" applyFont="1" applyFill="1" applyBorder="1" applyAlignment="1">
      <alignment horizontal="center" vertical="center"/>
    </xf>
    <xf numFmtId="0" fontId="37" fillId="14" borderId="38" xfId="439" applyFont="1" applyFill="1" applyBorder="1" applyAlignment="1">
      <alignment horizontal="center" vertical="center"/>
    </xf>
    <xf numFmtId="0" fontId="37" fillId="14" borderId="7" xfId="439" applyFont="1" applyFill="1" applyBorder="1" applyAlignment="1">
      <alignment horizontal="center" vertical="center"/>
    </xf>
    <xf numFmtId="0" fontId="37" fillId="14" borderId="40" xfId="439" applyFont="1" applyFill="1" applyBorder="1" applyAlignment="1">
      <alignment horizontal="center" vertical="center"/>
    </xf>
    <xf numFmtId="0" fontId="37" fillId="14" borderId="41" xfId="439" applyFont="1" applyFill="1" applyBorder="1" applyAlignment="1">
      <alignment horizontal="center" vertical="center"/>
    </xf>
    <xf numFmtId="0" fontId="58" fillId="0" borderId="7" xfId="439" applyFont="1" applyFill="1" applyBorder="1" applyAlignment="1">
      <alignment horizontal="center" vertical="center"/>
    </xf>
    <xf numFmtId="0" fontId="14" fillId="13" borderId="0" xfId="0" applyFont="1" applyFill="1" applyAlignment="1">
      <alignment horizontal="left" vertical="center" wrapText="1"/>
    </xf>
    <xf numFmtId="179" fontId="24" fillId="5" borderId="0" xfId="261" applyNumberFormat="1" applyFont="1" applyFill="1" applyBorder="1" applyAlignment="1">
      <alignment horizontal="center" vertical="center"/>
    </xf>
    <xf numFmtId="0" fontId="12" fillId="3" borderId="8" xfId="354" applyNumberFormat="1" applyFont="1" applyFill="1" applyBorder="1" applyAlignment="1" applyProtection="1">
      <alignment horizontal="center" vertical="center" wrapText="1"/>
    </xf>
    <xf numFmtId="0" fontId="12" fillId="3" borderId="9" xfId="354" applyNumberFormat="1" applyFont="1" applyFill="1" applyBorder="1" applyAlignment="1" applyProtection="1">
      <alignment horizontal="center" vertical="center" wrapText="1"/>
    </xf>
    <xf numFmtId="0" fontId="12" fillId="3" borderId="10" xfId="354" applyNumberFormat="1" applyFont="1" applyFill="1" applyBorder="1" applyAlignment="1" applyProtection="1">
      <alignment horizontal="center" vertical="center" wrapText="1"/>
    </xf>
    <xf numFmtId="0" fontId="13" fillId="3" borderId="8" xfId="354" applyNumberFormat="1" applyFont="1" applyFill="1" applyBorder="1" applyAlignment="1" applyProtection="1">
      <alignment horizontal="center" vertical="center" wrapText="1"/>
    </xf>
    <xf numFmtId="0" fontId="13" fillId="3" borderId="9" xfId="354" applyNumberFormat="1" applyFont="1" applyFill="1" applyBorder="1" applyAlignment="1" applyProtection="1">
      <alignment horizontal="center" vertical="center" wrapText="1"/>
    </xf>
    <xf numFmtId="0" fontId="13" fillId="3" borderId="10" xfId="354" applyNumberFormat="1" applyFont="1" applyFill="1" applyBorder="1" applyAlignment="1" applyProtection="1">
      <alignment horizontal="center" vertical="center" wrapText="1"/>
    </xf>
    <xf numFmtId="182" fontId="11" fillId="3" borderId="5" xfId="63" applyNumberFormat="1" applyFont="1" applyFill="1" applyBorder="1" applyAlignment="1" applyProtection="1">
      <alignment horizontal="center" vertical="center"/>
    </xf>
    <xf numFmtId="182" fontId="11" fillId="3" borderId="6" xfId="63" applyNumberFormat="1" applyFont="1" applyFill="1" applyBorder="1" applyAlignment="1" applyProtection="1">
      <alignment horizontal="center" vertical="center"/>
    </xf>
    <xf numFmtId="182" fontId="8" fillId="3" borderId="5" xfId="63" applyNumberFormat="1" applyFont="1" applyFill="1" applyBorder="1" applyAlignment="1" applyProtection="1">
      <alignment horizontal="center" vertical="center"/>
    </xf>
    <xf numFmtId="182" fontId="8" fillId="3" borderId="6" xfId="63" applyNumberFormat="1" applyFont="1" applyFill="1" applyBorder="1" applyAlignment="1" applyProtection="1">
      <alignment horizontal="center" vertical="center"/>
    </xf>
    <xf numFmtId="0" fontId="8" fillId="3" borderId="5" xfId="63" applyNumberFormat="1" applyFont="1" applyFill="1" applyBorder="1" applyAlignment="1" applyProtection="1">
      <alignment horizontal="center" vertical="center" wrapText="1"/>
    </xf>
    <xf numFmtId="0" fontId="8" fillId="3" borderId="6" xfId="63" applyNumberFormat="1" applyFont="1" applyFill="1" applyBorder="1" applyAlignment="1" applyProtection="1">
      <alignment horizontal="center" vertical="center" wrapText="1"/>
    </xf>
    <xf numFmtId="0" fontId="12" fillId="3" borderId="5" xfId="354" applyNumberFormat="1" applyFont="1" applyFill="1" applyBorder="1" applyAlignment="1" applyProtection="1">
      <alignment horizontal="center" vertical="center" wrapText="1"/>
    </xf>
    <xf numFmtId="0" fontId="12" fillId="3" borderId="6" xfId="354" applyNumberFormat="1" applyFont="1" applyFill="1" applyBorder="1" applyAlignment="1" applyProtection="1">
      <alignment horizontal="center" vertical="center" wrapText="1"/>
    </xf>
    <xf numFmtId="0" fontId="13" fillId="3" borderId="5" xfId="354" applyNumberFormat="1" applyFont="1" applyFill="1" applyBorder="1" applyAlignment="1" applyProtection="1">
      <alignment horizontal="center" vertical="center" wrapText="1"/>
    </xf>
    <xf numFmtId="0" fontId="13" fillId="3" borderId="6" xfId="354" applyNumberFormat="1" applyFont="1" applyFill="1" applyBorder="1" applyAlignment="1" applyProtection="1">
      <alignment horizontal="center" vertical="center" wrapText="1"/>
    </xf>
    <xf numFmtId="14" fontId="12" fillId="3" borderId="5" xfId="354" applyNumberFormat="1" applyFont="1" applyFill="1" applyBorder="1" applyAlignment="1" applyProtection="1">
      <alignment horizontal="center" vertical="center" wrapText="1"/>
    </xf>
    <xf numFmtId="14" fontId="12" fillId="3" borderId="6" xfId="354" applyNumberFormat="1" applyFont="1" applyFill="1" applyBorder="1" applyAlignment="1" applyProtection="1">
      <alignment horizontal="center" vertical="center" wrapText="1"/>
    </xf>
    <xf numFmtId="181" fontId="13" fillId="3" borderId="5" xfId="354" applyNumberFormat="1" applyFont="1" applyFill="1" applyBorder="1" applyAlignment="1" applyProtection="1">
      <alignment horizontal="center" vertical="center" wrapText="1"/>
    </xf>
    <xf numFmtId="181" fontId="13" fillId="3" borderId="6" xfId="354" applyNumberFormat="1" applyFont="1" applyFill="1" applyBorder="1" applyAlignment="1" applyProtection="1">
      <alignment horizontal="center" vertical="center" wrapText="1"/>
    </xf>
    <xf numFmtId="0" fontId="11" fillId="3" borderId="5" xfId="63" applyNumberFormat="1" applyFont="1" applyFill="1" applyBorder="1" applyAlignment="1" applyProtection="1">
      <alignment horizontal="center" vertical="center" wrapText="1"/>
    </xf>
    <xf numFmtId="0" fontId="11" fillId="3" borderId="6" xfId="63" applyNumberFormat="1" applyFont="1" applyFill="1" applyBorder="1" applyAlignment="1" applyProtection="1">
      <alignment horizontal="center" vertical="center" wrapText="1"/>
    </xf>
    <xf numFmtId="181" fontId="8" fillId="3" borderId="5" xfId="63" applyNumberFormat="1" applyFont="1" applyFill="1" applyBorder="1" applyAlignment="1" applyProtection="1">
      <alignment horizontal="center" vertical="center" wrapText="1"/>
    </xf>
    <xf numFmtId="181" fontId="8" fillId="3" borderId="6" xfId="63" applyNumberFormat="1" applyFont="1" applyFill="1" applyBorder="1" applyAlignment="1" applyProtection="1">
      <alignment horizontal="center" vertical="center" wrapText="1"/>
    </xf>
    <xf numFmtId="49" fontId="12" fillId="3" borderId="5" xfId="354" applyNumberFormat="1" applyFont="1" applyFill="1" applyBorder="1" applyAlignment="1" applyProtection="1">
      <alignment horizontal="center" vertical="center" wrapText="1"/>
    </xf>
    <xf numFmtId="49" fontId="12" fillId="3" borderId="6" xfId="354" applyNumberFormat="1" applyFont="1" applyFill="1" applyBorder="1" applyAlignment="1" applyProtection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7" xfId="0" applyNumberFormat="1" applyFont="1" applyFill="1" applyBorder="1" applyAlignment="1">
      <alignment horizontal="center" vertical="center" wrapText="1"/>
    </xf>
    <xf numFmtId="4" fontId="57" fillId="0" borderId="7" xfId="0" applyNumberFormat="1" applyFont="1" applyFill="1" applyBorder="1" applyAlignment="1">
      <alignment horizontal="center" vertical="center" wrapText="1"/>
    </xf>
    <xf numFmtId="4" fontId="44" fillId="0" borderId="7" xfId="0" applyNumberFormat="1" applyFont="1" applyFill="1" applyBorder="1" applyAlignment="1">
      <alignment horizontal="center" vertical="center" wrapText="1"/>
    </xf>
    <xf numFmtId="4" fontId="19" fillId="12" borderId="15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23" fillId="12" borderId="7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/>
    <xf numFmtId="0" fontId="21" fillId="12" borderId="7" xfId="0" applyFont="1" applyFill="1" applyBorder="1" applyAlignment="1">
      <alignment horizontal="center" vertical="center" wrapText="1"/>
    </xf>
    <xf numFmtId="0" fontId="56" fillId="12" borderId="10" xfId="0" applyFont="1" applyFill="1" applyBorder="1" applyAlignment="1">
      <alignment horizontal="center" vertical="center" wrapText="1"/>
    </xf>
    <xf numFmtId="4" fontId="57" fillId="11" borderId="7" xfId="0" applyNumberFormat="1" applyFont="1" applyFill="1" applyBorder="1" applyAlignment="1">
      <alignment horizontal="center" vertical="center" wrapText="1"/>
    </xf>
    <xf numFmtId="49" fontId="42" fillId="9" borderId="7" xfId="316" applyNumberFormat="1" applyFont="1" applyFill="1" applyBorder="1" applyAlignment="1" applyProtection="1">
      <alignment horizontal="center" vertical="center" wrapText="1"/>
    </xf>
    <xf numFmtId="49" fontId="42" fillId="9" borderId="7" xfId="363" applyNumberFormat="1" applyFont="1" applyFill="1" applyBorder="1" applyAlignment="1" applyProtection="1">
      <alignment horizontal="center" vertical="center" wrapText="1"/>
    </xf>
    <xf numFmtId="49" fontId="37" fillId="6" borderId="5" xfId="363" applyNumberFormat="1" applyFont="1" applyFill="1" applyBorder="1" applyAlignment="1" applyProtection="1">
      <alignment horizontal="center" vertical="center" wrapText="1"/>
    </xf>
    <xf numFmtId="49" fontId="37" fillId="6" borderId="11" xfId="363" applyNumberFormat="1" applyFont="1" applyFill="1" applyBorder="1" applyAlignment="1" applyProtection="1">
      <alignment horizontal="center" vertical="center" wrapText="1"/>
    </xf>
    <xf numFmtId="49" fontId="37" fillId="9" borderId="5" xfId="363" applyNumberFormat="1" applyFont="1" applyFill="1" applyBorder="1" applyAlignment="1" applyProtection="1">
      <alignment horizontal="center" vertical="center" wrapText="1"/>
    </xf>
    <xf numFmtId="49" fontId="37" fillId="9" borderId="11" xfId="363" applyNumberFormat="1" applyFont="1" applyFill="1" applyBorder="1" applyAlignment="1" applyProtection="1">
      <alignment horizontal="center" vertical="center" wrapText="1"/>
    </xf>
    <xf numFmtId="49" fontId="37" fillId="9" borderId="12" xfId="363" applyNumberFormat="1" applyFont="1" applyFill="1" applyBorder="1" applyAlignment="1" applyProtection="1">
      <alignment horizontal="center" vertical="center" wrapText="1"/>
    </xf>
    <xf numFmtId="49" fontId="37" fillId="9" borderId="6" xfId="363" applyNumberFormat="1" applyFont="1" applyFill="1" applyBorder="1" applyAlignment="1" applyProtection="1">
      <alignment horizontal="center" vertical="center" wrapText="1"/>
    </xf>
    <xf numFmtId="185" fontId="37" fillId="9" borderId="5" xfId="363" applyNumberFormat="1" applyFont="1" applyFill="1" applyBorder="1" applyAlignment="1" applyProtection="1">
      <alignment horizontal="center" vertical="center" wrapText="1"/>
    </xf>
    <xf numFmtId="185" fontId="37" fillId="9" borderId="12" xfId="363" applyNumberFormat="1" applyFont="1" applyFill="1" applyBorder="1" applyAlignment="1" applyProtection="1">
      <alignment horizontal="center" vertical="center" wrapText="1"/>
    </xf>
    <xf numFmtId="49" fontId="41" fillId="9" borderId="5" xfId="363" applyNumberFormat="1" applyFont="1" applyFill="1" applyBorder="1" applyAlignment="1" applyProtection="1">
      <alignment horizontal="center" vertical="center" wrapText="1"/>
    </xf>
    <xf numFmtId="49" fontId="41" fillId="9" borderId="12" xfId="363" applyNumberFormat="1" applyFont="1" applyFill="1" applyBorder="1" applyAlignment="1" applyProtection="1">
      <alignment horizontal="center" vertical="center" wrapText="1"/>
    </xf>
    <xf numFmtId="49" fontId="37" fillId="6" borderId="12" xfId="363" applyNumberFormat="1" applyFont="1" applyFill="1" applyBorder="1" applyAlignment="1" applyProtection="1">
      <alignment horizontal="center" vertical="center" wrapText="1"/>
    </xf>
    <xf numFmtId="49" fontId="24" fillId="6" borderId="7" xfId="316" applyNumberFormat="1" applyFont="1" applyFill="1" applyBorder="1" applyAlignment="1" applyProtection="1">
      <alignment horizontal="center" vertical="center" wrapText="1"/>
    </xf>
    <xf numFmtId="49" fontId="24" fillId="6" borderId="7" xfId="363" applyNumberFormat="1" applyFont="1" applyFill="1" applyBorder="1" applyAlignment="1" applyProtection="1">
      <alignment horizontal="center" vertical="center" wrapText="1"/>
    </xf>
    <xf numFmtId="49" fontId="29" fillId="6" borderId="7" xfId="363" applyNumberFormat="1" applyFont="1" applyFill="1" applyBorder="1" applyAlignment="1" applyProtection="1">
      <alignment horizontal="center" vertical="center" wrapText="1"/>
    </xf>
    <xf numFmtId="184" fontId="29" fillId="6" borderId="7" xfId="363" applyNumberFormat="1" applyFont="1" applyFill="1" applyBorder="1" applyAlignment="1" applyProtection="1">
      <alignment horizontal="center" vertical="center" wrapText="1"/>
    </xf>
    <xf numFmtId="185" fontId="24" fillId="6" borderId="7" xfId="363" applyNumberFormat="1" applyFont="1" applyFill="1" applyBorder="1" applyAlignment="1" applyProtection="1">
      <alignment horizontal="center" vertical="center" wrapText="1"/>
    </xf>
    <xf numFmtId="49" fontId="36" fillId="6" borderId="7" xfId="363" applyNumberFormat="1" applyFont="1" applyFill="1" applyBorder="1" applyAlignment="1" applyProtection="1">
      <alignment horizontal="center" vertical="center" wrapText="1"/>
    </xf>
    <xf numFmtId="49" fontId="29" fillId="8" borderId="7" xfId="316" applyNumberFormat="1" applyFont="1" applyFill="1" applyBorder="1" applyAlignment="1" applyProtection="1">
      <alignment horizontal="center" vertical="center" wrapText="1"/>
    </xf>
    <xf numFmtId="0" fontId="37" fillId="3" borderId="7" xfId="316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6"/>
    <cellStyle name="??&amp;O龡&amp;H?_x0008_??_x0007__x0001__x0001_" xfId="41"/>
    <cellStyle name="??_x005f_x0011_?_x005f_x0010_?" xfId="63"/>
    <cellStyle name="_ET_STYLE_NoName_00_" xfId="54"/>
    <cellStyle name="_ET_STYLE_NoName_00__北区长促工资1004_3" xfId="64"/>
    <cellStyle name="_ET_STYLE_NoName_00__南区长促工资1004_5" xfId="58"/>
    <cellStyle name="_ET_STYLE_NoName_-01_ 3 3 3 2" xfId="5"/>
    <cellStyle name="0,0_x000a__x000a_NA_x000a__x000a_" xfId="67"/>
    <cellStyle name="0,0_x000d__x000a_NA_x000d__x000a_" xfId="22"/>
    <cellStyle name="20% - 强调文字颜色 1 2" xfId="2"/>
    <cellStyle name="20% - 强调文字颜色 1 2 2" xfId="69"/>
    <cellStyle name="20% - 强调文字颜色 1 2 3" xfId="59"/>
    <cellStyle name="20% - 强调文字颜色 1 3" xfId="61"/>
    <cellStyle name="20% - 强调文字颜色 1 3 2" xfId="65"/>
    <cellStyle name="20% - 强调文字颜色 1 4" xfId="60"/>
    <cellStyle name="20% - 强调文字颜色 1 5" xfId="56"/>
    <cellStyle name="20% - 强调文字颜色 2 2" xfId="71"/>
    <cellStyle name="20% - 强调文字颜色 2 2 2" xfId="73"/>
    <cellStyle name="20% - 强调文字颜色 2 2 3" xfId="75"/>
    <cellStyle name="20% - 强调文字颜色 2 3" xfId="77"/>
    <cellStyle name="20% - 强调文字颜色 2 3 2" xfId="79"/>
    <cellStyle name="20% - 强调文字颜色 2 4" xfId="81"/>
    <cellStyle name="20% - 强调文字颜色 2 5" xfId="83"/>
    <cellStyle name="20% - 强调文字颜色 3 2" xfId="85"/>
    <cellStyle name="20% - 强调文字颜色 3 2 2" xfId="87"/>
    <cellStyle name="20% - 强调文字颜色 3 2 3" xfId="89"/>
    <cellStyle name="20% - 强调文字颜色 3 3" xfId="32"/>
    <cellStyle name="20% - 强调文字颜色 3 3 2" xfId="52"/>
    <cellStyle name="20% - 强调文字颜色 3 4" xfId="92"/>
    <cellStyle name="20% - 强调文字颜色 3 5" xfId="94"/>
    <cellStyle name="20% - 强调文字颜色 4 2" xfId="97"/>
    <cellStyle name="20% - 强调文字颜色 4 2 2" xfId="100"/>
    <cellStyle name="20% - 强调文字颜色 4 2 3" xfId="103"/>
    <cellStyle name="20% - 强调文字颜色 4 3" xfId="106"/>
    <cellStyle name="20% - 强调文字颜色 4 3 2" xfId="108"/>
    <cellStyle name="20% - 强调文字颜色 4 4" xfId="111"/>
    <cellStyle name="20% - 强调文字颜色 4 5" xfId="15"/>
    <cellStyle name="20% - 强调文字颜色 5 2" xfId="113"/>
    <cellStyle name="20% - 强调文字颜色 5 2 2" xfId="116"/>
    <cellStyle name="20% - 强调文字颜色 5 2 3" xfId="117"/>
    <cellStyle name="20% - 强调文字颜色 5 3" xfId="119"/>
    <cellStyle name="20% - 强调文字颜色 5 3 2" xfId="122"/>
    <cellStyle name="20% - 强调文字颜色 5 4" xfId="124"/>
    <cellStyle name="20% - 强调文字颜色 5 5" xfId="126"/>
    <cellStyle name="20% - 强调文字颜色 6 2" xfId="127"/>
    <cellStyle name="20% - 强调文字颜色 6 2 2" xfId="129"/>
    <cellStyle name="20% - 强调文字颜色 6 2 3" xfId="131"/>
    <cellStyle name="20% - 强调文字颜色 6 3" xfId="132"/>
    <cellStyle name="20% - 强调文字颜色 6 3 2" xfId="134"/>
    <cellStyle name="20% - 强调文字颜色 6 4" xfId="137"/>
    <cellStyle name="20% - 强调文字颜色 6 5" xfId="140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7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5"/>
    <cellStyle name="40% - 强调文字颜色 3 2 2" xfId="157"/>
    <cellStyle name="40% - 强调文字颜色 3 2 3" xfId="158"/>
    <cellStyle name="40% - 强调文字颜色 3 3" xfId="160"/>
    <cellStyle name="40% - 强调文字颜色 3 3 2" xfId="162"/>
    <cellStyle name="40% - 强调文字颜色 3 4" xfId="165"/>
    <cellStyle name="40% - 强调文字颜色 3 5" xfId="166"/>
    <cellStyle name="40% - 强调文字颜色 4 2" xfId="26"/>
    <cellStyle name="40% - 强调文字颜色 4 2 2" xfId="171"/>
    <cellStyle name="40% - 强调文字颜色 4 2 3" xfId="175"/>
    <cellStyle name="40% - 强调文字颜色 4 3" xfId="178"/>
    <cellStyle name="40% - 强调文字颜色 4 3 2" xfId="40"/>
    <cellStyle name="40% - 强调文字颜色 4 4" xfId="128"/>
    <cellStyle name="40% - 强调文字颜色 4 5" xfId="130"/>
    <cellStyle name="40% - 强调文字颜色 5 2" xfId="181"/>
    <cellStyle name="40% - 强调文字颜色 5 2 2" xfId="139"/>
    <cellStyle name="40% - 强调文字颜色 5 2 3" xfId="183"/>
    <cellStyle name="40% - 强调文字颜色 5 3" xfId="185"/>
    <cellStyle name="40% - 强调文字颜色 5 3 2" xfId="187"/>
    <cellStyle name="40% - 强调文字颜色 5 4" xfId="133"/>
    <cellStyle name="40% - 强调文字颜色 5 5" xfId="188"/>
    <cellStyle name="40% - 强调文字颜色 6 2" xfId="191"/>
    <cellStyle name="40% - 强调文字颜色 6 2 2" xfId="192"/>
    <cellStyle name="40% - 强调文字颜色 6 2 3" xfId="193"/>
    <cellStyle name="40% - 强调文字颜色 6 3" xfId="196"/>
    <cellStyle name="40% - 强调文字颜色 6 3 2" xfId="198"/>
    <cellStyle name="40% - 强调文字颜色 6 4" xfId="201"/>
    <cellStyle name="40% - 强调文字颜色 6 5" xfId="30"/>
    <cellStyle name="60% - 强调文字颜色 1 2" xfId="91"/>
    <cellStyle name="60% - 强调文字颜色 1 2 2" xfId="202"/>
    <cellStyle name="60% - 强调文字颜色 1 2 3" xfId="203"/>
    <cellStyle name="60% - 强调文字颜色 1 3" xfId="93"/>
    <cellStyle name="60% - 强调文字颜色 1 3 2" xfId="204"/>
    <cellStyle name="60% - 强调文字颜色 1 4" xfId="205"/>
    <cellStyle name="60% - 强调文字颜色 1 5" xfId="208"/>
    <cellStyle name="60% - 强调文字颜色 2 2" xfId="110"/>
    <cellStyle name="60% - 强调文字颜色 2 2 2" xfId="20"/>
    <cellStyle name="60% - 强调文字颜色 2 2 3" xfId="209"/>
    <cellStyle name="60% - 强调文字颜色 2 3" xfId="14"/>
    <cellStyle name="60% - 强调文字颜色 2 3 2" xfId="212"/>
    <cellStyle name="60% - 强调文字颜色 2 4" xfId="214"/>
    <cellStyle name="60% - 强调文字颜色 2 5" xfId="217"/>
    <cellStyle name="60% - 强调文字颜色 3 2" xfId="123"/>
    <cellStyle name="60% - 强调文字颜色 3 2 2" xfId="219"/>
    <cellStyle name="60% - 强调文字颜色 3 2 3" xfId="220"/>
    <cellStyle name="60% - 强调文字颜色 3 3" xfId="125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29"/>
    <cellStyle name="60% - 强调文字颜色 4 3" xfId="138"/>
    <cellStyle name="60% - 强调文字颜色 4 3 2" xfId="224"/>
    <cellStyle name="60% - 强调文字颜色 4 4" xfId="182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6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4"/>
    <cellStyle name="Normal_08'前程工资8月" xfId="238"/>
    <cellStyle name="百分比 2" xfId="246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3"/>
    <cellStyle name="标题 4 2 3" xfId="276"/>
    <cellStyle name="标题 4 3" xfId="278"/>
    <cellStyle name="标题 4 3 2" xfId="280"/>
    <cellStyle name="标题 4 4" xfId="170"/>
    <cellStyle name="标题 4 5" xfId="174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2"/>
    <cellStyle name="差 3" xfId="297"/>
    <cellStyle name="差 3 2" xfId="298"/>
    <cellStyle name="差 4" xfId="245"/>
    <cellStyle name="差 5" xfId="120"/>
    <cellStyle name="常规" xfId="0" builtinId="0"/>
    <cellStyle name="常规 11" xfId="261"/>
    <cellStyle name="常规 11 2" xfId="299"/>
    <cellStyle name="常规 11 3" xfId="301"/>
    <cellStyle name="常规 12" xfId="302"/>
    <cellStyle name="常规 12 2" xfId="303"/>
    <cellStyle name="常规 12 3" xfId="304"/>
    <cellStyle name="常规 14" xfId="306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5"/>
    <cellStyle name="常规 2 3 2" xfId="318"/>
    <cellStyle name="常规 2 3 2 2" xfId="300"/>
    <cellStyle name="常规 2 3 2 3" xfId="68"/>
    <cellStyle name="常规 2 3 3" xfId="319"/>
    <cellStyle name="常规 2 3 4" xfId="320"/>
    <cellStyle name="常规 2 4" xfId="322"/>
    <cellStyle name="常规 2 4 2" xfId="323"/>
    <cellStyle name="常规 2 5" xfId="325"/>
    <cellStyle name="常规 2 5 2" xfId="327"/>
    <cellStyle name="常规 2 6" xfId="329"/>
    <cellStyle name="常规 2 6 2" xfId="331"/>
    <cellStyle name="常规 2 6 2 2" xfId="332"/>
    <cellStyle name="常规 25" xfId="163"/>
    <cellStyle name="常规 27" xfId="333"/>
    <cellStyle name="常规 3" xfId="96"/>
    <cellStyle name="常规 3 2" xfId="99"/>
    <cellStyle name="常规 3 2 2" xfId="335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1"/>
    <cellStyle name="常规 3 5 2" xfId="343"/>
    <cellStyle name="常规 3 5 3" xfId="236"/>
    <cellStyle name="常规 4" xfId="105"/>
    <cellStyle name="常规 4 2" xfId="107"/>
    <cellStyle name="常规 4 2 2" xfId="345"/>
    <cellStyle name="常规 4 3" xfId="347"/>
    <cellStyle name="常规 4 4" xfId="344"/>
    <cellStyle name="常规 5" xfId="109"/>
    <cellStyle name="常规 5 2" xfId="19"/>
    <cellStyle name="常规 6" xfId="13"/>
    <cellStyle name="常规 6 2" xfId="211"/>
    <cellStyle name="常规 7" xfId="213"/>
    <cellStyle name="常规 7 2" xfId="348"/>
    <cellStyle name="常规 7 3" xfId="11"/>
    <cellStyle name="常规 8" xfId="216"/>
    <cellStyle name="常规 8 2" xfId="34"/>
    <cellStyle name="常规 8 3" xfId="27"/>
    <cellStyle name="常规 8 4" xfId="350"/>
    <cellStyle name="常规 9" xfId="351"/>
    <cellStyle name="常规_0705 UL South CS meeting (chonghua)" xfId="439"/>
    <cellStyle name="常规_Sheet1" xfId="363"/>
    <cellStyle name="常规_创联至信12年工资表sn803808" xfId="225"/>
    <cellStyle name="常规_付款通知书智联（神数系统）" xfId="354"/>
    <cellStyle name="常规_全国客服表格" xfId="316"/>
    <cellStyle name="好 2" xfId="55"/>
    <cellStyle name="好 2 2" xfId="355"/>
    <cellStyle name="好 2 3" xfId="180"/>
    <cellStyle name="好 3" xfId="356"/>
    <cellStyle name="好 3 2" xfId="258"/>
    <cellStyle name="好 4" xfId="357"/>
    <cellStyle name="好 5" xfId="266"/>
    <cellStyle name="汇总 2" xfId="358"/>
    <cellStyle name="汇总 2 2" xfId="277"/>
    <cellStyle name="汇总 2 2 2" xfId="279"/>
    <cellStyle name="汇总 2 3" xfId="169"/>
    <cellStyle name="汇总 2 3 2" xfId="360"/>
    <cellStyle name="汇总 2 4" xfId="173"/>
    <cellStyle name="汇总 3" xfId="252"/>
    <cellStyle name="汇总 3 2" xfId="286"/>
    <cellStyle name="汇总 3 2 2" xfId="45"/>
    <cellStyle name="汇总 3 3" xfId="39"/>
    <cellStyle name="汇总 4" xfId="361"/>
    <cellStyle name="汇总 4 2" xfId="4"/>
    <cellStyle name="汇总 5" xfId="362"/>
    <cellStyle name="汇总 5 2" xfId="365"/>
    <cellStyle name="计算 2" xfId="10"/>
    <cellStyle name="计算 2 2" xfId="154"/>
    <cellStyle name="计算 2 2 2" xfId="156"/>
    <cellStyle name="计算 2 3" xfId="159"/>
    <cellStyle name="计算 2 3 2" xfId="161"/>
    <cellStyle name="计算 2 4" xfId="164"/>
    <cellStyle name="计算 3" xfId="46"/>
    <cellStyle name="计算 3 2" xfId="25"/>
    <cellStyle name="计算 3 2 2" xfId="168"/>
    <cellStyle name="计算 3 3" xfId="177"/>
    <cellStyle name="计算 4" xfId="47"/>
    <cellStyle name="计算 4 2" xfId="179"/>
    <cellStyle name="计算 5" xfId="51"/>
    <cellStyle name="计算 5 2" xfId="190"/>
    <cellStyle name="检查单元格 2" xfId="167"/>
    <cellStyle name="检查单元格 2 2" xfId="359"/>
    <cellStyle name="检查单元格 2 3" xfId="366"/>
    <cellStyle name="检查单元格 3" xfId="172"/>
    <cellStyle name="检查单元格 3 2" xfId="35"/>
    <cellStyle name="检查单元格 4" xfId="367"/>
    <cellStyle name="检查单元格 5" xfId="368"/>
    <cellStyle name="解释性文本 2" xfId="369"/>
    <cellStyle name="解释性文本 2 2" xfId="16"/>
    <cellStyle name="解释性文本 2 3" xfId="281"/>
    <cellStyle name="解释性文本 3" xfId="197"/>
    <cellStyle name="解释性文本 3 2" xfId="370"/>
    <cellStyle name="解释性文本 4" xfId="371"/>
    <cellStyle name="解释性文本 5" xfId="294"/>
    <cellStyle name="警告文本 2" xfId="353"/>
    <cellStyle name="警告文本 2 2" xfId="207"/>
    <cellStyle name="警告文本 2 3" xfId="243"/>
    <cellStyle name="警告文本 3" xfId="373"/>
    <cellStyle name="警告文本 3 2" xfId="215"/>
    <cellStyle name="警告文本 4" xfId="374"/>
    <cellStyle name="警告文本 5" xfId="375"/>
    <cellStyle name="链接单元格 2" xfId="377"/>
    <cellStyle name="链接单元格 2 2" xfId="379"/>
    <cellStyle name="链接单元格 2 3" xfId="380"/>
    <cellStyle name="链接单元格 3" xfId="38"/>
    <cellStyle name="链接单元格 3 2" xfId="1"/>
    <cellStyle name="链接单元格 4" xfId="43"/>
    <cellStyle name="链接单元格 5" xfId="7"/>
    <cellStyle name="千位分隔 2" xfId="381"/>
    <cellStyle name="千位分隔 2 2" xfId="382"/>
    <cellStyle name="千位分隔 3" xfId="274"/>
    <cellStyle name="强调文字颜色 1 2" xfId="383"/>
    <cellStyle name="强调文字颜色 1 2 2" xfId="384"/>
    <cellStyle name="强调文字颜色 1 2 3" xfId="18"/>
    <cellStyle name="强调文字颜色 1 3" xfId="385"/>
    <cellStyle name="强调文字颜色 1 3 2" xfId="386"/>
    <cellStyle name="强调文字颜色 1 4" xfId="283"/>
    <cellStyle name="强调文字颜色 1 5" xfId="285"/>
    <cellStyle name="强调文字颜色 2 2" xfId="387"/>
    <cellStyle name="强调文字颜色 2 2 2" xfId="388"/>
    <cellStyle name="强调文字颜色 2 2 3" xfId="218"/>
    <cellStyle name="强调文字颜色 2 3" xfId="389"/>
    <cellStyle name="强调文字颜色 2 3 2" xfId="8"/>
    <cellStyle name="强调文字颜色 2 4" xfId="289"/>
    <cellStyle name="强调文字颜色 2 5" xfId="3"/>
    <cellStyle name="强调文字颜色 3 2" xfId="391"/>
    <cellStyle name="强调文字颜色 3 2 2" xfId="195"/>
    <cellStyle name="强调文字颜色 3 2 3" xfId="199"/>
    <cellStyle name="强调文字颜色 3 3" xfId="392"/>
    <cellStyle name="强调文字颜色 3 3 2" xfId="305"/>
    <cellStyle name="强调文字颜色 3 4" xfId="393"/>
    <cellStyle name="强调文字颜色 3 5" xfId="364"/>
    <cellStyle name="强调文字颜色 4 2" xfId="324"/>
    <cellStyle name="强调文字颜色 4 2 2" xfId="326"/>
    <cellStyle name="强调文字颜色 4 2 3" xfId="228"/>
    <cellStyle name="强调文字颜色 4 3" xfId="328"/>
    <cellStyle name="强调文字颜色 4 3 2" xfId="330"/>
    <cellStyle name="强调文字颜色 4 4" xfId="394"/>
    <cellStyle name="强调文字颜色 4 5" xfId="396"/>
    <cellStyle name="强调文字颜色 5 2" xfId="340"/>
    <cellStyle name="强调文字颜色 5 2 2" xfId="342"/>
    <cellStyle name="强调文字颜色 5 2 3" xfId="235"/>
    <cellStyle name="强调文字颜色 5 3" xfId="397"/>
    <cellStyle name="强调文字颜色 5 3 2" xfId="398"/>
    <cellStyle name="强调文字颜色 5 4" xfId="399"/>
    <cellStyle name="强调文字颜色 5 5" xfId="66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49"/>
    <cellStyle name="强调文字颜色 6 4" xfId="404"/>
    <cellStyle name="强调文字颜色 6 5" xfId="405"/>
    <cellStyle name="适中 2" xfId="50"/>
    <cellStyle name="适中 2 2" xfId="189"/>
    <cellStyle name="适中 2 3" xfId="194"/>
    <cellStyle name="适中 3" xfId="406"/>
    <cellStyle name="适中 3 2" xfId="407"/>
    <cellStyle name="适中 4" xfId="334"/>
    <cellStyle name="适中 5" xfId="408"/>
    <cellStyle name="输出 2" xfId="42"/>
    <cellStyle name="输出 2 2" xfId="70"/>
    <cellStyle name="输出 2 2 2" xfId="72"/>
    <cellStyle name="输出 2 2 2 2" xfId="409"/>
    <cellStyle name="输出 2 2 3" xfId="74"/>
    <cellStyle name="输出 2 3" xfId="76"/>
    <cellStyle name="输出 2 3 2" xfId="78"/>
    <cellStyle name="输出 2 3 2 2" xfId="410"/>
    <cellStyle name="输出 2 3 3" xfId="411"/>
    <cellStyle name="输出 2 4" xfId="80"/>
    <cellStyle name="输出 2 4 2" xfId="24"/>
    <cellStyle name="输出 2 5" xfId="82"/>
    <cellStyle name="输出 3" xfId="6"/>
    <cellStyle name="输出 3 2" xfId="84"/>
    <cellStyle name="输出 3 2 2" xfId="86"/>
    <cellStyle name="输出 3 2 2 2" xfId="412"/>
    <cellStyle name="输出 3 2 3" xfId="88"/>
    <cellStyle name="输出 3 3" xfId="31"/>
    <cellStyle name="输出 3 3 2" xfId="49"/>
    <cellStyle name="输出 3 4" xfId="90"/>
    <cellStyle name="输出 4" xfId="44"/>
    <cellStyle name="输出 4 2" xfId="95"/>
    <cellStyle name="输出 4 2 2" xfId="98"/>
    <cellStyle name="输出 4 3" xfId="104"/>
    <cellStyle name="输出 5" xfId="33"/>
    <cellStyle name="输出 5 2" xfId="112"/>
    <cellStyle name="输出 5 2 2" xfId="114"/>
    <cellStyle name="输出 5 3" xfId="118"/>
    <cellStyle name="输入 2" xfId="395"/>
    <cellStyle name="输入 2 2" xfId="414"/>
    <cellStyle name="输入 2 2 2" xfId="176"/>
    <cellStyle name="输入 2 3" xfId="416"/>
    <cellStyle name="输入 2 3 2" xfId="184"/>
    <cellStyle name="输入 2 4" xfId="390"/>
    <cellStyle name="输入 3" xfId="417"/>
    <cellStyle name="输入 3 2" xfId="314"/>
    <cellStyle name="输入 3 2 2" xfId="317"/>
    <cellStyle name="输入 3 3" xfId="321"/>
    <cellStyle name="输入 4" xfId="418"/>
    <cellStyle name="输入 4 2" xfId="101"/>
    <cellStyle name="输入 5" xfId="419"/>
    <cellStyle name="输入 5 2" xfId="346"/>
    <cellStyle name="㼿㼿㼿㼿? 2" xfId="442"/>
    <cellStyle name="㼿㼿㼿㼿㼿" xfId="440"/>
    <cellStyle name="㼿㼿㼿㼿㼿㼿㼿" xfId="441"/>
    <cellStyle name="样式 1" xfId="270"/>
    <cellStyle name="样式 1 2" xfId="420"/>
    <cellStyle name="样式 2" xfId="421"/>
    <cellStyle name="样式 2 2" xfId="422"/>
    <cellStyle name="样式 2 3" xfId="423"/>
    <cellStyle name="样式 2 4" xfId="413"/>
    <cellStyle name="样式 2 5" xfId="415"/>
    <cellStyle name="注释 2" xfId="210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6"/>
    <cellStyle name="注释 2 3 2 2" xfId="378"/>
    <cellStyle name="注释 2 3 3" xfId="37"/>
    <cellStyle name="注释 2 4" xfId="428"/>
    <cellStyle name="注释 2 4 2" xfId="291"/>
    <cellStyle name="注释 2 5" xfId="429"/>
    <cellStyle name="注释 3" xfId="430"/>
    <cellStyle name="注释 3 2" xfId="431"/>
    <cellStyle name="注释 3 2 2" xfId="23"/>
    <cellStyle name="注释 3 2 2 2" xfId="135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2"/>
    <cellStyle name="注释 5 2 2" xfId="206"/>
    <cellStyle name="注释 5 3" xfId="372"/>
  </cellStyles>
  <dxfs count="10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colors>
    <mruColors>
      <color rgb="FF79EBA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J28" sqref="J28"/>
    </sheetView>
  </sheetViews>
  <sheetFormatPr defaultColWidth="9" defaultRowHeight="13.5"/>
  <cols>
    <col min="1" max="2" width="9" style="256"/>
    <col min="3" max="3" width="10.75" style="256" customWidth="1"/>
    <col min="4" max="4" width="16.75" style="256" customWidth="1"/>
    <col min="5" max="5" width="11.75" style="256" customWidth="1"/>
    <col min="6" max="6" width="9" style="256"/>
    <col min="7" max="7" width="10.75" style="256" customWidth="1"/>
    <col min="8" max="12" width="9" style="256"/>
    <col min="13" max="13" width="9.5" style="256" customWidth="1"/>
    <col min="14" max="14" width="16.5" style="256" customWidth="1"/>
    <col min="15" max="16384" width="9" style="256"/>
  </cols>
  <sheetData>
    <row r="1" spans="1:14" ht="25.5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4.25">
      <c r="A2" s="257"/>
      <c r="B2" s="258"/>
      <c r="C2" s="258"/>
      <c r="D2" s="259"/>
      <c r="E2" s="259"/>
      <c r="F2" s="259"/>
      <c r="G2" s="257"/>
      <c r="H2" s="257"/>
      <c r="I2" s="257"/>
      <c r="J2" s="259"/>
      <c r="K2" s="259"/>
      <c r="L2" s="259"/>
      <c r="M2" s="259"/>
      <c r="N2" s="259"/>
    </row>
    <row r="3" spans="1:14">
      <c r="A3" s="260"/>
      <c r="B3" s="261"/>
      <c r="C3" s="262"/>
      <c r="D3" s="263"/>
      <c r="E3" s="264"/>
      <c r="F3" s="264"/>
      <c r="G3" s="265"/>
      <c r="H3" s="266"/>
      <c r="I3" s="261"/>
      <c r="J3" s="262"/>
      <c r="K3" s="263"/>
      <c r="L3" s="299"/>
      <c r="M3" s="259"/>
      <c r="N3" s="259"/>
    </row>
    <row r="4" spans="1:14">
      <c r="A4" s="260"/>
      <c r="B4" s="322" t="s">
        <v>1</v>
      </c>
      <c r="C4" s="322"/>
      <c r="D4" s="322"/>
      <c r="E4" s="322"/>
      <c r="F4" s="323"/>
      <c r="G4" s="267"/>
      <c r="H4" s="266"/>
      <c r="K4" s="259"/>
      <c r="L4" s="300"/>
      <c r="M4" s="301"/>
      <c r="N4" s="259"/>
    </row>
    <row r="5" spans="1:14">
      <c r="A5" s="268"/>
      <c r="B5" s="269" t="s">
        <v>2</v>
      </c>
      <c r="C5" s="263"/>
      <c r="D5" s="263"/>
      <c r="E5" s="263"/>
      <c r="F5" s="263"/>
      <c r="G5" s="263"/>
      <c r="H5" s="270"/>
      <c r="I5" s="266"/>
      <c r="J5" s="261"/>
      <c r="K5" s="262"/>
      <c r="L5" s="299"/>
      <c r="M5" s="259"/>
      <c r="N5" s="259"/>
    </row>
    <row r="6" spans="1:14" ht="9.75" customHeight="1">
      <c r="A6" s="271"/>
      <c r="B6" s="271"/>
      <c r="C6" s="271"/>
      <c r="D6" s="271"/>
      <c r="E6" s="271"/>
      <c r="F6" s="271"/>
      <c r="G6" s="271"/>
      <c r="H6" s="271"/>
      <c r="I6" s="302"/>
      <c r="J6" s="302"/>
      <c r="K6" s="303"/>
      <c r="L6" s="303"/>
      <c r="M6" s="303"/>
      <c r="N6" s="303"/>
    </row>
    <row r="7" spans="1:14" ht="14.25">
      <c r="A7" s="271"/>
      <c r="B7" s="324" t="s">
        <v>3</v>
      </c>
      <c r="C7" s="325"/>
      <c r="D7" s="325"/>
      <c r="E7" s="325"/>
      <c r="F7" s="325"/>
      <c r="G7" s="325"/>
      <c r="H7" s="325"/>
      <c r="I7" s="326" t="s">
        <v>4</v>
      </c>
      <c r="J7" s="326"/>
      <c r="K7" s="304"/>
      <c r="L7" s="258"/>
      <c r="M7" s="258"/>
      <c r="N7" s="305"/>
    </row>
    <row r="8" spans="1:14" ht="14.25">
      <c r="A8" s="271"/>
      <c r="B8" s="327" t="s">
        <v>5</v>
      </c>
      <c r="C8" s="328"/>
      <c r="D8" s="328"/>
      <c r="E8" s="329">
        <f>D10</f>
        <v>37550.82</v>
      </c>
      <c r="F8" s="330"/>
      <c r="G8" s="330"/>
      <c r="H8" s="331"/>
      <c r="I8" s="306"/>
      <c r="J8" s="332" t="s">
        <v>6</v>
      </c>
      <c r="K8" s="332"/>
      <c r="L8" s="332"/>
      <c r="M8" s="332"/>
      <c r="N8" s="332"/>
    </row>
    <row r="9" spans="1:14">
      <c r="A9" s="271"/>
      <c r="B9" s="333" t="s">
        <v>7</v>
      </c>
      <c r="C9" s="334"/>
      <c r="D9" s="334"/>
      <c r="E9" s="335">
        <f>G24</f>
        <v>37550.82</v>
      </c>
      <c r="F9" s="336"/>
      <c r="G9" s="336"/>
      <c r="H9" s="337"/>
      <c r="I9" s="307"/>
      <c r="J9" s="338" t="s">
        <v>8</v>
      </c>
      <c r="K9" s="338"/>
      <c r="L9" s="338"/>
      <c r="M9" s="338"/>
      <c r="N9" s="339"/>
    </row>
    <row r="10" spans="1:14" ht="14.25">
      <c r="A10" s="271"/>
      <c r="B10" s="340" t="s">
        <v>9</v>
      </c>
      <c r="C10" s="341"/>
      <c r="D10" s="272">
        <f>G24</f>
        <v>37550.82</v>
      </c>
      <c r="E10" s="342" t="s">
        <v>10</v>
      </c>
      <c r="F10" s="343"/>
      <c r="G10" s="344"/>
      <c r="H10" s="273">
        <v>0</v>
      </c>
      <c r="I10" s="308"/>
      <c r="J10" s="345" t="s">
        <v>11</v>
      </c>
      <c r="K10" s="345"/>
      <c r="L10" s="345"/>
      <c r="M10" s="345"/>
      <c r="N10" s="346"/>
    </row>
    <row r="11" spans="1:14" ht="14.25">
      <c r="A11" s="271"/>
      <c r="B11" s="347" t="s">
        <v>12</v>
      </c>
      <c r="C11" s="348"/>
      <c r="D11" s="274"/>
      <c r="E11" s="349" t="s">
        <v>13</v>
      </c>
      <c r="F11" s="350"/>
      <c r="G11" s="351"/>
      <c r="H11" s="275"/>
      <c r="I11" s="309"/>
      <c r="J11" s="310"/>
      <c r="K11" s="309"/>
      <c r="L11" s="309"/>
      <c r="M11" s="309"/>
      <c r="N11" s="311"/>
    </row>
    <row r="12" spans="1:14">
      <c r="A12" s="268"/>
      <c r="B12" s="347" t="s">
        <v>14</v>
      </c>
      <c r="C12" s="348"/>
      <c r="D12" s="274">
        <v>0</v>
      </c>
      <c r="E12" s="349" t="s">
        <v>15</v>
      </c>
      <c r="F12" s="350"/>
      <c r="G12" s="351"/>
      <c r="H12" s="275"/>
      <c r="I12" s="312"/>
      <c r="J12" s="313"/>
      <c r="K12" s="352"/>
      <c r="L12" s="352"/>
      <c r="M12" s="352"/>
      <c r="N12" s="352"/>
    </row>
    <row r="13" spans="1:14">
      <c r="A13" s="259"/>
      <c r="B13" s="353" t="s">
        <v>16</v>
      </c>
      <c r="C13" s="354"/>
      <c r="D13" s="276">
        <v>0</v>
      </c>
      <c r="E13" s="355"/>
      <c r="F13" s="356"/>
      <c r="G13" s="357"/>
      <c r="H13" s="277"/>
      <c r="I13" s="271"/>
      <c r="J13" s="314"/>
      <c r="K13" s="358"/>
      <c r="L13" s="358"/>
      <c r="M13" s="358"/>
      <c r="N13" s="358"/>
    </row>
    <row r="14" spans="1:14" ht="5.25" customHeight="1">
      <c r="A14" s="278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5" spans="1:14">
      <c r="A15" s="359" t="s">
        <v>17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</row>
    <row r="16" spans="1:14" ht="3" customHeight="1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2:13" ht="18">
      <c r="B17" s="279" t="s">
        <v>18</v>
      </c>
      <c r="C17" s="280" t="s">
        <v>19</v>
      </c>
      <c r="D17" s="360" t="s">
        <v>20</v>
      </c>
      <c r="E17" s="360"/>
      <c r="F17" s="281" t="s">
        <v>21</v>
      </c>
      <c r="G17" s="282" t="s">
        <v>22</v>
      </c>
      <c r="H17" s="283" t="s">
        <v>23</v>
      </c>
      <c r="J17" s="369" t="s">
        <v>24</v>
      </c>
      <c r="K17" s="369"/>
      <c r="L17" s="369"/>
      <c r="M17" s="369"/>
    </row>
    <row r="18" spans="2:13" ht="16.5">
      <c r="B18" s="284">
        <v>1</v>
      </c>
      <c r="C18" s="368" t="s">
        <v>25</v>
      </c>
      <c r="D18" s="361" t="s">
        <v>26</v>
      </c>
      <c r="E18" s="361"/>
      <c r="F18" s="286"/>
      <c r="G18" s="287">
        <f>'（居民）工资表-2月'!E14</f>
        <v>0</v>
      </c>
      <c r="H18" s="288"/>
      <c r="J18" s="369"/>
      <c r="K18" s="369"/>
      <c r="L18" s="369"/>
      <c r="M18" s="369"/>
    </row>
    <row r="19" spans="2:13" ht="16.5">
      <c r="B19" s="284">
        <v>2</v>
      </c>
      <c r="C19" s="368"/>
      <c r="D19" s="289" t="s">
        <v>27</v>
      </c>
      <c r="E19" s="290" t="s">
        <v>28</v>
      </c>
      <c r="F19" s="286"/>
      <c r="G19" s="287">
        <f>社保1!AX30</f>
        <v>28943.82</v>
      </c>
      <c r="H19" s="291"/>
      <c r="J19" s="369"/>
      <c r="K19" s="369"/>
      <c r="L19" s="369"/>
      <c r="M19" s="369"/>
    </row>
    <row r="20" spans="2:13" ht="16.5">
      <c r="B20" s="284">
        <v>3</v>
      </c>
      <c r="C20" s="368"/>
      <c r="D20" s="289" t="s">
        <v>29</v>
      </c>
      <c r="E20" s="290" t="s">
        <v>28</v>
      </c>
      <c r="F20" s="286"/>
      <c r="G20" s="287">
        <f>社保1!AZ30</f>
        <v>6607</v>
      </c>
      <c r="H20" s="291"/>
      <c r="J20" s="369"/>
      <c r="K20" s="369"/>
      <c r="L20" s="369"/>
      <c r="M20" s="369"/>
    </row>
    <row r="21" spans="2:13" ht="16.5">
      <c r="B21" s="284">
        <v>6</v>
      </c>
      <c r="C21" s="368"/>
      <c r="D21" s="362" t="s">
        <v>30</v>
      </c>
      <c r="E21" s="362"/>
      <c r="F21" s="286"/>
      <c r="G21" s="292">
        <f>G18+G19+G20</f>
        <v>35550.82</v>
      </c>
      <c r="H21" s="293"/>
      <c r="J21" s="369"/>
      <c r="K21" s="369"/>
      <c r="L21" s="369"/>
      <c r="M21" s="369"/>
    </row>
    <row r="22" spans="2:13" ht="16.5">
      <c r="B22" s="284">
        <v>7</v>
      </c>
      <c r="C22" s="285" t="s">
        <v>31</v>
      </c>
      <c r="D22" s="362" t="s">
        <v>32</v>
      </c>
      <c r="E22" s="362"/>
      <c r="F22" s="286"/>
      <c r="G22" s="292">
        <f>社保1!BB30</f>
        <v>2000</v>
      </c>
      <c r="H22" s="288"/>
      <c r="J22" s="369"/>
      <c r="K22" s="369"/>
      <c r="L22" s="369"/>
      <c r="M22" s="369"/>
    </row>
    <row r="23" spans="2:13" ht="17.100000000000001" customHeight="1">
      <c r="B23" s="284">
        <v>8</v>
      </c>
      <c r="C23" s="294" t="s">
        <v>33</v>
      </c>
      <c r="D23" s="363">
        <v>5.6000000000000001E-2</v>
      </c>
      <c r="E23" s="363"/>
      <c r="F23" s="363"/>
      <c r="G23" s="292"/>
      <c r="H23" s="288"/>
      <c r="J23" s="369"/>
      <c r="K23" s="369"/>
      <c r="L23" s="369"/>
      <c r="M23" s="369"/>
    </row>
    <row r="24" spans="2:13" ht="16.5">
      <c r="B24" s="364" t="s">
        <v>34</v>
      </c>
      <c r="C24" s="365"/>
      <c r="D24" s="365"/>
      <c r="E24" s="365"/>
      <c r="F24" s="365"/>
      <c r="G24" s="295">
        <f>G21+G22+G23+J26</f>
        <v>37550.82</v>
      </c>
      <c r="H24" s="296"/>
    </row>
    <row r="25" spans="2:13" ht="15.95" customHeight="1">
      <c r="B25" s="366" t="s">
        <v>35</v>
      </c>
      <c r="C25" s="367"/>
      <c r="D25" s="367"/>
      <c r="E25" s="367"/>
      <c r="F25" s="367"/>
      <c r="G25" s="297">
        <f>G24</f>
        <v>37550.82</v>
      </c>
      <c r="H25" s="298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14" type="noConversion"/>
  <conditionalFormatting sqref="G20:H20 C21:H21 F19:F22">
    <cfRule type="cellIs" dxfId="100" priority="2" stopIfTrue="1" operator="equal">
      <formula>"現金"</formula>
    </cfRule>
    <cfRule type="cellIs" dxfId="99" priority="1" stopIfTrue="1" operator="equal">
      <formula>"信用卡"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89" hidden="1" customWidth="1"/>
    <col min="2" max="2" width="9.375" style="90" hidden="1" customWidth="1"/>
    <col min="3" max="3" width="9.625" style="90" hidden="1" customWidth="1"/>
    <col min="4" max="4" width="13.125" style="90" hidden="1" customWidth="1"/>
    <col min="5" max="5" width="25.75" style="89" hidden="1" customWidth="1"/>
    <col min="6" max="6" width="29.375" style="89" hidden="1" customWidth="1"/>
    <col min="7" max="7" width="10.25" style="91" hidden="1" customWidth="1"/>
    <col min="8" max="9" width="8.5" style="89" hidden="1" customWidth="1"/>
    <col min="10" max="10" width="8.5" style="89" customWidth="1"/>
    <col min="11" max="11" width="18" style="89" customWidth="1"/>
    <col min="12" max="12" width="11.25" style="89" customWidth="1"/>
    <col min="13" max="13" width="12.25" style="89" customWidth="1"/>
    <col min="14" max="14" width="8.5" style="89" customWidth="1"/>
    <col min="15" max="15" width="10.25" style="89" customWidth="1"/>
    <col min="16" max="16" width="8.5" style="89" customWidth="1"/>
    <col min="17" max="17" width="8.5" style="92" customWidth="1"/>
    <col min="18" max="18" width="10.25" style="90" customWidth="1"/>
    <col min="19" max="19" width="12.25" style="89" customWidth="1"/>
    <col min="20" max="23" width="12.5" style="89" customWidth="1"/>
    <col min="24" max="24" width="10.75" style="89" customWidth="1"/>
    <col min="25" max="25" width="12.5" style="89" customWidth="1"/>
    <col min="26" max="26" width="14.125" style="89" customWidth="1"/>
    <col min="27" max="27" width="12.5" style="89" customWidth="1"/>
    <col min="28" max="28" width="16.25" style="89" customWidth="1"/>
    <col min="29" max="29" width="12.5" style="89" customWidth="1"/>
    <col min="30" max="30" width="16.125" style="89" customWidth="1"/>
    <col min="31" max="31" width="12.25" style="89" customWidth="1"/>
    <col min="32" max="33" width="16.125" style="89" customWidth="1"/>
    <col min="34" max="34" width="20.5" style="89" customWidth="1"/>
    <col min="35" max="35" width="8.5" style="89" customWidth="1"/>
    <col min="36" max="36" width="5" style="89" customWidth="1"/>
    <col min="37" max="37" width="10.25" style="89" customWidth="1"/>
    <col min="38" max="38" width="14.25" style="93" customWidth="1"/>
    <col min="39" max="39" width="11.5" style="93" customWidth="1"/>
    <col min="40" max="40" width="13.875" style="93" customWidth="1"/>
    <col min="41" max="41" width="13.625" style="93" customWidth="1"/>
    <col min="42" max="16384" width="9" style="89"/>
  </cols>
  <sheetData>
    <row r="1" spans="1:41" s="84" customFormat="1" ht="16.5">
      <c r="A1" s="424" t="s">
        <v>18</v>
      </c>
      <c r="B1" s="423" t="s">
        <v>214</v>
      </c>
      <c r="C1" s="424" t="s">
        <v>107</v>
      </c>
      <c r="D1" s="424" t="s">
        <v>267</v>
      </c>
      <c r="E1" s="424" t="s">
        <v>268</v>
      </c>
      <c r="F1" s="423" t="s">
        <v>104</v>
      </c>
      <c r="G1" s="425" t="s">
        <v>269</v>
      </c>
      <c r="H1" s="424" t="s">
        <v>106</v>
      </c>
      <c r="I1" s="424" t="s">
        <v>270</v>
      </c>
      <c r="J1" s="423" t="s">
        <v>108</v>
      </c>
      <c r="K1" s="423" t="s">
        <v>215</v>
      </c>
      <c r="L1" s="423" t="s">
        <v>216</v>
      </c>
      <c r="M1" s="423" t="s">
        <v>256</v>
      </c>
      <c r="N1" s="423" t="s">
        <v>257</v>
      </c>
      <c r="O1" s="423" t="s">
        <v>218</v>
      </c>
      <c r="P1" s="423" t="s">
        <v>219</v>
      </c>
      <c r="Q1" s="426" t="s">
        <v>220</v>
      </c>
      <c r="R1" s="423" t="s">
        <v>221</v>
      </c>
      <c r="S1" s="427" t="s">
        <v>222</v>
      </c>
      <c r="T1" s="422" t="s">
        <v>223</v>
      </c>
      <c r="U1" s="422"/>
      <c r="V1" s="422"/>
      <c r="W1" s="422"/>
      <c r="X1" s="422"/>
      <c r="Y1" s="422"/>
      <c r="Z1" s="427" t="s">
        <v>224</v>
      </c>
      <c r="AA1" s="423" t="s">
        <v>225</v>
      </c>
      <c r="AB1" s="423"/>
      <c r="AC1" s="423"/>
      <c r="AD1" s="424" t="s">
        <v>271</v>
      </c>
      <c r="AE1" s="424" t="s">
        <v>272</v>
      </c>
      <c r="AF1" s="424" t="s">
        <v>273</v>
      </c>
      <c r="AG1" s="424" t="s">
        <v>274</v>
      </c>
      <c r="AH1" s="424" t="s">
        <v>275</v>
      </c>
      <c r="AI1" s="424" t="s">
        <v>226</v>
      </c>
      <c r="AJ1" s="424" t="s">
        <v>23</v>
      </c>
      <c r="AK1" s="428" t="s">
        <v>276</v>
      </c>
      <c r="AL1" s="429" t="s">
        <v>277</v>
      </c>
      <c r="AM1" s="429" t="s">
        <v>278</v>
      </c>
      <c r="AN1" s="430" t="s">
        <v>279</v>
      </c>
      <c r="AO1" s="430" t="s">
        <v>280</v>
      </c>
    </row>
    <row r="2" spans="1:41" s="85" customFormat="1" ht="24">
      <c r="A2" s="424"/>
      <c r="B2" s="423"/>
      <c r="C2" s="424"/>
      <c r="D2" s="424"/>
      <c r="E2" s="424"/>
      <c r="F2" s="423"/>
      <c r="G2" s="425"/>
      <c r="H2" s="424"/>
      <c r="I2" s="424"/>
      <c r="J2" s="423"/>
      <c r="K2" s="423"/>
      <c r="L2" s="423"/>
      <c r="M2" s="423"/>
      <c r="N2" s="423"/>
      <c r="O2" s="423"/>
      <c r="P2" s="423"/>
      <c r="Q2" s="426"/>
      <c r="R2" s="423"/>
      <c r="S2" s="427"/>
      <c r="T2" s="113" t="s">
        <v>227</v>
      </c>
      <c r="U2" s="113" t="s">
        <v>228</v>
      </c>
      <c r="V2" s="113" t="s">
        <v>229</v>
      </c>
      <c r="W2" s="113" t="s">
        <v>230</v>
      </c>
      <c r="X2" s="113" t="s">
        <v>231</v>
      </c>
      <c r="Y2" s="113" t="s">
        <v>232</v>
      </c>
      <c r="Z2" s="427"/>
      <c r="AA2" s="113" t="s">
        <v>233</v>
      </c>
      <c r="AB2" s="113" t="s">
        <v>234</v>
      </c>
      <c r="AC2" s="113" t="s">
        <v>235</v>
      </c>
      <c r="AD2" s="424"/>
      <c r="AE2" s="424"/>
      <c r="AF2" s="424"/>
      <c r="AG2" s="424"/>
      <c r="AH2" s="424"/>
      <c r="AI2" s="424"/>
      <c r="AJ2" s="424"/>
      <c r="AK2" s="428"/>
      <c r="AL2" s="429"/>
      <c r="AM2" s="429"/>
      <c r="AN2" s="430"/>
      <c r="AO2" s="431"/>
    </row>
    <row r="3" spans="1:41" s="86" customFormat="1" ht="14.25">
      <c r="A3" s="94">
        <v>1</v>
      </c>
      <c r="B3" s="95">
        <v>44306</v>
      </c>
      <c r="C3" s="96"/>
      <c r="D3" s="96" t="s">
        <v>281</v>
      </c>
      <c r="E3" s="94"/>
      <c r="F3" s="97" t="s">
        <v>136</v>
      </c>
      <c r="G3" s="97"/>
      <c r="H3" s="94" t="s">
        <v>138</v>
      </c>
      <c r="I3" s="94"/>
      <c r="J3" s="105" t="s">
        <v>160</v>
      </c>
      <c r="K3" s="320" t="s">
        <v>161</v>
      </c>
      <c r="L3" s="94">
        <v>18607383005</v>
      </c>
      <c r="M3" s="97"/>
      <c r="N3" s="94" t="s">
        <v>282</v>
      </c>
      <c r="O3" s="94" t="s">
        <v>283</v>
      </c>
      <c r="P3" s="94" t="s">
        <v>245</v>
      </c>
      <c r="Q3" s="95">
        <v>44296</v>
      </c>
      <c r="R3" s="94" t="s">
        <v>284</v>
      </c>
      <c r="S3" s="97" t="s">
        <v>239</v>
      </c>
      <c r="T3" s="114">
        <v>2021.05</v>
      </c>
      <c r="U3" s="94">
        <v>4000</v>
      </c>
      <c r="V3" s="94">
        <v>4000</v>
      </c>
      <c r="W3" s="94">
        <v>4000</v>
      </c>
      <c r="X3" s="94">
        <v>4000</v>
      </c>
      <c r="Y3" s="94">
        <v>4000</v>
      </c>
      <c r="Z3" s="97" t="s">
        <v>239</v>
      </c>
      <c r="AA3" s="117" t="s">
        <v>285</v>
      </c>
      <c r="AB3" s="117" t="s">
        <v>286</v>
      </c>
      <c r="AC3" s="117" t="s">
        <v>287</v>
      </c>
      <c r="AD3" s="94" t="s">
        <v>288</v>
      </c>
      <c r="AE3" s="94"/>
      <c r="AF3" s="94"/>
      <c r="AG3" s="94"/>
      <c r="AH3" s="94"/>
      <c r="AI3" s="94"/>
      <c r="AJ3" s="94"/>
      <c r="AK3" s="97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pans="1:41" s="87" customFormat="1">
      <c r="A4" s="94"/>
      <c r="B4" s="95"/>
      <c r="C4" s="98"/>
      <c r="D4" s="96"/>
      <c r="E4" s="99"/>
      <c r="F4" s="97"/>
      <c r="G4" s="100"/>
      <c r="H4" s="99"/>
      <c r="I4" s="99"/>
      <c r="J4" s="106"/>
      <c r="K4" s="106"/>
      <c r="L4" s="99"/>
      <c r="M4" s="100"/>
      <c r="N4" s="99"/>
      <c r="O4" s="99"/>
      <c r="P4" s="94"/>
      <c r="Q4" s="101"/>
      <c r="R4" s="94"/>
      <c r="S4" s="97"/>
      <c r="T4" s="115"/>
      <c r="U4" s="99"/>
      <c r="V4" s="99"/>
      <c r="W4" s="99"/>
      <c r="X4" s="99"/>
      <c r="Y4" s="99"/>
      <c r="Z4" s="97"/>
      <c r="AA4" s="118"/>
      <c r="AB4" s="118"/>
      <c r="AC4" s="118"/>
      <c r="AD4" s="99"/>
      <c r="AE4" s="99"/>
      <c r="AF4" s="99"/>
      <c r="AG4" s="99"/>
      <c r="AH4" s="99"/>
      <c r="AI4" s="99"/>
      <c r="AJ4" s="99"/>
      <c r="AK4" s="97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pans="1:41" s="87" customFormat="1">
      <c r="A5" s="99"/>
      <c r="B5" s="101"/>
      <c r="C5" s="98"/>
      <c r="D5" s="98"/>
      <c r="E5" s="99"/>
      <c r="F5" s="100"/>
      <c r="G5" s="100"/>
      <c r="H5" s="99"/>
      <c r="I5" s="99"/>
      <c r="J5" s="107"/>
      <c r="K5" s="107"/>
      <c r="L5" s="99"/>
      <c r="M5" s="100"/>
      <c r="N5" s="99"/>
      <c r="O5" s="99"/>
      <c r="P5" s="99"/>
      <c r="Q5" s="101"/>
      <c r="R5" s="99"/>
      <c r="S5" s="100"/>
      <c r="T5" s="99"/>
      <c r="U5" s="99"/>
      <c r="V5" s="99"/>
      <c r="W5" s="99"/>
      <c r="X5" s="99"/>
      <c r="Y5" s="99"/>
      <c r="Z5" s="100"/>
      <c r="AA5" s="118"/>
      <c r="AB5" s="118"/>
      <c r="AC5" s="118"/>
      <c r="AD5" s="99"/>
      <c r="AE5" s="99"/>
      <c r="AF5" s="99"/>
      <c r="AG5" s="99"/>
      <c r="AH5" s="99"/>
      <c r="AI5" s="99"/>
      <c r="AJ5" s="99"/>
      <c r="AK5" s="100"/>
    </row>
    <row r="6" spans="1:41" s="87" customFormat="1">
      <c r="A6" s="99"/>
      <c r="B6" s="101"/>
      <c r="C6" s="98"/>
      <c r="D6" s="98"/>
      <c r="E6" s="99"/>
      <c r="F6" s="100"/>
      <c r="G6" s="100"/>
      <c r="H6" s="99"/>
      <c r="I6" s="99"/>
      <c r="J6" s="107"/>
      <c r="K6" s="107"/>
      <c r="L6" s="99"/>
      <c r="M6" s="100"/>
      <c r="N6" s="99"/>
      <c r="O6" s="99"/>
      <c r="P6" s="99"/>
      <c r="Q6" s="101"/>
      <c r="R6" s="99"/>
      <c r="S6" s="100"/>
      <c r="T6" s="99"/>
      <c r="U6" s="99"/>
      <c r="V6" s="99"/>
      <c r="W6" s="99"/>
      <c r="X6" s="99"/>
      <c r="Y6" s="99"/>
      <c r="Z6" s="100"/>
      <c r="AA6" s="118"/>
      <c r="AB6" s="118"/>
      <c r="AC6" s="118"/>
      <c r="AD6" s="99"/>
      <c r="AE6" s="99"/>
      <c r="AF6" s="99"/>
      <c r="AG6" s="99"/>
      <c r="AH6" s="99"/>
      <c r="AI6" s="99"/>
      <c r="AJ6" s="99"/>
      <c r="AK6" s="100"/>
    </row>
    <row r="7" spans="1:41" s="87" customFormat="1">
      <c r="A7" s="99"/>
      <c r="B7" s="101"/>
      <c r="C7" s="98"/>
      <c r="D7" s="98"/>
      <c r="E7" s="99"/>
      <c r="F7" s="100"/>
      <c r="G7" s="100"/>
      <c r="H7" s="99"/>
      <c r="I7" s="99"/>
      <c r="J7" s="107"/>
      <c r="K7" s="107"/>
      <c r="L7" s="99"/>
      <c r="M7" s="100"/>
      <c r="N7" s="99"/>
      <c r="O7" s="99"/>
      <c r="P7" s="99"/>
      <c r="Q7" s="101"/>
      <c r="R7" s="99"/>
      <c r="S7" s="100"/>
      <c r="T7" s="99"/>
      <c r="U7" s="99"/>
      <c r="V7" s="99"/>
      <c r="W7" s="99"/>
      <c r="X7" s="99"/>
      <c r="Y7" s="99"/>
      <c r="Z7" s="100"/>
      <c r="AA7" s="118"/>
      <c r="AB7" s="118"/>
      <c r="AC7" s="118"/>
      <c r="AD7" s="99"/>
      <c r="AE7" s="99"/>
      <c r="AF7" s="99"/>
      <c r="AG7" s="99"/>
      <c r="AH7" s="99"/>
      <c r="AI7" s="99"/>
      <c r="AJ7" s="99"/>
      <c r="AK7" s="100"/>
    </row>
    <row r="8" spans="1:41" s="87" customFormat="1">
      <c r="A8" s="99"/>
      <c r="B8" s="101"/>
      <c r="C8" s="98"/>
      <c r="D8" s="98"/>
      <c r="E8" s="99"/>
      <c r="F8" s="100"/>
      <c r="G8" s="100"/>
      <c r="H8" s="99"/>
      <c r="I8" s="99"/>
      <c r="J8" s="107" t="s">
        <v>289</v>
      </c>
      <c r="K8" s="107"/>
      <c r="L8" s="99"/>
      <c r="M8" s="100"/>
      <c r="N8" s="99"/>
      <c r="O8" s="99"/>
      <c r="P8" s="99"/>
      <c r="Q8" s="101"/>
      <c r="R8" s="99"/>
      <c r="S8" s="100"/>
      <c r="T8" s="99"/>
      <c r="U8" s="99"/>
      <c r="V8" s="99"/>
      <c r="W8" s="99"/>
      <c r="X8" s="99"/>
      <c r="Y8" s="99"/>
      <c r="Z8" s="100"/>
      <c r="AA8" s="118"/>
      <c r="AB8" s="118"/>
      <c r="AC8" s="118"/>
      <c r="AD8" s="99"/>
      <c r="AE8" s="99"/>
      <c r="AF8" s="99"/>
      <c r="AG8" s="99"/>
      <c r="AH8" s="99"/>
      <c r="AI8" s="99"/>
      <c r="AJ8" s="99"/>
      <c r="AK8" s="100"/>
    </row>
    <row r="9" spans="1:41" s="87" customFormat="1" ht="12.75">
      <c r="A9" s="99"/>
      <c r="B9" s="101"/>
      <c r="C9" s="98"/>
      <c r="D9" s="98"/>
      <c r="E9" s="99"/>
      <c r="F9" s="100"/>
      <c r="G9" s="100"/>
      <c r="H9" s="99"/>
      <c r="I9" s="99"/>
      <c r="J9" s="99" t="s">
        <v>145</v>
      </c>
      <c r="K9" s="108" t="s">
        <v>138</v>
      </c>
      <c r="L9" s="109" t="s">
        <v>146</v>
      </c>
      <c r="M9" s="110" t="s">
        <v>89</v>
      </c>
      <c r="N9" s="316" t="s">
        <v>90</v>
      </c>
      <c r="O9" s="99"/>
      <c r="P9" s="99"/>
      <c r="Q9" s="116">
        <v>202106</v>
      </c>
      <c r="R9" s="99"/>
      <c r="S9" s="100"/>
      <c r="T9" s="99"/>
      <c r="U9" s="99"/>
      <c r="V9" s="99"/>
      <c r="W9" s="99"/>
      <c r="X9" s="99"/>
      <c r="Y9" s="99"/>
      <c r="Z9" s="100"/>
      <c r="AA9" s="118"/>
      <c r="AB9" s="118"/>
      <c r="AC9" s="118"/>
      <c r="AD9" s="99"/>
      <c r="AE9" s="99"/>
      <c r="AF9" s="99"/>
      <c r="AG9" s="99"/>
      <c r="AH9" s="99"/>
      <c r="AI9" s="99"/>
      <c r="AJ9" s="99"/>
      <c r="AK9" s="100"/>
    </row>
    <row r="10" spans="1:41" s="87" customFormat="1">
      <c r="A10" s="99"/>
      <c r="B10" s="101"/>
      <c r="C10" s="98"/>
      <c r="D10" s="98"/>
      <c r="E10" s="99"/>
      <c r="F10" s="100"/>
      <c r="G10" s="100"/>
      <c r="H10" s="99"/>
      <c r="I10" s="99"/>
      <c r="J10" s="107"/>
      <c r="K10" s="107"/>
      <c r="L10" s="99"/>
      <c r="M10" s="100"/>
      <c r="N10" s="99"/>
      <c r="O10" s="99"/>
      <c r="P10" s="99"/>
      <c r="Q10" s="101"/>
      <c r="R10" s="99"/>
      <c r="S10" s="100"/>
      <c r="T10" s="99"/>
      <c r="U10" s="99"/>
      <c r="V10" s="99"/>
      <c r="W10" s="99"/>
      <c r="X10" s="99"/>
      <c r="Y10" s="99"/>
      <c r="Z10" s="100"/>
      <c r="AA10" s="118"/>
      <c r="AB10" s="118"/>
      <c r="AC10" s="118"/>
      <c r="AD10" s="99"/>
      <c r="AE10" s="99"/>
      <c r="AF10" s="99"/>
      <c r="AG10" s="99"/>
      <c r="AH10" s="99"/>
      <c r="AI10" s="99"/>
      <c r="AJ10" s="99"/>
      <c r="AK10" s="100"/>
    </row>
    <row r="11" spans="1:41" s="87" customFormat="1">
      <c r="A11" s="99"/>
      <c r="B11" s="101"/>
      <c r="C11" s="98"/>
      <c r="D11" s="98"/>
      <c r="E11" s="99"/>
      <c r="F11" s="100"/>
      <c r="G11" s="100"/>
      <c r="H11" s="99"/>
      <c r="I11" s="99"/>
      <c r="J11" s="107"/>
      <c r="K11" s="107"/>
      <c r="L11" s="99"/>
      <c r="M11" s="100"/>
      <c r="N11" s="99"/>
      <c r="O11" s="99"/>
      <c r="P11" s="99"/>
      <c r="Q11" s="101"/>
      <c r="R11" s="99"/>
      <c r="S11" s="100"/>
      <c r="T11" s="99"/>
      <c r="U11" s="99"/>
      <c r="V11" s="99"/>
      <c r="W11" s="99"/>
      <c r="X11" s="99"/>
      <c r="Y11" s="99"/>
      <c r="Z11" s="100"/>
      <c r="AA11" s="118"/>
      <c r="AB11" s="118"/>
      <c r="AC11" s="118"/>
      <c r="AD11" s="99"/>
      <c r="AE11" s="99"/>
      <c r="AF11" s="99"/>
      <c r="AG11" s="99"/>
      <c r="AH11" s="99"/>
      <c r="AI11" s="99"/>
      <c r="AJ11" s="99"/>
      <c r="AK11" s="100"/>
    </row>
    <row r="12" spans="1:41" s="88" customFormat="1">
      <c r="A12" s="102"/>
      <c r="B12" s="103"/>
      <c r="C12" s="98"/>
      <c r="D12" s="98"/>
      <c r="E12" s="99"/>
      <c r="F12" s="100"/>
      <c r="G12" s="104"/>
      <c r="H12" s="102"/>
      <c r="I12" s="99"/>
      <c r="J12" s="107"/>
      <c r="K12" s="107"/>
      <c r="L12" s="99"/>
      <c r="M12" s="100"/>
      <c r="N12" s="102"/>
      <c r="O12" s="102"/>
      <c r="P12" s="102"/>
      <c r="Q12" s="102"/>
      <c r="R12" s="102"/>
      <c r="S12" s="100"/>
      <c r="T12" s="102"/>
      <c r="U12" s="102"/>
      <c r="V12" s="102"/>
      <c r="W12" s="102"/>
      <c r="X12" s="102"/>
      <c r="Y12" s="102"/>
      <c r="Z12" s="100"/>
      <c r="AA12" s="119"/>
      <c r="AB12" s="119"/>
      <c r="AC12" s="119"/>
      <c r="AD12" s="102"/>
      <c r="AE12" s="102"/>
      <c r="AF12" s="102"/>
      <c r="AG12" s="102"/>
      <c r="AH12" s="102"/>
      <c r="AI12" s="102"/>
      <c r="AJ12" s="102"/>
      <c r="AK12" s="100"/>
      <c r="AL12" s="87"/>
      <c r="AM12" s="87"/>
      <c r="AN12" s="87"/>
      <c r="AO12" s="87"/>
    </row>
    <row r="13" spans="1:41" s="88" customFormat="1">
      <c r="A13" s="102"/>
      <c r="B13" s="103"/>
      <c r="C13" s="98"/>
      <c r="D13" s="98"/>
      <c r="E13" s="99"/>
      <c r="F13" s="100"/>
      <c r="G13" s="104"/>
      <c r="H13" s="102"/>
      <c r="I13" s="102"/>
      <c r="J13" s="112"/>
      <c r="K13" s="112"/>
      <c r="L13" s="102"/>
      <c r="M13" s="100"/>
      <c r="N13" s="102"/>
      <c r="O13" s="102"/>
      <c r="P13" s="102"/>
      <c r="Q13" s="102"/>
      <c r="R13" s="102"/>
      <c r="S13" s="100"/>
      <c r="T13" s="102"/>
      <c r="U13" s="102"/>
      <c r="V13" s="102"/>
      <c r="W13" s="102"/>
      <c r="X13" s="102"/>
      <c r="Y13" s="102"/>
      <c r="Z13" s="100"/>
      <c r="AA13" s="119"/>
      <c r="AB13" s="119"/>
      <c r="AC13" s="119"/>
      <c r="AD13" s="102"/>
      <c r="AE13" s="102"/>
      <c r="AF13" s="102"/>
      <c r="AG13" s="102"/>
      <c r="AH13" s="102"/>
      <c r="AI13" s="102"/>
      <c r="AJ13" s="102"/>
      <c r="AK13" s="100"/>
      <c r="AL13" s="87"/>
      <c r="AM13" s="87"/>
      <c r="AN13" s="87"/>
      <c r="AO13" s="87"/>
    </row>
    <row r="14" spans="1:41" s="88" customFormat="1">
      <c r="A14" s="102"/>
      <c r="B14" s="103"/>
      <c r="C14" s="98"/>
      <c r="D14" s="98"/>
      <c r="E14" s="99"/>
      <c r="F14" s="100"/>
      <c r="G14" s="104"/>
      <c r="H14" s="102"/>
      <c r="I14" s="102"/>
      <c r="J14" s="112"/>
      <c r="K14" s="112"/>
      <c r="L14" s="102"/>
      <c r="M14" s="100"/>
      <c r="N14" s="102"/>
      <c r="O14" s="102"/>
      <c r="P14" s="102"/>
      <c r="Q14" s="102"/>
      <c r="R14" s="102"/>
      <c r="S14" s="100"/>
      <c r="T14" s="102"/>
      <c r="U14" s="102"/>
      <c r="V14" s="102"/>
      <c r="W14" s="102"/>
      <c r="X14" s="102"/>
      <c r="Y14" s="102"/>
      <c r="Z14" s="100"/>
      <c r="AA14" s="119"/>
      <c r="AB14" s="119"/>
      <c r="AC14" s="119"/>
      <c r="AD14" s="102"/>
      <c r="AE14" s="102"/>
      <c r="AF14" s="102"/>
      <c r="AG14" s="102"/>
      <c r="AH14" s="102"/>
      <c r="AI14" s="102"/>
      <c r="AJ14" s="102"/>
      <c r="AK14" s="100"/>
      <c r="AL14" s="87"/>
      <c r="AM14" s="87"/>
      <c r="AN14" s="87"/>
      <c r="AO14" s="87"/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4" type="noConversion"/>
  <conditionalFormatting sqref="J12:J14">
    <cfRule type="duplicateValues" dxfId="51" priority="3"/>
  </conditionalFormatting>
  <conditionalFormatting sqref="J5:J8 J10:J11">
    <cfRule type="duplicateValues" dxfId="50" priority="2"/>
    <cfRule type="duplicateValues" dxfId="49" priority="1"/>
  </conditionalFormatting>
  <dataValidations count="7">
    <dataValidation type="list" allowBlank="1" showInputMessage="1" showErrorMessage="1" sqref="H3:H11">
      <formula1>"派遣,代理"</formula1>
    </dataValidation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S3:S4 S5:S14 Z3:Z4 Z5:Z14">
      <formula1>"新参,调入"</formula1>
    </dataValidation>
  </dataValidations>
  <pageMargins left="0.75" right="0.75" top="1" bottom="1" header="0.5" footer="0.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8660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L4+IFERROR(VLOOKUP($E:$E,'（居民）工资表-7月'!$E:$S,15,0),0)</f>
        <v>57720</v>
      </c>
      <c r="T4" s="69">
        <f>5000+IFERROR(VLOOKUP($E:$E,'（居民）工资表-7月'!$E:$T,16,0),0)</f>
        <v>40000</v>
      </c>
      <c r="U4" s="69">
        <f>Q4+IFERROR(VLOOKUP($E:$E,'（居民）工资表-7月'!$E:$U,17,0),0)</f>
        <v>4159.2</v>
      </c>
      <c r="V4" s="52"/>
      <c r="W4" s="52"/>
      <c r="X4" s="52">
        <v>8000</v>
      </c>
      <c r="Y4" s="52"/>
      <c r="Z4" s="52"/>
      <c r="AA4" s="52"/>
      <c r="AB4" s="68">
        <f>ROUND(SUM(V4:AA4),2)</f>
        <v>8000</v>
      </c>
      <c r="AC4" s="68">
        <f>R4+IFERROR(VLOOKUP($E:$E,'（居民）工资表-7月'!$E:$AC,25,0),0)</f>
        <v>0</v>
      </c>
      <c r="AD4" s="70">
        <f>ROUND(S4-T4-U4-AB4-AC4,2)</f>
        <v>5560.8</v>
      </c>
      <c r="AE4" s="71">
        <f>ROUND(MAX((AD4)*{0.03;0.1;0.2;0.25;0.3;0.35;0.45}-{0;2520;16920;31920;52920;85920;181920},0),2)</f>
        <v>166.82</v>
      </c>
      <c r="AF4" s="72">
        <f>IFERROR(VLOOKUP(E:E,'（居民）工资表-7月'!E:AF,28,0)+VLOOKUP(E:E,'（居民）工资表-7月'!E:AG,29,0),0)</f>
        <v>102.62</v>
      </c>
      <c r="AG4" s="72">
        <f>IF((AE4-AF4)&lt;0,0,AE4-AF4)</f>
        <v>64.199999999999989</v>
      </c>
      <c r="AH4" s="75">
        <f>ROUND(IF((L4-Q4-AG4)&lt;0,0,(L4-Q4-AG4)),2)</f>
        <v>8075.9</v>
      </c>
      <c r="AI4" s="76"/>
      <c r="AJ4" s="75">
        <f>AH4+AI4</f>
        <v>8075.9</v>
      </c>
      <c r="AK4" s="77"/>
      <c r="AL4" s="75">
        <f>AJ4+AG4+AK4</f>
        <v>8140.0999999999995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L5+IFERROR(VLOOKUP($E:$E,'（居民）工资表-7月'!$E:$S,15,0),0)</f>
        <v>35061</v>
      </c>
      <c r="T5" s="69">
        <f>5000+IFERROR(VLOOKUP($E:$E,'（居民）工资表-7月'!$E:$T,16,0),0)</f>
        <v>25000</v>
      </c>
      <c r="U5" s="69">
        <f>Q5+IFERROR(VLOOKUP($E:$E,'（居民）工资表-7月'!$E:$U,17,0),0)</f>
        <v>2360.7599999999998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R5+IFERROR(VLOOKUP($E:$E,'（居民）工资表-7月'!$E:$AC,25,0),0)</f>
        <v>0</v>
      </c>
      <c r="AD5" s="70">
        <f>ROUND(S5-T5-U5-AB5-AC5,2)</f>
        <v>7700.24</v>
      </c>
      <c r="AE5" s="71">
        <f>ROUND(MAX((AD5)*{0.03;0.1;0.2;0.25;0.3;0.35;0.45}-{0;2520;16920;31920;52920;85920;181920},0),2)</f>
        <v>231.01</v>
      </c>
      <c r="AF5" s="72">
        <f>IFERROR(VLOOKUP(E:E,'（居民）工资表-7月'!E:AF,28,0)+VLOOKUP(E:E,'（居民）工资表-7月'!E:AG,29,0),0)</f>
        <v>185.18</v>
      </c>
      <c r="AG5" s="72">
        <f>IF((AE5-AF5)&lt;0,0,AE5-AF5)</f>
        <v>45.829999999999984</v>
      </c>
      <c r="AH5" s="75">
        <f>ROUND(IF((L5-Q5-AG5)&lt;0,0,(L5-Q5-AG5)),2)</f>
        <v>6481.71</v>
      </c>
      <c r="AI5" s="76"/>
      <c r="AJ5" s="75">
        <f>AH5+AI5</f>
        <v>6481.71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160</v>
      </c>
      <c r="D6" s="25" t="s">
        <v>87</v>
      </c>
      <c r="E6" s="318" t="s">
        <v>161</v>
      </c>
      <c r="F6" s="26" t="s">
        <v>263</v>
      </c>
      <c r="G6" s="27">
        <v>18607383005</v>
      </c>
      <c r="H6" s="28"/>
      <c r="I6" s="28"/>
      <c r="J6" s="51"/>
      <c r="K6" s="28"/>
      <c r="L6" s="52">
        <v>24800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L6+IFERROR(VLOOKUP($E:$E,'（居民）工资表-7月'!$E:$S,15,0),0)</f>
        <v>86504.760000000009</v>
      </c>
      <c r="T6" s="69">
        <f>5000+IFERROR(VLOOKUP($E:$E,'（居民）工资表-7月'!$E:$T,16,0),0)</f>
        <v>20000</v>
      </c>
      <c r="U6" s="69">
        <f>Q6+IFERROR(VLOOKUP($E:$E,'（居民）工资表-7月'!$E:$U,17,0),0)</f>
        <v>2534.67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R6+IFERROR(VLOOKUP($E:$E,'（居民）工资表-7月'!$E:$AC,25,0),0)</f>
        <v>0</v>
      </c>
      <c r="AD6" s="70">
        <f>ROUND(S6-T6-U6-AB6-AC6,2)</f>
        <v>63970.09</v>
      </c>
      <c r="AE6" s="71">
        <f>ROUND(MAX((AD6)*{0.03;0.1;0.2;0.25;0.3;0.35;0.45}-{0;2520;16920;31920;52920;85920;181920},0),2)</f>
        <v>3877.01</v>
      </c>
      <c r="AF6" s="72">
        <f>IFERROR(VLOOKUP(E:E,'（居民）工资表-7月'!E:AF,28,0)+VLOOKUP(E:E,'（居民）工资表-7月'!E:AG,29,0),0)</f>
        <v>1958.21</v>
      </c>
      <c r="AG6" s="72">
        <f>IF((AE6-AF6)&lt;0,0,AE6-AF6)</f>
        <v>1918.8000000000002</v>
      </c>
      <c r="AH6" s="75">
        <f>ROUND(IF((L6-Q6-AG6)&lt;0,0,(L6-Q6-AG6)),2)</f>
        <v>22269.200000000001</v>
      </c>
      <c r="AI6" s="76"/>
      <c r="AJ6" s="75">
        <f>AH6+AI6</f>
        <v>22269.200000000001</v>
      </c>
      <c r="AK6" s="77"/>
      <c r="AL6" s="75">
        <f>AJ6+AG6+AK6</f>
        <v>24188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265</v>
      </c>
      <c r="D7" s="25" t="s">
        <v>87</v>
      </c>
      <c r="E7" s="318" t="s">
        <v>266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L7+IFERROR(VLOOKUP($E:$E,'（居民）工资表-7月'!$E:$S,15,0),0)</f>
        <v>8083.6363636363603</v>
      </c>
      <c r="T7" s="69">
        <f>5000+IFERROR(VLOOKUP($E:$E,'（居民）工资表-7月'!$E:$T,16,0),0)</f>
        <v>10000</v>
      </c>
      <c r="U7" s="69">
        <f>Q7+IFERROR(VLOOKUP($E:$E,'（居民）工资表-7月'!$E:$U,17,0),0)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R7+IFERROR(VLOOKUP($E:$E,'（居民）工资表-7月'!$E:$AC,25,0),0)</f>
        <v>0</v>
      </c>
      <c r="AD7" s="70">
        <f>ROUND(S7-T7-U7-AB7-AC7,2)</f>
        <v>-1916.36</v>
      </c>
      <c r="AE7" s="71">
        <f>ROUND(MAX((AD7)*{0.03;0.1;0.2;0.25;0.3;0.35;0.45}-{0;2520;16920;31920;52920;85920;181920},0),2)</f>
        <v>0</v>
      </c>
      <c r="AF7" s="72">
        <f>IFERROR(VLOOKUP(E:E,'（居民）工资表-7月'!E:AF,28,0)+VLOOKUP(E:E,'（居民）工资表-7月'!E:AG,29,0),0)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91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44941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187369.39636363636</v>
      </c>
      <c r="T8" s="56">
        <f t="shared" si="0"/>
        <v>95000</v>
      </c>
      <c r="U8" s="56">
        <f t="shared" si="0"/>
        <v>9054.6299999999992</v>
      </c>
      <c r="V8" s="56">
        <f t="shared" si="0"/>
        <v>0</v>
      </c>
      <c r="W8" s="56">
        <f t="shared" si="0"/>
        <v>0</v>
      </c>
      <c r="X8" s="56">
        <f t="shared" si="0"/>
        <v>8000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8000</v>
      </c>
      <c r="AC8" s="56">
        <f t="shared" si="0"/>
        <v>0</v>
      </c>
      <c r="AD8" s="56">
        <f t="shared" si="0"/>
        <v>75314.77</v>
      </c>
      <c r="AE8" s="56">
        <f t="shared" si="0"/>
        <v>4274.84</v>
      </c>
      <c r="AF8" s="56">
        <f t="shared" si="0"/>
        <v>2246.0100000000002</v>
      </c>
      <c r="AG8" s="56">
        <f t="shared" si="0"/>
        <v>2028.8300000000002</v>
      </c>
      <c r="AH8" s="56">
        <f t="shared" si="0"/>
        <v>41386.81</v>
      </c>
      <c r="AI8" s="78">
        <f t="shared" si="0"/>
        <v>0</v>
      </c>
      <c r="AJ8" s="56">
        <f t="shared" si="0"/>
        <v>41386.81</v>
      </c>
      <c r="AK8" s="56">
        <f t="shared" si="0"/>
        <v>0</v>
      </c>
      <c r="AL8" s="56">
        <f t="shared" si="0"/>
        <v>43415.64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64</v>
      </c>
      <c r="C12" s="35" t="s">
        <v>92</v>
      </c>
      <c r="D12" s="35" t="s">
        <v>65</v>
      </c>
      <c r="E12" s="35" t="s">
        <v>93</v>
      </c>
      <c r="AD12" s="8"/>
    </row>
    <row r="13" spans="1:46" ht="18.75" customHeight="1">
      <c r="B13" s="36">
        <f>AJ8</f>
        <v>41386.81</v>
      </c>
      <c r="C13" s="36">
        <f>AG8</f>
        <v>2028.8300000000002</v>
      </c>
      <c r="D13" s="36">
        <f>AK8</f>
        <v>0</v>
      </c>
      <c r="E13" s="36">
        <f>B13+C13+D13</f>
        <v>43415.64</v>
      </c>
    </row>
    <row r="14" spans="1:46">
      <c r="B14" s="37"/>
      <c r="C14" s="37"/>
      <c r="D14" s="37"/>
      <c r="E14" s="37"/>
    </row>
    <row r="15" spans="1:46" s="12" customFormat="1">
      <c r="A15" s="38" t="s">
        <v>94</v>
      </c>
      <c r="B15" s="39" t="s">
        <v>95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96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97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98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99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100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101</v>
      </c>
    </row>
    <row r="23" spans="1:35">
      <c r="B23" s="47" t="s">
        <v>102</v>
      </c>
    </row>
    <row r="24" spans="1:35">
      <c r="B24" s="47" t="s">
        <v>103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0">
    <cfRule type="duplicateValues" dxfId="48" priority="2" stopIfTrue="1"/>
  </conditionalFormatting>
  <conditionalFormatting sqref="B15:B19">
    <cfRule type="duplicateValues" dxfId="47" priority="3" stopIfTrue="1"/>
  </conditionalFormatting>
  <conditionalFormatting sqref="B23:B24">
    <cfRule type="duplicateValues" dxfId="46" priority="1" stopIfTrue="1"/>
  </conditionalFormatting>
  <conditionalFormatting sqref="C12:C14">
    <cfRule type="duplicateValues" dxfId="45" priority="4" stopIfTrue="1"/>
    <cfRule type="expression" dxfId="44" priority="5" stopIfTrue="1">
      <formula>AND(COUNTIF($B$8:$B$65444,C12)+COUNTIF($B$1:$B$3,C12)&gt;1,NOT(ISBLANK(C12)))</formula>
    </cfRule>
    <cfRule type="expression" dxfId="43" priority="6" stopIfTrue="1">
      <formula>AND(COUNTIF($B$19:$B$65395,C12)+COUNTIF($B$1:$B$18,C12)&gt;1,NOT(ISBLANK(C12)))</formula>
    </cfRule>
    <cfRule type="expression" dxfId="42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9780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L4+IFERROR(VLOOKUP($E:$E,'（居民）工资表-8月'!$E:$S,15,0),0)</f>
        <v>67500</v>
      </c>
      <c r="T4" s="69">
        <f>5000+IFERROR(VLOOKUP($E:$E,'（居民）工资表-8月'!$E:$T,16,0),0)</f>
        <v>45000</v>
      </c>
      <c r="U4" s="69">
        <f>Q4+IFERROR(VLOOKUP($E:$E,'（居民）工资表-8月'!$E:$U,17,0),0)</f>
        <v>4679.0999999999995</v>
      </c>
      <c r="V4" s="52"/>
      <c r="W4" s="52"/>
      <c r="X4" s="52">
        <v>9000</v>
      </c>
      <c r="Y4" s="52"/>
      <c r="Z4" s="52"/>
      <c r="AA4" s="52"/>
      <c r="AB4" s="68">
        <f>ROUND(SUM(V4:AA4),2)</f>
        <v>9000</v>
      </c>
      <c r="AC4" s="68">
        <f>R4+IFERROR(VLOOKUP($E:$E,'（居民）工资表-8月'!$E:$AC,25,0),0)</f>
        <v>0</v>
      </c>
      <c r="AD4" s="70">
        <f>ROUND(S4-T4-U4-AB4-AC4,2)</f>
        <v>8820.9</v>
      </c>
      <c r="AE4" s="71">
        <f>ROUND(MAX((AD4)*{0.03;0.1;0.2;0.25;0.3;0.35;0.45}-{0;2520;16920;31920;52920;85920;181920},0),2)</f>
        <v>264.63</v>
      </c>
      <c r="AF4" s="72">
        <f>IFERROR(VLOOKUP(E:E,'（居民）工资表-8月'!E:AF,28,0)+VLOOKUP(E:E,'（居民）工资表-8月'!E:AG,29,0),0)</f>
        <v>166.82</v>
      </c>
      <c r="AG4" s="72">
        <f>IF((AE4-AF4)&lt;0,0,AE4-AF4)</f>
        <v>97.81</v>
      </c>
      <c r="AH4" s="75">
        <f>ROUND(IF((L4-Q4-AG4)&lt;0,0,(L4-Q4-AG4)),2)</f>
        <v>9162.2900000000009</v>
      </c>
      <c r="AI4" s="76"/>
      <c r="AJ4" s="75">
        <f>AH4+AI4</f>
        <v>9162.2900000000009</v>
      </c>
      <c r="AK4" s="77"/>
      <c r="AL4" s="75">
        <f>AJ4+AG4+AK4</f>
        <v>9260.1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L5+IFERROR(VLOOKUP($E:$E,'（居民）工资表-8月'!$E:$S,15,0),0)</f>
        <v>41982</v>
      </c>
      <c r="T5" s="69">
        <f>5000+IFERROR(VLOOKUP($E:$E,'（居民）工资表-8月'!$E:$T,16,0),0)</f>
        <v>30000</v>
      </c>
      <c r="U5" s="69">
        <f>Q5+IFERROR(VLOOKUP($E:$E,'（居民）工资表-8月'!$E:$U,17,0),0)</f>
        <v>2754.22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R5+IFERROR(VLOOKUP($E:$E,'（居民）工资表-8月'!$E:$AC,25,0),0)</f>
        <v>0</v>
      </c>
      <c r="AD5" s="70">
        <f>ROUND(S5-T5-U5-AB5-AC5,2)</f>
        <v>9227.7800000000007</v>
      </c>
      <c r="AE5" s="71">
        <f>ROUND(MAX((AD5)*{0.03;0.1;0.2;0.25;0.3;0.35;0.45}-{0;2520;16920;31920;52920;85920;181920},0),2)</f>
        <v>276.83</v>
      </c>
      <c r="AF5" s="72">
        <f>IFERROR(VLOOKUP(E:E,'（居民）工资表-8月'!E:AF,28,0)+VLOOKUP(E:E,'（居民）工资表-8月'!E:AG,29,0),0)</f>
        <v>231.01</v>
      </c>
      <c r="AG5" s="72">
        <f>IF((AE5-AF5)&lt;0,0,AE5-AF5)</f>
        <v>45.819999999999993</v>
      </c>
      <c r="AH5" s="75">
        <f>ROUND(IF((L5-Q5-AG5)&lt;0,0,(L5-Q5-AG5)),2)</f>
        <v>6481.72</v>
      </c>
      <c r="AI5" s="76"/>
      <c r="AJ5" s="75">
        <f>AH5+AI5</f>
        <v>6481.72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160</v>
      </c>
      <c r="D6" s="25" t="s">
        <v>87</v>
      </c>
      <c r="E6" s="318" t="s">
        <v>161</v>
      </c>
      <c r="F6" s="26" t="s">
        <v>263</v>
      </c>
      <c r="G6" s="27">
        <v>18607383005</v>
      </c>
      <c r="H6" s="28"/>
      <c r="I6" s="28"/>
      <c r="J6" s="51"/>
      <c r="K6" s="28"/>
      <c r="L6" s="52">
        <v>22800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L6+IFERROR(VLOOKUP($E:$E,'（居民）工资表-8月'!$E:$S,15,0),0)</f>
        <v>109304.76000000001</v>
      </c>
      <c r="T6" s="69">
        <f>5000+IFERROR(VLOOKUP($E:$E,'（居民）工资表-8月'!$E:$T,16,0),0)</f>
        <v>25000</v>
      </c>
      <c r="U6" s="69">
        <f>Q6+IFERROR(VLOOKUP($E:$E,'（居民）工资表-8月'!$E:$U,17,0),0)</f>
        <v>3146.67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R6+IFERROR(VLOOKUP($E:$E,'（居民）工资表-8月'!$E:$AC,25,0),0)</f>
        <v>0</v>
      </c>
      <c r="AD6" s="70">
        <f>ROUND(S6-T6-U6-AB6-AC6,2)</f>
        <v>81158.09</v>
      </c>
      <c r="AE6" s="71">
        <f>ROUND(MAX((AD6)*{0.03;0.1;0.2;0.25;0.3;0.35;0.45}-{0;2520;16920;31920;52920;85920;181920},0),2)</f>
        <v>5595.81</v>
      </c>
      <c r="AF6" s="72">
        <f>IFERROR(VLOOKUP(E:E,'（居民）工资表-8月'!E:AF,28,0)+VLOOKUP(E:E,'（居民）工资表-8月'!E:AG,29,0),0)</f>
        <v>3877.01</v>
      </c>
      <c r="AG6" s="72">
        <f>IF((AE6-AF6)&lt;0,0,AE6-AF6)</f>
        <v>1718.8000000000002</v>
      </c>
      <c r="AH6" s="75">
        <f>ROUND(IF((L6-Q6-AG6)&lt;0,0,(L6-Q6-AG6)),2)</f>
        <v>20469.2</v>
      </c>
      <c r="AI6" s="76"/>
      <c r="AJ6" s="75">
        <f>AH6+AI6</f>
        <v>20469.2</v>
      </c>
      <c r="AK6" s="77"/>
      <c r="AL6" s="75">
        <f>AJ6+AG6+AK6</f>
        <v>22188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265</v>
      </c>
      <c r="D7" s="25" t="s">
        <v>87</v>
      </c>
      <c r="E7" s="318" t="s">
        <v>266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L7+IFERROR(VLOOKUP($E:$E,'（居民）工资表-8月'!$E:$S,15,0),0)</f>
        <v>12643.63636363636</v>
      </c>
      <c r="T7" s="69">
        <f>5000+IFERROR(VLOOKUP($E:$E,'（居民）工资表-8月'!$E:$T,16,0),0)</f>
        <v>15000</v>
      </c>
      <c r="U7" s="69">
        <f>Q7+IFERROR(VLOOKUP($E:$E,'（居民）工资表-8月'!$E:$U,17,0),0)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R7+IFERROR(VLOOKUP($E:$E,'（居民）工资表-8月'!$E:$AC,25,0),0)</f>
        <v>0</v>
      </c>
      <c r="AD7" s="70">
        <f>ROUND(S7-T7-U7-AB7-AC7,2)</f>
        <v>-2356.36</v>
      </c>
      <c r="AE7" s="71">
        <f>ROUND(MAX((AD7)*{0.03;0.1;0.2;0.25;0.3;0.35;0.45}-{0;2520;16920;31920;52920;85920;181920},0),2)</f>
        <v>0</v>
      </c>
      <c r="AF7" s="72">
        <f>IFERROR(VLOOKUP(E:E,'（居民）工资表-8月'!E:AF,28,0)+VLOOKUP(E:E,'（居民）工资表-8月'!E:AG,29,0),0)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91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44061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231430.39636363636</v>
      </c>
      <c r="T8" s="56">
        <f t="shared" si="0"/>
        <v>115000</v>
      </c>
      <c r="U8" s="56">
        <f t="shared" si="0"/>
        <v>10579.99</v>
      </c>
      <c r="V8" s="56">
        <f t="shared" si="0"/>
        <v>0</v>
      </c>
      <c r="W8" s="56">
        <f t="shared" si="0"/>
        <v>0</v>
      </c>
      <c r="X8" s="56">
        <f t="shared" si="0"/>
        <v>9000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9000</v>
      </c>
      <c r="AC8" s="56">
        <f t="shared" si="0"/>
        <v>0</v>
      </c>
      <c r="AD8" s="56">
        <f t="shared" si="0"/>
        <v>96850.409999999989</v>
      </c>
      <c r="AE8" s="56">
        <f t="shared" si="0"/>
        <v>6137.27</v>
      </c>
      <c r="AF8" s="56">
        <f t="shared" si="0"/>
        <v>4274.84</v>
      </c>
      <c r="AG8" s="56">
        <f t="shared" si="0"/>
        <v>1862.4300000000003</v>
      </c>
      <c r="AH8" s="56">
        <f t="shared" si="0"/>
        <v>40673.210000000006</v>
      </c>
      <c r="AI8" s="78">
        <f t="shared" si="0"/>
        <v>0</v>
      </c>
      <c r="AJ8" s="56">
        <f t="shared" si="0"/>
        <v>40673.210000000006</v>
      </c>
      <c r="AK8" s="56">
        <f t="shared" si="0"/>
        <v>0</v>
      </c>
      <c r="AL8" s="56">
        <f t="shared" si="0"/>
        <v>42535.64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64</v>
      </c>
      <c r="C12" s="35" t="s">
        <v>92</v>
      </c>
      <c r="D12" s="35" t="s">
        <v>65</v>
      </c>
      <c r="E12" s="35" t="s">
        <v>93</v>
      </c>
      <c r="AD12" s="8"/>
    </row>
    <row r="13" spans="1:46" ht="18.75" customHeight="1">
      <c r="B13" s="36">
        <f>AJ8</f>
        <v>40673.210000000006</v>
      </c>
      <c r="C13" s="36">
        <f>AG8</f>
        <v>1862.4300000000003</v>
      </c>
      <c r="D13" s="36">
        <f>AK8</f>
        <v>0</v>
      </c>
      <c r="E13" s="36">
        <f>B13+C13+D13</f>
        <v>42535.640000000007</v>
      </c>
    </row>
    <row r="14" spans="1:46">
      <c r="B14" s="37"/>
      <c r="C14" s="37"/>
      <c r="D14" s="37"/>
      <c r="E14" s="37"/>
    </row>
    <row r="15" spans="1:46" s="12" customFormat="1">
      <c r="A15" s="38" t="s">
        <v>94</v>
      </c>
      <c r="B15" s="39" t="s">
        <v>95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96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97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98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99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100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101</v>
      </c>
    </row>
    <row r="23" spans="1:35">
      <c r="B23" s="47" t="s">
        <v>102</v>
      </c>
    </row>
    <row r="24" spans="1:35">
      <c r="B24" s="47" t="s">
        <v>103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0">
    <cfRule type="duplicateValues" dxfId="41" priority="2" stopIfTrue="1"/>
  </conditionalFormatting>
  <conditionalFormatting sqref="B15:B19">
    <cfRule type="duplicateValues" dxfId="40" priority="3" stopIfTrue="1"/>
  </conditionalFormatting>
  <conditionalFormatting sqref="B23:B24">
    <cfRule type="duplicateValues" dxfId="39" priority="1" stopIfTrue="1"/>
  </conditionalFormatting>
  <conditionalFormatting sqref="C12:C14">
    <cfRule type="duplicateValues" dxfId="38" priority="4" stopIfTrue="1"/>
    <cfRule type="expression" dxfId="37" priority="5" stopIfTrue="1">
      <formula>AND(COUNTIF($B$8:$B$65444,C12)+COUNTIF($B$1:$B$3,C12)&gt;1,NOT(ISBLANK(C12)))</formula>
    </cfRule>
    <cfRule type="expression" dxfId="36" priority="6" stopIfTrue="1">
      <formula>AND(COUNTIF($B$19:$B$65395,C12)+COUNTIF($B$1:$B$18,C12)&gt;1,NOT(ISBLANK(C12)))</formula>
    </cfRule>
    <cfRule type="expression" dxfId="35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9070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L4+IFERROR(VLOOKUP($E:$E,'（居民）工资表-9月'!$E:$S,15,0),0)</f>
        <v>76570</v>
      </c>
      <c r="T4" s="69">
        <f>5000+IFERROR(VLOOKUP($E:$E,'（居民）工资表-9月'!$E:$T,16,0),0)</f>
        <v>50000</v>
      </c>
      <c r="U4" s="69">
        <f>Q4+IFERROR(VLOOKUP($E:$E,'（居民）工资表-9月'!$E:$U,17,0),0)</f>
        <v>5198.9999999999991</v>
      </c>
      <c r="V4" s="52"/>
      <c r="W4" s="52"/>
      <c r="X4" s="52">
        <v>10000</v>
      </c>
      <c r="Y4" s="52"/>
      <c r="Z4" s="52"/>
      <c r="AA4" s="52"/>
      <c r="AB4" s="68">
        <f>ROUND(SUM(V4:AA4),2)</f>
        <v>10000</v>
      </c>
      <c r="AC4" s="68">
        <f>R4+IFERROR(VLOOKUP($E:$E,'（居民）工资表-9月'!$E:$AC,25,0),0)</f>
        <v>0</v>
      </c>
      <c r="AD4" s="70">
        <f>ROUND(S4-T4-U4-AB4-AC4,2)</f>
        <v>11371</v>
      </c>
      <c r="AE4" s="71">
        <f>ROUND(MAX((AD4)*{0.03;0.1;0.2;0.25;0.3;0.35;0.45}-{0;2520;16920;31920;52920;85920;181920},0),2)</f>
        <v>341.13</v>
      </c>
      <c r="AF4" s="72">
        <f>IFERROR(VLOOKUP(E:E,'（居民）工资表-9月'!E:AF,28,0)+VLOOKUP(E:E,'（居民）工资表-9月'!E:AG,29,0),0)</f>
        <v>264.63</v>
      </c>
      <c r="AG4" s="72">
        <f>IF((AE4-AF4)&lt;0,0,AE4-AF4)</f>
        <v>76.5</v>
      </c>
      <c r="AH4" s="75">
        <f>ROUND(IF((L4-Q4-AG4)&lt;0,0,(L4-Q4-AG4)),2)</f>
        <v>8473.6</v>
      </c>
      <c r="AI4" s="76"/>
      <c r="AJ4" s="75">
        <f>AH4+AI4</f>
        <v>8473.6</v>
      </c>
      <c r="AK4" s="77"/>
      <c r="AL4" s="75">
        <f>AJ4+AG4+AK4</f>
        <v>8550.1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6889.4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L5+IFERROR(VLOOKUP($E:$E,'（居民）工资表-9月'!$E:$S,15,0),0)</f>
        <v>48871.4</v>
      </c>
      <c r="T5" s="69">
        <f>5000+IFERROR(VLOOKUP($E:$E,'（居民）工资表-9月'!$E:$T,16,0),0)</f>
        <v>35000</v>
      </c>
      <c r="U5" s="69">
        <f>Q5+IFERROR(VLOOKUP($E:$E,'（居民）工资表-9月'!$E:$U,17,0),0)</f>
        <v>3147.68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R5+IFERROR(VLOOKUP($E:$E,'（居民）工资表-9月'!$E:$AC,25,0),0)</f>
        <v>0</v>
      </c>
      <c r="AD5" s="70">
        <f>ROUND(S5-T5-U5-AB5-AC5,2)</f>
        <v>10723.72</v>
      </c>
      <c r="AE5" s="71">
        <f>ROUND(MAX((AD5)*{0.03;0.1;0.2;0.25;0.3;0.35;0.45}-{0;2520;16920;31920;52920;85920;181920},0),2)</f>
        <v>321.70999999999998</v>
      </c>
      <c r="AF5" s="72">
        <f>IFERROR(VLOOKUP(E:E,'（居民）工资表-9月'!E:AF,28,0)+VLOOKUP(E:E,'（居民）工资表-9月'!E:AG,29,0),0)</f>
        <v>276.83</v>
      </c>
      <c r="AG5" s="72">
        <f>IF((AE5-AF5)&lt;0,0,AE5-AF5)</f>
        <v>44.879999999999995</v>
      </c>
      <c r="AH5" s="75">
        <f>ROUND(IF((L5-Q5-AG5)&lt;0,0,(L5-Q5-AG5)),2)</f>
        <v>6451.06</v>
      </c>
      <c r="AI5" s="76"/>
      <c r="AJ5" s="75">
        <f>AH5+AI5</f>
        <v>6451.06</v>
      </c>
      <c r="AK5" s="77"/>
      <c r="AL5" s="75">
        <f>AJ5+AG5+AK5</f>
        <v>6495.9400000000005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160</v>
      </c>
      <c r="D6" s="25" t="s">
        <v>87</v>
      </c>
      <c r="E6" s="318" t="s">
        <v>161</v>
      </c>
      <c r="F6" s="26" t="s">
        <v>263</v>
      </c>
      <c r="G6" s="27">
        <v>18607383005</v>
      </c>
      <c r="H6" s="28"/>
      <c r="I6" s="28"/>
      <c r="J6" s="51"/>
      <c r="K6" s="28"/>
      <c r="L6" s="52">
        <v>20720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L6+IFERROR(VLOOKUP($E:$E,'（居民）工资表-9月'!$E:$S,15,0),0)</f>
        <v>130024.76000000001</v>
      </c>
      <c r="T6" s="69">
        <f>5000+IFERROR(VLOOKUP($E:$E,'（居民）工资表-9月'!$E:$T,16,0),0)</f>
        <v>30000</v>
      </c>
      <c r="U6" s="69">
        <f>Q6+IFERROR(VLOOKUP($E:$E,'（居民）工资表-9月'!$E:$U,17,0),0)</f>
        <v>3758.67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R6+IFERROR(VLOOKUP($E:$E,'（居民）工资表-9月'!$E:$AC,25,0),0)</f>
        <v>0</v>
      </c>
      <c r="AD6" s="70">
        <f>ROUND(S6-T6-U6-AB6-AC6,2)</f>
        <v>96266.09</v>
      </c>
      <c r="AE6" s="71">
        <f>ROUND(MAX((AD6)*{0.03;0.1;0.2;0.25;0.3;0.35;0.45}-{0;2520;16920;31920;52920;85920;181920},0),2)</f>
        <v>7106.61</v>
      </c>
      <c r="AF6" s="72">
        <f>IFERROR(VLOOKUP(E:E,'（居民）工资表-9月'!E:AF,28,0)+VLOOKUP(E:E,'（居民）工资表-9月'!E:AG,29,0),0)</f>
        <v>5595.81</v>
      </c>
      <c r="AG6" s="72">
        <f>IF((AE6-AF6)&lt;0,0,AE6-AF6)</f>
        <v>1510.7999999999993</v>
      </c>
      <c r="AH6" s="75">
        <f>ROUND(IF((L6-Q6-AG6)&lt;0,0,(L6-Q6-AG6)),2)</f>
        <v>18597.2</v>
      </c>
      <c r="AI6" s="76"/>
      <c r="AJ6" s="75">
        <f>AH6+AI6</f>
        <v>18597.2</v>
      </c>
      <c r="AK6" s="77"/>
      <c r="AL6" s="75">
        <f>AJ6+AG6+AK6</f>
        <v>20108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265</v>
      </c>
      <c r="D7" s="25" t="s">
        <v>87</v>
      </c>
      <c r="E7" s="318" t="s">
        <v>266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5700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L7+IFERROR(VLOOKUP($E:$E,'（居民）工资表-9月'!$E:$S,15,0),0)</f>
        <v>18343.63636363636</v>
      </c>
      <c r="T7" s="69">
        <f>5000+IFERROR(VLOOKUP($E:$E,'（居民）工资表-9月'!$E:$T,16,0),0)</f>
        <v>20000</v>
      </c>
      <c r="U7" s="69">
        <f>Q7+IFERROR(VLOOKUP($E:$E,'（居民）工资表-9月'!$E:$U,17,0),0)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R7+IFERROR(VLOOKUP($E:$E,'（居民）工资表-9月'!$E:$AC,25,0),0)</f>
        <v>0</v>
      </c>
      <c r="AD7" s="70">
        <f>ROUND(S7-T7-U7-AB7-AC7,2)</f>
        <v>-1656.36</v>
      </c>
      <c r="AE7" s="71">
        <f>ROUND(MAX((AD7)*{0.03;0.1;0.2;0.25;0.3;0.35;0.45}-{0;2520;16920;31920;52920;85920;181920},0),2)</f>
        <v>0</v>
      </c>
      <c r="AF7" s="72">
        <f>IFERROR(VLOOKUP(E:E,'（居民）工资表-9月'!E:AF,28,0)+VLOOKUP(E:E,'（居民）工资表-9月'!E:AG,29,0),0)</f>
        <v>0</v>
      </c>
      <c r="AG7" s="72">
        <f>IF((AE7-AF7)&lt;0,0,AE7-AF7)</f>
        <v>0</v>
      </c>
      <c r="AH7" s="75">
        <f>ROUND(IF((L7-Q7-AG7)&lt;0,0,(L7-Q7-AG7)),2)</f>
        <v>5700</v>
      </c>
      <c r="AI7" s="76"/>
      <c r="AJ7" s="75">
        <f>AH7+AI7</f>
        <v>5700</v>
      </c>
      <c r="AK7" s="77"/>
      <c r="AL7" s="75">
        <f>AJ7+AG7+AK7</f>
        <v>5700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91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42379.4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273809.79636363639</v>
      </c>
      <c r="T8" s="56">
        <f t="shared" si="0"/>
        <v>135000</v>
      </c>
      <c r="U8" s="56">
        <f t="shared" si="0"/>
        <v>12105.349999999999</v>
      </c>
      <c r="V8" s="56">
        <f t="shared" si="0"/>
        <v>0</v>
      </c>
      <c r="W8" s="56">
        <f t="shared" si="0"/>
        <v>0</v>
      </c>
      <c r="X8" s="56">
        <f t="shared" si="0"/>
        <v>10000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10000</v>
      </c>
      <c r="AC8" s="56">
        <f t="shared" si="0"/>
        <v>0</v>
      </c>
      <c r="AD8" s="56">
        <f t="shared" si="0"/>
        <v>116704.45</v>
      </c>
      <c r="AE8" s="56">
        <f t="shared" si="0"/>
        <v>7769.45</v>
      </c>
      <c r="AF8" s="56">
        <f t="shared" si="0"/>
        <v>6137.27</v>
      </c>
      <c r="AG8" s="56">
        <f t="shared" si="0"/>
        <v>1632.1799999999994</v>
      </c>
      <c r="AH8" s="56">
        <f t="shared" si="0"/>
        <v>39221.86</v>
      </c>
      <c r="AI8" s="78">
        <f t="shared" si="0"/>
        <v>0</v>
      </c>
      <c r="AJ8" s="56">
        <f t="shared" si="0"/>
        <v>39221.86</v>
      </c>
      <c r="AK8" s="56">
        <f t="shared" si="0"/>
        <v>0</v>
      </c>
      <c r="AL8" s="56">
        <f t="shared" si="0"/>
        <v>40854.04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64</v>
      </c>
      <c r="C12" s="35" t="s">
        <v>92</v>
      </c>
      <c r="D12" s="35" t="s">
        <v>65</v>
      </c>
      <c r="E12" s="35" t="s">
        <v>93</v>
      </c>
      <c r="AD12" s="8"/>
    </row>
    <row r="13" spans="1:46" ht="18.75" customHeight="1">
      <c r="B13" s="36">
        <f>AJ8</f>
        <v>39221.86</v>
      </c>
      <c r="C13" s="36">
        <f>AG8</f>
        <v>1632.1799999999994</v>
      </c>
      <c r="D13" s="36">
        <f>AK8</f>
        <v>0</v>
      </c>
      <c r="E13" s="36">
        <f>B13+C13+D13</f>
        <v>40854.04</v>
      </c>
    </row>
    <row r="14" spans="1:46">
      <c r="B14" s="37"/>
      <c r="C14" s="37"/>
      <c r="D14" s="37"/>
      <c r="E14" s="37"/>
    </row>
    <row r="15" spans="1:46" s="12" customFormat="1">
      <c r="A15" s="38" t="s">
        <v>94</v>
      </c>
      <c r="B15" s="39" t="s">
        <v>95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96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97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98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99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100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101</v>
      </c>
    </row>
    <row r="23" spans="1:35">
      <c r="B23" s="47" t="s">
        <v>102</v>
      </c>
    </row>
    <row r="24" spans="1:35">
      <c r="B24" s="47" t="s">
        <v>103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0">
    <cfRule type="duplicateValues" dxfId="34" priority="2" stopIfTrue="1"/>
  </conditionalFormatting>
  <conditionalFormatting sqref="B15:B19">
    <cfRule type="duplicateValues" dxfId="33" priority="3" stopIfTrue="1"/>
  </conditionalFormatting>
  <conditionalFormatting sqref="B23:B24">
    <cfRule type="duplicateValues" dxfId="32" priority="1" stopIfTrue="1"/>
  </conditionalFormatting>
  <conditionalFormatting sqref="C12:C14">
    <cfRule type="duplicateValues" dxfId="31" priority="4" stopIfTrue="1"/>
    <cfRule type="expression" dxfId="30" priority="5" stopIfTrue="1">
      <formula>AND(COUNTIF($B$8:$B$65444,C12)+COUNTIF($B$1:$B$3,C12)&gt;1,NOT(ISBLANK(C12)))</formula>
    </cfRule>
    <cfRule type="expression" dxfId="29" priority="6" stopIfTrue="1">
      <formula>AND(COUNTIF($B$19:$B$65395,C12)+COUNTIF($B$1:$B$18,C12)&gt;1,NOT(ISBLANK(C12)))</formula>
    </cfRule>
    <cfRule type="expression" dxfId="28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10400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L4+IFERROR(VLOOKUP($E:$E,'（居民）工资表-10月'!$E:$S,15,0),0)</f>
        <v>86970</v>
      </c>
      <c r="T4" s="69">
        <f>5000+IFERROR(VLOOKUP($E:$E,'（居民）工资表-10月'!$E:$T,16,0),0)</f>
        <v>55000</v>
      </c>
      <c r="U4" s="69">
        <f>Q4+IFERROR(VLOOKUP($E:$E,'（居民）工资表-10月'!$E:$U,17,0),0)</f>
        <v>5718.8999999999987</v>
      </c>
      <c r="V4" s="52"/>
      <c r="W4" s="52"/>
      <c r="X4" s="52">
        <v>11000</v>
      </c>
      <c r="Y4" s="52"/>
      <c r="Z4" s="52"/>
      <c r="AA4" s="52"/>
      <c r="AB4" s="68">
        <f>ROUND(SUM(V4:AA4),2)</f>
        <v>11000</v>
      </c>
      <c r="AC4" s="68">
        <f>R4+IFERROR(VLOOKUP($E:$E,'（居民）工资表-10月'!$E:$AC,25,0),0)</f>
        <v>0</v>
      </c>
      <c r="AD4" s="70">
        <f>ROUND(S4-T4-U4-AB4-AC4,2)</f>
        <v>15251.1</v>
      </c>
      <c r="AE4" s="71">
        <f>ROUND(MAX((AD4)*{0.03;0.1;0.2;0.25;0.3;0.35;0.45}-{0;2520;16920;31920;52920;85920;181920},0),2)</f>
        <v>457.53</v>
      </c>
      <c r="AF4" s="72">
        <f>IFERROR(VLOOKUP(E:E,'（居民）工资表-10月'!E:AF,28,0)+VLOOKUP(E:E,'（居民）工资表-10月'!E:AG,29,0),0)</f>
        <v>341.13</v>
      </c>
      <c r="AG4" s="72">
        <f>IF((AE4-AF4)&lt;0,0,AE4-AF4)</f>
        <v>116.39999999999998</v>
      </c>
      <c r="AH4" s="75">
        <f>ROUND(IF((L4-Q4-AG4)&lt;0,0,(L4-Q4-AG4)),2)</f>
        <v>9763.7000000000007</v>
      </c>
      <c r="AI4" s="76"/>
      <c r="AJ4" s="75">
        <f>AH4+AI4</f>
        <v>9763.7000000000007</v>
      </c>
      <c r="AK4" s="77"/>
      <c r="AL4" s="75">
        <f>AJ4+AG4+AK4</f>
        <v>9880.1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IF(SUMPRODUCT(N(E$1:E$6=E4))&gt;1,"重复","不")</f>
        <v>不</v>
      </c>
      <c r="AT4" s="82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7000</v>
      </c>
      <c r="M5" s="53">
        <f>268.81+24.57*4</f>
        <v>367.09</v>
      </c>
      <c r="N5" s="53">
        <v>61.06</v>
      </c>
      <c r="O5" s="53">
        <f>10.08+0.92*4</f>
        <v>13.76</v>
      </c>
      <c r="P5" s="53">
        <v>79</v>
      </c>
      <c r="Q5" s="67">
        <f>ROUND(SUM(M5:P5),2)</f>
        <v>520.91</v>
      </c>
      <c r="R5" s="52">
        <v>0</v>
      </c>
      <c r="S5" s="68">
        <f>L5+IFERROR(VLOOKUP($E:$E,'（居民）工资表-10月'!$E:$S,15,0),0)</f>
        <v>55871.4</v>
      </c>
      <c r="T5" s="69">
        <f>5000+IFERROR(VLOOKUP($E:$E,'（居民）工资表-10月'!$E:$T,16,0),0)</f>
        <v>40000</v>
      </c>
      <c r="U5" s="69">
        <f>Q5+IFERROR(VLOOKUP($E:$E,'（居民）工资表-10月'!$E:$U,17,0),0)</f>
        <v>3668.5899999999997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R5+IFERROR(VLOOKUP($E:$E,'（居民）工资表-10月'!$E:$AC,25,0),0)</f>
        <v>0</v>
      </c>
      <c r="AD5" s="70">
        <f>ROUND(S5-T5-U5-AB5-AC5,2)</f>
        <v>12202.81</v>
      </c>
      <c r="AE5" s="71">
        <f>ROUND(MAX((AD5)*{0.03;0.1;0.2;0.25;0.3;0.35;0.45}-{0;2520;16920;31920;52920;85920;181920},0),2)</f>
        <v>366.08</v>
      </c>
      <c r="AF5" s="72">
        <f>IFERROR(VLOOKUP(E:E,'（居民）工资表-10月'!E:AF,28,0)+VLOOKUP(E:E,'（居民）工资表-10月'!E:AG,29,0),0)</f>
        <v>321.70999999999998</v>
      </c>
      <c r="AG5" s="72">
        <f>IF((AE5-AF5)&lt;0,0,AE5-AF5)</f>
        <v>44.370000000000005</v>
      </c>
      <c r="AH5" s="75">
        <f>ROUND(IF((L5-Q5-AG5)&lt;0,0,(L5-Q5-AG5)),2)</f>
        <v>6434.72</v>
      </c>
      <c r="AI5" s="76"/>
      <c r="AJ5" s="75">
        <f>AH5+AI5</f>
        <v>6434.72</v>
      </c>
      <c r="AK5" s="77"/>
      <c r="AL5" s="75">
        <f>AJ5+AG5+AK5</f>
        <v>6479.09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IF(SUMPRODUCT(N(E$1:E$6=E5))&gt;1,"重复","不")</f>
        <v>不</v>
      </c>
      <c r="AT5" s="82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265</v>
      </c>
      <c r="D6" s="25" t="s">
        <v>87</v>
      </c>
      <c r="E6" s="318" t="s">
        <v>266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L6+IFERROR(VLOOKUP($E:$E,'（居民）工资表-10月'!$E:$S,15,0),0)</f>
        <v>24043.63636363636</v>
      </c>
      <c r="T6" s="69">
        <f>5000+IFERROR(VLOOKUP($E:$E,'（居民）工资表-10月'!$E:$T,16,0),0)</f>
        <v>25000</v>
      </c>
      <c r="U6" s="69">
        <f>Q6+IFERROR(VLOOKUP($E:$E,'（居民）工资表-10月'!$E:$U,17,0),0)</f>
        <v>599.74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R6+IFERROR(VLOOKUP($E:$E,'（居民）工资表-10月'!$E:$AC,25,0),0)</f>
        <v>0</v>
      </c>
      <c r="AD6" s="70">
        <f>ROUND(S6-T6-U6-AB6-AC6,2)</f>
        <v>-1556.1</v>
      </c>
      <c r="AE6" s="71">
        <f>ROUND(MAX((AD6)*{0.03;0.1;0.2;0.25;0.3;0.35;0.45}-{0;2520;16920;31920;52920;85920;181920},0),2)</f>
        <v>0</v>
      </c>
      <c r="AF6" s="72">
        <f>IFERROR(VLOOKUP(E:E,'（居民）工资表-10月'!E:AF,28,0)+VLOOKUP(E:E,'（居民）工资表-10月'!E:AG,29,0),0)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IF(SUMPRODUCT(N(E$1:E$6=E6))&gt;1,"重复","不")</f>
        <v>不</v>
      </c>
      <c r="AT6" s="82" t="str">
        <f>IF(SUMPRODUCT(N(AO$1:AO$6=AO6))&gt;1,"重复","不")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160</v>
      </c>
      <c r="D7" s="25" t="s">
        <v>87</v>
      </c>
      <c r="E7" s="318" t="s">
        <v>161</v>
      </c>
      <c r="F7" s="26" t="s">
        <v>263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L7+IFERROR(VLOOKUP($E:$E,'（居民）工资表-10月'!$E:$S,15,0),0)</f>
        <v>155024.76</v>
      </c>
      <c r="T7" s="69">
        <f>5000+IFERROR(VLOOKUP($E:$E,'（居民）工资表-10月'!$E:$T,16,0),0)</f>
        <v>35000</v>
      </c>
      <c r="U7" s="69">
        <f>Q7+IFERROR(VLOOKUP($E:$E,'（居民）工资表-10月'!$E:$U,17,0),0)</f>
        <v>4370.67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R7+IFERROR(VLOOKUP($E:$E,'（居民）工资表-10月'!$E:$AC,25,0),0)</f>
        <v>0</v>
      </c>
      <c r="AD7" s="70">
        <f>ROUND(S7-T7-U7-AB7-AC7,2)</f>
        <v>115654.09</v>
      </c>
      <c r="AE7" s="71">
        <f>ROUND(MAX((AD7)*{0.03;0.1;0.2;0.25;0.3;0.35;0.45}-{0;2520;16920;31920;52920;85920;181920},0),2)</f>
        <v>9045.41</v>
      </c>
      <c r="AF7" s="72">
        <f>IFERROR(VLOOKUP(E:E,'（居民）工资表-10月'!E:AF,28,0)+VLOOKUP(E:E,'（居民）工资表-10月'!E:AG,29,0),0)</f>
        <v>7106.61</v>
      </c>
      <c r="AG7" s="72">
        <f>IF((AE7-AF7)&lt;0,0,AE7-AF7)</f>
        <v>1938.8000000000002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IF(SUMPRODUCT(N(E$1:E$6=E7))&gt;1,"重复","不")</f>
        <v>不</v>
      </c>
      <c r="AT7" s="82" t="str">
        <f>IF(SUMPRODUCT(N(AO$1:AO$6=AO7))&gt;1,"重复","不")</f>
        <v>重复</v>
      </c>
    </row>
    <row r="8" spans="1:46" s="10" customFormat="1" ht="18" customHeight="1">
      <c r="A8" s="24">
        <v>5</v>
      </c>
      <c r="B8" s="25" t="s">
        <v>85</v>
      </c>
      <c r="C8" s="25" t="s">
        <v>290</v>
      </c>
      <c r="D8" s="25" t="s">
        <v>87</v>
      </c>
      <c r="E8" s="25" t="s">
        <v>291</v>
      </c>
      <c r="F8" s="26" t="s">
        <v>263</v>
      </c>
      <c r="G8" s="27">
        <v>13373825180</v>
      </c>
      <c r="H8" s="28"/>
      <c r="I8" s="28"/>
      <c r="J8" s="51"/>
      <c r="K8" s="28"/>
      <c r="L8" s="52">
        <v>25000</v>
      </c>
      <c r="M8" s="53">
        <f>261.04*2</f>
        <v>522.08000000000004</v>
      </c>
      <c r="N8" s="53">
        <f>57.18*2+32.5</f>
        <v>146.86000000000001</v>
      </c>
      <c r="O8" s="53">
        <f>9.1*2</f>
        <v>18.2</v>
      </c>
      <c r="P8" s="53">
        <f>85*2</f>
        <v>170</v>
      </c>
      <c r="Q8" s="67">
        <f>ROUND(SUM(M8:P8),2)</f>
        <v>857.14</v>
      </c>
      <c r="R8" s="52">
        <v>0</v>
      </c>
      <c r="S8" s="68">
        <f>L8+IFERROR(VLOOKUP($E:$E,'（居民）工资表-10月'!$E:$S,15,0),0)</f>
        <v>25000</v>
      </c>
      <c r="T8" s="69">
        <f>5000+IFERROR(VLOOKUP($E:$E,'（居民）工资表-10月'!$E:$T,16,0),0)</f>
        <v>5000</v>
      </c>
      <c r="U8" s="69">
        <f>Q8+IFERROR(VLOOKUP($E:$E,'（居民）工资表-10月'!$E:$U,17,0),0)</f>
        <v>857.14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R8+IFERROR(VLOOKUP($E:$E,'（居民）工资表-10月'!$E:$AC,25,0),0)</f>
        <v>0</v>
      </c>
      <c r="AD8" s="70">
        <f>ROUND(S8-T8-U8-AB8-AC8,2)</f>
        <v>19142.86</v>
      </c>
      <c r="AE8" s="71">
        <f>ROUND(MAX((AD8)*{0.03;0.1;0.2;0.25;0.3;0.35;0.45}-{0;2520;16920;31920;52920;85920;181920},0),2)</f>
        <v>574.29</v>
      </c>
      <c r="AF8" s="72">
        <f>IFERROR(VLOOKUP(E:E,'（居民）工资表-10月'!E:AF,28,0)+VLOOKUP(E:E,'（居民）工资表-10月'!E:AG,29,0),0)</f>
        <v>0</v>
      </c>
      <c r="AG8" s="72">
        <f>IF((AE8-AF8)&lt;0,0,AE8-AF8)</f>
        <v>574.29</v>
      </c>
      <c r="AH8" s="75">
        <f>ROUND(IF((L8-Q8-AG8)&lt;0,0,(L8-Q8-AG8)),2)</f>
        <v>23568.57</v>
      </c>
      <c r="AI8" s="76"/>
      <c r="AJ8" s="75">
        <f>AH8+AI8</f>
        <v>23568.57</v>
      </c>
      <c r="AK8" s="77"/>
      <c r="AL8" s="75">
        <f>AJ8+AG8+AK8</f>
        <v>24142.86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IF(SUMPRODUCT(N(E$1:E$6=E8))&gt;1,"重复","不")</f>
        <v>不</v>
      </c>
      <c r="AT8" s="82" t="str">
        <f>IF(SUMPRODUCT(N(AO$1:AO$6=AO8))&gt;1,"重复","不")</f>
        <v>重复</v>
      </c>
    </row>
    <row r="9" spans="1:46" s="11" customFormat="1" ht="18" customHeight="1">
      <c r="A9" s="29"/>
      <c r="B9" s="30" t="s">
        <v>91</v>
      </c>
      <c r="C9" s="30"/>
      <c r="D9" s="31"/>
      <c r="E9" s="32"/>
      <c r="F9" s="33"/>
      <c r="G9" s="34"/>
      <c r="H9" s="33"/>
      <c r="I9" s="54"/>
      <c r="J9" s="55"/>
      <c r="K9" s="54"/>
      <c r="L9" s="56">
        <f>SUM(L4:L8)</f>
        <v>73100</v>
      </c>
      <c r="M9" s="56">
        <f t="shared" ref="M9:AL9" si="0">SUM(M4:M8)</f>
        <v>1840.21</v>
      </c>
      <c r="N9" s="56">
        <f t="shared" si="0"/>
        <v>477.42</v>
      </c>
      <c r="O9" s="56">
        <f t="shared" si="0"/>
        <v>58.06</v>
      </c>
      <c r="P9" s="56">
        <f t="shared" si="0"/>
        <v>734</v>
      </c>
      <c r="Q9" s="56">
        <f t="shared" si="0"/>
        <v>3109.69</v>
      </c>
      <c r="R9" s="56">
        <f t="shared" si="0"/>
        <v>0</v>
      </c>
      <c r="S9" s="56">
        <f t="shared" si="0"/>
        <v>346909.79636363639</v>
      </c>
      <c r="T9" s="56">
        <f t="shared" si="0"/>
        <v>160000</v>
      </c>
      <c r="U9" s="56">
        <f t="shared" si="0"/>
        <v>15215.039999999997</v>
      </c>
      <c r="V9" s="56">
        <f t="shared" si="0"/>
        <v>0</v>
      </c>
      <c r="W9" s="56">
        <f t="shared" si="0"/>
        <v>0</v>
      </c>
      <c r="X9" s="56">
        <f t="shared" si="0"/>
        <v>11000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11000</v>
      </c>
      <c r="AC9" s="56">
        <f t="shared" si="0"/>
        <v>0</v>
      </c>
      <c r="AD9" s="56">
        <f t="shared" si="0"/>
        <v>160694.76</v>
      </c>
      <c r="AE9" s="56">
        <f t="shared" si="0"/>
        <v>10443.310000000001</v>
      </c>
      <c r="AF9" s="56">
        <f t="shared" si="0"/>
        <v>7769.45</v>
      </c>
      <c r="AG9" s="56">
        <f t="shared" si="0"/>
        <v>2673.86</v>
      </c>
      <c r="AH9" s="56">
        <f t="shared" si="0"/>
        <v>67316.450000000012</v>
      </c>
      <c r="AI9" s="56">
        <f t="shared" si="0"/>
        <v>0</v>
      </c>
      <c r="AJ9" s="56">
        <f t="shared" si="0"/>
        <v>67316.450000000012</v>
      </c>
      <c r="AK9" s="56">
        <f t="shared" si="0"/>
        <v>0</v>
      </c>
      <c r="AL9" s="56">
        <f t="shared" si="0"/>
        <v>69990.31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64</v>
      </c>
      <c r="C13" s="35" t="s">
        <v>92</v>
      </c>
      <c r="D13" s="35" t="s">
        <v>65</v>
      </c>
      <c r="E13" s="35" t="s">
        <v>93</v>
      </c>
      <c r="AD13" s="8"/>
    </row>
    <row r="14" spans="1:46" ht="18.75" customHeight="1">
      <c r="B14" s="36">
        <f>AJ9</f>
        <v>67316.450000000012</v>
      </c>
      <c r="C14" s="36">
        <f>AG9</f>
        <v>2673.86</v>
      </c>
      <c r="D14" s="36">
        <f>AK9</f>
        <v>0</v>
      </c>
      <c r="E14" s="36">
        <f>B14+C14+D14</f>
        <v>69990.310000000012</v>
      </c>
    </row>
    <row r="15" spans="1:46">
      <c r="B15" s="37"/>
      <c r="C15" s="37"/>
      <c r="D15" s="37"/>
      <c r="E15" s="37"/>
    </row>
    <row r="16" spans="1:46" s="12" customFormat="1">
      <c r="A16" s="38" t="s">
        <v>94</v>
      </c>
      <c r="B16" s="39" t="s">
        <v>95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96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97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98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99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100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101</v>
      </c>
    </row>
    <row r="24" spans="1:35">
      <c r="B24" s="47" t="s">
        <v>102</v>
      </c>
    </row>
    <row r="25" spans="1:35">
      <c r="B25" s="47" t="s">
        <v>103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1">
    <cfRule type="duplicateValues" dxfId="27" priority="2" stopIfTrue="1"/>
  </conditionalFormatting>
  <conditionalFormatting sqref="B16:B20">
    <cfRule type="duplicateValues" dxfId="26" priority="3" stopIfTrue="1"/>
  </conditionalFormatting>
  <conditionalFormatting sqref="B24:B25">
    <cfRule type="duplicateValues" dxfId="25" priority="1" stopIfTrue="1"/>
  </conditionalFormatting>
  <conditionalFormatting sqref="C13:C15">
    <cfRule type="duplicateValues" dxfId="24" priority="4" stopIfTrue="1"/>
    <cfRule type="expression" dxfId="23" priority="5" stopIfTrue="1">
      <formula>AND(COUNTIF($B$9:$B$65445,C13)+COUNTIF($B$1:$B$3,C13)&gt;1,NOT(ISBLANK(C13)))</formula>
    </cfRule>
    <cfRule type="expression" dxfId="22" priority="6" stopIfTrue="1">
      <formula>AND(COUNTIF($B$20:$B$65396,C13)+COUNTIF($B$1:$B$19,C13)&gt;1,NOT(ISBLANK(C13)))</formula>
    </cfRule>
    <cfRule type="expression" dxfId="21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4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hidden="1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292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9280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</f>
        <v>9280</v>
      </c>
      <c r="T4" s="69">
        <v>5000</v>
      </c>
      <c r="U4" s="69">
        <f>Q4</f>
        <v>519.9</v>
      </c>
      <c r="V4" s="52">
        <v>1000</v>
      </c>
      <c r="W4" s="52"/>
      <c r="X4" s="52">
        <v>1000</v>
      </c>
      <c r="Y4" s="52"/>
      <c r="Z4" s="52"/>
      <c r="AA4" s="52"/>
      <c r="AB4" s="68">
        <f>ROUND(SUM(V4:AA4),2)</f>
        <v>2000</v>
      </c>
      <c r="AC4" s="68">
        <f>R4</f>
        <v>0</v>
      </c>
      <c r="AD4" s="70">
        <f>ROUND(S4-T4-U4-AB4-AC4,2)</f>
        <v>1760.1</v>
      </c>
      <c r="AE4" s="71">
        <f>ROUND(MAX((AD4)*{0.03;0.1;0.2;0.25;0.3;0.35;0.45}-{0;2520;16920;31920;52920;85920;181920},0),2)</f>
        <v>52.8</v>
      </c>
      <c r="AF4" s="72">
        <v>0</v>
      </c>
      <c r="AG4" s="72">
        <f>IF((AE4-AF4)&lt;0,0,AE4-AF4)</f>
        <v>52.8</v>
      </c>
      <c r="AH4" s="75">
        <f>ROUND(IF((L4-Q4-AG4)&lt;0,0,(L4-Q4-AG4)),2)</f>
        <v>8707.2999999999993</v>
      </c>
      <c r="AI4" s="76"/>
      <c r="AJ4" s="75">
        <f>AH4+AI4</f>
        <v>8707.2999999999993</v>
      </c>
      <c r="AK4" s="77"/>
      <c r="AL4" s="75">
        <f>AJ4+AG4+AK4</f>
        <v>8760.1</v>
      </c>
      <c r="AM4" s="77"/>
      <c r="AN4" s="77"/>
      <c r="AO4" s="77" t="s">
        <v>293</v>
      </c>
      <c r="AP4" s="77" t="s">
        <v>294</v>
      </c>
      <c r="AQ4" s="77" t="s">
        <v>295</v>
      </c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292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</f>
        <v>7000</v>
      </c>
      <c r="T5" s="69">
        <v>5000</v>
      </c>
      <c r="U5" s="69">
        <f>Q5</f>
        <v>418.95</v>
      </c>
      <c r="V5" s="52"/>
      <c r="W5" s="52"/>
      <c r="X5" s="52">
        <v>1000</v>
      </c>
      <c r="Y5" s="52"/>
      <c r="Z5" s="52"/>
      <c r="AA5" s="52"/>
      <c r="AB5" s="68">
        <f>ROUND(SUM(V5:AA5),2)</f>
        <v>1000</v>
      </c>
      <c r="AC5" s="68">
        <f>R5</f>
        <v>0</v>
      </c>
      <c r="AD5" s="70">
        <f>ROUND(S5-T5-U5-AB5-AC5,2)</f>
        <v>581.04999999999995</v>
      </c>
      <c r="AE5" s="71">
        <f>ROUND(MAX((AD5)*{0.03;0.1;0.2;0.25;0.3;0.35;0.45}-{0;2520;16920;31920;52920;85920;181920},0),2)</f>
        <v>17.43</v>
      </c>
      <c r="AF5" s="72">
        <v>0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 t="s">
        <v>293</v>
      </c>
      <c r="AP5" s="77" t="s">
        <v>294</v>
      </c>
      <c r="AQ5" s="77" t="s">
        <v>295</v>
      </c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292</v>
      </c>
      <c r="C6" s="25" t="s">
        <v>265</v>
      </c>
      <c r="D6" s="25" t="s">
        <v>87</v>
      </c>
      <c r="E6" s="318" t="s">
        <v>266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</f>
        <v>5700</v>
      </c>
      <c r="T6" s="69">
        <v>5000</v>
      </c>
      <c r="U6" s="69">
        <f>Q6</f>
        <v>599.74</v>
      </c>
      <c r="V6" s="52"/>
      <c r="W6" s="52"/>
      <c r="X6" s="52"/>
      <c r="Y6" s="52">
        <v>1500</v>
      </c>
      <c r="Z6" s="52"/>
      <c r="AA6" s="52"/>
      <c r="AB6" s="68">
        <f>ROUND(SUM(V6:AA6),2)</f>
        <v>1500</v>
      </c>
      <c r="AC6" s="68">
        <f>R6</f>
        <v>0</v>
      </c>
      <c r="AD6" s="70">
        <f>ROUND(S6-T6-U6-AB6-AC6,2)</f>
        <v>-1399.74</v>
      </c>
      <c r="AE6" s="71">
        <f>ROUND(MAX((AD6)*{0.03;0.1;0.2;0.25;0.3;0.35;0.45}-{0;2520;16920;31920;52920;85920;181920},0),2)</f>
        <v>0</v>
      </c>
      <c r="AF6" s="72"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 t="s">
        <v>293</v>
      </c>
      <c r="AP6" s="77" t="s">
        <v>294</v>
      </c>
      <c r="AQ6" s="77" t="s">
        <v>295</v>
      </c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292</v>
      </c>
      <c r="C7" s="25" t="s">
        <v>160</v>
      </c>
      <c r="D7" s="25" t="s">
        <v>87</v>
      </c>
      <c r="E7" s="318" t="s">
        <v>161</v>
      </c>
      <c r="F7" s="26" t="s">
        <v>263</v>
      </c>
      <c r="G7" s="27">
        <v>18607383005</v>
      </c>
      <c r="H7" s="28"/>
      <c r="I7" s="28"/>
      <c r="J7" s="51"/>
      <c r="K7" s="28"/>
      <c r="L7" s="52">
        <v>31000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</f>
        <v>31000</v>
      </c>
      <c r="T7" s="69">
        <v>5000</v>
      </c>
      <c r="U7" s="69">
        <f>Q7</f>
        <v>612</v>
      </c>
      <c r="V7" s="52">
        <v>2000</v>
      </c>
      <c r="W7" s="52">
        <v>1000</v>
      </c>
      <c r="X7" s="52"/>
      <c r="Y7" s="52"/>
      <c r="Z7" s="52"/>
      <c r="AA7" s="52"/>
      <c r="AB7" s="68">
        <f>ROUND(SUM(V7:AA7),2)</f>
        <v>3000</v>
      </c>
      <c r="AC7" s="68">
        <f>R7</f>
        <v>0</v>
      </c>
      <c r="AD7" s="70">
        <f>ROUND(S7-T7-U7-AB7-AC7,2)</f>
        <v>22388</v>
      </c>
      <c r="AE7" s="71">
        <f>ROUND(MAX((AD7)*{0.03;0.1;0.2;0.25;0.3;0.35;0.45}-{0;2520;16920;31920;52920;85920;181920},0),2)</f>
        <v>671.64</v>
      </c>
      <c r="AF7" s="72">
        <v>0</v>
      </c>
      <c r="AG7" s="72">
        <f>IF((AE7-AF7)&lt;0,0,AE7-AF7)</f>
        <v>671.64</v>
      </c>
      <c r="AH7" s="75">
        <f>ROUND(IF((L7-Q7-AG7)&lt;0,0,(L7-Q7-AG7)),2)</f>
        <v>29716.36</v>
      </c>
      <c r="AI7" s="76"/>
      <c r="AJ7" s="75">
        <f>AH7+AI7</f>
        <v>29716.36</v>
      </c>
      <c r="AK7" s="77"/>
      <c r="AL7" s="75">
        <f>AJ7+AG7+AK7</f>
        <v>30388</v>
      </c>
      <c r="AM7" s="77"/>
      <c r="AN7" s="77"/>
      <c r="AO7" s="77" t="s">
        <v>293</v>
      </c>
      <c r="AP7" s="77" t="s">
        <v>294</v>
      </c>
      <c r="AQ7" s="77" t="s">
        <v>295</v>
      </c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292</v>
      </c>
      <c r="C8" s="25" t="s">
        <v>290</v>
      </c>
      <c r="D8" s="25" t="s">
        <v>87</v>
      </c>
      <c r="E8" s="25" t="s">
        <v>291</v>
      </c>
      <c r="F8" s="26" t="s">
        <v>263</v>
      </c>
      <c r="G8" s="27">
        <v>13373825180</v>
      </c>
      <c r="H8" s="28"/>
      <c r="I8" s="28"/>
      <c r="J8" s="51"/>
      <c r="K8" s="28"/>
      <c r="L8" s="52">
        <v>26739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</f>
        <v>26739</v>
      </c>
      <c r="T8" s="69">
        <v>5000</v>
      </c>
      <c r="U8" s="69">
        <f>Q8</f>
        <v>412.32</v>
      </c>
      <c r="V8" s="52">
        <v>1000</v>
      </c>
      <c r="W8" s="52">
        <v>1000</v>
      </c>
      <c r="X8" s="52">
        <v>1000</v>
      </c>
      <c r="Y8" s="52"/>
      <c r="Z8" s="52"/>
      <c r="AA8" s="52"/>
      <c r="AB8" s="68">
        <f>ROUND(SUM(V8:AA8),2)</f>
        <v>3000</v>
      </c>
      <c r="AC8" s="68">
        <f>R8</f>
        <v>0</v>
      </c>
      <c r="AD8" s="70">
        <f>ROUND(S8-T8-U8-AB8-AC8,2)</f>
        <v>18326.68</v>
      </c>
      <c r="AE8" s="71">
        <f>ROUND(MAX((AD8)*{0.03;0.1;0.2;0.25;0.3;0.35;0.45}-{0;2520;16920;31920;52920;85920;181920},0),2)</f>
        <v>549.79999999999995</v>
      </c>
      <c r="AF8" s="72">
        <v>0</v>
      </c>
      <c r="AG8" s="72">
        <f>IF((AE8-AF8)&lt;0,0,AE8-AF8)</f>
        <v>549.79999999999995</v>
      </c>
      <c r="AH8" s="75">
        <f>ROUND(IF((L8-Q8-AG8)&lt;0,0,(L8-Q8-AG8)),2)</f>
        <v>25776.880000000001</v>
      </c>
      <c r="AI8" s="76"/>
      <c r="AJ8" s="75">
        <f>AH8+AI8</f>
        <v>25776.880000000001</v>
      </c>
      <c r="AK8" s="77"/>
      <c r="AL8" s="75">
        <f>AJ8+AG8+AK8</f>
        <v>26326.68</v>
      </c>
      <c r="AM8" s="77"/>
      <c r="AN8" s="77"/>
      <c r="AO8" s="77" t="s">
        <v>293</v>
      </c>
      <c r="AP8" s="77" t="s">
        <v>294</v>
      </c>
      <c r="AQ8" s="77" t="s">
        <v>295</v>
      </c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91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79719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79719</v>
      </c>
      <c r="T9" s="56">
        <f t="shared" si="0"/>
        <v>25000</v>
      </c>
      <c r="U9" s="56">
        <f t="shared" si="0"/>
        <v>2562.91</v>
      </c>
      <c r="V9" s="56">
        <f t="shared" si="0"/>
        <v>4000</v>
      </c>
      <c r="W9" s="56">
        <f t="shared" si="0"/>
        <v>2000</v>
      </c>
      <c r="X9" s="56">
        <f t="shared" si="0"/>
        <v>3000</v>
      </c>
      <c r="Y9" s="56">
        <f t="shared" si="0"/>
        <v>1500</v>
      </c>
      <c r="Z9" s="56">
        <f t="shared" si="0"/>
        <v>0</v>
      </c>
      <c r="AA9" s="56">
        <f t="shared" si="0"/>
        <v>0</v>
      </c>
      <c r="AB9" s="56">
        <f t="shared" si="0"/>
        <v>10500</v>
      </c>
      <c r="AC9" s="56">
        <f t="shared" si="0"/>
        <v>0</v>
      </c>
      <c r="AD9" s="56">
        <f t="shared" si="0"/>
        <v>41656.089999999997</v>
      </c>
      <c r="AE9" s="56">
        <f t="shared" si="0"/>
        <v>1291.67</v>
      </c>
      <c r="AF9" s="56">
        <f t="shared" si="0"/>
        <v>0</v>
      </c>
      <c r="AG9" s="56">
        <f t="shared" si="0"/>
        <v>1291.67</v>
      </c>
      <c r="AH9" s="56">
        <f t="shared" si="0"/>
        <v>75864.42</v>
      </c>
      <c r="AI9" s="78">
        <f t="shared" si="0"/>
        <v>0</v>
      </c>
      <c r="AJ9" s="56">
        <f t="shared" si="0"/>
        <v>75864.42</v>
      </c>
      <c r="AK9" s="56">
        <f t="shared" si="0"/>
        <v>0</v>
      </c>
      <c r="AL9" s="56">
        <f t="shared" si="0"/>
        <v>77156.09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64</v>
      </c>
      <c r="C13" s="35" t="s">
        <v>92</v>
      </c>
      <c r="D13" s="35" t="s">
        <v>65</v>
      </c>
      <c r="E13" s="35" t="s">
        <v>93</v>
      </c>
      <c r="AD13" s="8"/>
    </row>
    <row r="14" spans="1:46" ht="18.75" customHeight="1">
      <c r="B14" s="36">
        <f>AJ9</f>
        <v>75864.42</v>
      </c>
      <c r="C14" s="36">
        <f>AG9</f>
        <v>1291.67</v>
      </c>
      <c r="D14" s="36">
        <f>AK9</f>
        <v>0</v>
      </c>
      <c r="E14" s="36">
        <f>B14+C14+D14</f>
        <v>77156.09</v>
      </c>
    </row>
    <row r="15" spans="1:46">
      <c r="B15" s="37"/>
      <c r="C15" s="37"/>
      <c r="D15" s="37"/>
      <c r="E15" s="37"/>
    </row>
    <row r="16" spans="1:46" s="12" customFormat="1">
      <c r="A16" s="38" t="s">
        <v>94</v>
      </c>
      <c r="B16" s="39" t="s">
        <v>95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96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97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98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99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100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101</v>
      </c>
    </row>
    <row r="24" spans="1:35">
      <c r="B24" s="47" t="s">
        <v>102</v>
      </c>
    </row>
    <row r="25" spans="1:35">
      <c r="B25" s="47" t="s">
        <v>103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1">
    <cfRule type="duplicateValues" dxfId="20" priority="10" stopIfTrue="1"/>
  </conditionalFormatting>
  <conditionalFormatting sqref="B16:B20">
    <cfRule type="duplicateValues" dxfId="19" priority="13" stopIfTrue="1"/>
  </conditionalFormatting>
  <conditionalFormatting sqref="B24:B25">
    <cfRule type="duplicateValues" dxfId="18" priority="1" stopIfTrue="1"/>
  </conditionalFormatting>
  <conditionalFormatting sqref="C13:C15">
    <cfRule type="duplicateValues" dxfId="17" priority="17" stopIfTrue="1"/>
    <cfRule type="expression" dxfId="16" priority="19" stopIfTrue="1">
      <formula>AND(COUNTIF($B$9:$B$65445,C13)+COUNTIF($B$1:$B$3,C13)&gt;1,NOT(ISBLANK(C13)))</formula>
    </cfRule>
    <cfRule type="expression" dxfId="15" priority="21" stopIfTrue="1">
      <formula>AND(COUNTIF($B$20:$B$65396,C13)+COUNTIF($B$1:$B$19,C13)&gt;1,NOT(ISBLANK(C13)))</formula>
    </cfRule>
    <cfRule type="expression" dxfId="14" priority="23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L4+IFERROR(VLOOKUP($E:$E,'（居民）工资表-11月'!$E:$S,15,0),0)</f>
        <v>94970</v>
      </c>
      <c r="T4" s="69">
        <f>5000+IFERROR(VLOOKUP($E:$E,'（居民）工资表-11月'!$E:$T,16,0),0)</f>
        <v>60000</v>
      </c>
      <c r="U4" s="69">
        <f>Q4+IFERROR(VLOOKUP($E:$E,'（居民）工资表-11月'!$E:$U,17,0),0)</f>
        <v>6238.7999999999984</v>
      </c>
      <c r="V4" s="52"/>
      <c r="W4" s="52"/>
      <c r="X4" s="52">
        <v>12000</v>
      </c>
      <c r="Y4" s="52"/>
      <c r="Z4" s="52"/>
      <c r="AA4" s="52"/>
      <c r="AB4" s="68">
        <f>ROUND(SUM(V4:AA4),2)</f>
        <v>12000</v>
      </c>
      <c r="AC4" s="68">
        <f>R4+IFERROR(VLOOKUP($E:$E,'（居民）工资表-11月'!$E:$AC,25,0),0)</f>
        <v>0</v>
      </c>
      <c r="AD4" s="70">
        <f>ROUND(S4-T4-U4-AB4-AC4,2)</f>
        <v>16731.2</v>
      </c>
      <c r="AE4" s="71">
        <f>ROUND(MAX((AD4)*{0.03;0.1;0.2;0.25;0.3;0.35;0.45}-{0;2520;16920;31920;52920;85920;181920},0),2)</f>
        <v>501.94</v>
      </c>
      <c r="AF4" s="72">
        <f>IFERROR(VLOOKUP(E:E,'（居民）工资表-11月'!E:AF,28,0)+VLOOKUP(E:E,'（居民）工资表-11月'!E:AG,29,0),0)</f>
        <v>457.53</v>
      </c>
      <c r="AG4" s="72">
        <f>IF((AE4-AF4)&lt;0,0,AE4-AF4)</f>
        <v>44.410000000000025</v>
      </c>
      <c r="AH4" s="75">
        <f>ROUND(IF((L4-Q4-AG4)&lt;0,0,(L4-Q4-AG4)),2)</f>
        <v>7435.69</v>
      </c>
      <c r="AI4" s="76"/>
      <c r="AJ4" s="75">
        <f>AH4+AI4</f>
        <v>7435.69</v>
      </c>
      <c r="AK4" s="77"/>
      <c r="AL4" s="75">
        <f>AJ4+AG4+AK4</f>
        <v>7480.0999999999995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L5+IFERROR(VLOOKUP($E:$E,'（居民）工资表-11月'!$E:$S,15,0),0)</f>
        <v>62871.4</v>
      </c>
      <c r="T5" s="69">
        <f>5000+IFERROR(VLOOKUP($E:$E,'（居民）工资表-11月'!$E:$T,16,0),0)</f>
        <v>45000</v>
      </c>
      <c r="U5" s="69">
        <f>Q5+IFERROR(VLOOKUP($E:$E,'（居民）工资表-11月'!$E:$U,17,0),0)</f>
        <v>4087.5399999999995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R5+IFERROR(VLOOKUP($E:$E,'（居民）工资表-11月'!$E:$AC,25,0),0)</f>
        <v>0</v>
      </c>
      <c r="AD5" s="70">
        <f>ROUND(S5-T5-U5-AB5-AC5,2)</f>
        <v>13783.86</v>
      </c>
      <c r="AE5" s="71">
        <f>ROUND(MAX((AD5)*{0.03;0.1;0.2;0.25;0.3;0.35;0.45}-{0;2520;16920;31920;52920;85920;181920},0),2)</f>
        <v>413.52</v>
      </c>
      <c r="AF5" s="72">
        <f>IFERROR(VLOOKUP(E:E,'（居民）工资表-11月'!E:AF,28,0)+VLOOKUP(E:E,'（居民）工资表-11月'!E:AG,29,0),0)</f>
        <v>366.08</v>
      </c>
      <c r="AG5" s="72">
        <f>IF((AE5-AF5)&lt;0,0,AE5-AF5)</f>
        <v>47.44</v>
      </c>
      <c r="AH5" s="75">
        <f>ROUND(IF((L5-Q5-AG5)&lt;0,0,(L5-Q5-AG5)),2)</f>
        <v>6533.61</v>
      </c>
      <c r="AI5" s="76"/>
      <c r="AJ5" s="75">
        <f>AH5+AI5</f>
        <v>6533.61</v>
      </c>
      <c r="AK5" s="77"/>
      <c r="AL5" s="75">
        <f>AJ5+AG5+AK5</f>
        <v>6581.0499999999993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265</v>
      </c>
      <c r="D6" s="25" t="s">
        <v>87</v>
      </c>
      <c r="E6" s="318" t="s">
        <v>266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L6+IFERROR(VLOOKUP($E:$E,'（居民）工资表-11月'!$E:$S,15,0),0)</f>
        <v>29743.63636363636</v>
      </c>
      <c r="T6" s="69">
        <f>5000+IFERROR(VLOOKUP($E:$E,'（居民）工资表-11月'!$E:$T,16,0),0)</f>
        <v>30000</v>
      </c>
      <c r="U6" s="69">
        <f>Q6+IFERROR(VLOOKUP($E:$E,'（居民）工资表-11月'!$E:$U,17,0),0)</f>
        <v>1199.48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R6+IFERROR(VLOOKUP($E:$E,'（居民）工资表-11月'!$E:$AC,25,0),0)</f>
        <v>0</v>
      </c>
      <c r="AD6" s="70">
        <f>ROUND(S6-T6-U6-AB6-AC6,2)</f>
        <v>-1455.84</v>
      </c>
      <c r="AE6" s="71">
        <f>ROUND(MAX((AD6)*{0.03;0.1;0.2;0.25;0.3;0.35;0.45}-{0;2520;16920;31920;52920;85920;181920},0),2)</f>
        <v>0</v>
      </c>
      <c r="AF6" s="72">
        <f>IFERROR(VLOOKUP(E:E,'（居民）工资表-11月'!E:AF,28,0)+VLOOKUP(E:E,'（居民）工资表-11月'!E:AG,29,0),0)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160</v>
      </c>
      <c r="D7" s="25" t="s">
        <v>87</v>
      </c>
      <c r="E7" s="318" t="s">
        <v>161</v>
      </c>
      <c r="F7" s="26" t="s">
        <v>263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L7+IFERROR(VLOOKUP($E:$E,'（居民）工资表-11月'!$E:$S,15,0),0)</f>
        <v>180024.76</v>
      </c>
      <c r="T7" s="69">
        <f>5000+IFERROR(VLOOKUP($E:$E,'（居民）工资表-11月'!$E:$T,16,0),0)</f>
        <v>40000</v>
      </c>
      <c r="U7" s="69">
        <f>Q7+IFERROR(VLOOKUP($E:$E,'（居民）工资表-11月'!$E:$U,17,0),0)</f>
        <v>4982.67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R7+IFERROR(VLOOKUP($E:$E,'（居民）工资表-11月'!$E:$AC,25,0),0)</f>
        <v>0</v>
      </c>
      <c r="AD7" s="70">
        <f>ROUND(S7-T7-U7-AB7-AC7,2)</f>
        <v>135042.09</v>
      </c>
      <c r="AE7" s="71">
        <f>ROUND(MAX((AD7)*{0.03;0.1;0.2;0.25;0.3;0.35;0.45}-{0;2520;16920;31920;52920;85920;181920},0),2)</f>
        <v>10984.21</v>
      </c>
      <c r="AF7" s="72">
        <f>IFERROR(VLOOKUP(E:E,'（居民）工资表-11月'!E:AF,28,0)+VLOOKUP(E:E,'（居民）工资表-11月'!E:AG,29,0),0)</f>
        <v>9045.41</v>
      </c>
      <c r="AG7" s="72">
        <f>IF((AE7-AF7)&lt;0,0,AE7-AF7)</f>
        <v>1938.7999999999993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85</v>
      </c>
      <c r="C8" s="25" t="s">
        <v>290</v>
      </c>
      <c r="D8" s="25" t="s">
        <v>87</v>
      </c>
      <c r="E8" s="25" t="s">
        <v>291</v>
      </c>
      <c r="F8" s="26" t="s">
        <v>263</v>
      </c>
      <c r="G8" s="27">
        <v>13373825180</v>
      </c>
      <c r="H8" s="28"/>
      <c r="I8" s="28"/>
      <c r="J8" s="51"/>
      <c r="K8" s="28"/>
      <c r="L8" s="52">
        <v>25000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L8+IFERROR(VLOOKUP($E:$E,'（居民）工资表-11月'!$E:$S,15,0),0)</f>
        <v>50000</v>
      </c>
      <c r="T8" s="69">
        <f>5000+IFERROR(VLOOKUP($E:$E,'（居民）工资表-11月'!$E:$T,16,0),0)</f>
        <v>10000</v>
      </c>
      <c r="U8" s="69">
        <f>Q8+IFERROR(VLOOKUP($E:$E,'（居民）工资表-11月'!$E:$U,17,0),0)</f>
        <v>1269.46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R8+IFERROR(VLOOKUP($E:$E,'（居民）工资表-11月'!$E:$AC,25,0),0)</f>
        <v>0</v>
      </c>
      <c r="AD8" s="70">
        <f>ROUND(S8-T8-U8-AB8-AC8,2)</f>
        <v>38730.54</v>
      </c>
      <c r="AE8" s="71">
        <f>ROUND(MAX((AD8)*{0.03;0.1;0.2;0.25;0.3;0.35;0.45}-{0;2520;16920;31920;52920;85920;181920},0),2)</f>
        <v>1353.05</v>
      </c>
      <c r="AF8" s="72">
        <f>IFERROR(VLOOKUP(E:E,'（居民）工资表-11月'!E:AF,28,0)+VLOOKUP(E:E,'（居民）工资表-11月'!E:AG,29,0),0)</f>
        <v>574.29</v>
      </c>
      <c r="AG8" s="72">
        <f>IF((AE8-AF8)&lt;0,0,AE8-AF8)</f>
        <v>778.76</v>
      </c>
      <c r="AH8" s="75">
        <f>ROUND(IF((L8-Q8-AG8)&lt;0,0,(L8-Q8-AG8)),2)</f>
        <v>23808.92</v>
      </c>
      <c r="AI8" s="76"/>
      <c r="AJ8" s="75">
        <f>AH8+AI8</f>
        <v>23808.92</v>
      </c>
      <c r="AK8" s="77"/>
      <c r="AL8" s="75">
        <f>AJ8+AG8+AK8</f>
        <v>24587.679999999997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91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70700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417609.79636363639</v>
      </c>
      <c r="T9" s="56">
        <f t="shared" si="0"/>
        <v>185000</v>
      </c>
      <c r="U9" s="56">
        <f t="shared" si="0"/>
        <v>17777.949999999997</v>
      </c>
      <c r="V9" s="56">
        <f t="shared" si="0"/>
        <v>0</v>
      </c>
      <c r="W9" s="56">
        <f t="shared" si="0"/>
        <v>0</v>
      </c>
      <c r="X9" s="56">
        <f t="shared" si="0"/>
        <v>12000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12000</v>
      </c>
      <c r="AC9" s="56">
        <f t="shared" si="0"/>
        <v>0</v>
      </c>
      <c r="AD9" s="56">
        <f t="shared" si="0"/>
        <v>202831.85</v>
      </c>
      <c r="AE9" s="56">
        <f t="shared" si="0"/>
        <v>13252.719999999998</v>
      </c>
      <c r="AF9" s="56">
        <f t="shared" si="0"/>
        <v>10443.310000000001</v>
      </c>
      <c r="AG9" s="56">
        <f t="shared" si="0"/>
        <v>2809.4099999999989</v>
      </c>
      <c r="AH9" s="56">
        <f t="shared" si="0"/>
        <v>65327.679999999993</v>
      </c>
      <c r="AI9" s="78">
        <f t="shared" si="0"/>
        <v>0</v>
      </c>
      <c r="AJ9" s="56">
        <f t="shared" si="0"/>
        <v>65327.679999999993</v>
      </c>
      <c r="AK9" s="56">
        <f t="shared" si="0"/>
        <v>0</v>
      </c>
      <c r="AL9" s="56">
        <f t="shared" si="0"/>
        <v>68137.09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64</v>
      </c>
      <c r="C13" s="35" t="s">
        <v>92</v>
      </c>
      <c r="D13" s="35" t="s">
        <v>65</v>
      </c>
      <c r="E13" s="35" t="s">
        <v>93</v>
      </c>
      <c r="AD13" s="8"/>
    </row>
    <row r="14" spans="1:46" ht="18.75" customHeight="1">
      <c r="B14" s="36">
        <f>AJ9</f>
        <v>65327.679999999993</v>
      </c>
      <c r="C14" s="36">
        <f>AG9</f>
        <v>2809.4099999999989</v>
      </c>
      <c r="D14" s="36">
        <f>AK9</f>
        <v>0</v>
      </c>
      <c r="E14" s="36">
        <f>B14+C14+D14</f>
        <v>68137.09</v>
      </c>
    </row>
    <row r="15" spans="1:46">
      <c r="B15" s="37"/>
      <c r="C15" s="37"/>
      <c r="D15" s="37"/>
      <c r="E15" s="37"/>
    </row>
    <row r="16" spans="1:46" s="12" customFormat="1">
      <c r="A16" s="38" t="s">
        <v>94</v>
      </c>
      <c r="B16" s="39" t="s">
        <v>95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96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97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98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99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100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101</v>
      </c>
    </row>
    <row r="24" spans="1:35">
      <c r="B24" s="47" t="s">
        <v>102</v>
      </c>
    </row>
    <row r="25" spans="1:35">
      <c r="B25" s="47" t="s">
        <v>103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1">
    <cfRule type="duplicateValues" dxfId="13" priority="2" stopIfTrue="1"/>
  </conditionalFormatting>
  <conditionalFormatting sqref="B16:B20">
    <cfRule type="duplicateValues" dxfId="12" priority="3" stopIfTrue="1"/>
  </conditionalFormatting>
  <conditionalFormatting sqref="B24:B25">
    <cfRule type="duplicateValues" dxfId="11" priority="1" stopIfTrue="1"/>
  </conditionalFormatting>
  <conditionalFormatting sqref="C13:C15">
    <cfRule type="duplicateValues" dxfId="10" priority="4" stopIfTrue="1"/>
    <cfRule type="expression" dxfId="9" priority="5" stopIfTrue="1">
      <formula>AND(COUNTIF($B$9:$B$65445,C13)+COUNTIF($B$1:$B$3,C13)&gt;1,NOT(ISBLANK(C13)))</formula>
    </cfRule>
    <cfRule type="expression" dxfId="8" priority="6" stopIfTrue="1">
      <formula>AND(COUNTIF($B$20:$B$65396,C13)+COUNTIF($B$1:$B$19,C13)&gt;1,NOT(ISBLANK(C13)))</formula>
    </cfRule>
    <cfRule type="expression" dxfId="7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F21" sqref="F21:F22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>
        <f>U4/2</f>
        <v>519.9</v>
      </c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292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/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L4+IFERROR(VLOOKUP($E:$E,'（居民）工资表-1月'!$E:$S,15,0),0)</f>
        <v>9280</v>
      </c>
      <c r="T4" s="69">
        <f>5000+IFERROR(VLOOKUP($E:$E,'（居民）工资表-1月'!$E:$T,16,0),0)</f>
        <v>10000</v>
      </c>
      <c r="U4" s="69">
        <f>Q4+IFERROR(VLOOKUP($E:$E,'（居民）工资表-1月'!$E:$U,17,0),0)</f>
        <v>1039.8</v>
      </c>
      <c r="V4" s="52"/>
      <c r="W4" s="52"/>
      <c r="X4" s="52">
        <v>2000</v>
      </c>
      <c r="Y4" s="52"/>
      <c r="Z4" s="52"/>
      <c r="AA4" s="52"/>
      <c r="AB4" s="68">
        <f>ROUND(SUM(V4:AA4),2)</f>
        <v>2000</v>
      </c>
      <c r="AC4" s="68">
        <f>R4+IFERROR(VLOOKUP($E:$E,'（居民）工资表-1月'!$E:$AC,25,0),0)</f>
        <v>0</v>
      </c>
      <c r="AD4" s="70">
        <f>ROUND(S4-T4-U4-AB4-AC4,2)</f>
        <v>-3759.8</v>
      </c>
      <c r="AE4" s="71">
        <f>ROUND(MAX((AD4)*{0.03;0.1;0.2;0.25;0.3;0.35;0.45}-{0;2520;16920;31920;52920;85920;181920},0),2)</f>
        <v>0</v>
      </c>
      <c r="AF4" s="72">
        <f>IFERROR(VLOOKUP(E:E,'（居民）工资表-1月'!E:AF,28,0)+VLOOKUP(E:E,'（居民）工资表-1月'!E:AG,29,0),0)</f>
        <v>52.8</v>
      </c>
      <c r="AG4" s="72">
        <f>IF((AE4-AF4)&lt;0,0,AE4-AF4)</f>
        <v>0</v>
      </c>
      <c r="AH4" s="75">
        <f>ROUND(IF((L4-Q4-AG4)&lt;0,0,(L4-Q4-AG4)),2)</f>
        <v>0</v>
      </c>
      <c r="AI4" s="76"/>
      <c r="AJ4" s="75">
        <f>AH4+AI4</f>
        <v>0</v>
      </c>
      <c r="AK4" s="77"/>
      <c r="AL4" s="75">
        <f>AJ4+AG4+AK4</f>
        <v>0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1</v>
      </c>
      <c r="B5" s="25" t="s">
        <v>292</v>
      </c>
      <c r="C5" s="25" t="s">
        <v>154</v>
      </c>
      <c r="D5" s="25" t="s">
        <v>87</v>
      </c>
      <c r="E5" s="25" t="s">
        <v>155</v>
      </c>
      <c r="F5" s="26" t="s">
        <v>263</v>
      </c>
      <c r="G5" s="27">
        <v>13944441728</v>
      </c>
      <c r="H5" s="28"/>
      <c r="I5" s="28"/>
      <c r="J5" s="51"/>
      <c r="K5" s="28"/>
      <c r="L5" s="52"/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L5+IFERROR(VLOOKUP($E:$E,'（居民）工资表-1月'!$E:$S,15,0),0)</f>
        <v>7000</v>
      </c>
      <c r="T5" s="69">
        <f>5000+IFERROR(VLOOKUP($E:$E,'（居民）工资表-1月'!$E:$T,16,0),0)</f>
        <v>10000</v>
      </c>
      <c r="U5" s="69">
        <f>Q5+IFERROR(VLOOKUP($E:$E,'（居民）工资表-1月'!$E:$U,17,0),0)</f>
        <v>837.9</v>
      </c>
      <c r="V5" s="52"/>
      <c r="W5" s="52"/>
      <c r="X5" s="52">
        <v>2000</v>
      </c>
      <c r="Y5" s="52"/>
      <c r="Z5" s="52"/>
      <c r="AA5" s="52"/>
      <c r="AB5" s="68">
        <f>ROUND(SUM(V5:AA5),2)</f>
        <v>2000</v>
      </c>
      <c r="AC5" s="68">
        <f>R5+IFERROR(VLOOKUP($E:$E,'（居民）工资表-1月'!$E:$AC,25,0),0)</f>
        <v>0</v>
      </c>
      <c r="AD5" s="70">
        <f>ROUND(S5-T5-U5-AB5-AC5,2)</f>
        <v>-5837.9</v>
      </c>
      <c r="AE5" s="71">
        <f>ROUND(MAX((AD5)*{0.03;0.1;0.2;0.25;0.3;0.35;0.45}-{0;2520;16920;31920;52920;85920;181920},0),2)</f>
        <v>0</v>
      </c>
      <c r="AF5" s="72">
        <f>IFERROR(VLOOKUP(E:E,'（居民）工资表-1月'!E:AF,28,0)+VLOOKUP(E:E,'（居民）工资表-1月'!E:AG,29,0),0)</f>
        <v>17.43</v>
      </c>
      <c r="AG5" s="72">
        <f>IF((AE5-AF5)&lt;0,0,AE5-AF5)</f>
        <v>0</v>
      </c>
      <c r="AH5" s="75">
        <f>ROUND(IF((L5-Q5-AG5)&lt;0,0,(L5-Q5-AG5)),2)</f>
        <v>0</v>
      </c>
      <c r="AI5" s="76"/>
      <c r="AJ5" s="75">
        <f>AH5+AI5</f>
        <v>0</v>
      </c>
      <c r="AK5" s="77"/>
      <c r="AL5" s="75">
        <f>AJ5+AG5+AK5</f>
        <v>0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1</v>
      </c>
      <c r="B6" s="25" t="s">
        <v>292</v>
      </c>
      <c r="C6" s="25" t="s">
        <v>265</v>
      </c>
      <c r="D6" s="25" t="s">
        <v>87</v>
      </c>
      <c r="E6" s="318" t="s">
        <v>266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/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L6+IFERROR(VLOOKUP($E:$E,'（居民）工资表-1月'!$E:$S,15,0),0)</f>
        <v>5700</v>
      </c>
      <c r="T6" s="69">
        <f>5000+IFERROR(VLOOKUP($E:$E,'（居民）工资表-1月'!$E:$T,16,0),0)</f>
        <v>10000</v>
      </c>
      <c r="U6" s="69">
        <f>Q6+IFERROR(VLOOKUP($E:$E,'（居民）工资表-1月'!$E:$U,17,0),0)</f>
        <v>1199.48</v>
      </c>
      <c r="V6" s="52"/>
      <c r="W6" s="52"/>
      <c r="X6" s="52">
        <v>2000</v>
      </c>
      <c r="Y6" s="52"/>
      <c r="Z6" s="52"/>
      <c r="AA6" s="52"/>
      <c r="AB6" s="68">
        <f>ROUND(SUM(V6:AA6),2)</f>
        <v>2000</v>
      </c>
      <c r="AC6" s="68">
        <f>R6+IFERROR(VLOOKUP($E:$E,'（居民）工资表-1月'!$E:$AC,25,0),0)</f>
        <v>0</v>
      </c>
      <c r="AD6" s="70">
        <f>ROUND(S6-T6-U6-AB6-AC6,2)</f>
        <v>-7499.48</v>
      </c>
      <c r="AE6" s="71">
        <f>ROUND(MAX((AD6)*{0.03;0.1;0.2;0.25;0.3;0.35;0.45}-{0;2520;16920;31920;52920;85920;181920},0),2)</f>
        <v>0</v>
      </c>
      <c r="AF6" s="72">
        <f>IFERROR(VLOOKUP(E:E,'（居民）工资表-1月'!E:AF,28,0)+VLOOKUP(E:E,'（居民）工资表-1月'!E:AG,29,0),0)</f>
        <v>0</v>
      </c>
      <c r="AG6" s="72">
        <f>IF((AE6-AF6)&lt;0,0,AE6-AF6)</f>
        <v>0</v>
      </c>
      <c r="AH6" s="75">
        <f>ROUND(IF((L6-Q6-AG6)&lt;0,0,(L6-Q6-AG6)),2)</f>
        <v>0</v>
      </c>
      <c r="AI6" s="76"/>
      <c r="AJ6" s="75">
        <f>AH6+AI6</f>
        <v>0</v>
      </c>
      <c r="AK6" s="77"/>
      <c r="AL6" s="75">
        <f>AJ6+AG6+AK6</f>
        <v>0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1</v>
      </c>
      <c r="B7" s="25" t="s">
        <v>292</v>
      </c>
      <c r="C7" s="25" t="s">
        <v>160</v>
      </c>
      <c r="D7" s="25" t="s">
        <v>87</v>
      </c>
      <c r="E7" s="318" t="s">
        <v>161</v>
      </c>
      <c r="F7" s="26" t="s">
        <v>263</v>
      </c>
      <c r="G7" s="27">
        <v>18607383005</v>
      </c>
      <c r="H7" s="28"/>
      <c r="I7" s="28"/>
      <c r="J7" s="51"/>
      <c r="K7" s="28"/>
      <c r="L7" s="52"/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L7+IFERROR(VLOOKUP($E:$E,'（居民）工资表-1月'!$E:$S,15,0),0)</f>
        <v>31000</v>
      </c>
      <c r="T7" s="69">
        <f>5000+IFERROR(VLOOKUP($E:$E,'（居民）工资表-1月'!$E:$T,16,0),0)</f>
        <v>10000</v>
      </c>
      <c r="U7" s="69">
        <f>Q7+IFERROR(VLOOKUP($E:$E,'（居民）工资表-1月'!$E:$U,17,0),0)</f>
        <v>1224</v>
      </c>
      <c r="V7" s="52"/>
      <c r="W7" s="52"/>
      <c r="X7" s="52">
        <v>2000</v>
      </c>
      <c r="Y7" s="52"/>
      <c r="Z7" s="52"/>
      <c r="AA7" s="52"/>
      <c r="AB7" s="68">
        <f>ROUND(SUM(V7:AA7),2)</f>
        <v>2000</v>
      </c>
      <c r="AC7" s="68">
        <f>R7+IFERROR(VLOOKUP($E:$E,'（居民）工资表-1月'!$E:$AC,25,0),0)</f>
        <v>0</v>
      </c>
      <c r="AD7" s="70">
        <f>ROUND(S7-T7-U7-AB7-AC7,2)</f>
        <v>17776</v>
      </c>
      <c r="AE7" s="71">
        <f>ROUND(MAX((AD7)*{0.03;0.1;0.2;0.25;0.3;0.35;0.45}-{0;2520;16920;31920;52920;85920;181920},0),2)</f>
        <v>533.28</v>
      </c>
      <c r="AF7" s="72">
        <f>IFERROR(VLOOKUP(E:E,'（居民）工资表-1月'!E:AF,28,0)+VLOOKUP(E:E,'（居民）工资表-1月'!E:AG,29,0),0)</f>
        <v>671.64</v>
      </c>
      <c r="AG7" s="72">
        <f>IF((AE7-AF7)&lt;0,0,AE7-AF7)</f>
        <v>0</v>
      </c>
      <c r="AH7" s="75">
        <f>ROUND(IF((L7-Q7-AG7)&lt;0,0,(L7-Q7-AG7)),2)</f>
        <v>0</v>
      </c>
      <c r="AI7" s="76"/>
      <c r="AJ7" s="75">
        <f>AH7+AI7</f>
        <v>0</v>
      </c>
      <c r="AK7" s="77"/>
      <c r="AL7" s="75">
        <f>AJ7+AG7+AK7</f>
        <v>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1</v>
      </c>
      <c r="B8" s="25" t="s">
        <v>292</v>
      </c>
      <c r="C8" s="25" t="s">
        <v>290</v>
      </c>
      <c r="D8" s="25" t="s">
        <v>87</v>
      </c>
      <c r="E8" s="25" t="s">
        <v>291</v>
      </c>
      <c r="F8" s="26" t="s">
        <v>263</v>
      </c>
      <c r="G8" s="27">
        <v>13373825180</v>
      </c>
      <c r="H8" s="28"/>
      <c r="I8" s="28"/>
      <c r="J8" s="51"/>
      <c r="K8" s="28"/>
      <c r="L8" s="52"/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L8+IFERROR(VLOOKUP($E:$E,'（居民）工资表-1月'!$E:$S,15,0),0)</f>
        <v>26739</v>
      </c>
      <c r="T8" s="69">
        <f>5000+IFERROR(VLOOKUP($E:$E,'（居民）工资表-1月'!$E:$T,16,0),0)</f>
        <v>10000</v>
      </c>
      <c r="U8" s="69">
        <f>Q8+IFERROR(VLOOKUP($E:$E,'（居民）工资表-1月'!$E:$U,17,0),0)</f>
        <v>824.64</v>
      </c>
      <c r="V8" s="52"/>
      <c r="W8" s="52"/>
      <c r="X8" s="52">
        <v>2000</v>
      </c>
      <c r="Y8" s="52"/>
      <c r="Z8" s="52"/>
      <c r="AA8" s="52"/>
      <c r="AB8" s="68">
        <f>ROUND(SUM(V8:AA8),2)</f>
        <v>2000</v>
      </c>
      <c r="AC8" s="68">
        <f>R8+IFERROR(VLOOKUP($E:$E,'（居民）工资表-1月'!$E:$AC,25,0),0)</f>
        <v>0</v>
      </c>
      <c r="AD8" s="70">
        <f>ROUND(S8-T8-U8-AB8-AC8,2)</f>
        <v>13914.36</v>
      </c>
      <c r="AE8" s="71">
        <f>ROUND(MAX((AD8)*{0.03;0.1;0.2;0.25;0.3;0.35;0.45}-{0;2520;16920;31920;52920;85920;181920},0),2)</f>
        <v>417.43</v>
      </c>
      <c r="AF8" s="72">
        <f>IFERROR(VLOOKUP(E:E,'（居民）工资表-1月'!E:AF,28,0)+VLOOKUP(E:E,'（居民）工资表-1月'!E:AG,29,0),0)</f>
        <v>549.79999999999995</v>
      </c>
      <c r="AG8" s="72">
        <f>IF((AE8-AF8)&lt;0,0,AE8-AF8)</f>
        <v>0</v>
      </c>
      <c r="AH8" s="75">
        <f>ROUND(IF((L8-Q8-AG8)&lt;0,0,(L8-Q8-AG8)),2)</f>
        <v>0</v>
      </c>
      <c r="AI8" s="76"/>
      <c r="AJ8" s="75">
        <f>AH8+AI8</f>
        <v>0</v>
      </c>
      <c r="AK8" s="77"/>
      <c r="AL8" s="75">
        <f>AJ8+AG8+AK8</f>
        <v>0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91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0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79719</v>
      </c>
      <c r="T9" s="56">
        <f t="shared" si="0"/>
        <v>50000</v>
      </c>
      <c r="U9" s="56">
        <f t="shared" si="0"/>
        <v>5125.82</v>
      </c>
      <c r="V9" s="56">
        <f t="shared" si="0"/>
        <v>0</v>
      </c>
      <c r="W9" s="56">
        <f t="shared" si="0"/>
        <v>0</v>
      </c>
      <c r="X9" s="56">
        <f t="shared" si="0"/>
        <v>10000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10000</v>
      </c>
      <c r="AC9" s="56">
        <f t="shared" si="0"/>
        <v>0</v>
      </c>
      <c r="AD9" s="56">
        <f t="shared" si="0"/>
        <v>14593.18</v>
      </c>
      <c r="AE9" s="56">
        <f t="shared" si="0"/>
        <v>950.71</v>
      </c>
      <c r="AF9" s="56">
        <f t="shared" si="0"/>
        <v>1291.67</v>
      </c>
      <c r="AG9" s="56">
        <f t="shared" si="0"/>
        <v>0</v>
      </c>
      <c r="AH9" s="56">
        <f t="shared" si="0"/>
        <v>0</v>
      </c>
      <c r="AI9" s="78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64</v>
      </c>
      <c r="C13" s="35" t="s">
        <v>92</v>
      </c>
      <c r="D13" s="35" t="s">
        <v>65</v>
      </c>
      <c r="E13" s="35" t="s">
        <v>93</v>
      </c>
      <c r="AD13" s="8"/>
    </row>
    <row r="14" spans="1:46" ht="18.75" customHeight="1">
      <c r="B14" s="36">
        <f>AJ9</f>
        <v>0</v>
      </c>
      <c r="C14" s="36">
        <f>AG9</f>
        <v>0</v>
      </c>
      <c r="D14" s="36">
        <f>AK9</f>
        <v>0</v>
      </c>
      <c r="E14" s="36">
        <f>B14+C14+D14</f>
        <v>0</v>
      </c>
    </row>
    <row r="15" spans="1:46">
      <c r="B15" s="37"/>
      <c r="C15" s="37"/>
      <c r="D15" s="37"/>
      <c r="E15" s="37"/>
    </row>
    <row r="16" spans="1:46" s="12" customFormat="1">
      <c r="A16" s="38" t="s">
        <v>94</v>
      </c>
      <c r="B16" s="39" t="s">
        <v>95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96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97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98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99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100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101</v>
      </c>
    </row>
    <row r="24" spans="1:35">
      <c r="B24" s="47" t="s">
        <v>102</v>
      </c>
    </row>
    <row r="25" spans="1:35">
      <c r="B25" s="47" t="s">
        <v>103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1">
    <cfRule type="duplicateValues" dxfId="6" priority="2" stopIfTrue="1"/>
  </conditionalFormatting>
  <conditionalFormatting sqref="B16:B20">
    <cfRule type="duplicateValues" dxfId="5" priority="3" stopIfTrue="1"/>
  </conditionalFormatting>
  <conditionalFormatting sqref="B24:B25">
    <cfRule type="duplicateValues" dxfId="4" priority="1" stopIfTrue="1"/>
  </conditionalFormatting>
  <conditionalFormatting sqref="C13:C15">
    <cfRule type="duplicateValues" dxfId="3" priority="4" stopIfTrue="1"/>
    <cfRule type="expression" dxfId="2" priority="5" stopIfTrue="1">
      <formula>AND(COUNTIF($B$9:$B$65445,C13)+COUNTIF($B$1:$B$3,C13)&gt;1,NOT(ISBLANK(C13)))</formula>
    </cfRule>
    <cfRule type="expression" dxfId="1" priority="6" stopIfTrue="1">
      <formula>AND(COUNTIF($B$20:$B$65396,C13)+COUNTIF($B$1:$B$19,C13)&gt;1,NOT(ISBLANK(C13)))</formula>
    </cfRule>
    <cfRule type="expression" dxfId="0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40" fitToWidth="2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432" t="s">
        <v>296</v>
      </c>
      <c r="C1" s="432"/>
      <c r="D1" s="432"/>
      <c r="E1" s="432"/>
    </row>
    <row r="2" spans="2:5" ht="20.25">
      <c r="B2" s="1"/>
    </row>
    <row r="3" spans="2:5" ht="27.75" customHeight="1">
      <c r="B3" s="2" t="s">
        <v>297</v>
      </c>
      <c r="C3" s="3" t="s">
        <v>298</v>
      </c>
      <c r="D3" s="3" t="s">
        <v>299</v>
      </c>
      <c r="E3" s="3" t="s">
        <v>300</v>
      </c>
    </row>
    <row r="4" spans="2:5" ht="29.25" customHeight="1">
      <c r="B4" s="4">
        <v>1</v>
      </c>
      <c r="C4" s="5" t="s">
        <v>301</v>
      </c>
      <c r="D4" s="6">
        <v>0.03</v>
      </c>
      <c r="E4" s="7">
        <v>0</v>
      </c>
    </row>
    <row r="5" spans="2:5" ht="29.25" customHeight="1">
      <c r="B5" s="4">
        <v>2</v>
      </c>
      <c r="C5" s="5" t="s">
        <v>302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303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304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305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306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307</v>
      </c>
      <c r="D10" s="6">
        <v>0.45</v>
      </c>
      <c r="E10" s="7">
        <v>181920</v>
      </c>
    </row>
    <row r="13" spans="2:5" ht="57" customHeight="1">
      <c r="B13" s="432" t="s">
        <v>308</v>
      </c>
      <c r="C13" s="432"/>
      <c r="D13" s="432"/>
      <c r="E13" s="432"/>
    </row>
    <row r="14" spans="2:5" ht="20.25">
      <c r="B14" s="1"/>
    </row>
    <row r="15" spans="2:5" ht="27.75" customHeight="1">
      <c r="B15" s="2" t="s">
        <v>297</v>
      </c>
      <c r="C15" s="3" t="s">
        <v>309</v>
      </c>
      <c r="D15" s="3" t="s">
        <v>299</v>
      </c>
      <c r="E15" s="3" t="s">
        <v>300</v>
      </c>
    </row>
    <row r="16" spans="2:5" ht="29.25" customHeight="1">
      <c r="B16" s="4">
        <v>1</v>
      </c>
      <c r="C16" s="5" t="s">
        <v>310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311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312</v>
      </c>
      <c r="D18" s="6">
        <v>0.4</v>
      </c>
      <c r="E18" s="7">
        <v>7000</v>
      </c>
    </row>
    <row r="21" spans="2:5" ht="47.25" customHeight="1">
      <c r="B21" s="432" t="s">
        <v>313</v>
      </c>
      <c r="C21" s="432"/>
      <c r="D21" s="432"/>
      <c r="E21" s="432"/>
    </row>
    <row r="22" spans="2:5" ht="20.25">
      <c r="B22" s="1"/>
    </row>
    <row r="23" spans="2:5" ht="27.75" customHeight="1">
      <c r="B23" s="2" t="s">
        <v>297</v>
      </c>
      <c r="C23" s="3" t="s">
        <v>314</v>
      </c>
      <c r="D23" s="3" t="s">
        <v>299</v>
      </c>
      <c r="E23" s="3" t="s">
        <v>300</v>
      </c>
    </row>
    <row r="24" spans="2:5" ht="29.25" customHeight="1">
      <c r="B24" s="4">
        <v>1</v>
      </c>
      <c r="C24" s="5" t="s">
        <v>315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316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317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318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319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320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321</v>
      </c>
      <c r="D30" s="6">
        <v>0.45</v>
      </c>
      <c r="E30" s="7">
        <v>15160</v>
      </c>
    </row>
    <row r="35" spans="2:5" ht="57" customHeight="1">
      <c r="B35" s="433" t="s">
        <v>322</v>
      </c>
      <c r="C35" s="433"/>
      <c r="D35" s="433"/>
      <c r="E35" s="433"/>
    </row>
    <row r="37" spans="2:5" ht="21.75" customHeight="1">
      <c r="B37" s="2" t="s">
        <v>297</v>
      </c>
      <c r="C37" s="3" t="s">
        <v>323</v>
      </c>
      <c r="D37" s="3" t="s">
        <v>324</v>
      </c>
      <c r="E37" s="3" t="s">
        <v>300</v>
      </c>
    </row>
    <row r="38" spans="2:5" ht="21.75" customHeight="1">
      <c r="B38" s="4">
        <v>1</v>
      </c>
      <c r="C38" s="5" t="s">
        <v>315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316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317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318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319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320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321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1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5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31" t="s">
        <v>86</v>
      </c>
      <c r="D4" s="25" t="s">
        <v>87</v>
      </c>
      <c r="E4" s="232" t="s">
        <v>88</v>
      </c>
      <c r="F4" s="26" t="str">
        <f>IF(MOD(MID(E4,17,1),2)=1,"男","女")</f>
        <v>男</v>
      </c>
      <c r="G4" s="233">
        <v>18035163638</v>
      </c>
      <c r="H4" s="234"/>
      <c r="I4" s="234"/>
      <c r="J4" s="236"/>
      <c r="K4" s="234"/>
      <c r="L4" s="237">
        <v>7700</v>
      </c>
      <c r="M4" s="237">
        <v>264</v>
      </c>
      <c r="N4" s="237">
        <v>66</v>
      </c>
      <c r="O4" s="237">
        <v>9.9</v>
      </c>
      <c r="P4" s="237">
        <v>180</v>
      </c>
      <c r="Q4" s="67">
        <f>ROUND(SUM(M4:P4),2)</f>
        <v>519.9</v>
      </c>
      <c r="R4" s="52">
        <v>0</v>
      </c>
      <c r="S4" s="68">
        <f>L4+IFERROR(VLOOKUP($E:$E,'（居民）工资表-2月'!$E:$S,15,0),0)</f>
        <v>16980</v>
      </c>
      <c r="T4" s="69">
        <f>5000+IFERROR(VLOOKUP($E:$E,'（居民）工资表-2月'!$E:$T,16,0),0)</f>
        <v>15000</v>
      </c>
      <c r="U4" s="69">
        <f>Q4+IFERROR(VLOOKUP($E:$E,'（居民）工资表-2月'!$E:$U,17,0),0)</f>
        <v>1559.7</v>
      </c>
      <c r="V4" s="52"/>
      <c r="W4" s="52"/>
      <c r="X4" s="52">
        <v>3000</v>
      </c>
      <c r="Y4" s="52"/>
      <c r="Z4" s="52"/>
      <c r="AA4" s="52"/>
      <c r="AB4" s="68">
        <f>ROUND(SUM(V4:AA4),2)</f>
        <v>3000</v>
      </c>
      <c r="AC4" s="68">
        <f>R4+IFERROR(VLOOKUP($E:$E,'（居民）工资表-2月'!$E:$AC,25,0),0)</f>
        <v>0</v>
      </c>
      <c r="AD4" s="70">
        <f>ROUND(S4-T4-U4-AB4-AC4,2)</f>
        <v>-2579.6999999999998</v>
      </c>
      <c r="AE4" s="71">
        <f>ROUND(MAX((AD4)*{0.03;0.1;0.2;0.25;0.3;0.35;0.45}-{0;2520;16920;31920;52920;85920;181920},0),2)</f>
        <v>0</v>
      </c>
      <c r="AF4" s="72">
        <f>IFERROR(VLOOKUP(E:E,'（居民）工资表-2月'!E:AF,28,0)+VLOOKUP(E:E,'（居民）工资表-2月'!E:AG,29,0),0)</f>
        <v>52.8</v>
      </c>
      <c r="AG4" s="72">
        <f>IF((AE4-AF4)&lt;0,0,AE4-AF4)</f>
        <v>0</v>
      </c>
      <c r="AH4" s="75">
        <f>ROUND(IF((L4-Q4-AG4)&lt;0,0,(L4-Q4-AG4)),2)</f>
        <v>7180.1</v>
      </c>
      <c r="AI4" s="76"/>
      <c r="AJ4" s="75">
        <f>AH4+AI4</f>
        <v>7180.1</v>
      </c>
      <c r="AK4" s="77"/>
      <c r="AL4" s="75">
        <f>AJ4+AG4+AK4</f>
        <v>7180.1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IF(SUMPRODUCT(N(E$1:E$5=E4))&gt;1,"重复","不")</f>
        <v>不</v>
      </c>
      <c r="AT4" s="82" t="str">
        <f>IF(SUMPRODUCT(N(AO$1:AO$5=AO4))&gt;1,"重复","不")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35" t="s">
        <v>89</v>
      </c>
      <c r="D5" s="25" t="s">
        <v>87</v>
      </c>
      <c r="E5" s="315" t="s">
        <v>90</v>
      </c>
      <c r="F5" s="26" t="str">
        <f>IF(MOD(MID(E5,17,1),2)=1,"男","女")</f>
        <v>女</v>
      </c>
      <c r="G5" s="233">
        <v>13926009696</v>
      </c>
      <c r="H5" s="234"/>
      <c r="I5" s="234"/>
      <c r="J5" s="236"/>
      <c r="K5" s="234"/>
      <c r="L5" s="237">
        <v>5800</v>
      </c>
      <c r="M5" s="237">
        <v>304.24</v>
      </c>
      <c r="N5" s="237">
        <v>123.5</v>
      </c>
      <c r="O5" s="237">
        <v>7.61</v>
      </c>
      <c r="P5" s="237">
        <v>0</v>
      </c>
      <c r="Q5" s="67">
        <f>ROUND(SUM(M5:P5),2)</f>
        <v>435.35</v>
      </c>
      <c r="R5" s="52">
        <v>0</v>
      </c>
      <c r="S5" s="68">
        <f>L5+IFERROR(VLOOKUP($E:$E,'（居民）工资表-2月'!$E:$S,15,0),0)</f>
        <v>5800</v>
      </c>
      <c r="T5" s="69">
        <f>5000+IFERROR(VLOOKUP($E:$E,'（居民）工资表-2月'!$E:$T,16,0),0)</f>
        <v>5000</v>
      </c>
      <c r="U5" s="69">
        <f>Q5+IFERROR(VLOOKUP($E:$E,'（居民）工资表-2月'!$E:$U,17,0),0)</f>
        <v>435.35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R5+IFERROR(VLOOKUP($E:$E,'（居民）工资表-2月'!$E:$AC,25,0),0)</f>
        <v>0</v>
      </c>
      <c r="AD5" s="70">
        <f>ROUND(S5-T5-U5-AB5-AC5,2)</f>
        <v>364.65</v>
      </c>
      <c r="AE5" s="71">
        <f>ROUND(MAX((AD5)*{0.03;0.1;0.2;0.25;0.3;0.35;0.45}-{0;2520;16920;31920;52920;85920;181920},0),2)</f>
        <v>10.94</v>
      </c>
      <c r="AF5" s="72">
        <f>IFERROR(VLOOKUP(E:E,'（居民）工资表-2月'!E:AF,28,0)+VLOOKUP(E:E,'（居民）工资表-2月'!E:AG,29,0),0)</f>
        <v>0</v>
      </c>
      <c r="AG5" s="72">
        <f>IF((AE5-AF5)&lt;0,0,AE5-AF5)</f>
        <v>10.94</v>
      </c>
      <c r="AH5" s="75">
        <f>ROUND(IF((L5-Q5-AG5)&lt;0,0,(L5-Q5-AG5)),2)</f>
        <v>5353.71</v>
      </c>
      <c r="AI5" s="76"/>
      <c r="AJ5" s="75">
        <f>AH5+AI5</f>
        <v>5353.71</v>
      </c>
      <c r="AK5" s="77"/>
      <c r="AL5" s="75">
        <f>AJ5+AG5+AK5</f>
        <v>5364.65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IF(SUMPRODUCT(N(E$1:E$5=E5))&gt;1,"重复","不")</f>
        <v>不</v>
      </c>
      <c r="AT5" s="82" t="str">
        <f>IF(SUMPRODUCT(N(AO$1:AO$5=AO5))&gt;1,"重复","不")</f>
        <v>重复</v>
      </c>
    </row>
    <row r="6" spans="1:46" s="11" customFormat="1" ht="18" customHeight="1">
      <c r="A6" s="29"/>
      <c r="B6" s="30" t="s">
        <v>91</v>
      </c>
      <c r="C6" s="30"/>
      <c r="D6" s="31"/>
      <c r="E6" s="32"/>
      <c r="F6" s="33"/>
      <c r="G6" s="34"/>
      <c r="H6" s="33"/>
      <c r="I6" s="54"/>
      <c r="J6" s="55"/>
      <c r="K6" s="54"/>
      <c r="L6" s="56">
        <f t="shared" ref="L6:AL6" si="0">SUM(L4:L5)</f>
        <v>13500</v>
      </c>
      <c r="M6" s="56">
        <f t="shared" si="0"/>
        <v>568.24</v>
      </c>
      <c r="N6" s="56">
        <f t="shared" si="0"/>
        <v>189.5</v>
      </c>
      <c r="O6" s="56">
        <f t="shared" si="0"/>
        <v>17.510000000000002</v>
      </c>
      <c r="P6" s="56">
        <f t="shared" si="0"/>
        <v>180</v>
      </c>
      <c r="Q6" s="56">
        <f t="shared" si="0"/>
        <v>955.25</v>
      </c>
      <c r="R6" s="56">
        <f t="shared" si="0"/>
        <v>0</v>
      </c>
      <c r="S6" s="56">
        <f t="shared" si="0"/>
        <v>22780</v>
      </c>
      <c r="T6" s="56">
        <f t="shared" si="0"/>
        <v>20000</v>
      </c>
      <c r="U6" s="56">
        <f t="shared" si="0"/>
        <v>1995.05</v>
      </c>
      <c r="V6" s="56">
        <f t="shared" si="0"/>
        <v>0</v>
      </c>
      <c r="W6" s="56">
        <f t="shared" si="0"/>
        <v>0</v>
      </c>
      <c r="X6" s="56">
        <f t="shared" si="0"/>
        <v>3000</v>
      </c>
      <c r="Y6" s="56">
        <f t="shared" si="0"/>
        <v>0</v>
      </c>
      <c r="Z6" s="56">
        <f t="shared" si="0"/>
        <v>0</v>
      </c>
      <c r="AA6" s="56">
        <f t="shared" si="0"/>
        <v>0</v>
      </c>
      <c r="AB6" s="56">
        <f t="shared" si="0"/>
        <v>3000</v>
      </c>
      <c r="AC6" s="56">
        <f t="shared" si="0"/>
        <v>0</v>
      </c>
      <c r="AD6" s="56">
        <f t="shared" si="0"/>
        <v>-2215.0500000000002</v>
      </c>
      <c r="AE6" s="56">
        <f t="shared" si="0"/>
        <v>10.94</v>
      </c>
      <c r="AF6" s="56">
        <f t="shared" si="0"/>
        <v>52.8</v>
      </c>
      <c r="AG6" s="56">
        <f t="shared" si="0"/>
        <v>10.94</v>
      </c>
      <c r="AH6" s="56">
        <f t="shared" si="0"/>
        <v>12533.81</v>
      </c>
      <c r="AI6" s="78">
        <f t="shared" si="0"/>
        <v>0</v>
      </c>
      <c r="AJ6" s="56">
        <f t="shared" si="0"/>
        <v>12533.81</v>
      </c>
      <c r="AK6" s="56">
        <f t="shared" si="0"/>
        <v>0</v>
      </c>
      <c r="AL6" s="56">
        <f t="shared" si="0"/>
        <v>12544.75</v>
      </c>
      <c r="AM6" s="79"/>
      <c r="AN6" s="79"/>
      <c r="AO6" s="79"/>
      <c r="AP6" s="79"/>
      <c r="AQ6" s="79"/>
      <c r="AR6" s="33"/>
      <c r="AS6" s="33"/>
      <c r="AT6" s="83"/>
    </row>
    <row r="9" spans="1:46">
      <c r="AD9" s="73"/>
    </row>
    <row r="10" spans="1:46" ht="18.75" customHeight="1">
      <c r="B10" s="35" t="s">
        <v>64</v>
      </c>
      <c r="C10" s="35" t="s">
        <v>92</v>
      </c>
      <c r="D10" s="35" t="s">
        <v>65</v>
      </c>
      <c r="E10" s="35" t="s">
        <v>93</v>
      </c>
      <c r="AD10" s="8"/>
    </row>
    <row r="11" spans="1:46" ht="18.75" customHeight="1">
      <c r="B11" s="36">
        <f>AJ6</f>
        <v>12533.81</v>
      </c>
      <c r="C11" s="36">
        <f>AG6</f>
        <v>10.94</v>
      </c>
      <c r="D11" s="36">
        <f>AK6</f>
        <v>0</v>
      </c>
      <c r="E11" s="36">
        <f>B11+C11+D11</f>
        <v>12544.75</v>
      </c>
    </row>
    <row r="12" spans="1:46">
      <c r="B12" s="37"/>
      <c r="C12" s="37"/>
      <c r="D12" s="37"/>
      <c r="E12" s="37"/>
    </row>
    <row r="13" spans="1:46" s="12" customFormat="1">
      <c r="A13" s="38" t="s">
        <v>94</v>
      </c>
      <c r="B13" s="39" t="s">
        <v>95</v>
      </c>
      <c r="C13" s="40"/>
      <c r="D13" s="40"/>
      <c r="E13" s="40"/>
      <c r="G13" s="41"/>
      <c r="J13" s="57"/>
      <c r="M13" s="58"/>
      <c r="AI13" s="80"/>
    </row>
    <row r="14" spans="1:46" s="12" customFormat="1">
      <c r="A14" s="42"/>
      <c r="B14" s="43" t="s">
        <v>96</v>
      </c>
      <c r="C14" s="40"/>
      <c r="D14" s="40"/>
      <c r="E14" s="40"/>
      <c r="G14" s="41"/>
      <c r="J14" s="57"/>
      <c r="M14" s="58"/>
      <c r="AI14" s="80"/>
    </row>
    <row r="15" spans="1:46" s="12" customFormat="1">
      <c r="A15" s="39"/>
      <c r="B15" s="43" t="s">
        <v>97</v>
      </c>
      <c r="C15" s="44"/>
      <c r="D15" s="44"/>
      <c r="E15" s="44"/>
      <c r="F15" s="44"/>
      <c r="G15" s="44"/>
      <c r="H15" s="44"/>
      <c r="I15" s="44"/>
      <c r="J15" s="59"/>
      <c r="K15" s="44"/>
      <c r="L15" s="44"/>
      <c r="M15" s="60"/>
      <c r="N15" s="44"/>
      <c r="O15" s="44"/>
      <c r="P15" s="44"/>
      <c r="AI15" s="80"/>
    </row>
    <row r="16" spans="1:46" s="12" customFormat="1" ht="13.5" customHeight="1">
      <c r="A16" s="43"/>
      <c r="B16" s="43" t="s">
        <v>98</v>
      </c>
      <c r="C16" s="45"/>
      <c r="D16" s="45"/>
      <c r="E16" s="45"/>
      <c r="F16" s="45"/>
      <c r="G16" s="45"/>
      <c r="H16" s="45"/>
      <c r="I16" s="61"/>
      <c r="J16" s="62"/>
      <c r="K16" s="61"/>
      <c r="L16" s="61"/>
      <c r="M16" s="63"/>
      <c r="N16" s="61"/>
      <c r="O16" s="61"/>
      <c r="P16" s="61"/>
      <c r="AI16" s="80"/>
    </row>
    <row r="17" spans="1:35" s="12" customFormat="1" ht="13.5" customHeight="1">
      <c r="A17" s="43"/>
      <c r="B17" s="43" t="s">
        <v>99</v>
      </c>
      <c r="C17" s="45"/>
      <c r="D17" s="45"/>
      <c r="E17" s="45"/>
      <c r="F17" s="45"/>
      <c r="G17" s="45"/>
      <c r="H17" s="45"/>
      <c r="I17" s="45"/>
      <c r="J17" s="64"/>
      <c r="K17" s="45"/>
      <c r="L17" s="61"/>
      <c r="M17" s="63"/>
      <c r="N17" s="61"/>
      <c r="O17" s="61"/>
      <c r="P17" s="61"/>
      <c r="AI17" s="80"/>
    </row>
    <row r="18" spans="1:35" s="12" customFormat="1" ht="13.5" customHeight="1">
      <c r="A18" s="43"/>
      <c r="B18" s="43" t="s">
        <v>100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20" spans="1:35" ht="11.25" customHeight="1">
      <c r="B20" s="46" t="s">
        <v>101</v>
      </c>
    </row>
    <row r="21" spans="1:35">
      <c r="B21" s="47" t="s">
        <v>102</v>
      </c>
    </row>
    <row r="22" spans="1:35">
      <c r="B22" s="47" t="s">
        <v>103</v>
      </c>
    </row>
  </sheetData>
  <autoFilter ref="A3:AT6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18">
    <cfRule type="duplicateValues" dxfId="98" priority="2" stopIfTrue="1"/>
  </conditionalFormatting>
  <conditionalFormatting sqref="B13:B17">
    <cfRule type="duplicateValues" dxfId="97" priority="3" stopIfTrue="1"/>
  </conditionalFormatting>
  <conditionalFormatting sqref="B21:B22">
    <cfRule type="duplicateValues" dxfId="96" priority="1" stopIfTrue="1"/>
  </conditionalFormatting>
  <conditionalFormatting sqref="C10:C12">
    <cfRule type="duplicateValues" dxfId="95" priority="4" stopIfTrue="1"/>
    <cfRule type="expression" dxfId="94" priority="5" stopIfTrue="1">
      <formula>AND(COUNTIF($B$6:$B$65442,C10)+COUNTIF($B$1:$B$3,C10)&gt;1,NOT(ISBLANK(C10)))</formula>
    </cfRule>
    <cfRule type="expression" dxfId="93" priority="6" stopIfTrue="1">
      <formula>AND(COUNTIF($B$17:$B$65393,C10)+COUNTIF($B$1:$B$16,C10)&gt;1,NOT(ISBLANK(C10)))</formula>
    </cfRule>
    <cfRule type="expression" dxfId="92" priority="7" stopIfTrue="1">
      <formula>AND(COUNTIF($B$6:$B$65431,C10)+COUNTIF($B$1:$B$3,C10)&gt;1,NOT(ISBLANK(C10)))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60" customWidth="1"/>
    <col min="2" max="2" width="25" style="160" customWidth="1"/>
    <col min="3" max="3" width="7.375" style="160" customWidth="1"/>
    <col min="4" max="4" width="9.5" style="160" customWidth="1"/>
    <col min="5" max="5" width="8.25" style="160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5" style="160" customWidth="1"/>
    <col min="38" max="38" width="9.125" style="160" hidden="1" customWidth="1"/>
    <col min="39" max="42" width="9.25" style="160" hidden="1" customWidth="1"/>
    <col min="43" max="43" width="9.875" style="160" customWidth="1"/>
    <col min="44" max="44" width="9.375" style="160" customWidth="1"/>
    <col min="45" max="45" width="10.25" style="166" customWidth="1"/>
    <col min="46" max="46" width="10" style="166" customWidth="1"/>
    <col min="47" max="49" width="9.25" style="166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7" customWidth="1"/>
    <col min="57" max="57" width="10.625" style="160" customWidth="1"/>
    <col min="58" max="16384" width="9" style="160"/>
  </cols>
  <sheetData>
    <row r="1" spans="1:60" s="159" customFormat="1" ht="22.5" customHeight="1">
      <c r="A1" s="398" t="s">
        <v>18</v>
      </c>
      <c r="B1" s="404" t="s">
        <v>104</v>
      </c>
      <c r="C1" s="404" t="s">
        <v>105</v>
      </c>
      <c r="D1" s="398" t="s">
        <v>106</v>
      </c>
      <c r="E1" s="404" t="s">
        <v>107</v>
      </c>
      <c r="F1" s="404" t="s">
        <v>108</v>
      </c>
      <c r="G1" s="404" t="s">
        <v>109</v>
      </c>
      <c r="H1" s="404" t="s">
        <v>110</v>
      </c>
      <c r="I1" s="404" t="s">
        <v>111</v>
      </c>
      <c r="J1" s="404" t="s">
        <v>112</v>
      </c>
      <c r="K1" s="404" t="s">
        <v>113</v>
      </c>
      <c r="L1" s="397" t="s">
        <v>114</v>
      </c>
      <c r="M1" s="397"/>
      <c r="N1" s="397"/>
      <c r="O1" s="397"/>
      <c r="P1" s="397"/>
      <c r="Q1" s="397" t="s">
        <v>115</v>
      </c>
      <c r="R1" s="397"/>
      <c r="S1" s="397"/>
      <c r="T1" s="397"/>
      <c r="U1" s="397"/>
      <c r="V1" s="397" t="s">
        <v>116</v>
      </c>
      <c r="W1" s="397"/>
      <c r="X1" s="397"/>
      <c r="Y1" s="397"/>
      <c r="Z1" s="397"/>
      <c r="AA1" s="398" t="s">
        <v>117</v>
      </c>
      <c r="AB1" s="398"/>
      <c r="AC1" s="398"/>
      <c r="AD1" s="398" t="s">
        <v>118</v>
      </c>
      <c r="AE1" s="398"/>
      <c r="AF1" s="398"/>
      <c r="AG1" s="397" t="s">
        <v>119</v>
      </c>
      <c r="AH1" s="397"/>
      <c r="AI1" s="397"/>
      <c r="AJ1" s="397"/>
      <c r="AK1" s="397"/>
      <c r="AL1" s="398" t="s">
        <v>120</v>
      </c>
      <c r="AM1" s="398"/>
      <c r="AN1" s="398"/>
      <c r="AO1" s="398"/>
      <c r="AP1" s="398"/>
      <c r="AQ1" s="398" t="s">
        <v>121</v>
      </c>
      <c r="AR1" s="398"/>
      <c r="AS1" s="399" t="s">
        <v>122</v>
      </c>
      <c r="AT1" s="399"/>
      <c r="AU1" s="399"/>
      <c r="AV1" s="399"/>
      <c r="AW1" s="399"/>
      <c r="AX1" s="398" t="s">
        <v>123</v>
      </c>
      <c r="AY1" s="398"/>
      <c r="AZ1" s="398" t="s">
        <v>124</v>
      </c>
      <c r="BA1" s="398"/>
      <c r="BB1" s="398" t="s">
        <v>65</v>
      </c>
      <c r="BC1" s="398" t="s">
        <v>93</v>
      </c>
      <c r="BD1" s="407" t="s">
        <v>23</v>
      </c>
    </row>
    <row r="2" spans="1:60" ht="22.5" customHeight="1">
      <c r="A2" s="398"/>
      <c r="B2" s="405"/>
      <c r="C2" s="404"/>
      <c r="D2" s="398"/>
      <c r="E2" s="404"/>
      <c r="F2" s="406"/>
      <c r="G2" s="406"/>
      <c r="H2" s="404"/>
      <c r="I2" s="404"/>
      <c r="J2" s="404"/>
      <c r="K2" s="404"/>
      <c r="L2" s="195" t="s">
        <v>125</v>
      </c>
      <c r="M2" s="195" t="s">
        <v>126</v>
      </c>
      <c r="N2" s="195" t="s">
        <v>127</v>
      </c>
      <c r="O2" s="195" t="s">
        <v>128</v>
      </c>
      <c r="P2" s="195" t="s">
        <v>129</v>
      </c>
      <c r="Q2" s="195" t="s">
        <v>125</v>
      </c>
      <c r="R2" s="195" t="s">
        <v>126</v>
      </c>
      <c r="S2" s="195" t="s">
        <v>127</v>
      </c>
      <c r="T2" s="195" t="s">
        <v>128</v>
      </c>
      <c r="U2" s="195" t="s">
        <v>129</v>
      </c>
      <c r="V2" s="195" t="s">
        <v>125</v>
      </c>
      <c r="W2" s="195" t="s">
        <v>126</v>
      </c>
      <c r="X2" s="195" t="s">
        <v>127</v>
      </c>
      <c r="Y2" s="195" t="s">
        <v>128</v>
      </c>
      <c r="Z2" s="195" t="s">
        <v>129</v>
      </c>
      <c r="AA2" s="195" t="s">
        <v>125</v>
      </c>
      <c r="AB2" s="195" t="s">
        <v>130</v>
      </c>
      <c r="AC2" s="195" t="s">
        <v>22</v>
      </c>
      <c r="AD2" s="195" t="s">
        <v>125</v>
      </c>
      <c r="AE2" s="195" t="s">
        <v>130</v>
      </c>
      <c r="AF2" s="195" t="s">
        <v>22</v>
      </c>
      <c r="AG2" s="195" t="s">
        <v>125</v>
      </c>
      <c r="AH2" s="195" t="s">
        <v>126</v>
      </c>
      <c r="AI2" s="195" t="s">
        <v>127</v>
      </c>
      <c r="AJ2" s="195" t="s">
        <v>128</v>
      </c>
      <c r="AK2" s="195" t="s">
        <v>129</v>
      </c>
      <c r="AL2" s="195" t="s">
        <v>125</v>
      </c>
      <c r="AM2" s="195" t="s">
        <v>126</v>
      </c>
      <c r="AN2" s="195" t="s">
        <v>127</v>
      </c>
      <c r="AO2" s="195" t="s">
        <v>128</v>
      </c>
      <c r="AP2" s="195" t="s">
        <v>129</v>
      </c>
      <c r="AQ2" s="195" t="s">
        <v>131</v>
      </c>
      <c r="AR2" s="195" t="s">
        <v>132</v>
      </c>
      <c r="AS2" s="204" t="s">
        <v>133</v>
      </c>
      <c r="AT2" s="204" t="s">
        <v>134</v>
      </c>
      <c r="AU2" s="204" t="s">
        <v>135</v>
      </c>
      <c r="AV2" s="204" t="s">
        <v>78</v>
      </c>
      <c r="AW2" s="204" t="s">
        <v>30</v>
      </c>
      <c r="AX2" s="398"/>
      <c r="AY2" s="398"/>
      <c r="AZ2" s="398"/>
      <c r="BA2" s="398"/>
      <c r="BB2" s="398"/>
      <c r="BC2" s="398"/>
      <c r="BD2" s="407"/>
    </row>
    <row r="3" spans="1:60" s="161" customFormat="1" ht="18" customHeight="1">
      <c r="A3" s="168">
        <v>1</v>
      </c>
      <c r="B3" s="109" t="s">
        <v>136</v>
      </c>
      <c r="C3" s="99" t="s">
        <v>137</v>
      </c>
      <c r="D3" s="108" t="s">
        <v>138</v>
      </c>
      <c r="E3" s="109" t="s">
        <v>139</v>
      </c>
      <c r="F3" s="110" t="s">
        <v>86</v>
      </c>
      <c r="G3" s="111" t="s">
        <v>88</v>
      </c>
      <c r="H3" s="108" t="s">
        <v>140</v>
      </c>
      <c r="I3" s="108" t="s">
        <v>140</v>
      </c>
      <c r="J3" s="108" t="s">
        <v>141</v>
      </c>
      <c r="K3" s="108" t="s">
        <v>141</v>
      </c>
      <c r="L3" s="168">
        <v>3300</v>
      </c>
      <c r="M3" s="168">
        <v>0.16</v>
      </c>
      <c r="N3" s="168">
        <f t="shared" ref="N3:N8" si="0">ROUND(L3*M3,2)</f>
        <v>528</v>
      </c>
      <c r="O3" s="168">
        <v>0.08</v>
      </c>
      <c r="P3" s="168">
        <f t="shared" ref="P3:P8" si="1">ROUND(L3*O3,2)</f>
        <v>264</v>
      </c>
      <c r="Q3" s="168">
        <v>3300</v>
      </c>
      <c r="R3" s="168">
        <v>0.08</v>
      </c>
      <c r="S3" s="168">
        <f t="shared" ref="S3:S8" si="2">ROUND(Q3*R3,2)</f>
        <v>264</v>
      </c>
      <c r="T3" s="168">
        <v>0.02</v>
      </c>
      <c r="U3" s="168">
        <f t="shared" ref="U3:U8" si="3">ROUND(Q3*T3,2)</f>
        <v>66</v>
      </c>
      <c r="V3" s="168">
        <v>3300</v>
      </c>
      <c r="W3" s="168">
        <v>7.0000000000000001E-3</v>
      </c>
      <c r="X3" s="168">
        <f t="shared" ref="X3:X8" si="4">ROUND(V3*W3,2)</f>
        <v>23.1</v>
      </c>
      <c r="Y3" s="168">
        <v>3.0000000000000001E-3</v>
      </c>
      <c r="Z3" s="168">
        <f t="shared" ref="Z3:Z8" si="5">ROUND(V3*Y3,2)</f>
        <v>9.9</v>
      </c>
      <c r="AA3" s="168"/>
      <c r="AB3" s="168"/>
      <c r="AC3" s="168"/>
      <c r="AD3" s="168">
        <v>3300</v>
      </c>
      <c r="AE3" s="168">
        <v>2E-3</v>
      </c>
      <c r="AF3" s="168">
        <f t="shared" ref="AF3:AF15" si="6">ROUND(AD3*AE3,2)</f>
        <v>6.6</v>
      </c>
      <c r="AG3" s="168">
        <v>3000</v>
      </c>
      <c r="AH3" s="168">
        <v>0.1</v>
      </c>
      <c r="AI3" s="168">
        <f>ROUND(AG3*AH3,2)</f>
        <v>300</v>
      </c>
      <c r="AJ3" s="168">
        <v>0.06</v>
      </c>
      <c r="AK3" s="168">
        <f>ROUND(AG3*AJ3,2)</f>
        <v>180</v>
      </c>
      <c r="AL3" s="201"/>
      <c r="AM3" s="168"/>
      <c r="AN3" s="168"/>
      <c r="AO3" s="168"/>
      <c r="AP3" s="109" t="s">
        <v>142</v>
      </c>
      <c r="AQ3" s="205">
        <v>5</v>
      </c>
      <c r="AR3" s="168"/>
      <c r="AS3" s="206">
        <f t="shared" ref="AS3:AS15" si="7">N3+S3+X3+AC3+AF3+AN3+AQ3</f>
        <v>826.7</v>
      </c>
      <c r="AT3" s="206">
        <f t="shared" ref="AT3:AT15" si="8">P3+U3+Z3</f>
        <v>339.9</v>
      </c>
      <c r="AU3" s="206">
        <f t="shared" ref="AU3:AU15" si="9">AI3</f>
        <v>300</v>
      </c>
      <c r="AV3" s="206">
        <f t="shared" ref="AV3:AV15" si="10">AK3</f>
        <v>180</v>
      </c>
      <c r="AW3" s="206">
        <f t="shared" ref="AW3:AW15" si="11">AV3+AS3+AT3+AU3</f>
        <v>1646.6</v>
      </c>
      <c r="AX3" s="400">
        <f t="shared" ref="AX3:AX15" si="12">AS3+AT3</f>
        <v>1166.5999999999999</v>
      </c>
      <c r="AY3" s="400"/>
      <c r="AZ3" s="400">
        <f t="shared" ref="AZ3:AZ8" si="13">AU3+AV3</f>
        <v>480</v>
      </c>
      <c r="BA3" s="400"/>
      <c r="BB3" s="215">
        <v>80</v>
      </c>
      <c r="BC3" s="214">
        <f t="shared" ref="BC3:BC15" si="14">AX3+AZ3+BB3</f>
        <v>1726.6</v>
      </c>
      <c r="BD3" s="216"/>
      <c r="BE3" s="252"/>
      <c r="BF3" s="253"/>
      <c r="BG3" s="253"/>
      <c r="BH3" s="254" t="s">
        <v>142</v>
      </c>
    </row>
    <row r="4" spans="1:60" s="161" customFormat="1" ht="18" customHeight="1">
      <c r="A4" s="168"/>
      <c r="B4" s="109" t="s">
        <v>136</v>
      </c>
      <c r="C4" s="99" t="s">
        <v>137</v>
      </c>
      <c r="D4" s="108" t="s">
        <v>138</v>
      </c>
      <c r="E4" s="109" t="s">
        <v>139</v>
      </c>
      <c r="F4" s="110" t="s">
        <v>86</v>
      </c>
      <c r="G4" s="111" t="s">
        <v>88</v>
      </c>
      <c r="H4" s="108" t="s">
        <v>140</v>
      </c>
      <c r="I4" s="108" t="s">
        <v>140</v>
      </c>
      <c r="J4" s="108" t="s">
        <v>143</v>
      </c>
      <c r="K4" s="108" t="s">
        <v>143</v>
      </c>
      <c r="L4" s="168">
        <v>3300</v>
      </c>
      <c r="M4" s="168">
        <v>0.16</v>
      </c>
      <c r="N4" s="168">
        <f t="shared" si="0"/>
        <v>528</v>
      </c>
      <c r="O4" s="168">
        <v>0.08</v>
      </c>
      <c r="P4" s="168">
        <f t="shared" si="1"/>
        <v>264</v>
      </c>
      <c r="Q4" s="168">
        <v>3300</v>
      </c>
      <c r="R4" s="168">
        <v>0.08</v>
      </c>
      <c r="S4" s="168">
        <f t="shared" si="2"/>
        <v>264</v>
      </c>
      <c r="T4" s="168">
        <v>0.02</v>
      </c>
      <c r="U4" s="168">
        <f t="shared" si="3"/>
        <v>66</v>
      </c>
      <c r="V4" s="168">
        <v>3300</v>
      </c>
      <c r="W4" s="168">
        <v>7.0000000000000001E-3</v>
      </c>
      <c r="X4" s="168">
        <f t="shared" si="4"/>
        <v>23.1</v>
      </c>
      <c r="Y4" s="168">
        <v>3.0000000000000001E-3</v>
      </c>
      <c r="Z4" s="168">
        <f t="shared" si="5"/>
        <v>9.9</v>
      </c>
      <c r="AA4" s="168"/>
      <c r="AB4" s="168"/>
      <c r="AC4" s="168"/>
      <c r="AD4" s="168">
        <v>3300</v>
      </c>
      <c r="AE4" s="168">
        <v>2E-3</v>
      </c>
      <c r="AF4" s="168">
        <f t="shared" si="6"/>
        <v>6.6</v>
      </c>
      <c r="AG4" s="168">
        <v>3000</v>
      </c>
      <c r="AH4" s="168">
        <v>0.1</v>
      </c>
      <c r="AI4" s="168">
        <f>ROUND(AG4*AH4,2)</f>
        <v>300</v>
      </c>
      <c r="AJ4" s="168">
        <v>0.06</v>
      </c>
      <c r="AK4" s="168">
        <f>ROUND(AG4*AJ4,2)</f>
        <v>180</v>
      </c>
      <c r="AL4" s="201"/>
      <c r="AM4" s="168"/>
      <c r="AN4" s="168"/>
      <c r="AO4" s="168"/>
      <c r="AP4" s="109" t="s">
        <v>142</v>
      </c>
      <c r="AQ4" s="205">
        <v>5</v>
      </c>
      <c r="AR4" s="168"/>
      <c r="AS4" s="206">
        <f t="shared" si="7"/>
        <v>826.7</v>
      </c>
      <c r="AT4" s="206">
        <f t="shared" si="8"/>
        <v>339.9</v>
      </c>
      <c r="AU4" s="206">
        <f t="shared" si="9"/>
        <v>300</v>
      </c>
      <c r="AV4" s="206">
        <f t="shared" si="10"/>
        <v>180</v>
      </c>
      <c r="AW4" s="206">
        <f t="shared" si="11"/>
        <v>1646.6</v>
      </c>
      <c r="AX4" s="400">
        <f t="shared" si="12"/>
        <v>1166.5999999999999</v>
      </c>
      <c r="AY4" s="400"/>
      <c r="AZ4" s="400">
        <f t="shared" si="13"/>
        <v>480</v>
      </c>
      <c r="BA4" s="400"/>
      <c r="BB4" s="215">
        <v>80</v>
      </c>
      <c r="BC4" s="214">
        <f t="shared" si="14"/>
        <v>1726.6</v>
      </c>
      <c r="BD4" s="216"/>
      <c r="BE4" s="252"/>
      <c r="BF4" s="253"/>
      <c r="BG4" s="253"/>
      <c r="BH4" s="254" t="s">
        <v>142</v>
      </c>
    </row>
    <row r="5" spans="1:60" s="161" customFormat="1" ht="18" customHeight="1">
      <c r="A5" s="168"/>
      <c r="B5" s="109" t="s">
        <v>136</v>
      </c>
      <c r="C5" s="99" t="s">
        <v>137</v>
      </c>
      <c r="D5" s="108" t="s">
        <v>138</v>
      </c>
      <c r="E5" s="109" t="s">
        <v>139</v>
      </c>
      <c r="F5" s="110" t="s">
        <v>86</v>
      </c>
      <c r="G5" s="111" t="s">
        <v>88</v>
      </c>
      <c r="H5" s="108" t="s">
        <v>140</v>
      </c>
      <c r="I5" s="108" t="s">
        <v>140</v>
      </c>
      <c r="J5" s="108" t="s">
        <v>144</v>
      </c>
      <c r="K5" s="108" t="s">
        <v>144</v>
      </c>
      <c r="L5" s="168">
        <v>3300</v>
      </c>
      <c r="M5" s="168">
        <v>0.16</v>
      </c>
      <c r="N5" s="168">
        <f t="shared" si="0"/>
        <v>528</v>
      </c>
      <c r="O5" s="168">
        <v>0.08</v>
      </c>
      <c r="P5" s="168">
        <f t="shared" si="1"/>
        <v>264</v>
      </c>
      <c r="Q5" s="168">
        <v>3300</v>
      </c>
      <c r="R5" s="168">
        <v>0.08</v>
      </c>
      <c r="S5" s="168">
        <f t="shared" si="2"/>
        <v>264</v>
      </c>
      <c r="T5" s="168">
        <v>0.02</v>
      </c>
      <c r="U5" s="168">
        <f t="shared" si="3"/>
        <v>66</v>
      </c>
      <c r="V5" s="168">
        <v>3300</v>
      </c>
      <c r="W5" s="168">
        <v>7.0000000000000001E-3</v>
      </c>
      <c r="X5" s="168">
        <f t="shared" si="4"/>
        <v>23.1</v>
      </c>
      <c r="Y5" s="168">
        <v>3.0000000000000001E-3</v>
      </c>
      <c r="Z5" s="168">
        <f t="shared" si="5"/>
        <v>9.9</v>
      </c>
      <c r="AA5" s="168"/>
      <c r="AB5" s="168"/>
      <c r="AC5" s="168"/>
      <c r="AD5" s="168">
        <v>3300</v>
      </c>
      <c r="AE5" s="168">
        <v>2E-3</v>
      </c>
      <c r="AF5" s="168">
        <f t="shared" si="6"/>
        <v>6.6</v>
      </c>
      <c r="AG5" s="168">
        <v>3000</v>
      </c>
      <c r="AH5" s="168">
        <v>0.1</v>
      </c>
      <c r="AI5" s="168">
        <f>ROUND(AG5*AH5,2)</f>
        <v>300</v>
      </c>
      <c r="AJ5" s="168">
        <v>0.06</v>
      </c>
      <c r="AK5" s="168">
        <f>ROUND(AG5*AJ5,2)</f>
        <v>180</v>
      </c>
      <c r="AL5" s="201"/>
      <c r="AM5" s="168"/>
      <c r="AN5" s="168"/>
      <c r="AO5" s="168"/>
      <c r="AP5" s="109" t="s">
        <v>142</v>
      </c>
      <c r="AQ5" s="205">
        <v>5</v>
      </c>
      <c r="AR5" s="168"/>
      <c r="AS5" s="206">
        <f t="shared" si="7"/>
        <v>826.7</v>
      </c>
      <c r="AT5" s="206">
        <f t="shared" si="8"/>
        <v>339.9</v>
      </c>
      <c r="AU5" s="206">
        <f t="shared" si="9"/>
        <v>300</v>
      </c>
      <c r="AV5" s="206">
        <f t="shared" si="10"/>
        <v>180</v>
      </c>
      <c r="AW5" s="206">
        <f t="shared" si="11"/>
        <v>1646.6</v>
      </c>
      <c r="AX5" s="400">
        <f t="shared" si="12"/>
        <v>1166.5999999999999</v>
      </c>
      <c r="AY5" s="400"/>
      <c r="AZ5" s="400">
        <f t="shared" si="13"/>
        <v>480</v>
      </c>
      <c r="BA5" s="400"/>
      <c r="BB5" s="215">
        <v>80</v>
      </c>
      <c r="BC5" s="214">
        <f t="shared" si="14"/>
        <v>1726.6</v>
      </c>
      <c r="BD5" s="216"/>
      <c r="BE5" s="252"/>
      <c r="BF5" s="253"/>
      <c r="BG5" s="253"/>
      <c r="BH5" s="254" t="s">
        <v>142</v>
      </c>
    </row>
    <row r="6" spans="1:60" s="161" customFormat="1" ht="18" customHeight="1">
      <c r="A6" s="168">
        <v>2</v>
      </c>
      <c r="B6" s="109" t="s">
        <v>136</v>
      </c>
      <c r="C6" s="99" t="s">
        <v>145</v>
      </c>
      <c r="D6" s="108" t="s">
        <v>138</v>
      </c>
      <c r="E6" s="109" t="s">
        <v>146</v>
      </c>
      <c r="F6" s="110" t="s">
        <v>89</v>
      </c>
      <c r="G6" s="316" t="s">
        <v>90</v>
      </c>
      <c r="H6" s="108" t="s">
        <v>140</v>
      </c>
      <c r="I6" s="108" t="s">
        <v>147</v>
      </c>
      <c r="J6" s="108" t="s">
        <v>141</v>
      </c>
      <c r="K6" s="108" t="s">
        <v>147</v>
      </c>
      <c r="L6" s="168">
        <v>3803</v>
      </c>
      <c r="M6" s="168">
        <v>0.14000000000000001</v>
      </c>
      <c r="N6" s="168">
        <f t="shared" si="0"/>
        <v>532.41999999999996</v>
      </c>
      <c r="O6" s="168">
        <v>0.08</v>
      </c>
      <c r="P6" s="168">
        <f t="shared" si="1"/>
        <v>304.24</v>
      </c>
      <c r="Q6" s="168">
        <v>6175</v>
      </c>
      <c r="R6" s="168">
        <v>5.5E-2</v>
      </c>
      <c r="S6" s="168">
        <f t="shared" si="2"/>
        <v>339.63</v>
      </c>
      <c r="T6" s="168">
        <v>0.02</v>
      </c>
      <c r="U6" s="168">
        <f t="shared" si="3"/>
        <v>123.5</v>
      </c>
      <c r="V6" s="168">
        <v>3803</v>
      </c>
      <c r="W6" s="168">
        <v>3.2000000000000002E-3</v>
      </c>
      <c r="X6" s="168">
        <f t="shared" si="4"/>
        <v>12.17</v>
      </c>
      <c r="Y6" s="168">
        <v>2E-3</v>
      </c>
      <c r="Z6" s="168">
        <f t="shared" si="5"/>
        <v>7.61</v>
      </c>
      <c r="AA6" s="168">
        <v>6175</v>
      </c>
      <c r="AB6" s="168">
        <v>8.5000000000000006E-3</v>
      </c>
      <c r="AC6" s="168">
        <f t="shared" ref="AC6:AC8" si="15">ROUND(AA6*AB6,2)</f>
        <v>52.49</v>
      </c>
      <c r="AD6" s="168">
        <v>3803</v>
      </c>
      <c r="AE6" s="168">
        <v>1.6000000000000001E-3</v>
      </c>
      <c r="AF6" s="168">
        <f t="shared" si="6"/>
        <v>6.08</v>
      </c>
      <c r="AG6" s="168"/>
      <c r="AH6" s="168"/>
      <c r="AI6" s="168"/>
      <c r="AJ6" s="168"/>
      <c r="AK6" s="168"/>
      <c r="AL6" s="201"/>
      <c r="AM6" s="168"/>
      <c r="AN6" s="168"/>
      <c r="AO6" s="168"/>
      <c r="AP6" s="109"/>
      <c r="AQ6" s="205">
        <v>26.76</v>
      </c>
      <c r="AR6" s="168"/>
      <c r="AS6" s="206">
        <f t="shared" si="7"/>
        <v>969.55</v>
      </c>
      <c r="AT6" s="206">
        <f t="shared" si="8"/>
        <v>435.35</v>
      </c>
      <c r="AU6" s="206">
        <f t="shared" si="9"/>
        <v>0</v>
      </c>
      <c r="AV6" s="206">
        <f t="shared" si="10"/>
        <v>0</v>
      </c>
      <c r="AW6" s="206">
        <f t="shared" si="11"/>
        <v>1404.9</v>
      </c>
      <c r="AX6" s="400">
        <f t="shared" si="12"/>
        <v>1404.9</v>
      </c>
      <c r="AY6" s="400"/>
      <c r="AZ6" s="400">
        <f t="shared" si="13"/>
        <v>0</v>
      </c>
      <c r="BA6" s="400"/>
      <c r="BB6" s="215">
        <v>80</v>
      </c>
      <c r="BC6" s="214">
        <f t="shared" si="14"/>
        <v>1484.9</v>
      </c>
      <c r="BD6" s="216"/>
      <c r="BE6" s="229"/>
      <c r="BF6" s="229"/>
      <c r="BG6" s="229"/>
      <c r="BH6" s="229"/>
    </row>
    <row r="7" spans="1:60" s="161" customFormat="1" ht="18" customHeight="1">
      <c r="A7" s="168"/>
      <c r="B7" s="109" t="s">
        <v>136</v>
      </c>
      <c r="C7" s="99" t="s">
        <v>145</v>
      </c>
      <c r="D7" s="108" t="s">
        <v>138</v>
      </c>
      <c r="E7" s="109" t="s">
        <v>146</v>
      </c>
      <c r="F7" s="110" t="s">
        <v>89</v>
      </c>
      <c r="G7" s="316" t="s">
        <v>90</v>
      </c>
      <c r="H7" s="108" t="s">
        <v>140</v>
      </c>
      <c r="I7" s="108" t="s">
        <v>147</v>
      </c>
      <c r="J7" s="108" t="s">
        <v>143</v>
      </c>
      <c r="K7" s="108" t="s">
        <v>147</v>
      </c>
      <c r="L7" s="168">
        <v>3803</v>
      </c>
      <c r="M7" s="168">
        <v>0.14000000000000001</v>
      </c>
      <c r="N7" s="168">
        <f t="shared" si="0"/>
        <v>532.41999999999996</v>
      </c>
      <c r="O7" s="168">
        <v>0.08</v>
      </c>
      <c r="P7" s="168">
        <f t="shared" si="1"/>
        <v>304.24</v>
      </c>
      <c r="Q7" s="168">
        <v>6175</v>
      </c>
      <c r="R7" s="168">
        <v>5.5E-2</v>
      </c>
      <c r="S7" s="168">
        <f t="shared" si="2"/>
        <v>339.63</v>
      </c>
      <c r="T7" s="168">
        <v>0.02</v>
      </c>
      <c r="U7" s="168">
        <f t="shared" si="3"/>
        <v>123.5</v>
      </c>
      <c r="V7" s="168">
        <v>3803</v>
      </c>
      <c r="W7" s="168">
        <v>3.2000000000000002E-3</v>
      </c>
      <c r="X7" s="168">
        <f t="shared" si="4"/>
        <v>12.17</v>
      </c>
      <c r="Y7" s="168">
        <v>2E-3</v>
      </c>
      <c r="Z7" s="168">
        <f t="shared" si="5"/>
        <v>7.61</v>
      </c>
      <c r="AA7" s="168">
        <v>6175</v>
      </c>
      <c r="AB7" s="168">
        <v>8.5000000000000006E-3</v>
      </c>
      <c r="AC7" s="168">
        <f t="shared" si="15"/>
        <v>52.49</v>
      </c>
      <c r="AD7" s="168">
        <v>3803</v>
      </c>
      <c r="AE7" s="168">
        <v>1.6000000000000001E-3</v>
      </c>
      <c r="AF7" s="168">
        <f t="shared" si="6"/>
        <v>6.08</v>
      </c>
      <c r="AG7" s="168"/>
      <c r="AH7" s="168"/>
      <c r="AI7" s="168"/>
      <c r="AJ7" s="168"/>
      <c r="AK7" s="168"/>
      <c r="AL7" s="201"/>
      <c r="AM7" s="168"/>
      <c r="AN7" s="168"/>
      <c r="AO7" s="168"/>
      <c r="AP7" s="109"/>
      <c r="AQ7" s="205">
        <v>26.76</v>
      </c>
      <c r="AR7" s="168"/>
      <c r="AS7" s="206">
        <f t="shared" si="7"/>
        <v>969.55</v>
      </c>
      <c r="AT7" s="206">
        <f t="shared" si="8"/>
        <v>435.35</v>
      </c>
      <c r="AU7" s="206">
        <f t="shared" si="9"/>
        <v>0</v>
      </c>
      <c r="AV7" s="206">
        <f t="shared" si="10"/>
        <v>0</v>
      </c>
      <c r="AW7" s="206">
        <f t="shared" si="11"/>
        <v>1404.9</v>
      </c>
      <c r="AX7" s="400">
        <f t="shared" si="12"/>
        <v>1404.9</v>
      </c>
      <c r="AY7" s="400"/>
      <c r="AZ7" s="400">
        <f t="shared" si="13"/>
        <v>0</v>
      </c>
      <c r="BA7" s="400"/>
      <c r="BB7" s="215">
        <v>80</v>
      </c>
      <c r="BC7" s="214">
        <f t="shared" si="14"/>
        <v>1484.9</v>
      </c>
      <c r="BD7" s="216"/>
      <c r="BE7" s="229"/>
      <c r="BF7" s="229"/>
      <c r="BG7" s="229"/>
      <c r="BH7" s="229"/>
    </row>
    <row r="8" spans="1:60" s="161" customFormat="1" ht="18" customHeight="1">
      <c r="A8" s="168"/>
      <c r="B8" s="109" t="s">
        <v>136</v>
      </c>
      <c r="C8" s="99" t="s">
        <v>145</v>
      </c>
      <c r="D8" s="108" t="s">
        <v>138</v>
      </c>
      <c r="E8" s="109" t="s">
        <v>146</v>
      </c>
      <c r="F8" s="110" t="s">
        <v>89</v>
      </c>
      <c r="G8" s="316" t="s">
        <v>90</v>
      </c>
      <c r="H8" s="108" t="s">
        <v>140</v>
      </c>
      <c r="I8" s="108" t="s">
        <v>147</v>
      </c>
      <c r="J8" s="108" t="s">
        <v>144</v>
      </c>
      <c r="K8" s="108" t="s">
        <v>147</v>
      </c>
      <c r="L8" s="168">
        <v>3803</v>
      </c>
      <c r="M8" s="168">
        <v>0.14000000000000001</v>
      </c>
      <c r="N8" s="168">
        <f t="shared" si="0"/>
        <v>532.41999999999996</v>
      </c>
      <c r="O8" s="168">
        <v>0.08</v>
      </c>
      <c r="P8" s="168">
        <f t="shared" si="1"/>
        <v>304.24</v>
      </c>
      <c r="Q8" s="168">
        <v>6175</v>
      </c>
      <c r="R8" s="168">
        <v>5.5E-2</v>
      </c>
      <c r="S8" s="168">
        <f t="shared" si="2"/>
        <v>339.63</v>
      </c>
      <c r="T8" s="168">
        <v>0.02</v>
      </c>
      <c r="U8" s="168">
        <f t="shared" si="3"/>
        <v>123.5</v>
      </c>
      <c r="V8" s="168">
        <v>3803</v>
      </c>
      <c r="W8" s="168">
        <v>3.2000000000000002E-3</v>
      </c>
      <c r="X8" s="168">
        <f t="shared" si="4"/>
        <v>12.17</v>
      </c>
      <c r="Y8" s="168">
        <v>2E-3</v>
      </c>
      <c r="Z8" s="168">
        <f t="shared" si="5"/>
        <v>7.61</v>
      </c>
      <c r="AA8" s="168">
        <v>6175</v>
      </c>
      <c r="AB8" s="168">
        <v>8.5000000000000006E-3</v>
      </c>
      <c r="AC8" s="168">
        <f t="shared" si="15"/>
        <v>52.49</v>
      </c>
      <c r="AD8" s="168">
        <v>3803</v>
      </c>
      <c r="AE8" s="168">
        <v>1.6000000000000001E-3</v>
      </c>
      <c r="AF8" s="168">
        <f t="shared" si="6"/>
        <v>6.08</v>
      </c>
      <c r="AG8" s="168"/>
      <c r="AH8" s="168"/>
      <c r="AI8" s="168"/>
      <c r="AJ8" s="168"/>
      <c r="AK8" s="168"/>
      <c r="AL8" s="201"/>
      <c r="AM8" s="168"/>
      <c r="AN8" s="168"/>
      <c r="AO8" s="168"/>
      <c r="AP8" s="109"/>
      <c r="AQ8" s="205">
        <v>26.76</v>
      </c>
      <c r="AR8" s="168"/>
      <c r="AS8" s="206">
        <f t="shared" si="7"/>
        <v>969.55</v>
      </c>
      <c r="AT8" s="206">
        <f t="shared" si="8"/>
        <v>435.35</v>
      </c>
      <c r="AU8" s="206">
        <f t="shared" si="9"/>
        <v>0</v>
      </c>
      <c r="AV8" s="206">
        <f t="shared" si="10"/>
        <v>0</v>
      </c>
      <c r="AW8" s="206">
        <f t="shared" si="11"/>
        <v>1404.9</v>
      </c>
      <c r="AX8" s="400">
        <f t="shared" si="12"/>
        <v>1404.9</v>
      </c>
      <c r="AY8" s="400"/>
      <c r="AZ8" s="400">
        <f t="shared" si="13"/>
        <v>0</v>
      </c>
      <c r="BA8" s="400"/>
      <c r="BB8" s="215">
        <v>80</v>
      </c>
      <c r="BC8" s="214">
        <f t="shared" si="14"/>
        <v>1484.9</v>
      </c>
      <c r="BD8" s="216"/>
      <c r="BE8" s="229"/>
      <c r="BF8" s="229"/>
      <c r="BG8" s="229"/>
      <c r="BH8" s="229"/>
    </row>
    <row r="9" spans="1:60" s="239" customFormat="1" ht="18" customHeight="1">
      <c r="A9" s="240" t="s">
        <v>148</v>
      </c>
      <c r="B9" s="241" t="s">
        <v>136</v>
      </c>
      <c r="C9" s="94" t="s">
        <v>145</v>
      </c>
      <c r="D9" s="242" t="s">
        <v>138</v>
      </c>
      <c r="E9" s="241" t="s">
        <v>146</v>
      </c>
      <c r="F9" s="243" t="s">
        <v>89</v>
      </c>
      <c r="G9" s="317" t="s">
        <v>90</v>
      </c>
      <c r="H9" s="242" t="s">
        <v>140</v>
      </c>
      <c r="I9" s="242" t="s">
        <v>147</v>
      </c>
      <c r="J9" s="242" t="s">
        <v>149</v>
      </c>
      <c r="K9" s="242" t="s">
        <v>147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5">
        <f t="shared" ref="AD9:AD11" si="16">3803-3000</f>
        <v>803</v>
      </c>
      <c r="AE9" s="245">
        <v>1.6000000000000001E-3</v>
      </c>
      <c r="AF9" s="245">
        <f t="shared" si="6"/>
        <v>1.28</v>
      </c>
      <c r="AG9" s="240"/>
      <c r="AH9" s="240"/>
      <c r="AI9" s="240"/>
      <c r="AJ9" s="240"/>
      <c r="AK9" s="240"/>
      <c r="AL9" s="246"/>
      <c r="AM9" s="240"/>
      <c r="AN9" s="240"/>
      <c r="AO9" s="240"/>
      <c r="AP9" s="241"/>
      <c r="AQ9" s="247"/>
      <c r="AR9" s="240"/>
      <c r="AS9" s="248">
        <f t="shared" si="7"/>
        <v>1.28</v>
      </c>
      <c r="AT9" s="248">
        <f t="shared" si="8"/>
        <v>0</v>
      </c>
      <c r="AU9" s="248">
        <f t="shared" si="9"/>
        <v>0</v>
      </c>
      <c r="AV9" s="248">
        <f t="shared" si="10"/>
        <v>0</v>
      </c>
      <c r="AW9" s="248">
        <f t="shared" si="11"/>
        <v>1.28</v>
      </c>
      <c r="AX9" s="401">
        <f t="shared" si="12"/>
        <v>1.28</v>
      </c>
      <c r="AY9" s="401"/>
      <c r="AZ9" s="401"/>
      <c r="BA9" s="401"/>
      <c r="BB9" s="250"/>
      <c r="BC9" s="249">
        <f t="shared" si="14"/>
        <v>1.28</v>
      </c>
      <c r="BD9" s="251" t="s">
        <v>150</v>
      </c>
      <c r="BE9" s="255"/>
      <c r="BF9" s="255"/>
      <c r="BG9" s="255"/>
      <c r="BH9" s="255"/>
    </row>
    <row r="10" spans="1:60" s="239" customFormat="1" ht="18" customHeight="1">
      <c r="A10" s="240" t="s">
        <v>148</v>
      </c>
      <c r="B10" s="241" t="s">
        <v>136</v>
      </c>
      <c r="C10" s="94" t="s">
        <v>145</v>
      </c>
      <c r="D10" s="242" t="s">
        <v>138</v>
      </c>
      <c r="E10" s="241" t="s">
        <v>146</v>
      </c>
      <c r="F10" s="243" t="s">
        <v>89</v>
      </c>
      <c r="G10" s="317" t="s">
        <v>90</v>
      </c>
      <c r="H10" s="242" t="s">
        <v>140</v>
      </c>
      <c r="I10" s="242" t="s">
        <v>147</v>
      </c>
      <c r="J10" s="242" t="s">
        <v>151</v>
      </c>
      <c r="K10" s="242" t="s">
        <v>147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5">
        <f t="shared" si="16"/>
        <v>803</v>
      </c>
      <c r="AE10" s="245">
        <v>1.6000000000000001E-3</v>
      </c>
      <c r="AF10" s="245">
        <f t="shared" si="6"/>
        <v>1.28</v>
      </c>
      <c r="AG10" s="240"/>
      <c r="AH10" s="240"/>
      <c r="AI10" s="240"/>
      <c r="AJ10" s="240"/>
      <c r="AK10" s="240"/>
      <c r="AL10" s="246"/>
      <c r="AM10" s="240"/>
      <c r="AN10" s="240"/>
      <c r="AO10" s="240"/>
      <c r="AP10" s="241"/>
      <c r="AQ10" s="247"/>
      <c r="AR10" s="240"/>
      <c r="AS10" s="248">
        <f t="shared" si="7"/>
        <v>1.28</v>
      </c>
      <c r="AT10" s="248">
        <f t="shared" si="8"/>
        <v>0</v>
      </c>
      <c r="AU10" s="248">
        <f t="shared" si="9"/>
        <v>0</v>
      </c>
      <c r="AV10" s="248">
        <f t="shared" si="10"/>
        <v>0</v>
      </c>
      <c r="AW10" s="248">
        <f t="shared" si="11"/>
        <v>1.28</v>
      </c>
      <c r="AX10" s="401">
        <f t="shared" si="12"/>
        <v>1.28</v>
      </c>
      <c r="AY10" s="401"/>
      <c r="AZ10" s="401"/>
      <c r="BA10" s="401"/>
      <c r="BB10" s="250"/>
      <c r="BC10" s="249">
        <f t="shared" si="14"/>
        <v>1.28</v>
      </c>
      <c r="BD10" s="251" t="s">
        <v>150</v>
      </c>
      <c r="BE10" s="255"/>
      <c r="BF10" s="255"/>
      <c r="BG10" s="255"/>
      <c r="BH10" s="255"/>
    </row>
    <row r="11" spans="1:60" s="239" customFormat="1" ht="18" customHeight="1">
      <c r="A11" s="240" t="s">
        <v>148</v>
      </c>
      <c r="B11" s="241" t="s">
        <v>136</v>
      </c>
      <c r="C11" s="94" t="s">
        <v>145</v>
      </c>
      <c r="D11" s="242" t="s">
        <v>138</v>
      </c>
      <c r="E11" s="241" t="s">
        <v>146</v>
      </c>
      <c r="F11" s="243" t="s">
        <v>89</v>
      </c>
      <c r="G11" s="317" t="s">
        <v>90</v>
      </c>
      <c r="H11" s="242" t="s">
        <v>140</v>
      </c>
      <c r="I11" s="242" t="s">
        <v>147</v>
      </c>
      <c r="J11" s="242" t="s">
        <v>152</v>
      </c>
      <c r="K11" s="242" t="s">
        <v>147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5">
        <f t="shared" si="16"/>
        <v>803</v>
      </c>
      <c r="AE11" s="245">
        <v>1.6000000000000001E-3</v>
      </c>
      <c r="AF11" s="245">
        <f t="shared" si="6"/>
        <v>1.28</v>
      </c>
      <c r="AG11" s="240"/>
      <c r="AH11" s="240"/>
      <c r="AI11" s="240"/>
      <c r="AJ11" s="240"/>
      <c r="AK11" s="240"/>
      <c r="AL11" s="246"/>
      <c r="AM11" s="240"/>
      <c r="AN11" s="240"/>
      <c r="AO11" s="240"/>
      <c r="AP11" s="241"/>
      <c r="AQ11" s="247"/>
      <c r="AR11" s="240"/>
      <c r="AS11" s="248">
        <f t="shared" si="7"/>
        <v>1.28</v>
      </c>
      <c r="AT11" s="248">
        <f t="shared" si="8"/>
        <v>0</v>
      </c>
      <c r="AU11" s="248">
        <f t="shared" si="9"/>
        <v>0</v>
      </c>
      <c r="AV11" s="248">
        <f t="shared" si="10"/>
        <v>0</v>
      </c>
      <c r="AW11" s="248">
        <f t="shared" si="11"/>
        <v>1.28</v>
      </c>
      <c r="AX11" s="401">
        <f t="shared" si="12"/>
        <v>1.28</v>
      </c>
      <c r="AY11" s="401"/>
      <c r="AZ11" s="401"/>
      <c r="BA11" s="401"/>
      <c r="BB11" s="250"/>
      <c r="BC11" s="249">
        <f t="shared" si="14"/>
        <v>1.28</v>
      </c>
      <c r="BD11" s="251" t="s">
        <v>150</v>
      </c>
      <c r="BE11" s="255"/>
      <c r="BF11" s="255"/>
      <c r="BG11" s="255"/>
      <c r="BH11" s="255"/>
    </row>
    <row r="12" spans="1:60" s="161" customFormat="1" ht="18" customHeight="1">
      <c r="A12" s="168">
        <v>3</v>
      </c>
      <c r="B12" s="109" t="s">
        <v>136</v>
      </c>
      <c r="C12" s="99" t="s">
        <v>153</v>
      </c>
      <c r="D12" s="108" t="s">
        <v>138</v>
      </c>
      <c r="E12" s="109" t="s">
        <v>146</v>
      </c>
      <c r="F12" s="110" t="s">
        <v>154</v>
      </c>
      <c r="G12" s="111" t="s">
        <v>155</v>
      </c>
      <c r="H12" s="108" t="s">
        <v>156</v>
      </c>
      <c r="I12" s="108" t="s">
        <v>156</v>
      </c>
      <c r="J12" s="108" t="s">
        <v>143</v>
      </c>
      <c r="K12" s="108" t="s">
        <v>143</v>
      </c>
      <c r="L12" s="168">
        <v>3053.05</v>
      </c>
      <c r="M12" s="168">
        <v>0.16</v>
      </c>
      <c r="N12" s="168">
        <f t="shared" ref="N12:N15" si="17">ROUND(L12*M12,2)</f>
        <v>488.49</v>
      </c>
      <c r="O12" s="168">
        <v>0.08</v>
      </c>
      <c r="P12" s="168">
        <f t="shared" ref="P12:P15" si="18">ROUND(L12*O12,2)</f>
        <v>244.24</v>
      </c>
      <c r="Q12" s="168">
        <v>3053.05</v>
      </c>
      <c r="R12" s="168">
        <v>0.06</v>
      </c>
      <c r="S12" s="168">
        <f t="shared" ref="S12:S15" si="19">ROUND(Q12*R12,2)</f>
        <v>183.18</v>
      </c>
      <c r="T12" s="168">
        <v>0.02</v>
      </c>
      <c r="U12" s="168">
        <f t="shared" ref="U12:U15" si="20">ROUND(Q12*T12,2)</f>
        <v>61.06</v>
      </c>
      <c r="V12" s="168">
        <v>3053.05</v>
      </c>
      <c r="W12" s="168">
        <v>7.0000000000000001E-3</v>
      </c>
      <c r="X12" s="168">
        <f t="shared" ref="X12:X15" si="21">ROUND(V12*W12,2)</f>
        <v>21.37</v>
      </c>
      <c r="Y12" s="168">
        <v>3.0000000000000001E-3</v>
      </c>
      <c r="Z12" s="168">
        <f t="shared" ref="Z12:Z15" si="22">ROUND(V12*Y12,2)</f>
        <v>9.16</v>
      </c>
      <c r="AA12" s="168">
        <v>3053.05</v>
      </c>
      <c r="AB12" s="168">
        <v>7.0000000000000001E-3</v>
      </c>
      <c r="AC12" s="168">
        <f t="shared" ref="AC12:AC15" si="23">ROUND(AA12*AB12,2)</f>
        <v>21.37</v>
      </c>
      <c r="AD12" s="168">
        <v>3053.05</v>
      </c>
      <c r="AE12" s="168">
        <v>2E-3</v>
      </c>
      <c r="AF12" s="168">
        <f t="shared" si="6"/>
        <v>6.11</v>
      </c>
      <c r="AG12" s="168" t="s">
        <v>157</v>
      </c>
      <c r="AH12" s="168">
        <v>0.05</v>
      </c>
      <c r="AI12" s="168">
        <f t="shared" ref="AI12:AI15" si="24">ROUND(AG12*AH12,2)</f>
        <v>79</v>
      </c>
      <c r="AJ12" s="168">
        <v>0.05</v>
      </c>
      <c r="AK12" s="168">
        <f t="shared" ref="AK12:AK15" si="25">ROUND(AG12*AJ12,2)</f>
        <v>79</v>
      </c>
      <c r="AL12" s="201"/>
      <c r="AM12" s="168"/>
      <c r="AN12" s="168"/>
      <c r="AO12" s="168"/>
      <c r="AP12" s="109"/>
      <c r="AQ12" s="205"/>
      <c r="AR12" s="168">
        <v>96</v>
      </c>
      <c r="AS12" s="206">
        <f t="shared" si="7"/>
        <v>720.52</v>
      </c>
      <c r="AT12" s="206">
        <f t="shared" si="8"/>
        <v>314.45999999999998</v>
      </c>
      <c r="AU12" s="206">
        <f t="shared" si="9"/>
        <v>79</v>
      </c>
      <c r="AV12" s="206">
        <f t="shared" si="10"/>
        <v>79</v>
      </c>
      <c r="AW12" s="206">
        <f t="shared" si="11"/>
        <v>1192.98</v>
      </c>
      <c r="AX12" s="400">
        <f t="shared" si="12"/>
        <v>1034.98</v>
      </c>
      <c r="AY12" s="400"/>
      <c r="AZ12" s="400">
        <f t="shared" ref="AZ12:AZ15" si="26">AU12+AV12</f>
        <v>158</v>
      </c>
      <c r="BA12" s="400"/>
      <c r="BB12" s="215">
        <v>80</v>
      </c>
      <c r="BC12" s="214">
        <f t="shared" si="14"/>
        <v>1272.98</v>
      </c>
      <c r="BD12" s="216"/>
      <c r="BE12" s="229"/>
      <c r="BF12" s="229"/>
      <c r="BG12" s="229"/>
      <c r="BH12" s="229"/>
    </row>
    <row r="13" spans="1:60" s="161" customFormat="1" ht="18" customHeight="1">
      <c r="A13" s="168"/>
      <c r="B13" s="109" t="s">
        <v>136</v>
      </c>
      <c r="C13" s="99" t="s">
        <v>153</v>
      </c>
      <c r="D13" s="108" t="s">
        <v>138</v>
      </c>
      <c r="E13" s="109" t="s">
        <v>146</v>
      </c>
      <c r="F13" s="110" t="s">
        <v>154</v>
      </c>
      <c r="G13" s="111" t="s">
        <v>155</v>
      </c>
      <c r="H13" s="108" t="s">
        <v>156</v>
      </c>
      <c r="I13" s="108" t="s">
        <v>156</v>
      </c>
      <c r="J13" s="108" t="s">
        <v>144</v>
      </c>
      <c r="K13" s="108" t="s">
        <v>144</v>
      </c>
      <c r="L13" s="168">
        <v>3053.05</v>
      </c>
      <c r="M13" s="168">
        <v>0.16</v>
      </c>
      <c r="N13" s="168">
        <f t="shared" si="17"/>
        <v>488.49</v>
      </c>
      <c r="O13" s="168">
        <v>0.08</v>
      </c>
      <c r="P13" s="168">
        <f t="shared" si="18"/>
        <v>244.24</v>
      </c>
      <c r="Q13" s="168">
        <v>3053.05</v>
      </c>
      <c r="R13" s="168">
        <v>0.06</v>
      </c>
      <c r="S13" s="168">
        <f t="shared" si="19"/>
        <v>183.18</v>
      </c>
      <c r="T13" s="168">
        <v>0.02</v>
      </c>
      <c r="U13" s="168">
        <f t="shared" si="20"/>
        <v>61.06</v>
      </c>
      <c r="V13" s="168">
        <v>3053.05</v>
      </c>
      <c r="W13" s="168">
        <v>7.0000000000000001E-3</v>
      </c>
      <c r="X13" s="168">
        <f t="shared" si="21"/>
        <v>21.37</v>
      </c>
      <c r="Y13" s="168">
        <v>3.0000000000000001E-3</v>
      </c>
      <c r="Z13" s="168">
        <f t="shared" si="22"/>
        <v>9.16</v>
      </c>
      <c r="AA13" s="168">
        <v>3053.05</v>
      </c>
      <c r="AB13" s="168">
        <v>7.0000000000000001E-3</v>
      </c>
      <c r="AC13" s="168">
        <f t="shared" si="23"/>
        <v>21.37</v>
      </c>
      <c r="AD13" s="168">
        <v>3053.05</v>
      </c>
      <c r="AE13" s="168">
        <v>2E-3</v>
      </c>
      <c r="AF13" s="168">
        <f t="shared" si="6"/>
        <v>6.11</v>
      </c>
      <c r="AG13" s="168" t="s">
        <v>157</v>
      </c>
      <c r="AH13" s="168">
        <v>0.05</v>
      </c>
      <c r="AI13" s="168">
        <f t="shared" si="24"/>
        <v>79</v>
      </c>
      <c r="AJ13" s="168">
        <v>0.05</v>
      </c>
      <c r="AK13" s="168">
        <f t="shared" si="25"/>
        <v>79</v>
      </c>
      <c r="AL13" s="201"/>
      <c r="AM13" s="168"/>
      <c r="AN13" s="168"/>
      <c r="AO13" s="168"/>
      <c r="AP13" s="109"/>
      <c r="AQ13" s="205"/>
      <c r="AR13" s="205"/>
      <c r="AS13" s="206">
        <f t="shared" si="7"/>
        <v>720.52</v>
      </c>
      <c r="AT13" s="206">
        <f t="shared" si="8"/>
        <v>314.45999999999998</v>
      </c>
      <c r="AU13" s="206">
        <f t="shared" si="9"/>
        <v>79</v>
      </c>
      <c r="AV13" s="206">
        <f t="shared" si="10"/>
        <v>79</v>
      </c>
      <c r="AW13" s="206">
        <f t="shared" si="11"/>
        <v>1192.98</v>
      </c>
      <c r="AX13" s="400">
        <f t="shared" si="12"/>
        <v>1034.98</v>
      </c>
      <c r="AY13" s="400"/>
      <c r="AZ13" s="400">
        <f t="shared" si="26"/>
        <v>158</v>
      </c>
      <c r="BA13" s="400"/>
      <c r="BB13" s="215">
        <v>80</v>
      </c>
      <c r="BC13" s="214">
        <f t="shared" si="14"/>
        <v>1272.98</v>
      </c>
      <c r="BD13" s="216"/>
      <c r="BE13" s="229"/>
      <c r="BF13" s="229"/>
      <c r="BG13" s="229"/>
      <c r="BH13" s="229"/>
    </row>
    <row r="14" spans="1:60" s="161" customFormat="1" ht="18" customHeight="1">
      <c r="A14" s="168"/>
      <c r="B14" s="109" t="s">
        <v>136</v>
      </c>
      <c r="C14" s="99" t="s">
        <v>153</v>
      </c>
      <c r="D14" s="108" t="s">
        <v>138</v>
      </c>
      <c r="E14" s="109" t="s">
        <v>146</v>
      </c>
      <c r="F14" s="110" t="s">
        <v>154</v>
      </c>
      <c r="G14" s="111" t="s">
        <v>155</v>
      </c>
      <c r="H14" s="108" t="s">
        <v>156</v>
      </c>
      <c r="I14" s="108" t="s">
        <v>156</v>
      </c>
      <c r="J14" s="108" t="s">
        <v>158</v>
      </c>
      <c r="K14" s="108" t="s">
        <v>158</v>
      </c>
      <c r="L14" s="168">
        <v>3053.05</v>
      </c>
      <c r="M14" s="168">
        <v>0.16</v>
      </c>
      <c r="N14" s="168">
        <f t="shared" si="17"/>
        <v>488.49</v>
      </c>
      <c r="O14" s="168">
        <v>0.08</v>
      </c>
      <c r="P14" s="168">
        <f t="shared" si="18"/>
        <v>244.24</v>
      </c>
      <c r="Q14" s="168">
        <v>3053.05</v>
      </c>
      <c r="R14" s="168">
        <v>0.06</v>
      </c>
      <c r="S14" s="168">
        <f t="shared" si="19"/>
        <v>183.18</v>
      </c>
      <c r="T14" s="168">
        <v>0.02</v>
      </c>
      <c r="U14" s="168">
        <f t="shared" si="20"/>
        <v>61.06</v>
      </c>
      <c r="V14" s="168">
        <v>3053.05</v>
      </c>
      <c r="W14" s="168">
        <v>7.0000000000000001E-3</v>
      </c>
      <c r="X14" s="168">
        <f t="shared" si="21"/>
        <v>21.37</v>
      </c>
      <c r="Y14" s="168">
        <v>3.0000000000000001E-3</v>
      </c>
      <c r="Z14" s="168">
        <f t="shared" si="22"/>
        <v>9.16</v>
      </c>
      <c r="AA14" s="168">
        <v>3053.05</v>
      </c>
      <c r="AB14" s="168">
        <v>7.0000000000000001E-3</v>
      </c>
      <c r="AC14" s="168">
        <f t="shared" si="23"/>
        <v>21.37</v>
      </c>
      <c r="AD14" s="168">
        <v>3053.05</v>
      </c>
      <c r="AE14" s="168">
        <v>2E-3</v>
      </c>
      <c r="AF14" s="168">
        <f t="shared" si="6"/>
        <v>6.11</v>
      </c>
      <c r="AG14" s="168" t="s">
        <v>157</v>
      </c>
      <c r="AH14" s="168">
        <v>0.05</v>
      </c>
      <c r="AI14" s="168">
        <f t="shared" si="24"/>
        <v>79</v>
      </c>
      <c r="AJ14" s="168">
        <v>0.05</v>
      </c>
      <c r="AK14" s="168">
        <f t="shared" si="25"/>
        <v>79</v>
      </c>
      <c r="AL14" s="201"/>
      <c r="AM14" s="168"/>
      <c r="AN14" s="168"/>
      <c r="AO14" s="168"/>
      <c r="AP14" s="109"/>
      <c r="AQ14" s="205"/>
      <c r="AR14" s="205"/>
      <c r="AS14" s="206">
        <f t="shared" si="7"/>
        <v>720.52</v>
      </c>
      <c r="AT14" s="206">
        <f t="shared" si="8"/>
        <v>314.45999999999998</v>
      </c>
      <c r="AU14" s="206">
        <f t="shared" si="9"/>
        <v>79</v>
      </c>
      <c r="AV14" s="206">
        <f t="shared" si="10"/>
        <v>79</v>
      </c>
      <c r="AW14" s="206">
        <f t="shared" si="11"/>
        <v>1192.98</v>
      </c>
      <c r="AX14" s="400">
        <f t="shared" si="12"/>
        <v>1034.98</v>
      </c>
      <c r="AY14" s="400"/>
      <c r="AZ14" s="400">
        <f t="shared" si="26"/>
        <v>158</v>
      </c>
      <c r="BA14" s="400"/>
      <c r="BB14" s="215">
        <v>80</v>
      </c>
      <c r="BC14" s="214">
        <f t="shared" si="14"/>
        <v>1272.98</v>
      </c>
      <c r="BD14" s="216"/>
      <c r="BE14" s="229"/>
      <c r="BF14" s="229"/>
      <c r="BG14" s="229"/>
      <c r="BH14" s="229"/>
    </row>
    <row r="15" spans="1:60" s="239" customFormat="1" ht="18" customHeight="1">
      <c r="A15" s="240" t="s">
        <v>148</v>
      </c>
      <c r="B15" s="241" t="s">
        <v>136</v>
      </c>
      <c r="C15" s="94" t="s">
        <v>153</v>
      </c>
      <c r="D15" s="242" t="s">
        <v>138</v>
      </c>
      <c r="E15" s="241" t="s">
        <v>146</v>
      </c>
      <c r="F15" s="243" t="s">
        <v>154</v>
      </c>
      <c r="G15" s="244" t="s">
        <v>155</v>
      </c>
      <c r="H15" s="242" t="s">
        <v>156</v>
      </c>
      <c r="I15" s="242" t="s">
        <v>156</v>
      </c>
      <c r="J15" s="242" t="s">
        <v>156</v>
      </c>
      <c r="K15" s="242" t="s">
        <v>156</v>
      </c>
      <c r="L15" s="240">
        <v>3053.05</v>
      </c>
      <c r="M15" s="240">
        <v>0.16</v>
      </c>
      <c r="N15" s="240">
        <f t="shared" si="17"/>
        <v>488.49</v>
      </c>
      <c r="O15" s="240">
        <v>0.08</v>
      </c>
      <c r="P15" s="240">
        <f t="shared" si="18"/>
        <v>244.24</v>
      </c>
      <c r="Q15" s="240">
        <v>3053.05</v>
      </c>
      <c r="R15" s="240">
        <v>0.06</v>
      </c>
      <c r="S15" s="240">
        <f t="shared" si="19"/>
        <v>183.18</v>
      </c>
      <c r="T15" s="240">
        <v>0.02</v>
      </c>
      <c r="U15" s="240">
        <f t="shared" si="20"/>
        <v>61.06</v>
      </c>
      <c r="V15" s="240">
        <v>3053.05</v>
      </c>
      <c r="W15" s="240">
        <v>7.0000000000000001E-3</v>
      </c>
      <c r="X15" s="240">
        <f t="shared" si="21"/>
        <v>21.37</v>
      </c>
      <c r="Y15" s="240">
        <v>3.0000000000000001E-3</v>
      </c>
      <c r="Z15" s="240">
        <f t="shared" si="22"/>
        <v>9.16</v>
      </c>
      <c r="AA15" s="240">
        <v>3053.05</v>
      </c>
      <c r="AB15" s="240">
        <v>7.0000000000000001E-3</v>
      </c>
      <c r="AC15" s="240">
        <f t="shared" si="23"/>
        <v>21.37</v>
      </c>
      <c r="AD15" s="240">
        <v>3053.05</v>
      </c>
      <c r="AE15" s="240">
        <v>2E-3</v>
      </c>
      <c r="AF15" s="240">
        <f t="shared" si="6"/>
        <v>6.11</v>
      </c>
      <c r="AG15" s="240" t="s">
        <v>157</v>
      </c>
      <c r="AH15" s="240">
        <v>0.05</v>
      </c>
      <c r="AI15" s="240">
        <f t="shared" si="24"/>
        <v>79</v>
      </c>
      <c r="AJ15" s="240">
        <v>0.05</v>
      </c>
      <c r="AK15" s="240">
        <f t="shared" si="25"/>
        <v>79</v>
      </c>
      <c r="AL15" s="246"/>
      <c r="AM15" s="240"/>
      <c r="AN15" s="240"/>
      <c r="AO15" s="240"/>
      <c r="AP15" s="241"/>
      <c r="AQ15" s="247"/>
      <c r="AR15" s="247"/>
      <c r="AS15" s="248">
        <f t="shared" si="7"/>
        <v>720.52</v>
      </c>
      <c r="AT15" s="248">
        <f t="shared" si="8"/>
        <v>314.45999999999998</v>
      </c>
      <c r="AU15" s="248">
        <f t="shared" si="9"/>
        <v>79</v>
      </c>
      <c r="AV15" s="248">
        <f t="shared" si="10"/>
        <v>79</v>
      </c>
      <c r="AW15" s="248">
        <f t="shared" si="11"/>
        <v>1192.98</v>
      </c>
      <c r="AX15" s="401">
        <f t="shared" si="12"/>
        <v>1034.98</v>
      </c>
      <c r="AY15" s="401"/>
      <c r="AZ15" s="401">
        <f t="shared" si="26"/>
        <v>158</v>
      </c>
      <c r="BA15" s="401"/>
      <c r="BB15" s="250">
        <v>80</v>
      </c>
      <c r="BC15" s="249">
        <f t="shared" si="14"/>
        <v>1272.98</v>
      </c>
      <c r="BD15" s="251"/>
      <c r="BE15" s="255"/>
      <c r="BF15" s="255"/>
      <c r="BG15" s="255"/>
      <c r="BH15" s="255"/>
    </row>
    <row r="16" spans="1:60" s="163" customFormat="1" ht="18" customHeight="1">
      <c r="A16" s="177"/>
      <c r="B16" s="178"/>
      <c r="C16" s="179"/>
      <c r="D16" s="180"/>
      <c r="E16" s="181"/>
      <c r="F16" s="182"/>
      <c r="G16" s="183"/>
      <c r="H16" s="184"/>
      <c r="I16" s="180"/>
      <c r="J16" s="184"/>
      <c r="K16" s="184"/>
      <c r="L16" s="196"/>
      <c r="M16" s="196"/>
      <c r="N16" s="197"/>
      <c r="O16" s="196"/>
      <c r="P16" s="196"/>
      <c r="Q16" s="196"/>
      <c r="R16" s="196"/>
      <c r="S16" s="196"/>
      <c r="T16" s="196"/>
      <c r="U16" s="196"/>
      <c r="V16" s="199"/>
      <c r="W16" s="199"/>
      <c r="X16" s="200"/>
      <c r="Y16" s="199"/>
      <c r="Z16" s="196"/>
      <c r="AA16" s="196"/>
      <c r="AB16" s="196"/>
      <c r="AC16" s="196"/>
      <c r="AD16" s="196"/>
      <c r="AE16" s="196"/>
      <c r="AF16" s="197"/>
      <c r="AG16" s="196"/>
      <c r="AH16" s="196"/>
      <c r="AI16" s="196"/>
      <c r="AJ16" s="196"/>
      <c r="AK16" s="196"/>
      <c r="AL16" s="203"/>
      <c r="AM16" s="196"/>
      <c r="AN16" s="196"/>
      <c r="AO16" s="196"/>
      <c r="AP16" s="209"/>
      <c r="AQ16" s="210"/>
      <c r="AR16" s="196"/>
      <c r="AS16" s="211"/>
      <c r="AT16" s="211"/>
      <c r="AU16" s="211"/>
      <c r="AV16" s="211"/>
      <c r="AW16" s="211"/>
      <c r="AX16" s="220"/>
      <c r="AY16" s="221"/>
      <c r="AZ16" s="220"/>
      <c r="BA16" s="221"/>
      <c r="BB16" s="222"/>
      <c r="BC16" s="220"/>
      <c r="BD16" s="224"/>
      <c r="BE16" s="160"/>
      <c r="BF16" s="160"/>
      <c r="BG16" s="160"/>
      <c r="BH16" s="160"/>
    </row>
    <row r="17" spans="1:56" ht="14.25">
      <c r="A17" s="185" t="s">
        <v>159</v>
      </c>
      <c r="B17" s="186"/>
      <c r="C17" s="187"/>
      <c r="D17" s="187"/>
      <c r="E17" s="188"/>
      <c r="F17" s="187"/>
      <c r="G17" s="187"/>
      <c r="H17" s="187"/>
      <c r="I17" s="187"/>
      <c r="J17" s="187"/>
      <c r="K17" s="187"/>
      <c r="L17" s="188">
        <f t="shared" ref="L17:BC17" si="27">SUM(L3:L15)</f>
        <v>33521.199999999997</v>
      </c>
      <c r="M17" s="188">
        <f t="shared" si="27"/>
        <v>1.54</v>
      </c>
      <c r="N17" s="188">
        <f t="shared" si="27"/>
        <v>5135.22</v>
      </c>
      <c r="O17" s="188">
        <f t="shared" si="27"/>
        <v>0.8</v>
      </c>
      <c r="P17" s="188">
        <f t="shared" si="27"/>
        <v>2681.68</v>
      </c>
      <c r="Q17" s="188">
        <f t="shared" si="27"/>
        <v>40637.199999999997</v>
      </c>
      <c r="R17" s="188">
        <f t="shared" si="27"/>
        <v>0.64500000000000002</v>
      </c>
      <c r="S17" s="188">
        <f t="shared" si="27"/>
        <v>2543.61</v>
      </c>
      <c r="T17" s="188">
        <f t="shared" si="27"/>
        <v>0.2</v>
      </c>
      <c r="U17" s="188">
        <f t="shared" si="27"/>
        <v>812.74</v>
      </c>
      <c r="V17" s="188">
        <f t="shared" si="27"/>
        <v>33521.199999999997</v>
      </c>
      <c r="W17" s="188">
        <f t="shared" si="27"/>
        <v>5.8599999999999999E-2</v>
      </c>
      <c r="X17" s="188">
        <f t="shared" si="27"/>
        <v>191.29</v>
      </c>
      <c r="Y17" s="188">
        <f t="shared" si="27"/>
        <v>2.7E-2</v>
      </c>
      <c r="Z17" s="188">
        <f t="shared" si="27"/>
        <v>89.17</v>
      </c>
      <c r="AA17" s="188">
        <f t="shared" si="27"/>
        <v>30737.200000000001</v>
      </c>
      <c r="AB17" s="188">
        <f t="shared" si="27"/>
        <v>5.3499999999999999E-2</v>
      </c>
      <c r="AC17" s="188">
        <f t="shared" si="27"/>
        <v>242.95</v>
      </c>
      <c r="AD17" s="188">
        <f t="shared" si="27"/>
        <v>35930.199999999997</v>
      </c>
      <c r="AE17" s="188">
        <f t="shared" si="27"/>
        <v>2.3599999999999999E-2</v>
      </c>
      <c r="AF17" s="188">
        <f t="shared" si="27"/>
        <v>66.319999999999993</v>
      </c>
      <c r="AG17" s="188">
        <f t="shared" si="27"/>
        <v>9000</v>
      </c>
      <c r="AH17" s="188">
        <f t="shared" si="27"/>
        <v>0.5</v>
      </c>
      <c r="AI17" s="188">
        <f t="shared" si="27"/>
        <v>1216</v>
      </c>
      <c r="AJ17" s="188">
        <f t="shared" si="27"/>
        <v>0.38</v>
      </c>
      <c r="AK17" s="188">
        <f t="shared" si="27"/>
        <v>856</v>
      </c>
      <c r="AL17" s="188">
        <f t="shared" si="27"/>
        <v>0</v>
      </c>
      <c r="AM17" s="188">
        <f t="shared" si="27"/>
        <v>0</v>
      </c>
      <c r="AN17" s="188">
        <f t="shared" si="27"/>
        <v>0</v>
      </c>
      <c r="AO17" s="188">
        <f t="shared" si="27"/>
        <v>0</v>
      </c>
      <c r="AP17" s="188">
        <f t="shared" si="27"/>
        <v>0</v>
      </c>
      <c r="AQ17" s="188">
        <f t="shared" si="27"/>
        <v>95.28</v>
      </c>
      <c r="AR17" s="188">
        <f t="shared" si="27"/>
        <v>96</v>
      </c>
      <c r="AS17" s="188">
        <f t="shared" si="27"/>
        <v>8274.67</v>
      </c>
      <c r="AT17" s="188">
        <f t="shared" si="27"/>
        <v>3583.59</v>
      </c>
      <c r="AU17" s="188">
        <f t="shared" si="27"/>
        <v>1216</v>
      </c>
      <c r="AV17" s="188">
        <f t="shared" si="27"/>
        <v>856</v>
      </c>
      <c r="AW17" s="188">
        <f t="shared" si="27"/>
        <v>13930.26</v>
      </c>
      <c r="AX17" s="188">
        <f t="shared" si="27"/>
        <v>11858.26</v>
      </c>
      <c r="AY17" s="188">
        <f t="shared" si="27"/>
        <v>0</v>
      </c>
      <c r="AZ17" s="188">
        <f t="shared" si="27"/>
        <v>2072</v>
      </c>
      <c r="BA17" s="188">
        <f t="shared" si="27"/>
        <v>0</v>
      </c>
      <c r="BB17" s="188">
        <f t="shared" si="27"/>
        <v>800</v>
      </c>
      <c r="BC17" s="188">
        <f t="shared" si="27"/>
        <v>14730.26</v>
      </c>
      <c r="BD17" s="225"/>
    </row>
    <row r="18" spans="1:56" ht="14.25">
      <c r="A18" s="189" t="s">
        <v>93</v>
      </c>
      <c r="B18" s="190"/>
      <c r="C18" s="191"/>
      <c r="D18" s="191"/>
      <c r="E18" s="192"/>
      <c r="F18" s="192"/>
      <c r="G18" s="192"/>
      <c r="H18" s="192"/>
      <c r="I18" s="192"/>
      <c r="J18" s="192"/>
      <c r="K18" s="192"/>
      <c r="L18" s="198">
        <f t="shared" ref="L18:AX18" si="28">SUM(L17:L17)</f>
        <v>33521.199999999997</v>
      </c>
      <c r="M18" s="198">
        <f t="shared" si="28"/>
        <v>1.54</v>
      </c>
      <c r="N18" s="198">
        <f t="shared" si="28"/>
        <v>5135.22</v>
      </c>
      <c r="O18" s="198">
        <f t="shared" si="28"/>
        <v>0.8</v>
      </c>
      <c r="P18" s="198">
        <f t="shared" si="28"/>
        <v>2681.68</v>
      </c>
      <c r="Q18" s="198">
        <f t="shared" si="28"/>
        <v>40637.199999999997</v>
      </c>
      <c r="R18" s="198">
        <f t="shared" si="28"/>
        <v>0.64500000000000002</v>
      </c>
      <c r="S18" s="198">
        <f t="shared" si="28"/>
        <v>2543.61</v>
      </c>
      <c r="T18" s="198">
        <f t="shared" si="28"/>
        <v>0.2</v>
      </c>
      <c r="U18" s="198">
        <f t="shared" si="28"/>
        <v>812.74</v>
      </c>
      <c r="V18" s="198">
        <f t="shared" si="28"/>
        <v>33521.199999999997</v>
      </c>
      <c r="W18" s="198">
        <f t="shared" si="28"/>
        <v>5.8599999999999999E-2</v>
      </c>
      <c r="X18" s="198">
        <f t="shared" si="28"/>
        <v>191.29</v>
      </c>
      <c r="Y18" s="198">
        <f t="shared" si="28"/>
        <v>2.7E-2</v>
      </c>
      <c r="Z18" s="198">
        <f t="shared" si="28"/>
        <v>89.17</v>
      </c>
      <c r="AA18" s="198">
        <f t="shared" si="28"/>
        <v>30737.200000000001</v>
      </c>
      <c r="AB18" s="198">
        <f t="shared" si="28"/>
        <v>5.3499999999999999E-2</v>
      </c>
      <c r="AC18" s="198">
        <f t="shared" si="28"/>
        <v>242.95</v>
      </c>
      <c r="AD18" s="198">
        <f t="shared" si="28"/>
        <v>35930.199999999997</v>
      </c>
      <c r="AE18" s="198">
        <f t="shared" si="28"/>
        <v>2.3599999999999999E-2</v>
      </c>
      <c r="AF18" s="198">
        <f t="shared" si="28"/>
        <v>66.319999999999993</v>
      </c>
      <c r="AG18" s="198">
        <f t="shared" si="28"/>
        <v>9000</v>
      </c>
      <c r="AH18" s="198">
        <f t="shared" si="28"/>
        <v>0.5</v>
      </c>
      <c r="AI18" s="198">
        <f t="shared" si="28"/>
        <v>1216</v>
      </c>
      <c r="AJ18" s="198">
        <f t="shared" si="28"/>
        <v>0.38</v>
      </c>
      <c r="AK18" s="198">
        <f t="shared" si="28"/>
        <v>856</v>
      </c>
      <c r="AL18" s="198">
        <f t="shared" si="28"/>
        <v>0</v>
      </c>
      <c r="AM18" s="198">
        <f t="shared" si="28"/>
        <v>0</v>
      </c>
      <c r="AN18" s="198">
        <f t="shared" si="28"/>
        <v>0</v>
      </c>
      <c r="AO18" s="198">
        <f t="shared" si="28"/>
        <v>0</v>
      </c>
      <c r="AP18" s="198">
        <f t="shared" si="28"/>
        <v>0</v>
      </c>
      <c r="AQ18" s="198">
        <f t="shared" si="28"/>
        <v>95.28</v>
      </c>
      <c r="AR18" s="198">
        <f t="shared" si="28"/>
        <v>96</v>
      </c>
      <c r="AS18" s="212">
        <f t="shared" si="28"/>
        <v>8274.67</v>
      </c>
      <c r="AT18" s="212">
        <f t="shared" si="28"/>
        <v>3583.59</v>
      </c>
      <c r="AU18" s="212">
        <f t="shared" si="28"/>
        <v>1216</v>
      </c>
      <c r="AV18" s="212">
        <f t="shared" si="28"/>
        <v>856</v>
      </c>
      <c r="AW18" s="212">
        <f t="shared" si="28"/>
        <v>13930.26</v>
      </c>
      <c r="AX18" s="402">
        <f t="shared" si="28"/>
        <v>11858.26</v>
      </c>
      <c r="AY18" s="402"/>
      <c r="AZ18" s="402">
        <f t="shared" ref="AZ18:BC18" si="29">SUM(AZ17:AZ17)</f>
        <v>2072</v>
      </c>
      <c r="BA18" s="402"/>
      <c r="BB18" s="198">
        <f t="shared" si="29"/>
        <v>800</v>
      </c>
      <c r="BC18" s="198">
        <f t="shared" si="29"/>
        <v>14730.26</v>
      </c>
      <c r="BD18" s="226"/>
    </row>
    <row r="19" spans="1:56" s="164" customFormat="1">
      <c r="A19" s="193"/>
      <c r="B19" s="193"/>
      <c r="C19" s="193"/>
      <c r="D19" s="193"/>
      <c r="E19" s="193"/>
      <c r="F19" s="194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213"/>
      <c r="AT19" s="213"/>
      <c r="AU19" s="213"/>
      <c r="AV19" s="213"/>
      <c r="AW19" s="213"/>
      <c r="AX19" s="193"/>
      <c r="AY19" s="193"/>
      <c r="AZ19" s="193"/>
      <c r="BA19" s="193"/>
      <c r="BB19" s="193"/>
      <c r="BC19" s="193"/>
      <c r="BD19" s="227"/>
    </row>
    <row r="20" spans="1:56" s="165" customFormat="1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60"/>
      <c r="AK20" s="160"/>
      <c r="AL20" s="160"/>
      <c r="AM20" s="160"/>
      <c r="AN20" s="160"/>
      <c r="AO20" s="160"/>
      <c r="AP20" s="160"/>
      <c r="AQ20" s="160"/>
      <c r="AR20" s="160"/>
      <c r="AS20" s="166"/>
      <c r="AT20" s="166"/>
      <c r="AU20" s="166"/>
      <c r="AV20" s="166"/>
      <c r="AW20" s="166"/>
      <c r="AX20" s="160"/>
      <c r="AY20" s="160"/>
      <c r="AZ20" s="160"/>
      <c r="BA20" s="160"/>
      <c r="BB20" s="160"/>
      <c r="BC20" s="160"/>
      <c r="BD20" s="167"/>
    </row>
    <row r="22" spans="1:56">
      <c r="AX22" s="403"/>
      <c r="AY22" s="403"/>
      <c r="BC22" s="228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4" type="noConversion"/>
  <conditionalFormatting sqref="H1:I1">
    <cfRule type="expression" dxfId="91" priority="1" stopIfTrue="1">
      <formula>AND(COUNTIF($J$1:$J$1,H1)&gt;1,NOT(ISBLANK(H1)))</formula>
    </cfRule>
  </conditionalFormatting>
  <conditionalFormatting sqref="J1">
    <cfRule type="duplicateValues" dxfId="90" priority="2" stopIfTrue="1"/>
  </conditionalFormatting>
  <conditionalFormatting sqref="K1:L1">
    <cfRule type="duplicateValues" dxfId="89" priority="3" stopIfTrue="1"/>
  </conditionalFormatting>
  <conditionalFormatting sqref="Q1">
    <cfRule type="duplicateValues" dxfId="88" priority="4" stopIfTrue="1"/>
  </conditionalFormatting>
  <conditionalFormatting sqref="V1">
    <cfRule type="duplicateValues" dxfId="87" priority="5" stopIfTrue="1"/>
  </conditionalFormatting>
  <conditionalFormatting sqref="AG1">
    <cfRule type="duplicateValues" dxfId="86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 pane="topRight"/>
      <selection pane="bottomLeft"/>
      <selection pane="bottomRight" activeCell="X5" sqref="X5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8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31" t="s">
        <v>86</v>
      </c>
      <c r="D4" s="25" t="s">
        <v>87</v>
      </c>
      <c r="E4" s="232" t="s">
        <v>88</v>
      </c>
      <c r="F4" s="26" t="str">
        <f>IF(MOD(MID(E4,17,1),2)=1,"男","女")</f>
        <v>男</v>
      </c>
      <c r="G4" s="233">
        <v>18035163638</v>
      </c>
      <c r="H4" s="234"/>
      <c r="I4" s="234"/>
      <c r="J4" s="236"/>
      <c r="K4" s="234"/>
      <c r="L4" s="237">
        <v>7700</v>
      </c>
      <c r="M4" s="237">
        <v>264</v>
      </c>
      <c r="N4" s="237">
        <v>66</v>
      </c>
      <c r="O4" s="237">
        <v>9.9</v>
      </c>
      <c r="P4" s="237">
        <v>180</v>
      </c>
      <c r="Q4" s="67">
        <f>ROUND(SUM(M4:P4),2)</f>
        <v>519.9</v>
      </c>
      <c r="R4" s="52">
        <v>0</v>
      </c>
      <c r="S4" s="68">
        <f>L4+IFERROR(VLOOKUP($E:$E,'（居民）工资表-3月'!$E:$S,15,0),0)</f>
        <v>24680</v>
      </c>
      <c r="T4" s="69">
        <f>5000+IFERROR(VLOOKUP($E:$E,'（居民）工资表-3月'!$E:$T,16,0),0)</f>
        <v>20000</v>
      </c>
      <c r="U4" s="69">
        <f>Q4+IFERROR(VLOOKUP($E:$E,'（居民）工资表-3月'!$E:$U,17,0),0)</f>
        <v>2079.6</v>
      </c>
      <c r="V4" s="52"/>
      <c r="W4" s="52"/>
      <c r="X4" s="52">
        <v>4000</v>
      </c>
      <c r="Y4" s="52"/>
      <c r="Z4" s="52"/>
      <c r="AA4" s="52"/>
      <c r="AB4" s="68">
        <f>ROUND(SUM(V4:AA4),2)</f>
        <v>4000</v>
      </c>
      <c r="AC4" s="68">
        <f>R4+IFERROR(VLOOKUP($E:$E,'（居民）工资表-3月'!$E:$AC,25,0),0)</f>
        <v>0</v>
      </c>
      <c r="AD4" s="70">
        <f>ROUND(S4-T4-U4-AB4-AC4,2)</f>
        <v>-1399.6</v>
      </c>
      <c r="AE4" s="71">
        <f>ROUND(MAX((AD4)*{0.03;0.1;0.2;0.25;0.3;0.35;0.45}-{0;2520;16920;31920;52920;85920;181920},0),2)</f>
        <v>0</v>
      </c>
      <c r="AF4" s="72">
        <f>IFERROR(VLOOKUP(E:E,'（居民）工资表-3月'!E:AF,28,0)+VLOOKUP(E:E,'（居民）工资表-3月'!E:AG,29,0),0)</f>
        <v>52.8</v>
      </c>
      <c r="AG4" s="72">
        <f>IF((AE4-AF4)&lt;0,0,AE4-AF4)</f>
        <v>0</v>
      </c>
      <c r="AH4" s="75">
        <f>ROUND(IF((L4-Q4-AG4)&lt;0,0,(L4-Q4-AG4)),2)</f>
        <v>7180.1</v>
      </c>
      <c r="AI4" s="76"/>
      <c r="AJ4" s="75">
        <f>AH4+AI4</f>
        <v>7180.1</v>
      </c>
      <c r="AK4" s="77"/>
      <c r="AL4" s="75">
        <f>AJ4+AG4+AK4</f>
        <v>7180.1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IF(SUMPRODUCT(N(E$1:E$6=E4))&gt;1,"重复","不")</f>
        <v>不</v>
      </c>
      <c r="AT4" s="82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35" t="s">
        <v>89</v>
      </c>
      <c r="D5" s="25" t="s">
        <v>87</v>
      </c>
      <c r="E5" s="315" t="s">
        <v>90</v>
      </c>
      <c r="F5" s="26" t="str">
        <f>IF(MOD(MID(E5,17,1),2)=1,"男","女")</f>
        <v>女</v>
      </c>
      <c r="G5" s="233">
        <v>13926009696</v>
      </c>
      <c r="H5" s="234"/>
      <c r="I5" s="234"/>
      <c r="J5" s="236"/>
      <c r="K5" s="234"/>
      <c r="L5" s="237">
        <v>5800</v>
      </c>
      <c r="M5" s="237">
        <v>304.24</v>
      </c>
      <c r="N5" s="237">
        <v>123.5</v>
      </c>
      <c r="O5" s="237">
        <v>7.61</v>
      </c>
      <c r="P5" s="237">
        <v>0</v>
      </c>
      <c r="Q5" s="67">
        <f>ROUND(SUM(M5:P5),2)</f>
        <v>435.35</v>
      </c>
      <c r="R5" s="52">
        <v>0</v>
      </c>
      <c r="S5" s="68">
        <f>L5+IFERROR(VLOOKUP($E:$E,'（居民）工资表-3月'!$E:$S,15,0),0)</f>
        <v>11600</v>
      </c>
      <c r="T5" s="69">
        <f>5000+IFERROR(VLOOKUP($E:$E,'（居民）工资表-3月'!$E:$T,16,0),0)</f>
        <v>10000</v>
      </c>
      <c r="U5" s="69">
        <f>Q5+IFERROR(VLOOKUP($E:$E,'（居民）工资表-3月'!$E:$U,17,0),0)</f>
        <v>870.7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R5+IFERROR(VLOOKUP($E:$E,'（居民）工资表-3月'!$E:$AC,25,0),0)</f>
        <v>0</v>
      </c>
      <c r="AD5" s="70">
        <f>ROUND(S5-T5-U5-AB5-AC5,2)</f>
        <v>729.3</v>
      </c>
      <c r="AE5" s="71">
        <f>ROUND(MAX((AD5)*{0.03;0.1;0.2;0.25;0.3;0.35;0.45}-{0;2520;16920;31920;52920;85920;181920},0),2)</f>
        <v>21.88</v>
      </c>
      <c r="AF5" s="72">
        <f>IFERROR(VLOOKUP(E:E,'（居民）工资表-3月'!E:AF,28,0)+VLOOKUP(E:E,'（居民）工资表-3月'!E:AG,29,0),0)</f>
        <v>10.94</v>
      </c>
      <c r="AG5" s="72">
        <f>IF((AE5-AF5)&lt;0,0,AE5-AF5)</f>
        <v>10.94</v>
      </c>
      <c r="AH5" s="75">
        <f>ROUND(IF((L5-Q5-AG5)&lt;0,0,(L5-Q5-AG5)),2)</f>
        <v>5353.71</v>
      </c>
      <c r="AI5" s="76"/>
      <c r="AJ5" s="75">
        <f>AH5+AI5</f>
        <v>5353.71</v>
      </c>
      <c r="AK5" s="77"/>
      <c r="AL5" s="75">
        <f>AJ5+AG5+AK5</f>
        <v>5364.65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IF(SUMPRODUCT(N(E$1:E$6=E5))&gt;1,"重复","不")</f>
        <v>不</v>
      </c>
      <c r="AT5" s="82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154</v>
      </c>
      <c r="D6" s="25" t="s">
        <v>87</v>
      </c>
      <c r="E6" s="25" t="s">
        <v>155</v>
      </c>
      <c r="F6" s="26" t="str">
        <f>IF(MOD(MID(E6,17,1),2)=1,"男","女")</f>
        <v>男</v>
      </c>
      <c r="G6" s="27">
        <v>13944441728</v>
      </c>
      <c r="H6" s="28"/>
      <c r="I6" s="28"/>
      <c r="J6" s="51"/>
      <c r="K6" s="28"/>
      <c r="L6" s="52">
        <v>4900</v>
      </c>
      <c r="M6" s="53"/>
      <c r="N6" s="53"/>
      <c r="O6" s="53"/>
      <c r="P6" s="53"/>
      <c r="Q6" s="67">
        <f>ROUND(SUM(M6:P6),2)</f>
        <v>0</v>
      </c>
      <c r="R6" s="52">
        <v>0</v>
      </c>
      <c r="S6" s="68">
        <f>L6+IFERROR(VLOOKUP($E:$E,'（居民）工资表-3月'!$E:$S,15,0),0)</f>
        <v>4900</v>
      </c>
      <c r="T6" s="69">
        <f>5000+IFERROR(VLOOKUP($E:$E,'（居民）工资表-3月'!$E:$T,16,0),0)</f>
        <v>5000</v>
      </c>
      <c r="U6" s="69">
        <f>Q6+IFERROR(VLOOKUP($E:$E,'（居民）工资表-3月'!$E:$U,17,0),0)</f>
        <v>0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R6+IFERROR(VLOOKUP($E:$E,'（居民）工资表-3月'!$E:$AC,25,0),0)</f>
        <v>0</v>
      </c>
      <c r="AD6" s="70">
        <f>ROUND(S6-T6-U6-AB6-AC6,2)</f>
        <v>-100</v>
      </c>
      <c r="AE6" s="71">
        <f>ROUND(MAX((AD6)*{0.03;0.1;0.2;0.25;0.3;0.35;0.45}-{0;2520;16920;31920;52920;85920;181920},0),2)</f>
        <v>0</v>
      </c>
      <c r="AF6" s="72">
        <f>IFERROR(VLOOKUP(E:E,'（居民）工资表-3月'!E:AF,28,0)+VLOOKUP(E:E,'（居民）工资表-3月'!E:AG,29,0),0)</f>
        <v>0</v>
      </c>
      <c r="AG6" s="72">
        <f>IF((AE6-AF6)&lt;0,0,AE6-AF6)</f>
        <v>0</v>
      </c>
      <c r="AH6" s="75">
        <f>ROUND(IF((L6-Q6-AG6)&lt;0,0,(L6-Q6-AG6)),2)</f>
        <v>4900</v>
      </c>
      <c r="AI6" s="76"/>
      <c r="AJ6" s="75">
        <f>AH6+AI6</f>
        <v>4900</v>
      </c>
      <c r="AK6" s="77"/>
      <c r="AL6" s="75">
        <f>AJ6+AG6+AK6</f>
        <v>4900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IF(SUMPRODUCT(N(E$1:E$6=E6))&gt;1,"重复","不")</f>
        <v>不</v>
      </c>
      <c r="AT6" s="82" t="str">
        <f>IF(SUMPRODUCT(N(AO$1:AO$6=AO6))&gt;1,"重复","不")</f>
        <v>重复</v>
      </c>
    </row>
    <row r="7" spans="1:46" s="11" customFormat="1" ht="18" customHeight="1">
      <c r="A7" s="29"/>
      <c r="B7" s="30" t="s">
        <v>91</v>
      </c>
      <c r="C7" s="30"/>
      <c r="D7" s="31"/>
      <c r="E7" s="32"/>
      <c r="F7" s="33"/>
      <c r="G7" s="34"/>
      <c r="H7" s="33"/>
      <c r="I7" s="54"/>
      <c r="J7" s="55"/>
      <c r="K7" s="54"/>
      <c r="L7" s="56">
        <f t="shared" ref="L7:AL7" si="0">SUM(L4:L6)</f>
        <v>18400</v>
      </c>
      <c r="M7" s="56">
        <f t="shared" si="0"/>
        <v>568.24</v>
      </c>
      <c r="N7" s="56">
        <f t="shared" si="0"/>
        <v>189.5</v>
      </c>
      <c r="O7" s="56">
        <f t="shared" si="0"/>
        <v>17.510000000000002</v>
      </c>
      <c r="P7" s="56">
        <f t="shared" si="0"/>
        <v>180</v>
      </c>
      <c r="Q7" s="56">
        <f t="shared" si="0"/>
        <v>955.25</v>
      </c>
      <c r="R7" s="56">
        <f t="shared" si="0"/>
        <v>0</v>
      </c>
      <c r="S7" s="56">
        <f t="shared" si="0"/>
        <v>41180</v>
      </c>
      <c r="T7" s="56">
        <f t="shared" si="0"/>
        <v>35000</v>
      </c>
      <c r="U7" s="56">
        <f t="shared" si="0"/>
        <v>2950.3</v>
      </c>
      <c r="V7" s="56">
        <f t="shared" si="0"/>
        <v>0</v>
      </c>
      <c r="W7" s="56">
        <f t="shared" si="0"/>
        <v>0</v>
      </c>
      <c r="X7" s="56">
        <f t="shared" si="0"/>
        <v>4000</v>
      </c>
      <c r="Y7" s="56">
        <f t="shared" si="0"/>
        <v>0</v>
      </c>
      <c r="Z7" s="56">
        <f t="shared" si="0"/>
        <v>0</v>
      </c>
      <c r="AA7" s="56">
        <f t="shared" si="0"/>
        <v>0</v>
      </c>
      <c r="AB7" s="56">
        <f t="shared" si="0"/>
        <v>4000</v>
      </c>
      <c r="AC7" s="56">
        <f t="shared" si="0"/>
        <v>0</v>
      </c>
      <c r="AD7" s="56">
        <f t="shared" si="0"/>
        <v>-770.3</v>
      </c>
      <c r="AE7" s="56">
        <f t="shared" si="0"/>
        <v>21.88</v>
      </c>
      <c r="AF7" s="56">
        <f t="shared" si="0"/>
        <v>63.74</v>
      </c>
      <c r="AG7" s="56">
        <f t="shared" si="0"/>
        <v>10.94</v>
      </c>
      <c r="AH7" s="56">
        <f t="shared" si="0"/>
        <v>17433.810000000001</v>
      </c>
      <c r="AI7" s="78">
        <f t="shared" si="0"/>
        <v>0</v>
      </c>
      <c r="AJ7" s="56">
        <f t="shared" si="0"/>
        <v>17433.810000000001</v>
      </c>
      <c r="AK7" s="56">
        <f t="shared" si="0"/>
        <v>0</v>
      </c>
      <c r="AL7" s="56">
        <f t="shared" si="0"/>
        <v>17444.75</v>
      </c>
      <c r="AM7" s="79"/>
      <c r="AN7" s="79"/>
      <c r="AO7" s="79"/>
      <c r="AP7" s="79"/>
      <c r="AQ7" s="79"/>
      <c r="AR7" s="33"/>
      <c r="AS7" s="33"/>
      <c r="AT7" s="83"/>
    </row>
    <row r="10" spans="1:46">
      <c r="AD10" s="73"/>
    </row>
    <row r="11" spans="1:46" ht="18.75" customHeight="1">
      <c r="B11" s="35" t="s">
        <v>64</v>
      </c>
      <c r="C11" s="35" t="s">
        <v>92</v>
      </c>
      <c r="D11" s="35" t="s">
        <v>65</v>
      </c>
      <c r="E11" s="35" t="s">
        <v>93</v>
      </c>
      <c r="AD11" s="8"/>
      <c r="AG11" s="238"/>
    </row>
    <row r="12" spans="1:46" ht="18.75" customHeight="1">
      <c r="B12" s="36">
        <f>AJ7</f>
        <v>17433.810000000001</v>
      </c>
      <c r="C12" s="36">
        <f>AG7</f>
        <v>10.94</v>
      </c>
      <c r="D12" s="36">
        <f>AK7</f>
        <v>0</v>
      </c>
      <c r="E12" s="36">
        <f>B12+C12+D12</f>
        <v>17444.75</v>
      </c>
    </row>
    <row r="13" spans="1:46">
      <c r="B13" s="37"/>
      <c r="C13" s="37"/>
      <c r="D13" s="37"/>
      <c r="E13" s="37">
        <f>社保!BC18</f>
        <v>14730.26</v>
      </c>
    </row>
    <row r="14" spans="1:46" s="12" customFormat="1">
      <c r="A14" s="38" t="s">
        <v>94</v>
      </c>
      <c r="B14" s="39" t="s">
        <v>95</v>
      </c>
      <c r="C14" s="40"/>
      <c r="D14" s="40"/>
      <c r="E14" s="40"/>
      <c r="G14" s="41"/>
      <c r="J14" s="57"/>
      <c r="M14" s="58"/>
      <c r="AI14" s="80"/>
    </row>
    <row r="15" spans="1:46" s="12" customFormat="1">
      <c r="A15" s="42"/>
      <c r="B15" s="43" t="s">
        <v>96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39"/>
      <c r="B16" s="43" t="s">
        <v>97</v>
      </c>
      <c r="C16" s="44"/>
      <c r="D16" s="44"/>
      <c r="E16" s="44"/>
      <c r="F16" s="44"/>
      <c r="G16" s="44"/>
      <c r="H16" s="44"/>
      <c r="I16" s="44"/>
      <c r="J16" s="59"/>
      <c r="K16" s="44"/>
      <c r="L16" s="44"/>
      <c r="M16" s="60"/>
      <c r="N16" s="44"/>
      <c r="O16" s="44"/>
      <c r="P16" s="44"/>
      <c r="AI16" s="80"/>
    </row>
    <row r="17" spans="1:35" s="12" customFormat="1" ht="13.5" customHeight="1">
      <c r="A17" s="43"/>
      <c r="B17" s="43" t="s">
        <v>98</v>
      </c>
      <c r="C17" s="45"/>
      <c r="D17" s="45"/>
      <c r="E17" s="45"/>
      <c r="F17" s="45"/>
      <c r="G17" s="45"/>
      <c r="H17" s="45"/>
      <c r="I17" s="61"/>
      <c r="J17" s="62"/>
      <c r="K17" s="61"/>
      <c r="L17" s="61"/>
      <c r="M17" s="63"/>
      <c r="N17" s="61"/>
      <c r="O17" s="61"/>
      <c r="P17" s="61"/>
      <c r="AI17" s="80"/>
    </row>
    <row r="18" spans="1:35" s="12" customFormat="1" ht="13.5" customHeight="1">
      <c r="A18" s="43"/>
      <c r="B18" s="43" t="s">
        <v>99</v>
      </c>
      <c r="C18" s="45"/>
      <c r="D18" s="45"/>
      <c r="E18" s="45"/>
      <c r="F18" s="45"/>
      <c r="G18" s="45"/>
      <c r="H18" s="45"/>
      <c r="I18" s="45"/>
      <c r="J18" s="64"/>
      <c r="K18" s="45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100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1" spans="1:35" ht="11.25" customHeight="1">
      <c r="B21" s="46" t="s">
        <v>101</v>
      </c>
    </row>
    <row r="22" spans="1:35">
      <c r="B22" s="47" t="s">
        <v>102</v>
      </c>
    </row>
    <row r="23" spans="1:35">
      <c r="B23" s="47" t="s">
        <v>103</v>
      </c>
    </row>
  </sheetData>
  <autoFilter ref="A3:AT7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19">
    <cfRule type="duplicateValues" dxfId="85" priority="2" stopIfTrue="1"/>
  </conditionalFormatting>
  <conditionalFormatting sqref="B14:B18">
    <cfRule type="duplicateValues" dxfId="84" priority="3" stopIfTrue="1"/>
  </conditionalFormatting>
  <conditionalFormatting sqref="B22:B23">
    <cfRule type="duplicateValues" dxfId="83" priority="1" stopIfTrue="1"/>
  </conditionalFormatting>
  <conditionalFormatting sqref="C11:C13">
    <cfRule type="duplicateValues" dxfId="82" priority="4" stopIfTrue="1"/>
    <cfRule type="expression" dxfId="81" priority="5" stopIfTrue="1">
      <formula>AND(COUNTIF($B$7:$B$65443,C11)+COUNTIF($B$1:$B$3,C11)&gt;1,NOT(ISBLANK(C11)))</formula>
    </cfRule>
    <cfRule type="expression" dxfId="80" priority="6" stopIfTrue="1">
      <formula>AND(COUNTIF($B$18:$B$65394,C11)+COUNTIF($B$1:$B$17,C11)&gt;1,NOT(ISBLANK(C11)))</formula>
    </cfRule>
    <cfRule type="expression" dxfId="79" priority="7" stopIfTrue="1">
      <formula>AND(COUNTIF($B$7:$B$65432,C11)+COUNTIF($B$1:$B$3,C11)&gt;1,NOT(ISBLANK(C11)))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N19" sqref="N1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4.12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31" t="s">
        <v>86</v>
      </c>
      <c r="D4" s="25" t="s">
        <v>87</v>
      </c>
      <c r="E4" s="232" t="s">
        <v>88</v>
      </c>
      <c r="F4" s="26" t="str">
        <f t="shared" ref="F4:F7" si="0">IF(MOD(MID(E4,17,1),2)=1,"男","女")</f>
        <v>男</v>
      </c>
      <c r="G4" s="233">
        <v>18035163638</v>
      </c>
      <c r="H4" s="234"/>
      <c r="I4" s="234"/>
      <c r="J4" s="236"/>
      <c r="K4" s="234"/>
      <c r="L4" s="237">
        <v>7700</v>
      </c>
      <c r="M4" s="237">
        <v>264</v>
      </c>
      <c r="N4" s="237">
        <v>66</v>
      </c>
      <c r="O4" s="237">
        <v>9.9</v>
      </c>
      <c r="P4" s="237">
        <v>180</v>
      </c>
      <c r="Q4" s="67">
        <f t="shared" ref="Q4:Q7" si="1">ROUND(SUM(M4:P4),2)</f>
        <v>519.9</v>
      </c>
      <c r="R4" s="52">
        <v>0</v>
      </c>
      <c r="S4" s="68">
        <f>L4+IFERROR(VLOOKUP($E:$E,'（居民）工资表-4月'!$E:$S,15,0),0)</f>
        <v>32380</v>
      </c>
      <c r="T4" s="69">
        <f>5000+IFERROR(VLOOKUP($E:$E,'（居民）工资表-4月'!$E:$T,16,0),0)</f>
        <v>25000</v>
      </c>
      <c r="U4" s="69">
        <f>Q4+IFERROR(VLOOKUP($E:$E,'（居民）工资表-4月'!$E:$U,17,0),0)</f>
        <v>2599.5</v>
      </c>
      <c r="V4" s="52"/>
      <c r="W4" s="52"/>
      <c r="X4" s="52">
        <v>5000</v>
      </c>
      <c r="Y4" s="52"/>
      <c r="Z4" s="52"/>
      <c r="AA4" s="52"/>
      <c r="AB4" s="68">
        <f t="shared" ref="AB4:AB7" si="2">ROUND(SUM(V4:AA4),2)</f>
        <v>5000</v>
      </c>
      <c r="AC4" s="68">
        <f>R4+IFERROR(VLOOKUP($E:$E,'（居民）工资表-4月'!$E:$AC,25,0),0)</f>
        <v>0</v>
      </c>
      <c r="AD4" s="70">
        <f t="shared" ref="AD4:AD7" si="3">ROUND(S4-T4-U4-AB4-AC4,2)</f>
        <v>-219.5</v>
      </c>
      <c r="AE4" s="71">
        <f>ROUND(MAX((AD4)*{0.03;0.1;0.2;0.25;0.3;0.35;0.45}-{0;2520;16920;31920;52920;85920;181920},0),2)</f>
        <v>0</v>
      </c>
      <c r="AF4" s="72">
        <f>IFERROR(VLOOKUP(E:E,'（居民）工资表-4月'!E:AF,28,0)+VLOOKUP(E:E,'（居民）工资表-4月'!E:AG,29,0),0)</f>
        <v>52.8</v>
      </c>
      <c r="AG4" s="72">
        <f t="shared" ref="AG4:AG7" si="4">IF((AE4-AF4)&lt;0,0,AE4-AF4)</f>
        <v>0</v>
      </c>
      <c r="AH4" s="75">
        <f t="shared" ref="AH4:AH7" si="5">ROUND(IF((L4-Q4-AG4)&lt;0,0,(L4-Q4-AG4)),2)</f>
        <v>7180.1</v>
      </c>
      <c r="AI4" s="76"/>
      <c r="AJ4" s="75">
        <f t="shared" ref="AJ4:AJ7" si="6">AH4+AI4</f>
        <v>7180.1</v>
      </c>
      <c r="AK4" s="77"/>
      <c r="AL4" s="75">
        <f t="shared" ref="AL4:AL7" si="7">AJ4+AG4+AK4</f>
        <v>7180.1</v>
      </c>
      <c r="AM4" s="77"/>
      <c r="AN4" s="77"/>
      <c r="AO4" s="77"/>
      <c r="AP4" s="77"/>
      <c r="AQ4" s="77"/>
      <c r="AR4" s="82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35" t="s">
        <v>89</v>
      </c>
      <c r="D5" s="25" t="s">
        <v>87</v>
      </c>
      <c r="E5" s="315" t="s">
        <v>90</v>
      </c>
      <c r="F5" s="26" t="str">
        <f t="shared" si="0"/>
        <v>女</v>
      </c>
      <c r="G5" s="233">
        <v>13926009696</v>
      </c>
      <c r="H5" s="234"/>
      <c r="I5" s="234"/>
      <c r="J5" s="236"/>
      <c r="K5" s="234"/>
      <c r="L5" s="237">
        <v>5800</v>
      </c>
      <c r="M5" s="237">
        <v>304.24</v>
      </c>
      <c r="N5" s="237">
        <v>123.5</v>
      </c>
      <c r="O5" s="237">
        <v>7.61</v>
      </c>
      <c r="P5" s="237">
        <v>0</v>
      </c>
      <c r="Q5" s="67">
        <f t="shared" si="1"/>
        <v>435.35</v>
      </c>
      <c r="R5" s="52">
        <v>0</v>
      </c>
      <c r="S5" s="68">
        <f>L5+IFERROR(VLOOKUP($E:$E,'（居民）工资表-4月'!$E:$S,15,0),0)</f>
        <v>17400</v>
      </c>
      <c r="T5" s="69">
        <f>5000+IFERROR(VLOOKUP($E:$E,'（居民）工资表-4月'!$E:$T,16,0),0)</f>
        <v>15000</v>
      </c>
      <c r="U5" s="69">
        <f>Q5+IFERROR(VLOOKUP($E:$E,'（居民）工资表-4月'!$E:$U,17,0),0)</f>
        <v>1306.05</v>
      </c>
      <c r="V5" s="52"/>
      <c r="W5" s="52"/>
      <c r="X5" s="52"/>
      <c r="Y5" s="52"/>
      <c r="Z5" s="52"/>
      <c r="AA5" s="52"/>
      <c r="AB5" s="68">
        <f t="shared" si="2"/>
        <v>0</v>
      </c>
      <c r="AC5" s="68">
        <f>R5+IFERROR(VLOOKUP($E:$E,'（居民）工资表-4月'!$E:$AC,25,0),0)</f>
        <v>0</v>
      </c>
      <c r="AD5" s="70">
        <f t="shared" si="3"/>
        <v>1093.95</v>
      </c>
      <c r="AE5" s="71">
        <f>ROUND(MAX((AD5)*{0.03;0.1;0.2;0.25;0.3;0.35;0.45}-{0;2520;16920;31920;52920;85920;181920},0),2)</f>
        <v>32.82</v>
      </c>
      <c r="AF5" s="72">
        <f>IFERROR(VLOOKUP(E:E,'（居民）工资表-4月'!E:AF,28,0)+VLOOKUP(E:E,'（居民）工资表-4月'!E:AG,29,0),0)</f>
        <v>21.88</v>
      </c>
      <c r="AG5" s="72">
        <f t="shared" si="4"/>
        <v>10.94</v>
      </c>
      <c r="AH5" s="75">
        <f t="shared" si="5"/>
        <v>5353.71</v>
      </c>
      <c r="AI5" s="76"/>
      <c r="AJ5" s="75">
        <f t="shared" si="6"/>
        <v>5353.71</v>
      </c>
      <c r="AK5" s="77"/>
      <c r="AL5" s="75">
        <f t="shared" si="7"/>
        <v>5364.65</v>
      </c>
      <c r="AM5" s="77"/>
      <c r="AN5" s="77"/>
      <c r="AO5" s="77"/>
      <c r="AP5" s="77"/>
      <c r="AQ5" s="77"/>
      <c r="AR5" s="82" t="str">
        <f t="shared" si="8"/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154</v>
      </c>
      <c r="D6" s="25" t="s">
        <v>87</v>
      </c>
      <c r="E6" s="25" t="s">
        <v>155</v>
      </c>
      <c r="F6" s="26" t="str">
        <f t="shared" si="0"/>
        <v>男</v>
      </c>
      <c r="G6" s="27">
        <v>13944441728</v>
      </c>
      <c r="H6" s="28"/>
      <c r="I6" s="28"/>
      <c r="J6" s="51"/>
      <c r="K6" s="28"/>
      <c r="L6" s="52">
        <v>8120</v>
      </c>
      <c r="M6" s="53">
        <f>244.24*2</f>
        <v>488.48</v>
      </c>
      <c r="N6" s="53">
        <f>61.06*2</f>
        <v>122.12</v>
      </c>
      <c r="O6" s="53">
        <f>9.16*2</f>
        <v>18.32</v>
      </c>
      <c r="P6" s="53">
        <f>79*2</f>
        <v>158</v>
      </c>
      <c r="Q6" s="67">
        <f t="shared" si="1"/>
        <v>786.92</v>
      </c>
      <c r="R6" s="52">
        <v>0</v>
      </c>
      <c r="S6" s="68">
        <f>L6+IFERROR(VLOOKUP($E:$E,'（居民）工资表-4月'!$E:$S,15,0),0)</f>
        <v>13020</v>
      </c>
      <c r="T6" s="69">
        <f>5000+IFERROR(VLOOKUP($E:$E,'（居民）工资表-4月'!$E:$T,16,0),0)</f>
        <v>10000</v>
      </c>
      <c r="U6" s="69">
        <f>Q6+IFERROR(VLOOKUP($E:$E,'（居民）工资表-4月'!$E:$U,17,0),0)</f>
        <v>786.92</v>
      </c>
      <c r="V6" s="52"/>
      <c r="W6" s="52"/>
      <c r="X6" s="52"/>
      <c r="Y6" s="52"/>
      <c r="Z6" s="52"/>
      <c r="AA6" s="52"/>
      <c r="AB6" s="68">
        <f t="shared" si="2"/>
        <v>0</v>
      </c>
      <c r="AC6" s="68">
        <f>R6+IFERROR(VLOOKUP($E:$E,'（居民）工资表-4月'!$E:$AC,25,0),0)</f>
        <v>0</v>
      </c>
      <c r="AD6" s="70">
        <f t="shared" si="3"/>
        <v>2233.08</v>
      </c>
      <c r="AE6" s="71">
        <f>ROUND(MAX((AD6)*{0.03;0.1;0.2;0.25;0.3;0.35;0.45}-{0;2520;16920;31920;52920;85920;181920},0),2)</f>
        <v>66.989999999999995</v>
      </c>
      <c r="AF6" s="72">
        <f>IFERROR(VLOOKUP(E:E,'（居民）工资表-4月'!E:AF,28,0)+VLOOKUP(E:E,'（居民）工资表-4月'!E:AG,29,0),0)</f>
        <v>0</v>
      </c>
      <c r="AG6" s="72">
        <f t="shared" si="4"/>
        <v>66.989999999999995</v>
      </c>
      <c r="AH6" s="75">
        <f t="shared" si="5"/>
        <v>7266.09</v>
      </c>
      <c r="AI6" s="76"/>
      <c r="AJ6" s="75">
        <f t="shared" si="6"/>
        <v>7266.09</v>
      </c>
      <c r="AK6" s="77"/>
      <c r="AL6" s="75">
        <f t="shared" si="7"/>
        <v>7333.08</v>
      </c>
      <c r="AM6" s="77"/>
      <c r="AN6" s="77"/>
      <c r="AO6" s="77"/>
      <c r="AP6" s="77"/>
      <c r="AQ6" s="77"/>
      <c r="AR6" s="82" t="str">
        <f t="shared" si="8"/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160</v>
      </c>
      <c r="D7" s="25" t="s">
        <v>87</v>
      </c>
      <c r="E7" s="318" t="s">
        <v>161</v>
      </c>
      <c r="F7" s="26" t="str">
        <f t="shared" si="0"/>
        <v>男</v>
      </c>
      <c r="G7" s="27"/>
      <c r="H7" s="28"/>
      <c r="I7" s="28"/>
      <c r="J7" s="51"/>
      <c r="K7" s="28"/>
      <c r="L7" s="52">
        <v>11904.76</v>
      </c>
      <c r="M7" s="53"/>
      <c r="N7" s="53"/>
      <c r="O7" s="53"/>
      <c r="P7" s="53"/>
      <c r="Q7" s="67">
        <f t="shared" si="1"/>
        <v>0</v>
      </c>
      <c r="R7" s="52">
        <v>0</v>
      </c>
      <c r="S7" s="68">
        <f>L7+IFERROR(VLOOKUP($E:$E,'（居民）工资表-4月'!$E:$S,15,0),0)</f>
        <v>11904.76</v>
      </c>
      <c r="T7" s="69">
        <f>5000+IFERROR(VLOOKUP($E:$E,'（居民）工资表-4月'!$E:$T,16,0),0)</f>
        <v>5000</v>
      </c>
      <c r="U7" s="69">
        <f>Q7+IFERROR(VLOOKUP($E:$E,'（居民）工资表-4月'!$E:$U,17,0),0)</f>
        <v>0</v>
      </c>
      <c r="V7" s="52"/>
      <c r="W7" s="52"/>
      <c r="X7" s="52"/>
      <c r="Y7" s="52"/>
      <c r="Z7" s="52"/>
      <c r="AA7" s="52"/>
      <c r="AB7" s="68">
        <f t="shared" si="2"/>
        <v>0</v>
      </c>
      <c r="AC7" s="68">
        <f>R7+IFERROR(VLOOKUP($E:$E,'（居民）工资表-4月'!$E:$AC,25,0),0)</f>
        <v>0</v>
      </c>
      <c r="AD7" s="70">
        <f t="shared" si="3"/>
        <v>6904.76</v>
      </c>
      <c r="AE7" s="71">
        <f>ROUND(MAX((AD7)*{0.03;0.1;0.2;0.25;0.3;0.35;0.45}-{0;2520;16920;31920;52920;85920;181920},0),2)</f>
        <v>207.14</v>
      </c>
      <c r="AF7" s="72">
        <f>IFERROR(VLOOKUP(E:E,'（居民）工资表-4月'!E:AF,28,0)+VLOOKUP(E:E,'（居民）工资表-4月'!E:AG,29,0),0)</f>
        <v>0</v>
      </c>
      <c r="AG7" s="72">
        <f t="shared" si="4"/>
        <v>207.14</v>
      </c>
      <c r="AH7" s="75">
        <f t="shared" si="5"/>
        <v>11697.62</v>
      </c>
      <c r="AI7" s="76"/>
      <c r="AJ7" s="75">
        <f t="shared" si="6"/>
        <v>11697.62</v>
      </c>
      <c r="AK7" s="77"/>
      <c r="AL7" s="75">
        <f t="shared" si="7"/>
        <v>11904.76</v>
      </c>
      <c r="AM7" s="77"/>
      <c r="AN7" s="77"/>
      <c r="AO7" s="77"/>
      <c r="AP7" s="77"/>
      <c r="AQ7" s="77"/>
      <c r="AR7" s="82" t="str">
        <f t="shared" si="8"/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91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9">SUM(L4:L7)</f>
        <v>33524.76</v>
      </c>
      <c r="M8" s="56">
        <f t="shared" si="9"/>
        <v>1056.72</v>
      </c>
      <c r="N8" s="56">
        <f t="shared" si="9"/>
        <v>311.62</v>
      </c>
      <c r="O8" s="56">
        <f t="shared" si="9"/>
        <v>35.83</v>
      </c>
      <c r="P8" s="56">
        <f t="shared" si="9"/>
        <v>338</v>
      </c>
      <c r="Q8" s="56">
        <f t="shared" si="9"/>
        <v>1742.17</v>
      </c>
      <c r="R8" s="56">
        <f t="shared" si="9"/>
        <v>0</v>
      </c>
      <c r="S8" s="56">
        <f t="shared" si="9"/>
        <v>74704.759999999995</v>
      </c>
      <c r="T8" s="56">
        <f t="shared" si="9"/>
        <v>55000</v>
      </c>
      <c r="U8" s="56">
        <f t="shared" si="9"/>
        <v>4692.47</v>
      </c>
      <c r="V8" s="56">
        <f t="shared" si="9"/>
        <v>0</v>
      </c>
      <c r="W8" s="56">
        <f t="shared" si="9"/>
        <v>0</v>
      </c>
      <c r="X8" s="56">
        <f t="shared" si="9"/>
        <v>5000</v>
      </c>
      <c r="Y8" s="56">
        <f t="shared" si="9"/>
        <v>0</v>
      </c>
      <c r="Z8" s="56">
        <f t="shared" si="9"/>
        <v>0</v>
      </c>
      <c r="AA8" s="56">
        <f t="shared" si="9"/>
        <v>0</v>
      </c>
      <c r="AB8" s="56">
        <f t="shared" si="9"/>
        <v>5000</v>
      </c>
      <c r="AC8" s="56">
        <f t="shared" si="9"/>
        <v>0</v>
      </c>
      <c r="AD8" s="56">
        <f t="shared" si="9"/>
        <v>10012.290000000001</v>
      </c>
      <c r="AE8" s="56">
        <f t="shared" si="9"/>
        <v>306.95</v>
      </c>
      <c r="AF8" s="56">
        <f t="shared" si="9"/>
        <v>74.680000000000007</v>
      </c>
      <c r="AG8" s="56">
        <f t="shared" si="9"/>
        <v>285.07</v>
      </c>
      <c r="AH8" s="56">
        <f t="shared" si="9"/>
        <v>31497.52</v>
      </c>
      <c r="AI8" s="78">
        <f t="shared" si="9"/>
        <v>0</v>
      </c>
      <c r="AJ8" s="56">
        <f t="shared" si="9"/>
        <v>31497.52</v>
      </c>
      <c r="AK8" s="56">
        <f t="shared" si="9"/>
        <v>0</v>
      </c>
      <c r="AL8" s="56">
        <f t="shared" si="9"/>
        <v>31782.59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64</v>
      </c>
      <c r="C12" s="35" t="s">
        <v>92</v>
      </c>
      <c r="D12" s="35" t="s">
        <v>65</v>
      </c>
      <c r="E12" s="35" t="s">
        <v>93</v>
      </c>
      <c r="AD12" s="8"/>
      <c r="AG12" s="17"/>
    </row>
    <row r="13" spans="1:46" ht="18.75" customHeight="1">
      <c r="B13" s="36">
        <f>AJ8</f>
        <v>31497.52</v>
      </c>
      <c r="C13" s="36">
        <f>AG8</f>
        <v>285.07</v>
      </c>
      <c r="D13" s="36">
        <f>AK8</f>
        <v>0</v>
      </c>
      <c r="E13" s="36">
        <f>B13+C13+D13</f>
        <v>31782.59</v>
      </c>
    </row>
    <row r="14" spans="1:46">
      <c r="B14" s="37"/>
      <c r="C14" s="37"/>
      <c r="D14" s="37"/>
      <c r="E14" s="37"/>
    </row>
    <row r="15" spans="1:46" s="12" customFormat="1">
      <c r="A15" s="38" t="s">
        <v>94</v>
      </c>
      <c r="B15" s="39" t="s">
        <v>95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96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97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98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99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100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101</v>
      </c>
    </row>
    <row r="23" spans="1:35">
      <c r="B23" s="47" t="s">
        <v>102</v>
      </c>
    </row>
    <row r="24" spans="1:35">
      <c r="B24" s="47" t="s">
        <v>103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0">
    <cfRule type="duplicateValues" dxfId="78" priority="2" stopIfTrue="1"/>
  </conditionalFormatting>
  <conditionalFormatting sqref="B15:B19">
    <cfRule type="duplicateValues" dxfId="77" priority="3" stopIfTrue="1"/>
  </conditionalFormatting>
  <conditionalFormatting sqref="B23:B24">
    <cfRule type="duplicateValues" dxfId="76" priority="1" stopIfTrue="1"/>
  </conditionalFormatting>
  <conditionalFormatting sqref="C12:C14">
    <cfRule type="duplicateValues" dxfId="75" priority="4" stopIfTrue="1"/>
    <cfRule type="expression" dxfId="74" priority="5" stopIfTrue="1">
      <formula>AND(COUNTIF($B$8:$B$65444,C12)+COUNTIF($B$1:$B$3,C12)&gt;1,NOT(ISBLANK(C12)))</formula>
    </cfRule>
    <cfRule type="expression" dxfId="73" priority="6" stopIfTrue="1">
      <formula>AND(COUNTIF($B$19:$B$65395,C12)+COUNTIF($B$1:$B$18,C12)&gt;1,NOT(ISBLANK(C12)))</formula>
    </cfRule>
    <cfRule type="expression" dxfId="72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34"/>
  <sheetViews>
    <sheetView workbookViewId="0">
      <pane xSplit="11" ySplit="2" topLeftCell="AF15" activePane="bottomRight" state="frozen"/>
      <selection pane="topRight"/>
      <selection pane="bottomLeft"/>
      <selection pane="bottomRight" activeCell="AH25" sqref="AH25:AH26"/>
    </sheetView>
  </sheetViews>
  <sheetFormatPr defaultColWidth="9" defaultRowHeight="16.5"/>
  <cols>
    <col min="1" max="1" width="3.25" style="160" customWidth="1"/>
    <col min="2" max="2" width="19.25" style="160" customWidth="1"/>
    <col min="3" max="3" width="6" style="160" customWidth="1"/>
    <col min="4" max="4" width="8.5" style="160" hidden="1" customWidth="1"/>
    <col min="5" max="5" width="8.25" style="160" hidden="1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25" style="160" customWidth="1"/>
    <col min="38" max="38" width="9.125" style="160" hidden="1" customWidth="1"/>
    <col min="39" max="39" width="9.25" style="160" hidden="1" customWidth="1"/>
    <col min="40" max="40" width="9.25" style="160" customWidth="1"/>
    <col min="41" max="42" width="9.25" style="160" hidden="1" customWidth="1"/>
    <col min="43" max="43" width="9.875" style="160" customWidth="1"/>
    <col min="44" max="44" width="9.375" style="160" customWidth="1"/>
    <col min="45" max="45" width="10.25" style="166" customWidth="1"/>
    <col min="46" max="46" width="10" style="166" customWidth="1"/>
    <col min="47" max="49" width="9.25" style="166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7" customWidth="1"/>
    <col min="57" max="57" width="10.625" style="160" customWidth="1"/>
    <col min="58" max="16384" width="9" style="160"/>
  </cols>
  <sheetData>
    <row r="1" spans="1:60" s="159" customFormat="1" ht="22.5" customHeight="1">
      <c r="A1" s="398" t="s">
        <v>18</v>
      </c>
      <c r="B1" s="404" t="s">
        <v>104</v>
      </c>
      <c r="C1" s="404" t="s">
        <v>105</v>
      </c>
      <c r="D1" s="398" t="s">
        <v>106</v>
      </c>
      <c r="E1" s="404" t="s">
        <v>107</v>
      </c>
      <c r="F1" s="404" t="s">
        <v>108</v>
      </c>
      <c r="G1" s="404" t="s">
        <v>109</v>
      </c>
      <c r="H1" s="404" t="s">
        <v>110</v>
      </c>
      <c r="I1" s="404" t="s">
        <v>111</v>
      </c>
      <c r="J1" s="404" t="s">
        <v>112</v>
      </c>
      <c r="K1" s="404" t="s">
        <v>113</v>
      </c>
      <c r="L1" s="397" t="s">
        <v>114</v>
      </c>
      <c r="M1" s="397"/>
      <c r="N1" s="397"/>
      <c r="O1" s="397"/>
      <c r="P1" s="397"/>
      <c r="Q1" s="397" t="s">
        <v>115</v>
      </c>
      <c r="R1" s="397"/>
      <c r="S1" s="397"/>
      <c r="T1" s="397"/>
      <c r="U1" s="397"/>
      <c r="V1" s="397" t="s">
        <v>116</v>
      </c>
      <c r="W1" s="397"/>
      <c r="X1" s="397"/>
      <c r="Y1" s="397"/>
      <c r="Z1" s="397"/>
      <c r="AA1" s="398" t="s">
        <v>117</v>
      </c>
      <c r="AB1" s="398"/>
      <c r="AC1" s="398"/>
      <c r="AD1" s="398" t="s">
        <v>118</v>
      </c>
      <c r="AE1" s="398"/>
      <c r="AF1" s="398"/>
      <c r="AG1" s="397" t="s">
        <v>119</v>
      </c>
      <c r="AH1" s="397"/>
      <c r="AI1" s="397"/>
      <c r="AJ1" s="397"/>
      <c r="AK1" s="397"/>
      <c r="AL1" s="398" t="s">
        <v>120</v>
      </c>
      <c r="AM1" s="398"/>
      <c r="AN1" s="398"/>
      <c r="AO1" s="398"/>
      <c r="AP1" s="398"/>
      <c r="AQ1" s="398" t="s">
        <v>121</v>
      </c>
      <c r="AR1" s="398"/>
      <c r="AS1" s="399" t="s">
        <v>122</v>
      </c>
      <c r="AT1" s="399"/>
      <c r="AU1" s="399"/>
      <c r="AV1" s="399"/>
      <c r="AW1" s="399"/>
      <c r="AX1" s="398" t="s">
        <v>123</v>
      </c>
      <c r="AY1" s="398"/>
      <c r="AZ1" s="398" t="s">
        <v>124</v>
      </c>
      <c r="BA1" s="398"/>
      <c r="BB1" s="398" t="s">
        <v>65</v>
      </c>
      <c r="BC1" s="398" t="s">
        <v>93</v>
      </c>
      <c r="BD1" s="407" t="s">
        <v>23</v>
      </c>
    </row>
    <row r="2" spans="1:60" ht="22.5" customHeight="1">
      <c r="A2" s="398"/>
      <c r="B2" s="405"/>
      <c r="C2" s="404"/>
      <c r="D2" s="398"/>
      <c r="E2" s="404"/>
      <c r="F2" s="406"/>
      <c r="G2" s="406"/>
      <c r="H2" s="404"/>
      <c r="I2" s="404"/>
      <c r="J2" s="404"/>
      <c r="K2" s="404"/>
      <c r="L2" s="195" t="s">
        <v>125</v>
      </c>
      <c r="M2" s="195" t="s">
        <v>126</v>
      </c>
      <c r="N2" s="195" t="s">
        <v>127</v>
      </c>
      <c r="O2" s="195" t="s">
        <v>128</v>
      </c>
      <c r="P2" s="195" t="s">
        <v>129</v>
      </c>
      <c r="Q2" s="195" t="s">
        <v>125</v>
      </c>
      <c r="R2" s="195" t="s">
        <v>126</v>
      </c>
      <c r="S2" s="195" t="s">
        <v>127</v>
      </c>
      <c r="T2" s="195" t="s">
        <v>128</v>
      </c>
      <c r="U2" s="195" t="s">
        <v>129</v>
      </c>
      <c r="V2" s="195" t="s">
        <v>125</v>
      </c>
      <c r="W2" s="195" t="s">
        <v>126</v>
      </c>
      <c r="X2" s="195" t="s">
        <v>127</v>
      </c>
      <c r="Y2" s="195" t="s">
        <v>128</v>
      </c>
      <c r="Z2" s="195" t="s">
        <v>129</v>
      </c>
      <c r="AA2" s="195" t="s">
        <v>125</v>
      </c>
      <c r="AB2" s="195" t="s">
        <v>130</v>
      </c>
      <c r="AC2" s="195" t="s">
        <v>22</v>
      </c>
      <c r="AD2" s="195" t="s">
        <v>125</v>
      </c>
      <c r="AE2" s="195" t="s">
        <v>130</v>
      </c>
      <c r="AF2" s="195" t="s">
        <v>22</v>
      </c>
      <c r="AG2" s="195" t="s">
        <v>125</v>
      </c>
      <c r="AH2" s="195" t="s">
        <v>126</v>
      </c>
      <c r="AI2" s="195" t="s">
        <v>127</v>
      </c>
      <c r="AJ2" s="195" t="s">
        <v>128</v>
      </c>
      <c r="AK2" s="195" t="s">
        <v>129</v>
      </c>
      <c r="AL2" s="195" t="s">
        <v>125</v>
      </c>
      <c r="AM2" s="195" t="s">
        <v>126</v>
      </c>
      <c r="AN2" s="195" t="s">
        <v>127</v>
      </c>
      <c r="AO2" s="195" t="s">
        <v>128</v>
      </c>
      <c r="AP2" s="195" t="s">
        <v>129</v>
      </c>
      <c r="AQ2" s="195" t="s">
        <v>131</v>
      </c>
      <c r="AR2" s="195" t="s">
        <v>132</v>
      </c>
      <c r="AS2" s="204" t="s">
        <v>133</v>
      </c>
      <c r="AT2" s="204" t="s">
        <v>134</v>
      </c>
      <c r="AU2" s="204" t="s">
        <v>135</v>
      </c>
      <c r="AV2" s="204" t="s">
        <v>78</v>
      </c>
      <c r="AW2" s="204" t="s">
        <v>30</v>
      </c>
      <c r="AX2" s="398"/>
      <c r="AY2" s="398"/>
      <c r="AZ2" s="398"/>
      <c r="BA2" s="398"/>
      <c r="BB2" s="398"/>
      <c r="BC2" s="398"/>
      <c r="BD2" s="407"/>
    </row>
    <row r="3" spans="1:60" s="161" customFormat="1" ht="18" customHeight="1">
      <c r="A3" s="168">
        <v>1</v>
      </c>
      <c r="B3" s="169" t="s">
        <v>162</v>
      </c>
      <c r="C3" s="99" t="s">
        <v>163</v>
      </c>
      <c r="D3" s="108" t="s">
        <v>138</v>
      </c>
      <c r="E3" s="109" t="s">
        <v>146</v>
      </c>
      <c r="F3" s="110" t="s">
        <v>164</v>
      </c>
      <c r="G3" s="111" t="s">
        <v>165</v>
      </c>
      <c r="H3" s="108" t="s">
        <v>166</v>
      </c>
      <c r="I3" s="108" t="s">
        <v>166</v>
      </c>
      <c r="J3" s="108" t="s">
        <v>167</v>
      </c>
      <c r="K3" s="108" t="s">
        <v>167</v>
      </c>
      <c r="L3" s="168">
        <v>2075</v>
      </c>
      <c r="M3" s="168">
        <v>0.16</v>
      </c>
      <c r="N3" s="168">
        <f t="shared" ref="N3:N27" si="0">ROUND(L3*M3,2)</f>
        <v>332</v>
      </c>
      <c r="O3" s="168">
        <v>0.08</v>
      </c>
      <c r="P3" s="168">
        <f t="shared" ref="P3:P27" si="1">ROUND(L3*O3,2)</f>
        <v>166</v>
      </c>
      <c r="Q3" s="168">
        <v>3676</v>
      </c>
      <c r="R3" s="168">
        <v>0.08</v>
      </c>
      <c r="S3" s="168">
        <f t="shared" ref="S3:S27" si="2">ROUND(Q3*R3,2)</f>
        <v>294.08</v>
      </c>
      <c r="T3" s="168">
        <v>0.02</v>
      </c>
      <c r="U3" s="168">
        <f t="shared" ref="U3:U27" si="3">ROUND(Q3*T3,2)</f>
        <v>73.52</v>
      </c>
      <c r="V3" s="168">
        <v>2075</v>
      </c>
      <c r="W3" s="168">
        <v>5.0000000000000001E-3</v>
      </c>
      <c r="X3" s="168">
        <f t="shared" ref="X3:X27" si="4">ROUND(V3*W3,2)</f>
        <v>10.38</v>
      </c>
      <c r="Y3" s="168">
        <v>5.0000000000000001E-3</v>
      </c>
      <c r="Z3" s="168">
        <f t="shared" ref="Z3:Z27" si="5">ROUND(V3*Y3,2)</f>
        <v>10.38</v>
      </c>
      <c r="AA3" s="168">
        <v>3676</v>
      </c>
      <c r="AB3" s="168">
        <v>7.0000000000000001E-3</v>
      </c>
      <c r="AC3" s="168">
        <f>ROUND(AA3*AB3,2)</f>
        <v>25.73</v>
      </c>
      <c r="AD3" s="168">
        <v>3488.4</v>
      </c>
      <c r="AE3" s="168">
        <v>3.5000000000000001E-3</v>
      </c>
      <c r="AF3" s="168">
        <f t="shared" ref="AF3:AF27" si="6">ROUND(AD3*AE3,2)</f>
        <v>12.21</v>
      </c>
      <c r="AG3" s="168">
        <v>1720</v>
      </c>
      <c r="AH3" s="168">
        <v>0.05</v>
      </c>
      <c r="AI3" s="168">
        <f t="shared" ref="AI3:AI27" si="7">ROUND(AG3*AH3,2)</f>
        <v>86</v>
      </c>
      <c r="AJ3" s="168">
        <v>0.05</v>
      </c>
      <c r="AK3" s="168">
        <f t="shared" ref="AK3:AK27" si="8">ROUND(AG3*AJ3,2)</f>
        <v>86</v>
      </c>
      <c r="AL3" s="201"/>
      <c r="AM3" s="168"/>
      <c r="AN3" s="168"/>
      <c r="AO3" s="168"/>
      <c r="AP3" s="109"/>
      <c r="AQ3" s="205"/>
      <c r="AR3" s="205"/>
      <c r="AS3" s="206">
        <f t="shared" ref="AS3:AS27" si="9">N3+S3+X3+AC3+AF3+AN3+AQ3</f>
        <v>674.4</v>
      </c>
      <c r="AT3" s="206">
        <f t="shared" ref="AT3:AT27" si="10">P3+U3+Z3</f>
        <v>249.9</v>
      </c>
      <c r="AU3" s="206">
        <f t="shared" ref="AU3:AU27" si="11">AI3</f>
        <v>86</v>
      </c>
      <c r="AV3" s="206">
        <f t="shared" ref="AV3:AV27" si="12">AK3</f>
        <v>86</v>
      </c>
      <c r="AW3" s="206">
        <f t="shared" ref="AW3:AW27" si="13">AV3+AS3+AT3+AU3</f>
        <v>1096.3</v>
      </c>
      <c r="AX3" s="400">
        <f t="shared" ref="AX3:AX27" si="14">AS3+AT3</f>
        <v>924.3</v>
      </c>
      <c r="AY3" s="400"/>
      <c r="AZ3" s="400">
        <f t="shared" ref="AZ3:AZ27" si="15">AU3+AV3</f>
        <v>172</v>
      </c>
      <c r="BA3" s="400"/>
      <c r="BB3" s="215">
        <v>80</v>
      </c>
      <c r="BC3" s="214">
        <f t="shared" ref="BC3:BC27" si="16">AX3+AZ3+BB3</f>
        <v>1176.3</v>
      </c>
      <c r="BD3" s="216"/>
      <c r="BE3" s="229"/>
      <c r="BF3" s="229"/>
      <c r="BG3" s="229"/>
      <c r="BH3" s="229"/>
    </row>
    <row r="4" spans="1:60" s="161" customFormat="1" ht="18" customHeight="1">
      <c r="A4" s="168">
        <v>2</v>
      </c>
      <c r="B4" s="169" t="s">
        <v>162</v>
      </c>
      <c r="C4" s="99" t="s">
        <v>168</v>
      </c>
      <c r="D4" s="108" t="s">
        <v>138</v>
      </c>
      <c r="E4" s="109" t="s">
        <v>146</v>
      </c>
      <c r="F4" s="110" t="s">
        <v>169</v>
      </c>
      <c r="G4" s="111" t="s">
        <v>170</v>
      </c>
      <c r="H4" s="108" t="s">
        <v>166</v>
      </c>
      <c r="I4" s="108" t="s">
        <v>166</v>
      </c>
      <c r="J4" s="108" t="s">
        <v>167</v>
      </c>
      <c r="K4" s="108" t="s">
        <v>167</v>
      </c>
      <c r="L4" s="168">
        <v>3430</v>
      </c>
      <c r="M4" s="168">
        <v>0.16</v>
      </c>
      <c r="N4" s="168">
        <f t="shared" si="0"/>
        <v>548.79999999999995</v>
      </c>
      <c r="O4" s="168">
        <v>0.08</v>
      </c>
      <c r="P4" s="168">
        <f t="shared" si="1"/>
        <v>274.39999999999998</v>
      </c>
      <c r="Q4" s="168">
        <v>3430</v>
      </c>
      <c r="R4" s="168">
        <v>6.4000000000000001E-2</v>
      </c>
      <c r="S4" s="168">
        <f t="shared" si="2"/>
        <v>219.52</v>
      </c>
      <c r="T4" s="168">
        <v>0.02</v>
      </c>
      <c r="U4" s="168">
        <f t="shared" si="3"/>
        <v>68.599999999999994</v>
      </c>
      <c r="V4" s="168">
        <v>3430</v>
      </c>
      <c r="W4" s="168">
        <v>5.0000000000000001E-3</v>
      </c>
      <c r="X4" s="168">
        <f t="shared" si="4"/>
        <v>17.149999999999999</v>
      </c>
      <c r="Y4" s="168">
        <v>5.0000000000000001E-3</v>
      </c>
      <c r="Z4" s="168">
        <f t="shared" si="5"/>
        <v>17.149999999999999</v>
      </c>
      <c r="AA4" s="168"/>
      <c r="AB4" s="168"/>
      <c r="AC4" s="168"/>
      <c r="AD4" s="168">
        <v>3430</v>
      </c>
      <c r="AE4" s="168">
        <v>2E-3</v>
      </c>
      <c r="AF4" s="168">
        <f t="shared" si="6"/>
        <v>6.86</v>
      </c>
      <c r="AG4" s="168">
        <v>1650</v>
      </c>
      <c r="AH4" s="168">
        <v>0.05</v>
      </c>
      <c r="AI4" s="168">
        <f t="shared" si="7"/>
        <v>82.5</v>
      </c>
      <c r="AJ4" s="168">
        <v>0.05</v>
      </c>
      <c r="AK4" s="168">
        <f t="shared" si="8"/>
        <v>82.5</v>
      </c>
      <c r="AL4" s="201"/>
      <c r="AM4" s="168"/>
      <c r="AN4" s="168"/>
      <c r="AO4" s="168"/>
      <c r="AP4" s="109"/>
      <c r="AQ4" s="205">
        <v>15</v>
      </c>
      <c r="AR4" s="205"/>
      <c r="AS4" s="206">
        <f t="shared" si="9"/>
        <v>807.33</v>
      </c>
      <c r="AT4" s="206">
        <f t="shared" si="10"/>
        <v>360.15</v>
      </c>
      <c r="AU4" s="206">
        <f t="shared" si="11"/>
        <v>82.5</v>
      </c>
      <c r="AV4" s="206">
        <f t="shared" si="12"/>
        <v>82.5</v>
      </c>
      <c r="AW4" s="206">
        <f t="shared" si="13"/>
        <v>1332.48</v>
      </c>
      <c r="AX4" s="400">
        <f t="shared" si="14"/>
        <v>1167.48</v>
      </c>
      <c r="AY4" s="400"/>
      <c r="AZ4" s="400">
        <f t="shared" si="15"/>
        <v>165</v>
      </c>
      <c r="BA4" s="400"/>
      <c r="BB4" s="215">
        <v>80</v>
      </c>
      <c r="BC4" s="214">
        <f t="shared" si="16"/>
        <v>1412.48</v>
      </c>
      <c r="BD4" s="216"/>
      <c r="BE4" s="229"/>
      <c r="BF4" s="229"/>
      <c r="BG4" s="229"/>
      <c r="BH4" s="229"/>
    </row>
    <row r="5" spans="1:60" s="161" customFormat="1" ht="18" customHeight="1">
      <c r="A5" s="168">
        <v>3</v>
      </c>
      <c r="B5" s="169" t="s">
        <v>162</v>
      </c>
      <c r="C5" s="99" t="s">
        <v>168</v>
      </c>
      <c r="D5" s="108" t="s">
        <v>138</v>
      </c>
      <c r="E5" s="109" t="s">
        <v>146</v>
      </c>
      <c r="F5" s="110" t="s">
        <v>171</v>
      </c>
      <c r="G5" s="111" t="s">
        <v>172</v>
      </c>
      <c r="H5" s="108" t="s">
        <v>166</v>
      </c>
      <c r="I5" s="108" t="s">
        <v>166</v>
      </c>
      <c r="J5" s="108" t="s">
        <v>167</v>
      </c>
      <c r="K5" s="108" t="s">
        <v>167</v>
      </c>
      <c r="L5" s="168">
        <v>3430</v>
      </c>
      <c r="M5" s="168">
        <v>0.16</v>
      </c>
      <c r="N5" s="168">
        <f t="shared" si="0"/>
        <v>548.79999999999995</v>
      </c>
      <c r="O5" s="168">
        <v>0.08</v>
      </c>
      <c r="P5" s="168">
        <f t="shared" si="1"/>
        <v>274.39999999999998</v>
      </c>
      <c r="Q5" s="168">
        <v>3430</v>
      </c>
      <c r="R5" s="168">
        <v>6.4000000000000001E-2</v>
      </c>
      <c r="S5" s="168">
        <f t="shared" si="2"/>
        <v>219.52</v>
      </c>
      <c r="T5" s="168">
        <v>0.02</v>
      </c>
      <c r="U5" s="168">
        <f t="shared" si="3"/>
        <v>68.599999999999994</v>
      </c>
      <c r="V5" s="168">
        <v>3430</v>
      </c>
      <c r="W5" s="168">
        <v>5.0000000000000001E-3</v>
      </c>
      <c r="X5" s="168">
        <f t="shared" si="4"/>
        <v>17.149999999999999</v>
      </c>
      <c r="Y5" s="168">
        <v>5.0000000000000001E-3</v>
      </c>
      <c r="Z5" s="168">
        <f t="shared" si="5"/>
        <v>17.149999999999999</v>
      </c>
      <c r="AA5" s="168"/>
      <c r="AB5" s="168"/>
      <c r="AC5" s="168"/>
      <c r="AD5" s="168">
        <v>3430</v>
      </c>
      <c r="AE5" s="168">
        <v>2E-3</v>
      </c>
      <c r="AF5" s="168">
        <f t="shared" si="6"/>
        <v>6.86</v>
      </c>
      <c r="AG5" s="168">
        <v>1650</v>
      </c>
      <c r="AH5" s="168">
        <v>0.05</v>
      </c>
      <c r="AI5" s="168">
        <f t="shared" si="7"/>
        <v>82.5</v>
      </c>
      <c r="AJ5" s="168">
        <v>0.05</v>
      </c>
      <c r="AK5" s="168">
        <f t="shared" si="8"/>
        <v>82.5</v>
      </c>
      <c r="AL5" s="201"/>
      <c r="AM5" s="168"/>
      <c r="AN5" s="168"/>
      <c r="AO5" s="168"/>
      <c r="AP5" s="109"/>
      <c r="AQ5" s="205">
        <v>15</v>
      </c>
      <c r="AR5" s="205"/>
      <c r="AS5" s="206">
        <f t="shared" si="9"/>
        <v>807.33</v>
      </c>
      <c r="AT5" s="206">
        <f t="shared" si="10"/>
        <v>360.15</v>
      </c>
      <c r="AU5" s="206">
        <f t="shared" si="11"/>
        <v>82.5</v>
      </c>
      <c r="AV5" s="206">
        <f t="shared" si="12"/>
        <v>82.5</v>
      </c>
      <c r="AW5" s="206">
        <f t="shared" si="13"/>
        <v>1332.48</v>
      </c>
      <c r="AX5" s="400">
        <f t="shared" si="14"/>
        <v>1167.48</v>
      </c>
      <c r="AY5" s="400"/>
      <c r="AZ5" s="400">
        <f t="shared" si="15"/>
        <v>165</v>
      </c>
      <c r="BA5" s="400"/>
      <c r="BB5" s="215">
        <v>80</v>
      </c>
      <c r="BC5" s="214">
        <f t="shared" si="16"/>
        <v>1412.48</v>
      </c>
      <c r="BD5" s="216"/>
      <c r="BE5" s="229"/>
      <c r="BF5" s="229"/>
      <c r="BG5" s="229"/>
      <c r="BH5" s="229"/>
    </row>
    <row r="6" spans="1:60" s="161" customFormat="1" ht="18" customHeight="1">
      <c r="A6" s="168">
        <v>4</v>
      </c>
      <c r="B6" s="169" t="s">
        <v>162</v>
      </c>
      <c r="C6" s="99" t="s">
        <v>168</v>
      </c>
      <c r="D6" s="108" t="s">
        <v>138</v>
      </c>
      <c r="E6" s="109" t="s">
        <v>146</v>
      </c>
      <c r="F6" s="110" t="s">
        <v>173</v>
      </c>
      <c r="G6" s="111" t="s">
        <v>174</v>
      </c>
      <c r="H6" s="108" t="s">
        <v>166</v>
      </c>
      <c r="I6" s="108" t="s">
        <v>166</v>
      </c>
      <c r="J6" s="108" t="s">
        <v>167</v>
      </c>
      <c r="K6" s="108" t="s">
        <v>167</v>
      </c>
      <c r="L6" s="168">
        <v>3430</v>
      </c>
      <c r="M6" s="168">
        <v>0.16</v>
      </c>
      <c r="N6" s="168">
        <f t="shared" si="0"/>
        <v>548.79999999999995</v>
      </c>
      <c r="O6" s="168">
        <v>0.08</v>
      </c>
      <c r="P6" s="168">
        <f t="shared" si="1"/>
        <v>274.39999999999998</v>
      </c>
      <c r="Q6" s="168">
        <v>3430</v>
      </c>
      <c r="R6" s="168">
        <v>6.4000000000000001E-2</v>
      </c>
      <c r="S6" s="168">
        <f t="shared" si="2"/>
        <v>219.52</v>
      </c>
      <c r="T6" s="168">
        <v>0.02</v>
      </c>
      <c r="U6" s="168">
        <f t="shared" si="3"/>
        <v>68.599999999999994</v>
      </c>
      <c r="V6" s="168">
        <v>3430</v>
      </c>
      <c r="W6" s="168">
        <v>5.0000000000000001E-3</v>
      </c>
      <c r="X6" s="168">
        <f t="shared" si="4"/>
        <v>17.149999999999999</v>
      </c>
      <c r="Y6" s="168">
        <v>5.0000000000000001E-3</v>
      </c>
      <c r="Z6" s="168">
        <f t="shared" si="5"/>
        <v>17.149999999999999</v>
      </c>
      <c r="AA6" s="168"/>
      <c r="AB6" s="168"/>
      <c r="AC6" s="168"/>
      <c r="AD6" s="168">
        <v>3430</v>
      </c>
      <c r="AE6" s="168">
        <v>2E-3</v>
      </c>
      <c r="AF6" s="168">
        <f t="shared" si="6"/>
        <v>6.86</v>
      </c>
      <c r="AG6" s="168">
        <v>1650</v>
      </c>
      <c r="AH6" s="168">
        <v>0.05</v>
      </c>
      <c r="AI6" s="168">
        <f t="shared" si="7"/>
        <v>82.5</v>
      </c>
      <c r="AJ6" s="168">
        <v>0.05</v>
      </c>
      <c r="AK6" s="168">
        <f t="shared" si="8"/>
        <v>82.5</v>
      </c>
      <c r="AL6" s="201"/>
      <c r="AM6" s="168"/>
      <c r="AN6" s="168"/>
      <c r="AO6" s="168"/>
      <c r="AP6" s="109"/>
      <c r="AQ6" s="205">
        <v>15</v>
      </c>
      <c r="AR6" s="205"/>
      <c r="AS6" s="206">
        <f t="shared" si="9"/>
        <v>807.33</v>
      </c>
      <c r="AT6" s="206">
        <f t="shared" si="10"/>
        <v>360.15</v>
      </c>
      <c r="AU6" s="206">
        <f t="shared" si="11"/>
        <v>82.5</v>
      </c>
      <c r="AV6" s="206">
        <f t="shared" si="12"/>
        <v>82.5</v>
      </c>
      <c r="AW6" s="206">
        <f t="shared" si="13"/>
        <v>1332.48</v>
      </c>
      <c r="AX6" s="400">
        <f t="shared" si="14"/>
        <v>1167.48</v>
      </c>
      <c r="AY6" s="400"/>
      <c r="AZ6" s="400">
        <f t="shared" si="15"/>
        <v>165</v>
      </c>
      <c r="BA6" s="400"/>
      <c r="BB6" s="215">
        <v>80</v>
      </c>
      <c r="BC6" s="214">
        <f t="shared" si="16"/>
        <v>1412.48</v>
      </c>
      <c r="BD6" s="216"/>
      <c r="BE6" s="229"/>
      <c r="BF6" s="229"/>
      <c r="BG6" s="229"/>
      <c r="BH6" s="229"/>
    </row>
    <row r="7" spans="1:60" s="161" customFormat="1" ht="18" customHeight="1">
      <c r="A7" s="168">
        <v>5</v>
      </c>
      <c r="B7" s="169" t="s">
        <v>162</v>
      </c>
      <c r="C7" s="99" t="s">
        <v>168</v>
      </c>
      <c r="D7" s="108" t="s">
        <v>138</v>
      </c>
      <c r="E7" s="109" t="s">
        <v>146</v>
      </c>
      <c r="F7" s="110" t="s">
        <v>175</v>
      </c>
      <c r="G7" s="111" t="s">
        <v>176</v>
      </c>
      <c r="H7" s="108" t="s">
        <v>166</v>
      </c>
      <c r="I7" s="108" t="s">
        <v>166</v>
      </c>
      <c r="J7" s="108" t="s">
        <v>167</v>
      </c>
      <c r="K7" s="108" t="s">
        <v>167</v>
      </c>
      <c r="L7" s="168">
        <v>3430</v>
      </c>
      <c r="M7" s="168">
        <v>0.16</v>
      </c>
      <c r="N7" s="168">
        <f t="shared" si="0"/>
        <v>548.79999999999995</v>
      </c>
      <c r="O7" s="168">
        <v>0.08</v>
      </c>
      <c r="P7" s="168">
        <f t="shared" si="1"/>
        <v>274.39999999999998</v>
      </c>
      <c r="Q7" s="168">
        <v>3430</v>
      </c>
      <c r="R7" s="168">
        <v>6.4000000000000001E-2</v>
      </c>
      <c r="S7" s="168">
        <f t="shared" si="2"/>
        <v>219.52</v>
      </c>
      <c r="T7" s="168">
        <v>0.02</v>
      </c>
      <c r="U7" s="168">
        <f t="shared" si="3"/>
        <v>68.599999999999994</v>
      </c>
      <c r="V7" s="168">
        <v>3430</v>
      </c>
      <c r="W7" s="168">
        <v>5.0000000000000001E-3</v>
      </c>
      <c r="X7" s="168">
        <f t="shared" si="4"/>
        <v>17.149999999999999</v>
      </c>
      <c r="Y7" s="168">
        <v>5.0000000000000001E-3</v>
      </c>
      <c r="Z7" s="168">
        <f t="shared" si="5"/>
        <v>17.149999999999999</v>
      </c>
      <c r="AA7" s="168"/>
      <c r="AB7" s="168"/>
      <c r="AC7" s="168"/>
      <c r="AD7" s="168">
        <v>3430</v>
      </c>
      <c r="AE7" s="168">
        <v>2E-3</v>
      </c>
      <c r="AF7" s="168">
        <f t="shared" si="6"/>
        <v>6.86</v>
      </c>
      <c r="AG7" s="168">
        <v>1650</v>
      </c>
      <c r="AH7" s="168">
        <v>0.05</v>
      </c>
      <c r="AI7" s="168">
        <f t="shared" si="7"/>
        <v>82.5</v>
      </c>
      <c r="AJ7" s="168">
        <v>0.05</v>
      </c>
      <c r="AK7" s="168">
        <f t="shared" si="8"/>
        <v>82.5</v>
      </c>
      <c r="AL7" s="201"/>
      <c r="AM7" s="168"/>
      <c r="AN7" s="168"/>
      <c r="AO7" s="168"/>
      <c r="AP7" s="109"/>
      <c r="AQ7" s="205">
        <v>15</v>
      </c>
      <c r="AR7" s="205"/>
      <c r="AS7" s="206">
        <f t="shared" si="9"/>
        <v>807.33</v>
      </c>
      <c r="AT7" s="206">
        <f t="shared" si="10"/>
        <v>360.15</v>
      </c>
      <c r="AU7" s="206">
        <f t="shared" si="11"/>
        <v>82.5</v>
      </c>
      <c r="AV7" s="206">
        <f t="shared" si="12"/>
        <v>82.5</v>
      </c>
      <c r="AW7" s="206">
        <f t="shared" si="13"/>
        <v>1332.48</v>
      </c>
      <c r="AX7" s="400">
        <f t="shared" si="14"/>
        <v>1167.48</v>
      </c>
      <c r="AY7" s="400"/>
      <c r="AZ7" s="400">
        <f t="shared" si="15"/>
        <v>165</v>
      </c>
      <c r="BA7" s="400"/>
      <c r="BB7" s="215">
        <v>80</v>
      </c>
      <c r="BC7" s="214">
        <f t="shared" si="16"/>
        <v>1412.48</v>
      </c>
      <c r="BD7" s="216"/>
      <c r="BE7" s="229"/>
      <c r="BF7" s="229"/>
      <c r="BG7" s="229"/>
      <c r="BH7" s="229"/>
    </row>
    <row r="8" spans="1:60" s="161" customFormat="1" ht="18" customHeight="1">
      <c r="A8" s="168">
        <v>6</v>
      </c>
      <c r="B8" s="169" t="s">
        <v>162</v>
      </c>
      <c r="C8" s="99" t="s">
        <v>168</v>
      </c>
      <c r="D8" s="108" t="s">
        <v>138</v>
      </c>
      <c r="E8" s="109" t="s">
        <v>146</v>
      </c>
      <c r="F8" s="110" t="s">
        <v>177</v>
      </c>
      <c r="G8" s="111" t="s">
        <v>178</v>
      </c>
      <c r="H8" s="108" t="s">
        <v>166</v>
      </c>
      <c r="I8" s="108" t="s">
        <v>166</v>
      </c>
      <c r="J8" s="108" t="s">
        <v>167</v>
      </c>
      <c r="K8" s="108" t="s">
        <v>167</v>
      </c>
      <c r="L8" s="168">
        <v>3430</v>
      </c>
      <c r="M8" s="168">
        <v>0.16</v>
      </c>
      <c r="N8" s="168">
        <f t="shared" si="0"/>
        <v>548.79999999999995</v>
      </c>
      <c r="O8" s="168">
        <v>0.08</v>
      </c>
      <c r="P8" s="168">
        <f t="shared" si="1"/>
        <v>274.39999999999998</v>
      </c>
      <c r="Q8" s="168">
        <v>3430</v>
      </c>
      <c r="R8" s="168">
        <v>6.4000000000000001E-2</v>
      </c>
      <c r="S8" s="168">
        <f t="shared" si="2"/>
        <v>219.52</v>
      </c>
      <c r="T8" s="168">
        <v>0.02</v>
      </c>
      <c r="U8" s="168">
        <f t="shared" si="3"/>
        <v>68.599999999999994</v>
      </c>
      <c r="V8" s="168">
        <v>3430</v>
      </c>
      <c r="W8" s="168">
        <v>5.0000000000000001E-3</v>
      </c>
      <c r="X8" s="168">
        <f t="shared" si="4"/>
        <v>17.149999999999999</v>
      </c>
      <c r="Y8" s="168">
        <v>5.0000000000000001E-3</v>
      </c>
      <c r="Z8" s="168">
        <f t="shared" si="5"/>
        <v>17.149999999999999</v>
      </c>
      <c r="AA8" s="168"/>
      <c r="AB8" s="168"/>
      <c r="AC8" s="168"/>
      <c r="AD8" s="168">
        <v>3430</v>
      </c>
      <c r="AE8" s="168">
        <v>2E-3</v>
      </c>
      <c r="AF8" s="168">
        <f t="shared" si="6"/>
        <v>6.86</v>
      </c>
      <c r="AG8" s="168">
        <v>1650</v>
      </c>
      <c r="AH8" s="168">
        <v>0.05</v>
      </c>
      <c r="AI8" s="168">
        <f t="shared" si="7"/>
        <v>82.5</v>
      </c>
      <c r="AJ8" s="168">
        <v>0.05</v>
      </c>
      <c r="AK8" s="168">
        <f t="shared" si="8"/>
        <v>82.5</v>
      </c>
      <c r="AL8" s="201"/>
      <c r="AM8" s="168"/>
      <c r="AN8" s="168"/>
      <c r="AO8" s="168"/>
      <c r="AP8" s="109"/>
      <c r="AQ8" s="205">
        <v>15</v>
      </c>
      <c r="AR8" s="205"/>
      <c r="AS8" s="206">
        <f t="shared" si="9"/>
        <v>807.33</v>
      </c>
      <c r="AT8" s="206">
        <f t="shared" si="10"/>
        <v>360.15</v>
      </c>
      <c r="AU8" s="206">
        <f t="shared" si="11"/>
        <v>82.5</v>
      </c>
      <c r="AV8" s="206">
        <f t="shared" si="12"/>
        <v>82.5</v>
      </c>
      <c r="AW8" s="206">
        <f t="shared" si="13"/>
        <v>1332.48</v>
      </c>
      <c r="AX8" s="400">
        <f t="shared" si="14"/>
        <v>1167.48</v>
      </c>
      <c r="AY8" s="400"/>
      <c r="AZ8" s="400">
        <f t="shared" si="15"/>
        <v>165</v>
      </c>
      <c r="BA8" s="400"/>
      <c r="BB8" s="215">
        <v>80</v>
      </c>
      <c r="BC8" s="214">
        <f t="shared" si="16"/>
        <v>1412.48</v>
      </c>
      <c r="BD8" s="216"/>
      <c r="BE8" s="229"/>
      <c r="BF8" s="229"/>
      <c r="BG8" s="229"/>
      <c r="BH8" s="229"/>
    </row>
    <row r="9" spans="1:60" s="161" customFormat="1" ht="18" customHeight="1">
      <c r="A9" s="168">
        <v>7</v>
      </c>
      <c r="B9" s="169" t="s">
        <v>162</v>
      </c>
      <c r="C9" s="99" t="s">
        <v>168</v>
      </c>
      <c r="D9" s="108" t="s">
        <v>138</v>
      </c>
      <c r="E9" s="109" t="s">
        <v>146</v>
      </c>
      <c r="F9" s="110" t="s">
        <v>179</v>
      </c>
      <c r="G9" s="111" t="s">
        <v>180</v>
      </c>
      <c r="H9" s="108" t="s">
        <v>166</v>
      </c>
      <c r="I9" s="108" t="s">
        <v>166</v>
      </c>
      <c r="J9" s="108" t="s">
        <v>167</v>
      </c>
      <c r="K9" s="108" t="s">
        <v>167</v>
      </c>
      <c r="L9" s="168">
        <v>3430</v>
      </c>
      <c r="M9" s="168">
        <v>0.16</v>
      </c>
      <c r="N9" s="168">
        <f t="shared" si="0"/>
        <v>548.79999999999995</v>
      </c>
      <c r="O9" s="168">
        <v>0.08</v>
      </c>
      <c r="P9" s="168">
        <f t="shared" si="1"/>
        <v>274.39999999999998</v>
      </c>
      <c r="Q9" s="168">
        <v>3430</v>
      </c>
      <c r="R9" s="168">
        <v>6.4000000000000001E-2</v>
      </c>
      <c r="S9" s="168">
        <f t="shared" si="2"/>
        <v>219.52</v>
      </c>
      <c r="T9" s="168">
        <v>0.02</v>
      </c>
      <c r="U9" s="168">
        <f t="shared" si="3"/>
        <v>68.599999999999994</v>
      </c>
      <c r="V9" s="168">
        <v>3430</v>
      </c>
      <c r="W9" s="168">
        <v>5.0000000000000001E-3</v>
      </c>
      <c r="X9" s="168">
        <f t="shared" si="4"/>
        <v>17.149999999999999</v>
      </c>
      <c r="Y9" s="168">
        <v>5.0000000000000001E-3</v>
      </c>
      <c r="Z9" s="168">
        <f t="shared" si="5"/>
        <v>17.149999999999999</v>
      </c>
      <c r="AA9" s="168"/>
      <c r="AB9" s="168"/>
      <c r="AC9" s="168"/>
      <c r="AD9" s="168">
        <v>3430</v>
      </c>
      <c r="AE9" s="168">
        <v>2E-3</v>
      </c>
      <c r="AF9" s="168">
        <f t="shared" si="6"/>
        <v>6.86</v>
      </c>
      <c r="AG9" s="168">
        <v>11000</v>
      </c>
      <c r="AH9" s="168">
        <v>0.12</v>
      </c>
      <c r="AI9" s="168">
        <f t="shared" si="7"/>
        <v>1320</v>
      </c>
      <c r="AJ9" s="168">
        <v>0.12</v>
      </c>
      <c r="AK9" s="168">
        <f t="shared" si="8"/>
        <v>1320</v>
      </c>
      <c r="AL9" s="201"/>
      <c r="AM9" s="168"/>
      <c r="AN9" s="168"/>
      <c r="AO9" s="168"/>
      <c r="AP9" s="109"/>
      <c r="AQ9" s="205">
        <v>15</v>
      </c>
      <c r="AR9" s="205"/>
      <c r="AS9" s="206">
        <f t="shared" si="9"/>
        <v>807.33</v>
      </c>
      <c r="AT9" s="206">
        <f t="shared" si="10"/>
        <v>360.15</v>
      </c>
      <c r="AU9" s="206">
        <f t="shared" si="11"/>
        <v>1320</v>
      </c>
      <c r="AV9" s="206">
        <f t="shared" si="12"/>
        <v>1320</v>
      </c>
      <c r="AW9" s="206">
        <f t="shared" si="13"/>
        <v>3807.48</v>
      </c>
      <c r="AX9" s="400">
        <f t="shared" si="14"/>
        <v>1167.48</v>
      </c>
      <c r="AY9" s="400"/>
      <c r="AZ9" s="400">
        <f t="shared" si="15"/>
        <v>2640</v>
      </c>
      <c r="BA9" s="400"/>
      <c r="BB9" s="215">
        <v>80</v>
      </c>
      <c r="BC9" s="214">
        <f t="shared" si="16"/>
        <v>3887.48</v>
      </c>
      <c r="BD9" s="216"/>
      <c r="BE9" s="229"/>
      <c r="BF9" s="229"/>
      <c r="BG9" s="229"/>
      <c r="BH9" s="229"/>
    </row>
    <row r="10" spans="1:60" s="161" customFormat="1" ht="18" customHeight="1">
      <c r="A10" s="168">
        <v>8</v>
      </c>
      <c r="B10" s="169" t="s">
        <v>162</v>
      </c>
      <c r="C10" s="99" t="s">
        <v>168</v>
      </c>
      <c r="D10" s="108" t="s">
        <v>138</v>
      </c>
      <c r="E10" s="109" t="s">
        <v>146</v>
      </c>
      <c r="F10" s="110" t="s">
        <v>181</v>
      </c>
      <c r="G10" s="111" t="s">
        <v>182</v>
      </c>
      <c r="H10" s="108" t="s">
        <v>166</v>
      </c>
      <c r="I10" s="108" t="s">
        <v>166</v>
      </c>
      <c r="J10" s="108" t="s">
        <v>167</v>
      </c>
      <c r="K10" s="108" t="s">
        <v>167</v>
      </c>
      <c r="L10" s="168">
        <v>3430</v>
      </c>
      <c r="M10" s="168">
        <v>0.16</v>
      </c>
      <c r="N10" s="168">
        <f t="shared" si="0"/>
        <v>548.79999999999995</v>
      </c>
      <c r="O10" s="168">
        <v>0.08</v>
      </c>
      <c r="P10" s="168">
        <f t="shared" si="1"/>
        <v>274.39999999999998</v>
      </c>
      <c r="Q10" s="168">
        <v>3430</v>
      </c>
      <c r="R10" s="168">
        <v>6.4000000000000001E-2</v>
      </c>
      <c r="S10" s="168">
        <f t="shared" si="2"/>
        <v>219.52</v>
      </c>
      <c r="T10" s="168">
        <v>0.02</v>
      </c>
      <c r="U10" s="168">
        <f t="shared" si="3"/>
        <v>68.599999999999994</v>
      </c>
      <c r="V10" s="168">
        <v>3430</v>
      </c>
      <c r="W10" s="168">
        <v>5.0000000000000001E-3</v>
      </c>
      <c r="X10" s="168">
        <f t="shared" si="4"/>
        <v>17.149999999999999</v>
      </c>
      <c r="Y10" s="168">
        <v>5.0000000000000001E-3</v>
      </c>
      <c r="Z10" s="168">
        <f t="shared" si="5"/>
        <v>17.149999999999999</v>
      </c>
      <c r="AA10" s="168"/>
      <c r="AB10" s="168"/>
      <c r="AC10" s="168"/>
      <c r="AD10" s="168">
        <v>3430</v>
      </c>
      <c r="AE10" s="168">
        <v>2E-3</v>
      </c>
      <c r="AF10" s="168">
        <f t="shared" si="6"/>
        <v>6.86</v>
      </c>
      <c r="AG10" s="168">
        <v>1650</v>
      </c>
      <c r="AH10" s="168">
        <v>0.05</v>
      </c>
      <c r="AI10" s="168">
        <f t="shared" si="7"/>
        <v>82.5</v>
      </c>
      <c r="AJ10" s="168">
        <v>0.05</v>
      </c>
      <c r="AK10" s="168">
        <f t="shared" si="8"/>
        <v>82.5</v>
      </c>
      <c r="AL10" s="201"/>
      <c r="AM10" s="168"/>
      <c r="AN10" s="168"/>
      <c r="AO10" s="168"/>
      <c r="AP10" s="109"/>
      <c r="AQ10" s="205">
        <v>15</v>
      </c>
      <c r="AR10" s="205"/>
      <c r="AS10" s="206">
        <f t="shared" si="9"/>
        <v>807.33</v>
      </c>
      <c r="AT10" s="206">
        <f t="shared" si="10"/>
        <v>360.15</v>
      </c>
      <c r="AU10" s="206">
        <f t="shared" si="11"/>
        <v>82.5</v>
      </c>
      <c r="AV10" s="206">
        <f t="shared" si="12"/>
        <v>82.5</v>
      </c>
      <c r="AW10" s="206">
        <f t="shared" si="13"/>
        <v>1332.48</v>
      </c>
      <c r="AX10" s="400">
        <f t="shared" si="14"/>
        <v>1167.48</v>
      </c>
      <c r="AY10" s="400"/>
      <c r="AZ10" s="400">
        <f t="shared" si="15"/>
        <v>165</v>
      </c>
      <c r="BA10" s="400"/>
      <c r="BB10" s="215">
        <v>80</v>
      </c>
      <c r="BC10" s="214">
        <f t="shared" si="16"/>
        <v>1412.48</v>
      </c>
      <c r="BD10" s="216"/>
      <c r="BE10" s="229"/>
      <c r="BF10" s="229"/>
      <c r="BG10" s="229"/>
      <c r="BH10" s="229"/>
    </row>
    <row r="11" spans="1:60" s="161" customFormat="1" ht="18" customHeight="1">
      <c r="A11" s="168">
        <v>9</v>
      </c>
      <c r="B11" s="169" t="s">
        <v>162</v>
      </c>
      <c r="C11" s="99" t="s">
        <v>168</v>
      </c>
      <c r="D11" s="108" t="s">
        <v>138</v>
      </c>
      <c r="E11" s="109" t="s">
        <v>146</v>
      </c>
      <c r="F11" s="110" t="s">
        <v>183</v>
      </c>
      <c r="G11" s="111" t="s">
        <v>184</v>
      </c>
      <c r="H11" s="108" t="s">
        <v>166</v>
      </c>
      <c r="I11" s="108" t="s">
        <v>166</v>
      </c>
      <c r="J11" s="108" t="s">
        <v>167</v>
      </c>
      <c r="K11" s="108" t="s">
        <v>167</v>
      </c>
      <c r="L11" s="168">
        <v>3430</v>
      </c>
      <c r="M11" s="168">
        <v>0.16</v>
      </c>
      <c r="N11" s="168">
        <f t="shared" si="0"/>
        <v>548.79999999999995</v>
      </c>
      <c r="O11" s="168">
        <v>0.08</v>
      </c>
      <c r="P11" s="168">
        <f t="shared" si="1"/>
        <v>274.39999999999998</v>
      </c>
      <c r="Q11" s="168">
        <v>3430</v>
      </c>
      <c r="R11" s="168">
        <v>6.4000000000000001E-2</v>
      </c>
      <c r="S11" s="168">
        <f t="shared" si="2"/>
        <v>219.52</v>
      </c>
      <c r="T11" s="168">
        <v>0.02</v>
      </c>
      <c r="U11" s="168">
        <f t="shared" si="3"/>
        <v>68.599999999999994</v>
      </c>
      <c r="V11" s="168">
        <v>3430</v>
      </c>
      <c r="W11" s="168">
        <v>5.0000000000000001E-3</v>
      </c>
      <c r="X11" s="168">
        <f t="shared" si="4"/>
        <v>17.149999999999999</v>
      </c>
      <c r="Y11" s="168">
        <v>5.0000000000000001E-3</v>
      </c>
      <c r="Z11" s="168">
        <f t="shared" si="5"/>
        <v>17.149999999999999</v>
      </c>
      <c r="AA11" s="168"/>
      <c r="AB11" s="168"/>
      <c r="AC11" s="168"/>
      <c r="AD11" s="168">
        <v>3430</v>
      </c>
      <c r="AE11" s="168">
        <v>2E-3</v>
      </c>
      <c r="AF11" s="168">
        <f t="shared" si="6"/>
        <v>6.86</v>
      </c>
      <c r="AG11" s="168">
        <v>1650</v>
      </c>
      <c r="AH11" s="168">
        <v>0.05</v>
      </c>
      <c r="AI11" s="168">
        <f t="shared" si="7"/>
        <v>82.5</v>
      </c>
      <c r="AJ11" s="168">
        <v>0.05</v>
      </c>
      <c r="AK11" s="168">
        <f t="shared" si="8"/>
        <v>82.5</v>
      </c>
      <c r="AL11" s="201"/>
      <c r="AM11" s="168"/>
      <c r="AN11" s="168"/>
      <c r="AO11" s="168"/>
      <c r="AP11" s="109"/>
      <c r="AQ11" s="205">
        <v>15</v>
      </c>
      <c r="AR11" s="205"/>
      <c r="AS11" s="206">
        <f t="shared" si="9"/>
        <v>807.33</v>
      </c>
      <c r="AT11" s="206">
        <f t="shared" si="10"/>
        <v>360.15</v>
      </c>
      <c r="AU11" s="206">
        <f t="shared" si="11"/>
        <v>82.5</v>
      </c>
      <c r="AV11" s="206">
        <f t="shared" si="12"/>
        <v>82.5</v>
      </c>
      <c r="AW11" s="206">
        <f t="shared" si="13"/>
        <v>1332.48</v>
      </c>
      <c r="AX11" s="400">
        <f t="shared" si="14"/>
        <v>1167.48</v>
      </c>
      <c r="AY11" s="400"/>
      <c r="AZ11" s="400">
        <f t="shared" si="15"/>
        <v>165</v>
      </c>
      <c r="BA11" s="400"/>
      <c r="BB11" s="215">
        <v>80</v>
      </c>
      <c r="BC11" s="214">
        <f t="shared" si="16"/>
        <v>1412.48</v>
      </c>
      <c r="BD11" s="216"/>
      <c r="BE11" s="229"/>
      <c r="BF11" s="229"/>
      <c r="BG11" s="229"/>
      <c r="BH11" s="229"/>
    </row>
    <row r="12" spans="1:60" s="161" customFormat="1" ht="18" customHeight="1">
      <c r="A12" s="168">
        <v>10</v>
      </c>
      <c r="B12" s="169" t="s">
        <v>162</v>
      </c>
      <c r="C12" s="99" t="s">
        <v>168</v>
      </c>
      <c r="D12" s="108" t="s">
        <v>138</v>
      </c>
      <c r="E12" s="109" t="s">
        <v>146</v>
      </c>
      <c r="F12" s="110" t="s">
        <v>185</v>
      </c>
      <c r="G12" s="111" t="s">
        <v>186</v>
      </c>
      <c r="H12" s="108" t="s">
        <v>166</v>
      </c>
      <c r="I12" s="108" t="s">
        <v>166</v>
      </c>
      <c r="J12" s="108" t="s">
        <v>167</v>
      </c>
      <c r="K12" s="108" t="s">
        <v>167</v>
      </c>
      <c r="L12" s="168">
        <v>3430</v>
      </c>
      <c r="M12" s="168">
        <v>0.16</v>
      </c>
      <c r="N12" s="168">
        <f t="shared" si="0"/>
        <v>548.79999999999995</v>
      </c>
      <c r="O12" s="168">
        <v>0.08</v>
      </c>
      <c r="P12" s="168">
        <f t="shared" si="1"/>
        <v>274.39999999999998</v>
      </c>
      <c r="Q12" s="168">
        <v>3430</v>
      </c>
      <c r="R12" s="168">
        <v>6.4000000000000001E-2</v>
      </c>
      <c r="S12" s="168">
        <f t="shared" si="2"/>
        <v>219.52</v>
      </c>
      <c r="T12" s="168">
        <v>0.02</v>
      </c>
      <c r="U12" s="168">
        <f t="shared" si="3"/>
        <v>68.599999999999994</v>
      </c>
      <c r="V12" s="168">
        <v>3430</v>
      </c>
      <c r="W12" s="168">
        <v>5.0000000000000001E-3</v>
      </c>
      <c r="X12" s="168">
        <f t="shared" si="4"/>
        <v>17.149999999999999</v>
      </c>
      <c r="Y12" s="168">
        <v>5.0000000000000001E-3</v>
      </c>
      <c r="Z12" s="168">
        <f t="shared" si="5"/>
        <v>17.149999999999999</v>
      </c>
      <c r="AA12" s="168"/>
      <c r="AB12" s="168"/>
      <c r="AC12" s="168"/>
      <c r="AD12" s="168">
        <v>3430</v>
      </c>
      <c r="AE12" s="168">
        <v>2E-3</v>
      </c>
      <c r="AF12" s="168">
        <f t="shared" si="6"/>
        <v>6.86</v>
      </c>
      <c r="AG12" s="168">
        <v>1650</v>
      </c>
      <c r="AH12" s="168">
        <v>0.05</v>
      </c>
      <c r="AI12" s="168">
        <f t="shared" si="7"/>
        <v>82.5</v>
      </c>
      <c r="AJ12" s="168">
        <v>0.05</v>
      </c>
      <c r="AK12" s="168">
        <f t="shared" si="8"/>
        <v>82.5</v>
      </c>
      <c r="AL12" s="201"/>
      <c r="AM12" s="168"/>
      <c r="AN12" s="168"/>
      <c r="AO12" s="168"/>
      <c r="AP12" s="109"/>
      <c r="AQ12" s="205">
        <v>15</v>
      </c>
      <c r="AR12" s="205"/>
      <c r="AS12" s="206">
        <f t="shared" si="9"/>
        <v>807.33</v>
      </c>
      <c r="AT12" s="206">
        <f t="shared" si="10"/>
        <v>360.15</v>
      </c>
      <c r="AU12" s="206">
        <f t="shared" si="11"/>
        <v>82.5</v>
      </c>
      <c r="AV12" s="206">
        <f t="shared" si="12"/>
        <v>82.5</v>
      </c>
      <c r="AW12" s="206">
        <f t="shared" si="13"/>
        <v>1332.48</v>
      </c>
      <c r="AX12" s="400">
        <f t="shared" si="14"/>
        <v>1167.48</v>
      </c>
      <c r="AY12" s="400"/>
      <c r="AZ12" s="400">
        <f t="shared" si="15"/>
        <v>165</v>
      </c>
      <c r="BA12" s="400"/>
      <c r="BB12" s="215">
        <v>80</v>
      </c>
      <c r="BC12" s="214">
        <f t="shared" si="16"/>
        <v>1412.48</v>
      </c>
      <c r="BD12" s="216"/>
      <c r="BE12" s="229"/>
      <c r="BF12" s="229"/>
      <c r="BG12" s="229"/>
      <c r="BH12" s="229"/>
    </row>
    <row r="13" spans="1:60" s="161" customFormat="1" ht="18" customHeight="1">
      <c r="A13" s="168">
        <v>11</v>
      </c>
      <c r="B13" s="169" t="s">
        <v>162</v>
      </c>
      <c r="C13" s="99" t="s">
        <v>168</v>
      </c>
      <c r="D13" s="108" t="s">
        <v>138</v>
      </c>
      <c r="E13" s="109" t="s">
        <v>146</v>
      </c>
      <c r="F13" s="110" t="s">
        <v>187</v>
      </c>
      <c r="G13" s="316" t="s">
        <v>188</v>
      </c>
      <c r="H13" s="108" t="s">
        <v>166</v>
      </c>
      <c r="I13" s="108" t="s">
        <v>166</v>
      </c>
      <c r="J13" s="108" t="s">
        <v>167</v>
      </c>
      <c r="K13" s="108" t="s">
        <v>167</v>
      </c>
      <c r="L13" s="168">
        <v>3430</v>
      </c>
      <c r="M13" s="168">
        <v>0.16</v>
      </c>
      <c r="N13" s="168">
        <f t="shared" si="0"/>
        <v>548.79999999999995</v>
      </c>
      <c r="O13" s="168">
        <v>0.08</v>
      </c>
      <c r="P13" s="168">
        <f t="shared" si="1"/>
        <v>274.39999999999998</v>
      </c>
      <c r="Q13" s="168">
        <v>3430</v>
      </c>
      <c r="R13" s="168">
        <v>6.4000000000000001E-2</v>
      </c>
      <c r="S13" s="168">
        <f t="shared" si="2"/>
        <v>219.52</v>
      </c>
      <c r="T13" s="168">
        <v>0.02</v>
      </c>
      <c r="U13" s="168">
        <f t="shared" si="3"/>
        <v>68.599999999999994</v>
      </c>
      <c r="V13" s="168">
        <v>3430</v>
      </c>
      <c r="W13" s="168">
        <v>5.0000000000000001E-3</v>
      </c>
      <c r="X13" s="168">
        <f t="shared" si="4"/>
        <v>17.149999999999999</v>
      </c>
      <c r="Y13" s="168">
        <v>5.0000000000000001E-3</v>
      </c>
      <c r="Z13" s="168">
        <f t="shared" si="5"/>
        <v>17.149999999999999</v>
      </c>
      <c r="AA13" s="168"/>
      <c r="AB13" s="168"/>
      <c r="AC13" s="168"/>
      <c r="AD13" s="168">
        <v>3430</v>
      </c>
      <c r="AE13" s="168">
        <v>2E-3</v>
      </c>
      <c r="AF13" s="168">
        <f t="shared" si="6"/>
        <v>6.86</v>
      </c>
      <c r="AG13" s="168">
        <v>1650</v>
      </c>
      <c r="AH13" s="168">
        <v>0.05</v>
      </c>
      <c r="AI13" s="168">
        <f t="shared" si="7"/>
        <v>82.5</v>
      </c>
      <c r="AJ13" s="168">
        <v>0.05</v>
      </c>
      <c r="AK13" s="168">
        <f t="shared" si="8"/>
        <v>82.5</v>
      </c>
      <c r="AL13" s="201"/>
      <c r="AM13" s="168"/>
      <c r="AN13" s="168"/>
      <c r="AO13" s="168"/>
      <c r="AP13" s="109"/>
      <c r="AQ13" s="205">
        <v>15</v>
      </c>
      <c r="AR13" s="205"/>
      <c r="AS13" s="206">
        <f t="shared" si="9"/>
        <v>807.33</v>
      </c>
      <c r="AT13" s="206">
        <f t="shared" si="10"/>
        <v>360.15</v>
      </c>
      <c r="AU13" s="206">
        <f t="shared" si="11"/>
        <v>82.5</v>
      </c>
      <c r="AV13" s="206">
        <f t="shared" si="12"/>
        <v>82.5</v>
      </c>
      <c r="AW13" s="206">
        <f t="shared" si="13"/>
        <v>1332.48</v>
      </c>
      <c r="AX13" s="400">
        <f t="shared" si="14"/>
        <v>1167.48</v>
      </c>
      <c r="AY13" s="400"/>
      <c r="AZ13" s="400">
        <f t="shared" si="15"/>
        <v>165</v>
      </c>
      <c r="BA13" s="400"/>
      <c r="BB13" s="215">
        <v>80</v>
      </c>
      <c r="BC13" s="214">
        <f t="shared" si="16"/>
        <v>1412.48</v>
      </c>
      <c r="BD13" s="216"/>
      <c r="BE13" s="229"/>
      <c r="BF13" s="229"/>
      <c r="BG13" s="229"/>
      <c r="BH13" s="229"/>
    </row>
    <row r="14" spans="1:60" s="161" customFormat="1" ht="18" customHeight="1">
      <c r="A14" s="168">
        <v>12</v>
      </c>
      <c r="B14" s="169" t="s">
        <v>162</v>
      </c>
      <c r="C14" s="99" t="s">
        <v>168</v>
      </c>
      <c r="D14" s="108" t="s">
        <v>138</v>
      </c>
      <c r="E14" s="109" t="s">
        <v>146</v>
      </c>
      <c r="F14" s="110" t="s">
        <v>189</v>
      </c>
      <c r="G14" s="316" t="s">
        <v>190</v>
      </c>
      <c r="H14" s="108" t="s">
        <v>166</v>
      </c>
      <c r="I14" s="108" t="s">
        <v>166</v>
      </c>
      <c r="J14" s="108" t="s">
        <v>167</v>
      </c>
      <c r="K14" s="108" t="s">
        <v>167</v>
      </c>
      <c r="L14" s="168">
        <v>3430</v>
      </c>
      <c r="M14" s="168">
        <v>0.16</v>
      </c>
      <c r="N14" s="168">
        <f t="shared" si="0"/>
        <v>548.79999999999995</v>
      </c>
      <c r="O14" s="168">
        <v>0.08</v>
      </c>
      <c r="P14" s="168">
        <f t="shared" si="1"/>
        <v>274.39999999999998</v>
      </c>
      <c r="Q14" s="168">
        <v>3430</v>
      </c>
      <c r="R14" s="168">
        <v>6.4000000000000001E-2</v>
      </c>
      <c r="S14" s="168">
        <f t="shared" si="2"/>
        <v>219.52</v>
      </c>
      <c r="T14" s="168">
        <v>0.02</v>
      </c>
      <c r="U14" s="168">
        <f t="shared" si="3"/>
        <v>68.599999999999994</v>
      </c>
      <c r="V14" s="168">
        <v>3430</v>
      </c>
      <c r="W14" s="168">
        <v>5.0000000000000001E-3</v>
      </c>
      <c r="X14" s="168">
        <f t="shared" si="4"/>
        <v>17.149999999999999</v>
      </c>
      <c r="Y14" s="168">
        <v>5.0000000000000001E-3</v>
      </c>
      <c r="Z14" s="168">
        <f t="shared" si="5"/>
        <v>17.149999999999999</v>
      </c>
      <c r="AA14" s="168"/>
      <c r="AB14" s="168"/>
      <c r="AC14" s="168"/>
      <c r="AD14" s="168">
        <v>3430</v>
      </c>
      <c r="AE14" s="168">
        <v>2E-3</v>
      </c>
      <c r="AF14" s="168">
        <f t="shared" si="6"/>
        <v>6.86</v>
      </c>
      <c r="AG14" s="168">
        <v>1650</v>
      </c>
      <c r="AH14" s="168">
        <v>0.05</v>
      </c>
      <c r="AI14" s="168">
        <f t="shared" si="7"/>
        <v>82.5</v>
      </c>
      <c r="AJ14" s="168">
        <v>0.05</v>
      </c>
      <c r="AK14" s="168">
        <f t="shared" si="8"/>
        <v>82.5</v>
      </c>
      <c r="AL14" s="201"/>
      <c r="AM14" s="168"/>
      <c r="AN14" s="168"/>
      <c r="AO14" s="168"/>
      <c r="AP14" s="109"/>
      <c r="AQ14" s="205">
        <v>15</v>
      </c>
      <c r="AR14" s="205"/>
      <c r="AS14" s="206">
        <f t="shared" si="9"/>
        <v>807.33</v>
      </c>
      <c r="AT14" s="206">
        <f t="shared" si="10"/>
        <v>360.15</v>
      </c>
      <c r="AU14" s="206">
        <f t="shared" si="11"/>
        <v>82.5</v>
      </c>
      <c r="AV14" s="206">
        <f t="shared" si="12"/>
        <v>82.5</v>
      </c>
      <c r="AW14" s="206">
        <f t="shared" si="13"/>
        <v>1332.48</v>
      </c>
      <c r="AX14" s="400">
        <f t="shared" si="14"/>
        <v>1167.48</v>
      </c>
      <c r="AY14" s="400"/>
      <c r="AZ14" s="400">
        <f t="shared" si="15"/>
        <v>165</v>
      </c>
      <c r="BA14" s="400"/>
      <c r="BB14" s="215">
        <v>80</v>
      </c>
      <c r="BC14" s="214">
        <f t="shared" si="16"/>
        <v>1412.48</v>
      </c>
      <c r="BD14" s="216"/>
      <c r="BE14" s="229"/>
      <c r="BF14" s="229"/>
      <c r="BG14" s="229"/>
      <c r="BH14" s="229"/>
    </row>
    <row r="15" spans="1:60" s="161" customFormat="1" ht="18.95" customHeight="1">
      <c r="A15" s="168">
        <v>13</v>
      </c>
      <c r="B15" s="169" t="s">
        <v>162</v>
      </c>
      <c r="C15" s="99" t="s">
        <v>168</v>
      </c>
      <c r="D15" s="108" t="s">
        <v>138</v>
      </c>
      <c r="E15" s="109" t="s">
        <v>146</v>
      </c>
      <c r="F15" s="110" t="s">
        <v>191</v>
      </c>
      <c r="G15" s="316" t="s">
        <v>192</v>
      </c>
      <c r="H15" s="108" t="s">
        <v>166</v>
      </c>
      <c r="I15" s="108" t="s">
        <v>166</v>
      </c>
      <c r="J15" s="108" t="s">
        <v>167</v>
      </c>
      <c r="K15" s="108" t="s">
        <v>167</v>
      </c>
      <c r="L15" s="168">
        <v>3430</v>
      </c>
      <c r="M15" s="168">
        <v>0.16</v>
      </c>
      <c r="N15" s="168">
        <f t="shared" si="0"/>
        <v>548.79999999999995</v>
      </c>
      <c r="O15" s="168">
        <v>0.08</v>
      </c>
      <c r="P15" s="168">
        <f t="shared" si="1"/>
        <v>274.39999999999998</v>
      </c>
      <c r="Q15" s="168">
        <v>3430</v>
      </c>
      <c r="R15" s="168">
        <v>6.4000000000000001E-2</v>
      </c>
      <c r="S15" s="168">
        <f t="shared" si="2"/>
        <v>219.52</v>
      </c>
      <c r="T15" s="168">
        <v>0.02</v>
      </c>
      <c r="U15" s="168">
        <f t="shared" si="3"/>
        <v>68.599999999999994</v>
      </c>
      <c r="V15" s="168">
        <v>3430</v>
      </c>
      <c r="W15" s="168">
        <v>5.0000000000000001E-3</v>
      </c>
      <c r="X15" s="168">
        <f t="shared" si="4"/>
        <v>17.149999999999999</v>
      </c>
      <c r="Y15" s="168">
        <v>5.0000000000000001E-3</v>
      </c>
      <c r="Z15" s="168">
        <f t="shared" si="5"/>
        <v>17.149999999999999</v>
      </c>
      <c r="AA15" s="168"/>
      <c r="AB15" s="168"/>
      <c r="AC15" s="168"/>
      <c r="AD15" s="168">
        <v>3430</v>
      </c>
      <c r="AE15" s="168">
        <v>2E-3</v>
      </c>
      <c r="AF15" s="168">
        <f t="shared" si="6"/>
        <v>6.86</v>
      </c>
      <c r="AG15" s="168">
        <v>1650</v>
      </c>
      <c r="AH15" s="168">
        <v>0.05</v>
      </c>
      <c r="AI15" s="168">
        <f t="shared" si="7"/>
        <v>82.5</v>
      </c>
      <c r="AJ15" s="168">
        <v>0.05</v>
      </c>
      <c r="AK15" s="168">
        <f t="shared" si="8"/>
        <v>82.5</v>
      </c>
      <c r="AL15" s="201"/>
      <c r="AM15" s="168"/>
      <c r="AN15" s="168"/>
      <c r="AO15" s="168"/>
      <c r="AP15" s="109"/>
      <c r="AQ15" s="205">
        <v>15</v>
      </c>
      <c r="AR15" s="205"/>
      <c r="AS15" s="206">
        <f t="shared" si="9"/>
        <v>807.33</v>
      </c>
      <c r="AT15" s="206">
        <f t="shared" si="10"/>
        <v>360.15</v>
      </c>
      <c r="AU15" s="206">
        <f t="shared" si="11"/>
        <v>82.5</v>
      </c>
      <c r="AV15" s="206">
        <f t="shared" si="12"/>
        <v>82.5</v>
      </c>
      <c r="AW15" s="206">
        <f t="shared" si="13"/>
        <v>1332.48</v>
      </c>
      <c r="AX15" s="400">
        <f t="shared" si="14"/>
        <v>1167.48</v>
      </c>
      <c r="AY15" s="400"/>
      <c r="AZ15" s="400">
        <f t="shared" si="15"/>
        <v>165</v>
      </c>
      <c r="BA15" s="400"/>
      <c r="BB15" s="215">
        <v>80</v>
      </c>
      <c r="BC15" s="214">
        <f t="shared" si="16"/>
        <v>1412.48</v>
      </c>
      <c r="BD15" s="216"/>
      <c r="BE15" s="229"/>
      <c r="BF15" s="229"/>
      <c r="BG15" s="229"/>
      <c r="BH15" s="229"/>
    </row>
    <row r="16" spans="1:60" s="162" customFormat="1" ht="18.95" customHeight="1">
      <c r="A16" s="170">
        <v>14</v>
      </c>
      <c r="B16" s="171" t="s">
        <v>162</v>
      </c>
      <c r="C16" s="172" t="s">
        <v>168</v>
      </c>
      <c r="D16" s="173" t="s">
        <v>138</v>
      </c>
      <c r="E16" s="174" t="s">
        <v>146</v>
      </c>
      <c r="F16" s="175" t="s">
        <v>193</v>
      </c>
      <c r="G16" s="176" t="s">
        <v>194</v>
      </c>
      <c r="H16" s="173" t="s">
        <v>195</v>
      </c>
      <c r="I16" s="173" t="s">
        <v>195</v>
      </c>
      <c r="J16" s="173" t="s">
        <v>167</v>
      </c>
      <c r="K16" s="173" t="s">
        <v>167</v>
      </c>
      <c r="L16" s="170">
        <v>3430</v>
      </c>
      <c r="M16" s="170">
        <v>0.16</v>
      </c>
      <c r="N16" s="170">
        <f t="shared" si="0"/>
        <v>548.79999999999995</v>
      </c>
      <c r="O16" s="170">
        <v>0.08</v>
      </c>
      <c r="P16" s="170">
        <f t="shared" si="1"/>
        <v>274.39999999999998</v>
      </c>
      <c r="Q16" s="170">
        <v>3430</v>
      </c>
      <c r="R16" s="170">
        <v>6.4000000000000001E-2</v>
      </c>
      <c r="S16" s="170">
        <f t="shared" si="2"/>
        <v>219.52</v>
      </c>
      <c r="T16" s="170">
        <v>0.02</v>
      </c>
      <c r="U16" s="170">
        <f t="shared" si="3"/>
        <v>68.599999999999994</v>
      </c>
      <c r="V16" s="170">
        <v>3430</v>
      </c>
      <c r="W16" s="170">
        <v>5.0000000000000001E-3</v>
      </c>
      <c r="X16" s="170">
        <f t="shared" si="4"/>
        <v>17.149999999999999</v>
      </c>
      <c r="Y16" s="170">
        <v>5.0000000000000001E-3</v>
      </c>
      <c r="Z16" s="170">
        <f t="shared" si="5"/>
        <v>17.149999999999999</v>
      </c>
      <c r="AA16" s="170"/>
      <c r="AB16" s="170"/>
      <c r="AC16" s="170"/>
      <c r="AD16" s="170">
        <v>3430</v>
      </c>
      <c r="AE16" s="170">
        <v>2E-3</v>
      </c>
      <c r="AF16" s="170">
        <f t="shared" si="6"/>
        <v>6.86</v>
      </c>
      <c r="AG16" s="170">
        <v>1650</v>
      </c>
      <c r="AH16" s="170">
        <v>0.05</v>
      </c>
      <c r="AI16" s="170">
        <f t="shared" si="7"/>
        <v>82.5</v>
      </c>
      <c r="AJ16" s="170">
        <v>0.05</v>
      </c>
      <c r="AK16" s="170">
        <f t="shared" si="8"/>
        <v>82.5</v>
      </c>
      <c r="AL16" s="202"/>
      <c r="AM16" s="170"/>
      <c r="AN16" s="170"/>
      <c r="AO16" s="170"/>
      <c r="AP16" s="174"/>
      <c r="AQ16" s="207">
        <v>15</v>
      </c>
      <c r="AR16" s="207"/>
      <c r="AS16" s="208">
        <f t="shared" si="9"/>
        <v>807.33</v>
      </c>
      <c r="AT16" s="208">
        <f t="shared" si="10"/>
        <v>360.15</v>
      </c>
      <c r="AU16" s="208">
        <f t="shared" si="11"/>
        <v>82.5</v>
      </c>
      <c r="AV16" s="208">
        <f t="shared" si="12"/>
        <v>82.5</v>
      </c>
      <c r="AW16" s="208">
        <f t="shared" si="13"/>
        <v>1332.48</v>
      </c>
      <c r="AX16" s="408">
        <f t="shared" si="14"/>
        <v>1167.48</v>
      </c>
      <c r="AY16" s="408"/>
      <c r="AZ16" s="408">
        <f t="shared" si="15"/>
        <v>165</v>
      </c>
      <c r="BA16" s="408"/>
      <c r="BB16" s="218">
        <v>80</v>
      </c>
      <c r="BC16" s="217">
        <f t="shared" si="16"/>
        <v>1412.48</v>
      </c>
      <c r="BD16" s="219"/>
      <c r="BE16" s="230"/>
      <c r="BF16" s="230"/>
      <c r="BG16" s="230"/>
      <c r="BH16" s="230"/>
    </row>
    <row r="17" spans="1:60" s="162" customFormat="1" ht="18.95" customHeight="1">
      <c r="A17" s="170">
        <v>15</v>
      </c>
      <c r="B17" s="171" t="s">
        <v>162</v>
      </c>
      <c r="C17" s="172" t="s">
        <v>168</v>
      </c>
      <c r="D17" s="173" t="s">
        <v>138</v>
      </c>
      <c r="E17" s="174" t="s">
        <v>146</v>
      </c>
      <c r="F17" s="175" t="s">
        <v>196</v>
      </c>
      <c r="G17" s="176" t="s">
        <v>197</v>
      </c>
      <c r="H17" s="173" t="s">
        <v>195</v>
      </c>
      <c r="I17" s="173" t="s">
        <v>195</v>
      </c>
      <c r="J17" s="173" t="s">
        <v>167</v>
      </c>
      <c r="K17" s="173" t="s">
        <v>167</v>
      </c>
      <c r="L17" s="170">
        <v>3430</v>
      </c>
      <c r="M17" s="170">
        <v>0.16</v>
      </c>
      <c r="N17" s="170">
        <f t="shared" si="0"/>
        <v>548.79999999999995</v>
      </c>
      <c r="O17" s="170">
        <v>0.08</v>
      </c>
      <c r="P17" s="170">
        <f t="shared" si="1"/>
        <v>274.39999999999998</v>
      </c>
      <c r="Q17" s="170">
        <v>3430</v>
      </c>
      <c r="R17" s="170">
        <v>6.4000000000000001E-2</v>
      </c>
      <c r="S17" s="170">
        <f t="shared" si="2"/>
        <v>219.52</v>
      </c>
      <c r="T17" s="170">
        <v>0.02</v>
      </c>
      <c r="U17" s="170">
        <f t="shared" si="3"/>
        <v>68.599999999999994</v>
      </c>
      <c r="V17" s="170">
        <v>3430</v>
      </c>
      <c r="W17" s="170">
        <v>5.0000000000000001E-3</v>
      </c>
      <c r="X17" s="170">
        <f t="shared" si="4"/>
        <v>17.149999999999999</v>
      </c>
      <c r="Y17" s="170">
        <v>5.0000000000000001E-3</v>
      </c>
      <c r="Z17" s="170">
        <f t="shared" si="5"/>
        <v>17.149999999999999</v>
      </c>
      <c r="AA17" s="170"/>
      <c r="AB17" s="170"/>
      <c r="AC17" s="170"/>
      <c r="AD17" s="170">
        <v>3430</v>
      </c>
      <c r="AE17" s="170">
        <v>2E-3</v>
      </c>
      <c r="AF17" s="170">
        <f t="shared" si="6"/>
        <v>6.86</v>
      </c>
      <c r="AG17" s="170">
        <v>1650</v>
      </c>
      <c r="AH17" s="170">
        <v>0.05</v>
      </c>
      <c r="AI17" s="170">
        <f t="shared" si="7"/>
        <v>82.5</v>
      </c>
      <c r="AJ17" s="170">
        <v>0.05</v>
      </c>
      <c r="AK17" s="170">
        <f t="shared" si="8"/>
        <v>82.5</v>
      </c>
      <c r="AL17" s="202"/>
      <c r="AM17" s="170"/>
      <c r="AN17" s="170"/>
      <c r="AO17" s="170"/>
      <c r="AP17" s="174"/>
      <c r="AQ17" s="207">
        <v>15</v>
      </c>
      <c r="AR17" s="207"/>
      <c r="AS17" s="208">
        <f t="shared" si="9"/>
        <v>807.33</v>
      </c>
      <c r="AT17" s="208">
        <f t="shared" si="10"/>
        <v>360.15</v>
      </c>
      <c r="AU17" s="208">
        <f t="shared" si="11"/>
        <v>82.5</v>
      </c>
      <c r="AV17" s="208">
        <f t="shared" si="12"/>
        <v>82.5</v>
      </c>
      <c r="AW17" s="208">
        <f t="shared" si="13"/>
        <v>1332.48</v>
      </c>
      <c r="AX17" s="408">
        <f t="shared" si="14"/>
        <v>1167.48</v>
      </c>
      <c r="AY17" s="408"/>
      <c r="AZ17" s="408">
        <f t="shared" si="15"/>
        <v>165</v>
      </c>
      <c r="BA17" s="408"/>
      <c r="BB17" s="218">
        <v>80</v>
      </c>
      <c r="BC17" s="217">
        <f t="shared" si="16"/>
        <v>1412.48</v>
      </c>
      <c r="BD17" s="219"/>
      <c r="BE17" s="230"/>
      <c r="BF17" s="230"/>
      <c r="BG17" s="230"/>
      <c r="BH17" s="230"/>
    </row>
    <row r="18" spans="1:60" s="162" customFormat="1" ht="18.95" customHeight="1">
      <c r="A18" s="170" t="s">
        <v>148</v>
      </c>
      <c r="B18" s="171" t="s">
        <v>162</v>
      </c>
      <c r="C18" s="172" t="s">
        <v>168</v>
      </c>
      <c r="D18" s="173" t="s">
        <v>138</v>
      </c>
      <c r="E18" s="174" t="s">
        <v>146</v>
      </c>
      <c r="F18" s="175" t="s">
        <v>193</v>
      </c>
      <c r="G18" s="176" t="s">
        <v>194</v>
      </c>
      <c r="H18" s="173" t="s">
        <v>195</v>
      </c>
      <c r="I18" s="173" t="s">
        <v>195</v>
      </c>
      <c r="J18" s="173" t="s">
        <v>195</v>
      </c>
      <c r="K18" s="173" t="s">
        <v>195</v>
      </c>
      <c r="L18" s="170">
        <v>3430</v>
      </c>
      <c r="M18" s="170">
        <v>0.16</v>
      </c>
      <c r="N18" s="170">
        <f t="shared" si="0"/>
        <v>548.79999999999995</v>
      </c>
      <c r="O18" s="170">
        <v>0.08</v>
      </c>
      <c r="P18" s="170">
        <f t="shared" si="1"/>
        <v>274.39999999999998</v>
      </c>
      <c r="Q18" s="170">
        <v>3430</v>
      </c>
      <c r="R18" s="170">
        <v>6.4000000000000001E-2</v>
      </c>
      <c r="S18" s="170">
        <f t="shared" si="2"/>
        <v>219.52</v>
      </c>
      <c r="T18" s="170">
        <v>0.02</v>
      </c>
      <c r="U18" s="170">
        <f t="shared" si="3"/>
        <v>68.599999999999994</v>
      </c>
      <c r="V18" s="170">
        <v>3430</v>
      </c>
      <c r="W18" s="170">
        <v>5.0000000000000001E-3</v>
      </c>
      <c r="X18" s="170">
        <f t="shared" si="4"/>
        <v>17.149999999999999</v>
      </c>
      <c r="Y18" s="170">
        <v>5.0000000000000001E-3</v>
      </c>
      <c r="Z18" s="170">
        <f t="shared" si="5"/>
        <v>17.149999999999999</v>
      </c>
      <c r="AA18" s="170"/>
      <c r="AB18" s="170"/>
      <c r="AC18" s="170"/>
      <c r="AD18" s="170">
        <v>3430</v>
      </c>
      <c r="AE18" s="170">
        <v>2E-3</v>
      </c>
      <c r="AF18" s="170">
        <f t="shared" si="6"/>
        <v>6.86</v>
      </c>
      <c r="AG18" s="170">
        <v>1650</v>
      </c>
      <c r="AH18" s="170">
        <v>0.05</v>
      </c>
      <c r="AI18" s="170">
        <f t="shared" si="7"/>
        <v>82.5</v>
      </c>
      <c r="AJ18" s="170">
        <v>0.05</v>
      </c>
      <c r="AK18" s="170">
        <f t="shared" si="8"/>
        <v>82.5</v>
      </c>
      <c r="AL18" s="202"/>
      <c r="AM18" s="170"/>
      <c r="AN18" s="170"/>
      <c r="AO18" s="170"/>
      <c r="AP18" s="174"/>
      <c r="AQ18" s="207">
        <v>15</v>
      </c>
      <c r="AR18" s="207"/>
      <c r="AS18" s="208">
        <f t="shared" si="9"/>
        <v>807.33</v>
      </c>
      <c r="AT18" s="208">
        <f t="shared" si="10"/>
        <v>360.15</v>
      </c>
      <c r="AU18" s="208">
        <f t="shared" si="11"/>
        <v>82.5</v>
      </c>
      <c r="AV18" s="208">
        <f t="shared" si="12"/>
        <v>82.5</v>
      </c>
      <c r="AW18" s="208">
        <f t="shared" si="13"/>
        <v>1332.48</v>
      </c>
      <c r="AX18" s="408">
        <f t="shared" si="14"/>
        <v>1167.48</v>
      </c>
      <c r="AY18" s="408"/>
      <c r="AZ18" s="408">
        <f t="shared" si="15"/>
        <v>165</v>
      </c>
      <c r="BA18" s="408"/>
      <c r="BB18" s="218">
        <v>80</v>
      </c>
      <c r="BC18" s="217">
        <f t="shared" si="16"/>
        <v>1412.48</v>
      </c>
      <c r="BD18" s="219"/>
      <c r="BE18" s="230"/>
      <c r="BF18" s="230"/>
      <c r="BG18" s="230"/>
      <c r="BH18" s="230"/>
    </row>
    <row r="19" spans="1:60" s="162" customFormat="1" ht="18.95" customHeight="1">
      <c r="A19" s="170" t="s">
        <v>148</v>
      </c>
      <c r="B19" s="171" t="s">
        <v>162</v>
      </c>
      <c r="C19" s="172" t="s">
        <v>168</v>
      </c>
      <c r="D19" s="173" t="s">
        <v>138</v>
      </c>
      <c r="E19" s="174" t="s">
        <v>146</v>
      </c>
      <c r="F19" s="175" t="s">
        <v>196</v>
      </c>
      <c r="G19" s="176" t="s">
        <v>197</v>
      </c>
      <c r="H19" s="173" t="s">
        <v>195</v>
      </c>
      <c r="I19" s="173" t="s">
        <v>195</v>
      </c>
      <c r="J19" s="173" t="s">
        <v>195</v>
      </c>
      <c r="K19" s="173" t="s">
        <v>195</v>
      </c>
      <c r="L19" s="170">
        <v>3430</v>
      </c>
      <c r="M19" s="170">
        <v>0.16</v>
      </c>
      <c r="N19" s="170">
        <f t="shared" si="0"/>
        <v>548.79999999999995</v>
      </c>
      <c r="O19" s="170">
        <v>0.08</v>
      </c>
      <c r="P19" s="170">
        <f t="shared" si="1"/>
        <v>274.39999999999998</v>
      </c>
      <c r="Q19" s="170">
        <v>3430</v>
      </c>
      <c r="R19" s="170">
        <v>6.4000000000000001E-2</v>
      </c>
      <c r="S19" s="170">
        <f t="shared" si="2"/>
        <v>219.52</v>
      </c>
      <c r="T19" s="170">
        <v>0.02</v>
      </c>
      <c r="U19" s="170">
        <f t="shared" si="3"/>
        <v>68.599999999999994</v>
      </c>
      <c r="V19" s="170">
        <v>3430</v>
      </c>
      <c r="W19" s="170">
        <v>5.0000000000000001E-3</v>
      </c>
      <c r="X19" s="170">
        <f t="shared" si="4"/>
        <v>17.149999999999999</v>
      </c>
      <c r="Y19" s="170">
        <v>5.0000000000000001E-3</v>
      </c>
      <c r="Z19" s="170">
        <f t="shared" si="5"/>
        <v>17.149999999999999</v>
      </c>
      <c r="AA19" s="170"/>
      <c r="AB19" s="170"/>
      <c r="AC19" s="170"/>
      <c r="AD19" s="170">
        <v>3430</v>
      </c>
      <c r="AE19" s="170">
        <v>2E-3</v>
      </c>
      <c r="AF19" s="170">
        <f t="shared" si="6"/>
        <v>6.86</v>
      </c>
      <c r="AG19" s="170">
        <v>1650</v>
      </c>
      <c r="AH19" s="170">
        <v>0.05</v>
      </c>
      <c r="AI19" s="170">
        <f t="shared" si="7"/>
        <v>82.5</v>
      </c>
      <c r="AJ19" s="170">
        <v>0.05</v>
      </c>
      <c r="AK19" s="170">
        <f t="shared" si="8"/>
        <v>82.5</v>
      </c>
      <c r="AL19" s="202"/>
      <c r="AM19" s="170"/>
      <c r="AN19" s="170"/>
      <c r="AO19" s="170"/>
      <c r="AP19" s="174"/>
      <c r="AQ19" s="207">
        <v>15</v>
      </c>
      <c r="AR19" s="207"/>
      <c r="AS19" s="208">
        <f t="shared" si="9"/>
        <v>807.33</v>
      </c>
      <c r="AT19" s="208">
        <f t="shared" si="10"/>
        <v>360.15</v>
      </c>
      <c r="AU19" s="208">
        <f t="shared" si="11"/>
        <v>82.5</v>
      </c>
      <c r="AV19" s="208">
        <f t="shared" si="12"/>
        <v>82.5</v>
      </c>
      <c r="AW19" s="208">
        <f t="shared" si="13"/>
        <v>1332.48</v>
      </c>
      <c r="AX19" s="408">
        <f t="shared" si="14"/>
        <v>1167.48</v>
      </c>
      <c r="AY19" s="408"/>
      <c r="AZ19" s="408">
        <f t="shared" si="15"/>
        <v>165</v>
      </c>
      <c r="BA19" s="408"/>
      <c r="BB19" s="218">
        <v>80</v>
      </c>
      <c r="BC19" s="217">
        <f t="shared" si="16"/>
        <v>1412.48</v>
      </c>
      <c r="BD19" s="219"/>
      <c r="BE19" s="230"/>
      <c r="BF19" s="230"/>
      <c r="BG19" s="230"/>
      <c r="BH19" s="230"/>
    </row>
    <row r="20" spans="1:60" s="162" customFormat="1" ht="18" customHeight="1">
      <c r="A20" s="170">
        <v>16</v>
      </c>
      <c r="B20" s="174" t="s">
        <v>136</v>
      </c>
      <c r="C20" s="172" t="s">
        <v>168</v>
      </c>
      <c r="D20" s="173" t="s">
        <v>138</v>
      </c>
      <c r="E20" s="174" t="s">
        <v>146</v>
      </c>
      <c r="F20" s="175" t="s">
        <v>198</v>
      </c>
      <c r="G20" s="176" t="s">
        <v>199</v>
      </c>
      <c r="H20" s="173" t="s">
        <v>167</v>
      </c>
      <c r="I20" s="173" t="s">
        <v>167</v>
      </c>
      <c r="J20" s="173" t="s">
        <v>167</v>
      </c>
      <c r="K20" s="173" t="s">
        <v>167</v>
      </c>
      <c r="L20" s="170">
        <v>3430</v>
      </c>
      <c r="M20" s="170">
        <v>0.16</v>
      </c>
      <c r="N20" s="170">
        <f t="shared" si="0"/>
        <v>548.79999999999995</v>
      </c>
      <c r="O20" s="170">
        <v>0.08</v>
      </c>
      <c r="P20" s="170">
        <f t="shared" si="1"/>
        <v>274.39999999999998</v>
      </c>
      <c r="Q20" s="170">
        <v>3430</v>
      </c>
      <c r="R20" s="170">
        <v>6.4000000000000001E-2</v>
      </c>
      <c r="S20" s="170">
        <f t="shared" si="2"/>
        <v>219.52</v>
      </c>
      <c r="T20" s="170">
        <v>0.02</v>
      </c>
      <c r="U20" s="170">
        <f t="shared" si="3"/>
        <v>68.599999999999994</v>
      </c>
      <c r="V20" s="170">
        <v>3430</v>
      </c>
      <c r="W20" s="170">
        <v>5.0000000000000001E-3</v>
      </c>
      <c r="X20" s="170">
        <f t="shared" si="4"/>
        <v>17.149999999999999</v>
      </c>
      <c r="Y20" s="170">
        <v>5.0000000000000001E-3</v>
      </c>
      <c r="Z20" s="170">
        <f t="shared" si="5"/>
        <v>17.149999999999999</v>
      </c>
      <c r="AA20" s="170"/>
      <c r="AB20" s="170"/>
      <c r="AC20" s="170"/>
      <c r="AD20" s="170">
        <v>3430</v>
      </c>
      <c r="AE20" s="170">
        <v>2E-3</v>
      </c>
      <c r="AF20" s="170">
        <f t="shared" si="6"/>
        <v>6.86</v>
      </c>
      <c r="AG20" s="170">
        <v>1650</v>
      </c>
      <c r="AH20" s="170">
        <v>0.05</v>
      </c>
      <c r="AI20" s="170">
        <f t="shared" si="7"/>
        <v>82.5</v>
      </c>
      <c r="AJ20" s="170">
        <v>0.05</v>
      </c>
      <c r="AK20" s="170">
        <f t="shared" si="8"/>
        <v>82.5</v>
      </c>
      <c r="AL20" s="202"/>
      <c r="AM20" s="170"/>
      <c r="AN20" s="170"/>
      <c r="AO20" s="170"/>
      <c r="AP20" s="174"/>
      <c r="AQ20" s="207">
        <v>15</v>
      </c>
      <c r="AR20" s="207"/>
      <c r="AS20" s="208">
        <f t="shared" si="9"/>
        <v>807.33</v>
      </c>
      <c r="AT20" s="208">
        <f t="shared" si="10"/>
        <v>360.15</v>
      </c>
      <c r="AU20" s="208">
        <f t="shared" si="11"/>
        <v>82.5</v>
      </c>
      <c r="AV20" s="208">
        <f t="shared" si="12"/>
        <v>82.5</v>
      </c>
      <c r="AW20" s="208">
        <f t="shared" si="13"/>
        <v>1332.48</v>
      </c>
      <c r="AX20" s="408">
        <f t="shared" si="14"/>
        <v>1167.48</v>
      </c>
      <c r="AY20" s="408"/>
      <c r="AZ20" s="408">
        <f t="shared" si="15"/>
        <v>165</v>
      </c>
      <c r="BA20" s="408"/>
      <c r="BB20" s="218">
        <v>80</v>
      </c>
      <c r="BC20" s="217">
        <f t="shared" si="16"/>
        <v>1412.48</v>
      </c>
      <c r="BD20" s="219"/>
      <c r="BE20" s="230"/>
      <c r="BF20" s="230"/>
      <c r="BG20" s="230"/>
      <c r="BH20" s="230"/>
    </row>
    <row r="21" spans="1:60" s="162" customFormat="1" ht="18" customHeight="1">
      <c r="A21" s="170">
        <v>17</v>
      </c>
      <c r="B21" s="174" t="s">
        <v>136</v>
      </c>
      <c r="C21" s="172" t="s">
        <v>168</v>
      </c>
      <c r="D21" s="173" t="s">
        <v>138</v>
      </c>
      <c r="E21" s="174" t="s">
        <v>146</v>
      </c>
      <c r="F21" s="175" t="s">
        <v>200</v>
      </c>
      <c r="G21" s="176" t="s">
        <v>201</v>
      </c>
      <c r="H21" s="173" t="s">
        <v>167</v>
      </c>
      <c r="I21" s="173" t="s">
        <v>167</v>
      </c>
      <c r="J21" s="173" t="s">
        <v>167</v>
      </c>
      <c r="K21" s="173" t="s">
        <v>167</v>
      </c>
      <c r="L21" s="170">
        <v>3430</v>
      </c>
      <c r="M21" s="170">
        <v>0.16</v>
      </c>
      <c r="N21" s="170">
        <f t="shared" si="0"/>
        <v>548.79999999999995</v>
      </c>
      <c r="O21" s="170">
        <v>0.08</v>
      </c>
      <c r="P21" s="170">
        <f t="shared" si="1"/>
        <v>274.39999999999998</v>
      </c>
      <c r="Q21" s="170">
        <v>3430</v>
      </c>
      <c r="R21" s="170">
        <v>6.4000000000000001E-2</v>
      </c>
      <c r="S21" s="170">
        <f t="shared" si="2"/>
        <v>219.52</v>
      </c>
      <c r="T21" s="170">
        <v>0.02</v>
      </c>
      <c r="U21" s="170">
        <f t="shared" si="3"/>
        <v>68.599999999999994</v>
      </c>
      <c r="V21" s="170">
        <v>3430</v>
      </c>
      <c r="W21" s="170">
        <v>5.0000000000000001E-3</v>
      </c>
      <c r="X21" s="170">
        <f t="shared" si="4"/>
        <v>17.149999999999999</v>
      </c>
      <c r="Y21" s="170">
        <v>5.0000000000000001E-3</v>
      </c>
      <c r="Z21" s="170">
        <f t="shared" si="5"/>
        <v>17.149999999999999</v>
      </c>
      <c r="AA21" s="170"/>
      <c r="AB21" s="170"/>
      <c r="AC21" s="170"/>
      <c r="AD21" s="170">
        <v>3430</v>
      </c>
      <c r="AE21" s="170">
        <v>2E-3</v>
      </c>
      <c r="AF21" s="170">
        <f t="shared" si="6"/>
        <v>6.86</v>
      </c>
      <c r="AG21" s="170">
        <v>1650</v>
      </c>
      <c r="AH21" s="170">
        <v>0.05</v>
      </c>
      <c r="AI21" s="170">
        <f t="shared" si="7"/>
        <v>82.5</v>
      </c>
      <c r="AJ21" s="170">
        <v>0.05</v>
      </c>
      <c r="AK21" s="170">
        <f t="shared" si="8"/>
        <v>82.5</v>
      </c>
      <c r="AL21" s="202"/>
      <c r="AM21" s="170"/>
      <c r="AN21" s="170"/>
      <c r="AO21" s="170"/>
      <c r="AP21" s="174"/>
      <c r="AQ21" s="207">
        <v>15</v>
      </c>
      <c r="AR21" s="207"/>
      <c r="AS21" s="208">
        <f t="shared" si="9"/>
        <v>807.33</v>
      </c>
      <c r="AT21" s="208">
        <f t="shared" si="10"/>
        <v>360.15</v>
      </c>
      <c r="AU21" s="208">
        <f t="shared" si="11"/>
        <v>82.5</v>
      </c>
      <c r="AV21" s="208">
        <f t="shared" si="12"/>
        <v>82.5</v>
      </c>
      <c r="AW21" s="208">
        <f t="shared" si="13"/>
        <v>1332.48</v>
      </c>
      <c r="AX21" s="408">
        <f t="shared" si="14"/>
        <v>1167.48</v>
      </c>
      <c r="AY21" s="408"/>
      <c r="AZ21" s="408">
        <f t="shared" si="15"/>
        <v>165</v>
      </c>
      <c r="BA21" s="408"/>
      <c r="BB21" s="218">
        <v>80</v>
      </c>
      <c r="BC21" s="217">
        <f t="shared" si="16"/>
        <v>1412.48</v>
      </c>
      <c r="BD21" s="219"/>
      <c r="BE21" s="230"/>
      <c r="BF21" s="230"/>
      <c r="BG21" s="230"/>
      <c r="BH21" s="230"/>
    </row>
    <row r="22" spans="1:60" s="162" customFormat="1" ht="18" customHeight="1">
      <c r="A22" s="170">
        <v>18</v>
      </c>
      <c r="B22" s="174" t="s">
        <v>136</v>
      </c>
      <c r="C22" s="172" t="s">
        <v>168</v>
      </c>
      <c r="D22" s="173" t="s">
        <v>138</v>
      </c>
      <c r="E22" s="174" t="s">
        <v>146</v>
      </c>
      <c r="F22" s="175" t="s">
        <v>202</v>
      </c>
      <c r="G22" s="176" t="s">
        <v>203</v>
      </c>
      <c r="H22" s="173" t="s">
        <v>167</v>
      </c>
      <c r="I22" s="173" t="s">
        <v>167</v>
      </c>
      <c r="J22" s="173" t="s">
        <v>167</v>
      </c>
      <c r="K22" s="173" t="s">
        <v>167</v>
      </c>
      <c r="L22" s="170">
        <v>3430</v>
      </c>
      <c r="M22" s="170">
        <v>0.16</v>
      </c>
      <c r="N22" s="170">
        <f t="shared" si="0"/>
        <v>548.79999999999995</v>
      </c>
      <c r="O22" s="170">
        <v>0.08</v>
      </c>
      <c r="P22" s="170">
        <f t="shared" si="1"/>
        <v>274.39999999999998</v>
      </c>
      <c r="Q22" s="170">
        <v>3430</v>
      </c>
      <c r="R22" s="170">
        <v>6.4000000000000001E-2</v>
      </c>
      <c r="S22" s="170">
        <f t="shared" si="2"/>
        <v>219.52</v>
      </c>
      <c r="T22" s="170">
        <v>0.02</v>
      </c>
      <c r="U22" s="170">
        <f t="shared" si="3"/>
        <v>68.599999999999994</v>
      </c>
      <c r="V22" s="170">
        <v>3430</v>
      </c>
      <c r="W22" s="170">
        <v>5.0000000000000001E-3</v>
      </c>
      <c r="X22" s="170">
        <f t="shared" si="4"/>
        <v>17.149999999999999</v>
      </c>
      <c r="Y22" s="170">
        <v>5.0000000000000001E-3</v>
      </c>
      <c r="Z22" s="170">
        <f t="shared" si="5"/>
        <v>17.149999999999999</v>
      </c>
      <c r="AA22" s="170"/>
      <c r="AB22" s="170"/>
      <c r="AC22" s="170"/>
      <c r="AD22" s="170">
        <v>3430</v>
      </c>
      <c r="AE22" s="170">
        <v>2E-3</v>
      </c>
      <c r="AF22" s="170">
        <f t="shared" si="6"/>
        <v>6.86</v>
      </c>
      <c r="AG22" s="170">
        <v>1650</v>
      </c>
      <c r="AH22" s="170">
        <v>0.05</v>
      </c>
      <c r="AI22" s="170">
        <f t="shared" si="7"/>
        <v>82.5</v>
      </c>
      <c r="AJ22" s="170">
        <v>0.05</v>
      </c>
      <c r="AK22" s="170">
        <f t="shared" si="8"/>
        <v>82.5</v>
      </c>
      <c r="AL22" s="202"/>
      <c r="AM22" s="170"/>
      <c r="AN22" s="170"/>
      <c r="AO22" s="170"/>
      <c r="AP22" s="174"/>
      <c r="AQ22" s="207">
        <v>15</v>
      </c>
      <c r="AR22" s="207"/>
      <c r="AS22" s="208">
        <f t="shared" si="9"/>
        <v>807.33</v>
      </c>
      <c r="AT22" s="208">
        <f t="shared" si="10"/>
        <v>360.15</v>
      </c>
      <c r="AU22" s="208">
        <f t="shared" si="11"/>
        <v>82.5</v>
      </c>
      <c r="AV22" s="208">
        <f t="shared" si="12"/>
        <v>82.5</v>
      </c>
      <c r="AW22" s="208">
        <f t="shared" si="13"/>
        <v>1332.48</v>
      </c>
      <c r="AX22" s="408">
        <f t="shared" si="14"/>
        <v>1167.48</v>
      </c>
      <c r="AY22" s="408"/>
      <c r="AZ22" s="408">
        <f t="shared" si="15"/>
        <v>165</v>
      </c>
      <c r="BA22" s="408"/>
      <c r="BB22" s="218">
        <v>80</v>
      </c>
      <c r="BC22" s="217">
        <f t="shared" si="16"/>
        <v>1412.48</v>
      </c>
      <c r="BD22" s="219"/>
      <c r="BE22" s="230"/>
      <c r="BF22" s="230"/>
      <c r="BG22" s="230"/>
      <c r="BH22" s="230"/>
    </row>
    <row r="23" spans="1:60" s="162" customFormat="1" ht="18" customHeight="1">
      <c r="A23" s="170">
        <v>19</v>
      </c>
      <c r="B23" s="174" t="s">
        <v>136</v>
      </c>
      <c r="C23" s="172" t="s">
        <v>168</v>
      </c>
      <c r="D23" s="173" t="s">
        <v>138</v>
      </c>
      <c r="E23" s="174" t="s">
        <v>146</v>
      </c>
      <c r="F23" s="175" t="s">
        <v>204</v>
      </c>
      <c r="G23" s="176" t="s">
        <v>205</v>
      </c>
      <c r="H23" s="173" t="s">
        <v>167</v>
      </c>
      <c r="I23" s="173" t="s">
        <v>167</v>
      </c>
      <c r="J23" s="173" t="s">
        <v>167</v>
      </c>
      <c r="K23" s="173" t="s">
        <v>167</v>
      </c>
      <c r="L23" s="170">
        <v>3430</v>
      </c>
      <c r="M23" s="170">
        <v>0.16</v>
      </c>
      <c r="N23" s="170">
        <f t="shared" si="0"/>
        <v>548.79999999999995</v>
      </c>
      <c r="O23" s="170">
        <v>0.08</v>
      </c>
      <c r="P23" s="170">
        <f t="shared" si="1"/>
        <v>274.39999999999998</v>
      </c>
      <c r="Q23" s="170">
        <v>3430</v>
      </c>
      <c r="R23" s="170">
        <v>6.4000000000000001E-2</v>
      </c>
      <c r="S23" s="170">
        <f t="shared" si="2"/>
        <v>219.52</v>
      </c>
      <c r="T23" s="170">
        <v>0.02</v>
      </c>
      <c r="U23" s="170">
        <f t="shared" si="3"/>
        <v>68.599999999999994</v>
      </c>
      <c r="V23" s="170">
        <v>3430</v>
      </c>
      <c r="W23" s="170">
        <v>5.0000000000000001E-3</v>
      </c>
      <c r="X23" s="170">
        <f t="shared" si="4"/>
        <v>17.149999999999999</v>
      </c>
      <c r="Y23" s="170">
        <v>5.0000000000000001E-3</v>
      </c>
      <c r="Z23" s="170">
        <f t="shared" si="5"/>
        <v>17.149999999999999</v>
      </c>
      <c r="AA23" s="170"/>
      <c r="AB23" s="170"/>
      <c r="AC23" s="170"/>
      <c r="AD23" s="170">
        <v>3430</v>
      </c>
      <c r="AE23" s="170">
        <v>2E-3</v>
      </c>
      <c r="AF23" s="170">
        <f t="shared" si="6"/>
        <v>6.86</v>
      </c>
      <c r="AG23" s="170">
        <v>1650</v>
      </c>
      <c r="AH23" s="170">
        <v>0.05</v>
      </c>
      <c r="AI23" s="170">
        <f t="shared" si="7"/>
        <v>82.5</v>
      </c>
      <c r="AJ23" s="170">
        <v>0.05</v>
      </c>
      <c r="AK23" s="170">
        <f t="shared" si="8"/>
        <v>82.5</v>
      </c>
      <c r="AL23" s="202"/>
      <c r="AM23" s="170"/>
      <c r="AN23" s="170"/>
      <c r="AO23" s="170"/>
      <c r="AP23" s="174"/>
      <c r="AQ23" s="207">
        <v>15</v>
      </c>
      <c r="AR23" s="207"/>
      <c r="AS23" s="208">
        <f t="shared" si="9"/>
        <v>807.33</v>
      </c>
      <c r="AT23" s="208">
        <f t="shared" si="10"/>
        <v>360.15</v>
      </c>
      <c r="AU23" s="208">
        <f t="shared" si="11"/>
        <v>82.5</v>
      </c>
      <c r="AV23" s="208">
        <f t="shared" si="12"/>
        <v>82.5</v>
      </c>
      <c r="AW23" s="208">
        <f t="shared" si="13"/>
        <v>1332.48</v>
      </c>
      <c r="AX23" s="408">
        <f t="shared" si="14"/>
        <v>1167.48</v>
      </c>
      <c r="AY23" s="408"/>
      <c r="AZ23" s="408">
        <f t="shared" si="15"/>
        <v>165</v>
      </c>
      <c r="BA23" s="408"/>
      <c r="BB23" s="218">
        <v>80</v>
      </c>
      <c r="BC23" s="217">
        <f t="shared" si="16"/>
        <v>1412.48</v>
      </c>
      <c r="BD23" s="219"/>
      <c r="BE23" s="230"/>
      <c r="BF23" s="230"/>
      <c r="BG23" s="230"/>
      <c r="BH23" s="230"/>
    </row>
    <row r="24" spans="1:60" s="162" customFormat="1" ht="18" customHeight="1">
      <c r="A24" s="170">
        <v>20</v>
      </c>
      <c r="B24" s="174" t="s">
        <v>136</v>
      </c>
      <c r="C24" s="172" t="s">
        <v>168</v>
      </c>
      <c r="D24" s="173" t="s">
        <v>138</v>
      </c>
      <c r="E24" s="174" t="s">
        <v>146</v>
      </c>
      <c r="F24" s="175" t="s">
        <v>206</v>
      </c>
      <c r="G24" s="176" t="s">
        <v>207</v>
      </c>
      <c r="H24" s="173" t="s">
        <v>167</v>
      </c>
      <c r="I24" s="173" t="s">
        <v>167</v>
      </c>
      <c r="J24" s="173" t="s">
        <v>167</v>
      </c>
      <c r="K24" s="173" t="s">
        <v>167</v>
      </c>
      <c r="L24" s="170">
        <v>3430</v>
      </c>
      <c r="M24" s="170">
        <v>0.16</v>
      </c>
      <c r="N24" s="170">
        <f t="shared" si="0"/>
        <v>548.79999999999995</v>
      </c>
      <c r="O24" s="170">
        <v>0.08</v>
      </c>
      <c r="P24" s="170">
        <f t="shared" si="1"/>
        <v>274.39999999999998</v>
      </c>
      <c r="Q24" s="170">
        <v>3430</v>
      </c>
      <c r="R24" s="170">
        <v>6.4000000000000001E-2</v>
      </c>
      <c r="S24" s="170">
        <f t="shared" si="2"/>
        <v>219.52</v>
      </c>
      <c r="T24" s="170">
        <v>0.02</v>
      </c>
      <c r="U24" s="170">
        <f t="shared" si="3"/>
        <v>68.599999999999994</v>
      </c>
      <c r="V24" s="170">
        <v>3430</v>
      </c>
      <c r="W24" s="170">
        <v>5.0000000000000001E-3</v>
      </c>
      <c r="X24" s="170">
        <f t="shared" si="4"/>
        <v>17.149999999999999</v>
      </c>
      <c r="Y24" s="170">
        <v>5.0000000000000001E-3</v>
      </c>
      <c r="Z24" s="170">
        <f t="shared" si="5"/>
        <v>17.149999999999999</v>
      </c>
      <c r="AA24" s="170"/>
      <c r="AB24" s="170"/>
      <c r="AC24" s="170"/>
      <c r="AD24" s="170">
        <v>3430</v>
      </c>
      <c r="AE24" s="170">
        <v>2E-3</v>
      </c>
      <c r="AF24" s="170">
        <f t="shared" si="6"/>
        <v>6.86</v>
      </c>
      <c r="AG24" s="170">
        <v>1650</v>
      </c>
      <c r="AH24" s="170">
        <v>0.05</v>
      </c>
      <c r="AI24" s="170">
        <f t="shared" si="7"/>
        <v>82.5</v>
      </c>
      <c r="AJ24" s="170">
        <v>0.05</v>
      </c>
      <c r="AK24" s="170">
        <f t="shared" si="8"/>
        <v>82.5</v>
      </c>
      <c r="AL24" s="202"/>
      <c r="AM24" s="170"/>
      <c r="AN24" s="170"/>
      <c r="AO24" s="170"/>
      <c r="AP24" s="174"/>
      <c r="AQ24" s="207">
        <v>15</v>
      </c>
      <c r="AR24" s="207"/>
      <c r="AS24" s="208">
        <f t="shared" si="9"/>
        <v>807.33</v>
      </c>
      <c r="AT24" s="208">
        <f t="shared" si="10"/>
        <v>360.15</v>
      </c>
      <c r="AU24" s="208">
        <f t="shared" si="11"/>
        <v>82.5</v>
      </c>
      <c r="AV24" s="208">
        <f t="shared" si="12"/>
        <v>82.5</v>
      </c>
      <c r="AW24" s="208">
        <f t="shared" si="13"/>
        <v>1332.48</v>
      </c>
      <c r="AX24" s="408">
        <f t="shared" si="14"/>
        <v>1167.48</v>
      </c>
      <c r="AY24" s="408"/>
      <c r="AZ24" s="408">
        <f t="shared" si="15"/>
        <v>165</v>
      </c>
      <c r="BA24" s="408"/>
      <c r="BB24" s="218">
        <v>80</v>
      </c>
      <c r="BC24" s="217">
        <f t="shared" si="16"/>
        <v>1412.48</v>
      </c>
      <c r="BD24" s="219"/>
      <c r="BE24" s="230"/>
      <c r="BF24" s="230"/>
      <c r="BG24" s="230"/>
      <c r="BH24" s="230"/>
    </row>
    <row r="25" spans="1:60" s="162" customFormat="1" ht="18" customHeight="1">
      <c r="A25" s="170">
        <v>21</v>
      </c>
      <c r="B25" s="174" t="s">
        <v>136</v>
      </c>
      <c r="C25" s="172" t="s">
        <v>168</v>
      </c>
      <c r="D25" s="173" t="s">
        <v>138</v>
      </c>
      <c r="E25" s="174" t="s">
        <v>146</v>
      </c>
      <c r="F25" s="175" t="s">
        <v>208</v>
      </c>
      <c r="G25" s="176" t="s">
        <v>209</v>
      </c>
      <c r="H25" s="173" t="s">
        <v>167</v>
      </c>
      <c r="I25" s="173" t="s">
        <v>167</v>
      </c>
      <c r="J25" s="173" t="s">
        <v>167</v>
      </c>
      <c r="K25" s="173" t="s">
        <v>167</v>
      </c>
      <c r="L25" s="170">
        <v>3430</v>
      </c>
      <c r="M25" s="170">
        <v>0.16</v>
      </c>
      <c r="N25" s="170">
        <f t="shared" si="0"/>
        <v>548.79999999999995</v>
      </c>
      <c r="O25" s="170">
        <v>0.08</v>
      </c>
      <c r="P25" s="170">
        <f t="shared" si="1"/>
        <v>274.39999999999998</v>
      </c>
      <c r="Q25" s="170">
        <v>3430</v>
      </c>
      <c r="R25" s="170">
        <v>6.4000000000000001E-2</v>
      </c>
      <c r="S25" s="170">
        <f t="shared" si="2"/>
        <v>219.52</v>
      </c>
      <c r="T25" s="170">
        <v>0.02</v>
      </c>
      <c r="U25" s="170">
        <f t="shared" si="3"/>
        <v>68.599999999999994</v>
      </c>
      <c r="V25" s="170">
        <v>3430</v>
      </c>
      <c r="W25" s="170">
        <v>5.0000000000000001E-3</v>
      </c>
      <c r="X25" s="170">
        <f t="shared" si="4"/>
        <v>17.149999999999999</v>
      </c>
      <c r="Y25" s="170">
        <v>5.0000000000000001E-3</v>
      </c>
      <c r="Z25" s="170">
        <f t="shared" si="5"/>
        <v>17.149999999999999</v>
      </c>
      <c r="AA25" s="170"/>
      <c r="AB25" s="170"/>
      <c r="AC25" s="170"/>
      <c r="AD25" s="170">
        <v>3430</v>
      </c>
      <c r="AE25" s="170">
        <v>2E-3</v>
      </c>
      <c r="AF25" s="170">
        <f t="shared" si="6"/>
        <v>6.86</v>
      </c>
      <c r="AG25" s="170">
        <v>1650</v>
      </c>
      <c r="AH25" s="170">
        <v>0.05</v>
      </c>
      <c r="AI25" s="170">
        <f t="shared" si="7"/>
        <v>82.5</v>
      </c>
      <c r="AJ25" s="170">
        <v>0.05</v>
      </c>
      <c r="AK25" s="170">
        <f t="shared" si="8"/>
        <v>82.5</v>
      </c>
      <c r="AL25" s="202"/>
      <c r="AM25" s="170"/>
      <c r="AN25" s="170"/>
      <c r="AO25" s="170"/>
      <c r="AP25" s="174"/>
      <c r="AQ25" s="207">
        <v>15</v>
      </c>
      <c r="AR25" s="207"/>
      <c r="AS25" s="208">
        <f t="shared" si="9"/>
        <v>807.33</v>
      </c>
      <c r="AT25" s="208">
        <f t="shared" si="10"/>
        <v>360.15</v>
      </c>
      <c r="AU25" s="208">
        <f t="shared" si="11"/>
        <v>82.5</v>
      </c>
      <c r="AV25" s="208">
        <f t="shared" si="12"/>
        <v>82.5</v>
      </c>
      <c r="AW25" s="208">
        <f t="shared" si="13"/>
        <v>1332.48</v>
      </c>
      <c r="AX25" s="408">
        <f t="shared" si="14"/>
        <v>1167.48</v>
      </c>
      <c r="AY25" s="408"/>
      <c r="AZ25" s="408">
        <f t="shared" si="15"/>
        <v>165</v>
      </c>
      <c r="BA25" s="408"/>
      <c r="BB25" s="218">
        <v>80</v>
      </c>
      <c r="BC25" s="217">
        <f t="shared" si="16"/>
        <v>1412.48</v>
      </c>
      <c r="BD25" s="219"/>
      <c r="BE25" s="230"/>
      <c r="BF25" s="230"/>
      <c r="BG25" s="230"/>
      <c r="BH25" s="230"/>
    </row>
    <row r="26" spans="1:60" s="162" customFormat="1" ht="18" customHeight="1">
      <c r="A26" s="170">
        <v>22</v>
      </c>
      <c r="B26" s="174" t="s">
        <v>136</v>
      </c>
      <c r="C26" s="172" t="s">
        <v>168</v>
      </c>
      <c r="D26" s="173" t="s">
        <v>138</v>
      </c>
      <c r="E26" s="174" t="s">
        <v>146</v>
      </c>
      <c r="F26" s="175" t="s">
        <v>210</v>
      </c>
      <c r="G26" s="176" t="s">
        <v>211</v>
      </c>
      <c r="H26" s="173" t="s">
        <v>167</v>
      </c>
      <c r="I26" s="173" t="s">
        <v>167</v>
      </c>
      <c r="J26" s="173" t="s">
        <v>167</v>
      </c>
      <c r="K26" s="173" t="s">
        <v>167</v>
      </c>
      <c r="L26" s="170">
        <v>3430</v>
      </c>
      <c r="M26" s="170">
        <v>0.16</v>
      </c>
      <c r="N26" s="170">
        <f t="shared" si="0"/>
        <v>548.79999999999995</v>
      </c>
      <c r="O26" s="170">
        <v>0.08</v>
      </c>
      <c r="P26" s="170">
        <f t="shared" si="1"/>
        <v>274.39999999999998</v>
      </c>
      <c r="Q26" s="170">
        <v>3430</v>
      </c>
      <c r="R26" s="170">
        <v>6.4000000000000001E-2</v>
      </c>
      <c r="S26" s="170">
        <f t="shared" si="2"/>
        <v>219.52</v>
      </c>
      <c r="T26" s="170">
        <v>0.02</v>
      </c>
      <c r="U26" s="170">
        <f t="shared" si="3"/>
        <v>68.599999999999994</v>
      </c>
      <c r="V26" s="170">
        <v>3430</v>
      </c>
      <c r="W26" s="170">
        <v>5.0000000000000001E-3</v>
      </c>
      <c r="X26" s="170">
        <f t="shared" si="4"/>
        <v>17.149999999999999</v>
      </c>
      <c r="Y26" s="170">
        <v>5.0000000000000001E-3</v>
      </c>
      <c r="Z26" s="170">
        <f t="shared" si="5"/>
        <v>17.149999999999999</v>
      </c>
      <c r="AA26" s="170"/>
      <c r="AB26" s="170"/>
      <c r="AC26" s="170"/>
      <c r="AD26" s="170">
        <v>3430</v>
      </c>
      <c r="AE26" s="170">
        <v>2E-3</v>
      </c>
      <c r="AF26" s="170">
        <f t="shared" si="6"/>
        <v>6.86</v>
      </c>
      <c r="AG26" s="170">
        <v>1650</v>
      </c>
      <c r="AH26" s="170">
        <v>0.05</v>
      </c>
      <c r="AI26" s="170">
        <f t="shared" si="7"/>
        <v>82.5</v>
      </c>
      <c r="AJ26" s="170">
        <v>0.05</v>
      </c>
      <c r="AK26" s="170">
        <f t="shared" si="8"/>
        <v>82.5</v>
      </c>
      <c r="AL26" s="202"/>
      <c r="AM26" s="170"/>
      <c r="AN26" s="170"/>
      <c r="AO26" s="170"/>
      <c r="AP26" s="174"/>
      <c r="AQ26" s="207">
        <v>15</v>
      </c>
      <c r="AR26" s="207"/>
      <c r="AS26" s="208">
        <f t="shared" si="9"/>
        <v>807.33</v>
      </c>
      <c r="AT26" s="208">
        <f t="shared" si="10"/>
        <v>360.15</v>
      </c>
      <c r="AU26" s="208">
        <f t="shared" si="11"/>
        <v>82.5</v>
      </c>
      <c r="AV26" s="208">
        <f t="shared" si="12"/>
        <v>82.5</v>
      </c>
      <c r="AW26" s="208">
        <f t="shared" si="13"/>
        <v>1332.48</v>
      </c>
      <c r="AX26" s="408">
        <f t="shared" si="14"/>
        <v>1167.48</v>
      </c>
      <c r="AY26" s="408"/>
      <c r="AZ26" s="408">
        <f t="shared" si="15"/>
        <v>165</v>
      </c>
      <c r="BA26" s="408"/>
      <c r="BB26" s="218">
        <v>80</v>
      </c>
      <c r="BC26" s="217">
        <f t="shared" si="16"/>
        <v>1412.48</v>
      </c>
      <c r="BD26" s="219"/>
      <c r="BE26" s="230"/>
      <c r="BF26" s="230"/>
      <c r="BG26" s="230"/>
      <c r="BH26" s="230"/>
    </row>
    <row r="27" spans="1:60" s="162" customFormat="1" ht="18" customHeight="1">
      <c r="A27" s="170">
        <v>23</v>
      </c>
      <c r="B27" s="174" t="s">
        <v>136</v>
      </c>
      <c r="C27" s="172" t="s">
        <v>168</v>
      </c>
      <c r="D27" s="173" t="s">
        <v>138</v>
      </c>
      <c r="E27" s="174" t="s">
        <v>146</v>
      </c>
      <c r="F27" s="175" t="s">
        <v>212</v>
      </c>
      <c r="G27" s="176" t="s">
        <v>213</v>
      </c>
      <c r="H27" s="173" t="s">
        <v>167</v>
      </c>
      <c r="I27" s="173" t="s">
        <v>167</v>
      </c>
      <c r="J27" s="173" t="s">
        <v>167</v>
      </c>
      <c r="K27" s="173" t="s">
        <v>167</v>
      </c>
      <c r="L27" s="170">
        <v>3430</v>
      </c>
      <c r="M27" s="170">
        <v>0.16</v>
      </c>
      <c r="N27" s="170">
        <f t="shared" si="0"/>
        <v>548.79999999999995</v>
      </c>
      <c r="O27" s="170">
        <v>0.08</v>
      </c>
      <c r="P27" s="170">
        <f t="shared" si="1"/>
        <v>274.39999999999998</v>
      </c>
      <c r="Q27" s="170">
        <v>3430</v>
      </c>
      <c r="R27" s="170">
        <v>6.4000000000000001E-2</v>
      </c>
      <c r="S27" s="170">
        <f t="shared" si="2"/>
        <v>219.52</v>
      </c>
      <c r="T27" s="170">
        <v>0.02</v>
      </c>
      <c r="U27" s="170">
        <f t="shared" si="3"/>
        <v>68.599999999999994</v>
      </c>
      <c r="V27" s="170">
        <v>3430</v>
      </c>
      <c r="W27" s="170">
        <v>5.0000000000000001E-3</v>
      </c>
      <c r="X27" s="170">
        <f t="shared" si="4"/>
        <v>17.149999999999999</v>
      </c>
      <c r="Y27" s="170">
        <v>5.0000000000000001E-3</v>
      </c>
      <c r="Z27" s="170">
        <f t="shared" si="5"/>
        <v>17.149999999999999</v>
      </c>
      <c r="AA27" s="170"/>
      <c r="AB27" s="170"/>
      <c r="AC27" s="170"/>
      <c r="AD27" s="170">
        <v>3430</v>
      </c>
      <c r="AE27" s="170">
        <v>2E-3</v>
      </c>
      <c r="AF27" s="170">
        <f t="shared" si="6"/>
        <v>6.86</v>
      </c>
      <c r="AG27" s="170">
        <v>1650</v>
      </c>
      <c r="AH27" s="170">
        <v>0.05</v>
      </c>
      <c r="AI27" s="170">
        <f t="shared" si="7"/>
        <v>82.5</v>
      </c>
      <c r="AJ27" s="170">
        <v>0.05</v>
      </c>
      <c r="AK27" s="170">
        <f t="shared" si="8"/>
        <v>82.5</v>
      </c>
      <c r="AL27" s="202"/>
      <c r="AM27" s="170"/>
      <c r="AN27" s="170"/>
      <c r="AO27" s="170"/>
      <c r="AP27" s="174"/>
      <c r="AQ27" s="207">
        <v>15</v>
      </c>
      <c r="AR27" s="207"/>
      <c r="AS27" s="208">
        <f t="shared" si="9"/>
        <v>807.33</v>
      </c>
      <c r="AT27" s="208">
        <f t="shared" si="10"/>
        <v>360.15</v>
      </c>
      <c r="AU27" s="208">
        <f t="shared" si="11"/>
        <v>82.5</v>
      </c>
      <c r="AV27" s="208">
        <f t="shared" si="12"/>
        <v>82.5</v>
      </c>
      <c r="AW27" s="208">
        <f t="shared" si="13"/>
        <v>1332.48</v>
      </c>
      <c r="AX27" s="408">
        <f t="shared" si="14"/>
        <v>1167.48</v>
      </c>
      <c r="AY27" s="408"/>
      <c r="AZ27" s="408">
        <f t="shared" si="15"/>
        <v>165</v>
      </c>
      <c r="BA27" s="408"/>
      <c r="BB27" s="218">
        <v>80</v>
      </c>
      <c r="BC27" s="217">
        <f t="shared" si="16"/>
        <v>1412.48</v>
      </c>
      <c r="BD27" s="219"/>
      <c r="BE27" s="230"/>
      <c r="BF27" s="230"/>
      <c r="BG27" s="230"/>
      <c r="BH27" s="230"/>
    </row>
    <row r="28" spans="1:60" s="163" customFormat="1" ht="18" customHeight="1">
      <c r="A28" s="177"/>
      <c r="B28" s="178"/>
      <c r="C28" s="179"/>
      <c r="D28" s="180"/>
      <c r="E28" s="181"/>
      <c r="F28" s="182"/>
      <c r="G28" s="183"/>
      <c r="H28" s="184"/>
      <c r="I28" s="180"/>
      <c r="J28" s="180"/>
      <c r="K28" s="180"/>
      <c r="L28" s="196"/>
      <c r="M28" s="196"/>
      <c r="N28" s="197"/>
      <c r="O28" s="196"/>
      <c r="P28" s="196"/>
      <c r="Q28" s="196"/>
      <c r="R28" s="196"/>
      <c r="S28" s="196"/>
      <c r="T28" s="196"/>
      <c r="U28" s="196"/>
      <c r="V28" s="199"/>
      <c r="W28" s="199"/>
      <c r="X28" s="200"/>
      <c r="Y28" s="199"/>
      <c r="Z28" s="196"/>
      <c r="AA28" s="196"/>
      <c r="AB28" s="196"/>
      <c r="AC28" s="196"/>
      <c r="AD28" s="196"/>
      <c r="AE28" s="196"/>
      <c r="AF28" s="197"/>
      <c r="AG28" s="196"/>
      <c r="AH28" s="196"/>
      <c r="AI28" s="196"/>
      <c r="AJ28" s="196"/>
      <c r="AK28" s="196"/>
      <c r="AL28" s="203"/>
      <c r="AM28" s="196"/>
      <c r="AN28" s="196"/>
      <c r="AO28" s="196"/>
      <c r="AP28" s="209"/>
      <c r="AQ28" s="210"/>
      <c r="AR28" s="196"/>
      <c r="AS28" s="211"/>
      <c r="AT28" s="211"/>
      <c r="AU28" s="211"/>
      <c r="AV28" s="211"/>
      <c r="AW28" s="211"/>
      <c r="AX28" s="220"/>
      <c r="AY28" s="221"/>
      <c r="AZ28" s="220"/>
      <c r="BA28" s="221"/>
      <c r="BB28" s="222"/>
      <c r="BC28" s="223"/>
      <c r="BD28" s="224"/>
      <c r="BE28" s="160"/>
      <c r="BF28" s="160"/>
      <c r="BG28" s="160"/>
      <c r="BH28" s="160"/>
    </row>
    <row r="29" spans="1:60" ht="14.25">
      <c r="A29" s="185" t="s">
        <v>159</v>
      </c>
      <c r="B29" s="186"/>
      <c r="C29" s="187"/>
      <c r="D29" s="187"/>
      <c r="E29" s="188"/>
      <c r="F29" s="187"/>
      <c r="G29" s="187"/>
      <c r="H29" s="187"/>
      <c r="I29" s="187"/>
      <c r="J29" s="187"/>
      <c r="K29" s="187"/>
      <c r="L29" s="188">
        <f t="shared" ref="L29:BC29" si="17">SUM(L3:L28)</f>
        <v>84395</v>
      </c>
      <c r="M29" s="188">
        <f t="shared" si="17"/>
        <v>4</v>
      </c>
      <c r="N29" s="188">
        <f t="shared" si="17"/>
        <v>13503.2</v>
      </c>
      <c r="O29" s="188">
        <f t="shared" si="17"/>
        <v>2</v>
      </c>
      <c r="P29" s="188">
        <f t="shared" si="17"/>
        <v>6751.6</v>
      </c>
      <c r="Q29" s="188">
        <f t="shared" si="17"/>
        <v>85996</v>
      </c>
      <c r="R29" s="188">
        <f t="shared" si="17"/>
        <v>1.6160000000000001</v>
      </c>
      <c r="S29" s="188">
        <f t="shared" si="17"/>
        <v>5562.56</v>
      </c>
      <c r="T29" s="188">
        <f t="shared" si="17"/>
        <v>0.5</v>
      </c>
      <c r="U29" s="188">
        <f t="shared" si="17"/>
        <v>1719.92</v>
      </c>
      <c r="V29" s="188">
        <f t="shared" si="17"/>
        <v>84395</v>
      </c>
      <c r="W29" s="188">
        <f t="shared" si="17"/>
        <v>0.125</v>
      </c>
      <c r="X29" s="188">
        <f t="shared" si="17"/>
        <v>421.98</v>
      </c>
      <c r="Y29" s="188">
        <f t="shared" si="17"/>
        <v>0.125</v>
      </c>
      <c r="Z29" s="188">
        <f t="shared" si="17"/>
        <v>421.98</v>
      </c>
      <c r="AA29" s="188">
        <f t="shared" si="17"/>
        <v>3676</v>
      </c>
      <c r="AB29" s="188">
        <f t="shared" si="17"/>
        <v>7.0000000000000001E-3</v>
      </c>
      <c r="AC29" s="188">
        <f t="shared" si="17"/>
        <v>25.73</v>
      </c>
      <c r="AD29" s="188">
        <f t="shared" si="17"/>
        <v>85808.4</v>
      </c>
      <c r="AE29" s="188">
        <f t="shared" si="17"/>
        <v>5.1499999999999997E-2</v>
      </c>
      <c r="AF29" s="188">
        <f t="shared" si="17"/>
        <v>176.85</v>
      </c>
      <c r="AG29" s="188">
        <f t="shared" si="17"/>
        <v>50670</v>
      </c>
      <c r="AH29" s="188">
        <f t="shared" si="17"/>
        <v>1.3200000000000007</v>
      </c>
      <c r="AI29" s="188">
        <f t="shared" si="17"/>
        <v>3303.5</v>
      </c>
      <c r="AJ29" s="188">
        <f t="shared" si="17"/>
        <v>1.3200000000000007</v>
      </c>
      <c r="AK29" s="188">
        <f t="shared" si="17"/>
        <v>3303.5</v>
      </c>
      <c r="AL29" s="188">
        <f t="shared" si="17"/>
        <v>0</v>
      </c>
      <c r="AM29" s="188">
        <f t="shared" si="17"/>
        <v>0</v>
      </c>
      <c r="AN29" s="188">
        <f t="shared" si="17"/>
        <v>0</v>
      </c>
      <c r="AO29" s="188">
        <f t="shared" si="17"/>
        <v>0</v>
      </c>
      <c r="AP29" s="188">
        <f t="shared" si="17"/>
        <v>0</v>
      </c>
      <c r="AQ29" s="188">
        <f t="shared" si="17"/>
        <v>360</v>
      </c>
      <c r="AR29" s="188">
        <f t="shared" si="17"/>
        <v>0</v>
      </c>
      <c r="AS29" s="188">
        <f t="shared" si="17"/>
        <v>20050.32</v>
      </c>
      <c r="AT29" s="188">
        <f t="shared" si="17"/>
        <v>8893.5</v>
      </c>
      <c r="AU29" s="188">
        <f t="shared" si="17"/>
        <v>3303.5</v>
      </c>
      <c r="AV29" s="188">
        <f t="shared" si="17"/>
        <v>3303.5</v>
      </c>
      <c r="AW29" s="188">
        <f t="shared" si="17"/>
        <v>35550.82</v>
      </c>
      <c r="AX29" s="188">
        <f t="shared" si="17"/>
        <v>28943.82</v>
      </c>
      <c r="AY29" s="188">
        <f t="shared" si="17"/>
        <v>0</v>
      </c>
      <c r="AZ29" s="188">
        <f t="shared" si="17"/>
        <v>6607</v>
      </c>
      <c r="BA29" s="188">
        <f t="shared" si="17"/>
        <v>0</v>
      </c>
      <c r="BB29" s="188">
        <f t="shared" si="17"/>
        <v>2000</v>
      </c>
      <c r="BC29" s="188">
        <f t="shared" si="17"/>
        <v>37550.820000000007</v>
      </c>
      <c r="BD29" s="225"/>
    </row>
    <row r="30" spans="1:60" ht="14.25">
      <c r="A30" s="189" t="s">
        <v>93</v>
      </c>
      <c r="B30" s="190"/>
      <c r="C30" s="191"/>
      <c r="D30" s="191"/>
      <c r="E30" s="192"/>
      <c r="F30" s="192"/>
      <c r="G30" s="192"/>
      <c r="H30" s="192"/>
      <c r="I30" s="192"/>
      <c r="J30" s="192"/>
      <c r="K30" s="192"/>
      <c r="L30" s="198">
        <f t="shared" ref="L30:AX30" si="18">SUM(L29:L29)</f>
        <v>84395</v>
      </c>
      <c r="M30" s="198">
        <f t="shared" si="18"/>
        <v>4</v>
      </c>
      <c r="N30" s="198">
        <f t="shared" si="18"/>
        <v>13503.2</v>
      </c>
      <c r="O30" s="198">
        <f t="shared" si="18"/>
        <v>2</v>
      </c>
      <c r="P30" s="198">
        <f t="shared" si="18"/>
        <v>6751.6</v>
      </c>
      <c r="Q30" s="198">
        <f t="shared" si="18"/>
        <v>85996</v>
      </c>
      <c r="R30" s="198">
        <f t="shared" si="18"/>
        <v>1.6160000000000001</v>
      </c>
      <c r="S30" s="198">
        <f t="shared" si="18"/>
        <v>5562.56</v>
      </c>
      <c r="T30" s="198">
        <f t="shared" si="18"/>
        <v>0.5</v>
      </c>
      <c r="U30" s="198">
        <f t="shared" si="18"/>
        <v>1719.92</v>
      </c>
      <c r="V30" s="198">
        <f t="shared" si="18"/>
        <v>84395</v>
      </c>
      <c r="W30" s="198">
        <f t="shared" si="18"/>
        <v>0.125</v>
      </c>
      <c r="X30" s="198">
        <f t="shared" si="18"/>
        <v>421.98</v>
      </c>
      <c r="Y30" s="198">
        <f t="shared" si="18"/>
        <v>0.125</v>
      </c>
      <c r="Z30" s="198">
        <f t="shared" si="18"/>
        <v>421.98</v>
      </c>
      <c r="AA30" s="198">
        <f t="shared" si="18"/>
        <v>3676</v>
      </c>
      <c r="AB30" s="198">
        <f t="shared" si="18"/>
        <v>7.0000000000000001E-3</v>
      </c>
      <c r="AC30" s="198">
        <f t="shared" si="18"/>
        <v>25.73</v>
      </c>
      <c r="AD30" s="198">
        <f t="shared" si="18"/>
        <v>85808.4</v>
      </c>
      <c r="AE30" s="198">
        <f t="shared" si="18"/>
        <v>5.1499999999999997E-2</v>
      </c>
      <c r="AF30" s="198">
        <f t="shared" si="18"/>
        <v>176.85</v>
      </c>
      <c r="AG30" s="198">
        <f t="shared" si="18"/>
        <v>50670</v>
      </c>
      <c r="AH30" s="198">
        <f t="shared" si="18"/>
        <v>1.3200000000000007</v>
      </c>
      <c r="AI30" s="198">
        <f t="shared" si="18"/>
        <v>3303.5</v>
      </c>
      <c r="AJ30" s="198">
        <f t="shared" si="18"/>
        <v>1.3200000000000007</v>
      </c>
      <c r="AK30" s="198">
        <f t="shared" si="18"/>
        <v>3303.5</v>
      </c>
      <c r="AL30" s="198">
        <f t="shared" si="18"/>
        <v>0</v>
      </c>
      <c r="AM30" s="198">
        <f t="shared" si="18"/>
        <v>0</v>
      </c>
      <c r="AN30" s="198">
        <f t="shared" si="18"/>
        <v>0</v>
      </c>
      <c r="AO30" s="198">
        <f t="shared" si="18"/>
        <v>0</v>
      </c>
      <c r="AP30" s="198">
        <f t="shared" si="18"/>
        <v>0</v>
      </c>
      <c r="AQ30" s="198">
        <f t="shared" si="18"/>
        <v>360</v>
      </c>
      <c r="AR30" s="198">
        <f t="shared" si="18"/>
        <v>0</v>
      </c>
      <c r="AS30" s="212">
        <f t="shared" si="18"/>
        <v>20050.32</v>
      </c>
      <c r="AT30" s="212">
        <f t="shared" si="18"/>
        <v>8893.5</v>
      </c>
      <c r="AU30" s="212">
        <f t="shared" si="18"/>
        <v>3303.5</v>
      </c>
      <c r="AV30" s="212">
        <f t="shared" si="18"/>
        <v>3303.5</v>
      </c>
      <c r="AW30" s="212">
        <f t="shared" si="18"/>
        <v>35550.82</v>
      </c>
      <c r="AX30" s="402">
        <f t="shared" si="18"/>
        <v>28943.82</v>
      </c>
      <c r="AY30" s="402"/>
      <c r="AZ30" s="402">
        <f t="shared" ref="AZ30:BC30" si="19">SUM(AZ29:AZ29)</f>
        <v>6607</v>
      </c>
      <c r="BA30" s="402"/>
      <c r="BB30" s="198">
        <f t="shared" si="19"/>
        <v>2000</v>
      </c>
      <c r="BC30" s="198">
        <f t="shared" si="19"/>
        <v>37550.820000000007</v>
      </c>
      <c r="BD30" s="226"/>
    </row>
    <row r="31" spans="1:60" s="164" customFormat="1">
      <c r="A31" s="193"/>
      <c r="B31" s="193"/>
      <c r="C31" s="193"/>
      <c r="D31" s="193"/>
      <c r="E31" s="193"/>
      <c r="F31" s="194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213"/>
      <c r="AT31" s="213"/>
      <c r="AU31" s="213"/>
      <c r="AV31" s="213"/>
      <c r="AW31" s="213"/>
      <c r="AX31" s="193"/>
      <c r="AY31" s="193"/>
      <c r="AZ31" s="193"/>
      <c r="BA31" s="193"/>
      <c r="BB31" s="193"/>
      <c r="BC31" s="193">
        <f>'（居民）工资表-1月'!E14</f>
        <v>77156.09</v>
      </c>
      <c r="BD31" s="227"/>
    </row>
    <row r="32" spans="1:60" s="165" customFormat="1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60"/>
      <c r="AK32" s="160"/>
      <c r="AL32" s="160"/>
      <c r="AM32" s="160"/>
      <c r="AN32" s="160"/>
      <c r="AO32" s="160"/>
      <c r="AP32" s="160"/>
      <c r="AQ32" s="160"/>
      <c r="AR32" s="160"/>
      <c r="AS32" s="166"/>
      <c r="AT32" s="166"/>
      <c r="AU32" s="166"/>
      <c r="AV32" s="166"/>
      <c r="AW32" s="166"/>
      <c r="AX32" s="160"/>
      <c r="AY32" s="160"/>
      <c r="AZ32" s="160"/>
      <c r="BA32" s="160"/>
      <c r="BB32" s="160"/>
      <c r="BC32" s="160"/>
      <c r="BD32" s="167"/>
    </row>
    <row r="34" spans="50:55">
      <c r="AX34" s="403"/>
      <c r="AY34" s="403"/>
      <c r="BC34" s="228"/>
    </row>
  </sheetData>
  <mergeCells count="78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27:AY27"/>
    <mergeCell ref="AZ27:BA27"/>
    <mergeCell ref="AX30:AY30"/>
    <mergeCell ref="AZ30:BA30"/>
    <mergeCell ref="AX34:AY34"/>
    <mergeCell ref="AX24:AY24"/>
    <mergeCell ref="AZ24:BA24"/>
    <mergeCell ref="AX25:AY25"/>
    <mergeCell ref="AZ25:BA25"/>
    <mergeCell ref="AX26:AY26"/>
    <mergeCell ref="AZ26:BA26"/>
    <mergeCell ref="AX21:AY21"/>
    <mergeCell ref="AZ21:BA21"/>
    <mergeCell ref="AX22:AY22"/>
    <mergeCell ref="AZ22:BA22"/>
    <mergeCell ref="AX23:AY23"/>
    <mergeCell ref="AZ23:BA23"/>
    <mergeCell ref="AX18:AY18"/>
    <mergeCell ref="AZ18:BA18"/>
    <mergeCell ref="AX19:AY19"/>
    <mergeCell ref="AZ19:BA19"/>
    <mergeCell ref="AX20:AY20"/>
    <mergeCell ref="AZ20:BA20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4" type="noConversion"/>
  <conditionalFormatting sqref="H1:I1">
    <cfRule type="expression" dxfId="71" priority="1" stopIfTrue="1">
      <formula>AND(COUNTIF($J$1:$J$1,H1)&gt;1,NOT(ISBLANK(H1)))</formula>
    </cfRule>
  </conditionalFormatting>
  <conditionalFormatting sqref="J1">
    <cfRule type="duplicateValues" dxfId="70" priority="2" stopIfTrue="1"/>
  </conditionalFormatting>
  <conditionalFormatting sqref="K1:L1">
    <cfRule type="duplicateValues" dxfId="69" priority="3" stopIfTrue="1"/>
  </conditionalFormatting>
  <conditionalFormatting sqref="Q1">
    <cfRule type="duplicateValues" dxfId="68" priority="4" stopIfTrue="1"/>
  </conditionalFormatting>
  <conditionalFormatting sqref="V1">
    <cfRule type="duplicateValues" dxfId="67" priority="5" stopIfTrue="1"/>
  </conditionalFormatting>
  <conditionalFormatting sqref="AG1">
    <cfRule type="duplicateValues" dxfId="66" priority="6" stopIfTrue="1"/>
  </conditionalFormatting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"/>
  <sheetViews>
    <sheetView topLeftCell="D1" workbookViewId="0">
      <selection activeCell="J17" sqref="J17"/>
    </sheetView>
  </sheetViews>
  <sheetFormatPr defaultColWidth="9" defaultRowHeight="12"/>
  <cols>
    <col min="1" max="1" width="4.875" style="120" hidden="1" customWidth="1"/>
    <col min="2" max="2" width="10.625" style="122" hidden="1" customWidth="1"/>
    <col min="3" max="3" width="25.625" style="120" hidden="1" customWidth="1"/>
    <col min="4" max="4" width="7.375" style="123" customWidth="1"/>
    <col min="5" max="5" width="20.375" style="120" customWidth="1"/>
    <col min="6" max="6" width="12.625" style="120" customWidth="1"/>
    <col min="7" max="7" width="8.75" style="120" customWidth="1"/>
    <col min="8" max="8" width="5.625" style="120" customWidth="1"/>
    <col min="9" max="9" width="7.625" style="120" customWidth="1"/>
    <col min="10" max="10" width="9.75" style="124" customWidth="1"/>
    <col min="11" max="11" width="6.625" style="122" customWidth="1"/>
    <col min="12" max="12" width="14.625" style="120" customWidth="1"/>
    <col min="13" max="14" width="8.5" style="120" customWidth="1"/>
    <col min="15" max="15" width="9.125" style="120" customWidth="1"/>
    <col min="16" max="16" width="8.5" style="120" customWidth="1"/>
    <col min="17" max="17" width="7.875" style="120" customWidth="1"/>
    <col min="18" max="19" width="8.5" style="120" customWidth="1"/>
    <col min="20" max="20" width="9.75" style="120" customWidth="1"/>
    <col min="21" max="21" width="12.75" style="120" customWidth="1"/>
    <col min="22" max="22" width="10" style="120" customWidth="1"/>
    <col min="23" max="23" width="9" style="120" hidden="1" customWidth="1"/>
    <col min="24" max="24" width="19.625" style="120" customWidth="1"/>
    <col min="25" max="16384" width="9" style="120"/>
  </cols>
  <sheetData>
    <row r="1" spans="1:24" s="84" customFormat="1" ht="16.5" customHeight="1">
      <c r="A1" s="411" t="s">
        <v>18</v>
      </c>
      <c r="B1" s="411" t="s">
        <v>214</v>
      </c>
      <c r="C1" s="413" t="s">
        <v>104</v>
      </c>
      <c r="D1" s="413" t="s">
        <v>108</v>
      </c>
      <c r="E1" s="413" t="s">
        <v>215</v>
      </c>
      <c r="F1" s="413" t="s">
        <v>216</v>
      </c>
      <c r="G1" s="413" t="s">
        <v>217</v>
      </c>
      <c r="H1" s="413" t="s">
        <v>218</v>
      </c>
      <c r="I1" s="413" t="s">
        <v>219</v>
      </c>
      <c r="J1" s="417" t="s">
        <v>220</v>
      </c>
      <c r="K1" s="413" t="s">
        <v>221</v>
      </c>
      <c r="L1" s="419" t="s">
        <v>222</v>
      </c>
      <c r="M1" s="409" t="s">
        <v>223</v>
      </c>
      <c r="N1" s="409"/>
      <c r="O1" s="409"/>
      <c r="P1" s="409"/>
      <c r="Q1" s="409"/>
      <c r="R1" s="409"/>
      <c r="S1" s="419" t="s">
        <v>224</v>
      </c>
      <c r="T1" s="410" t="s">
        <v>225</v>
      </c>
      <c r="U1" s="410"/>
      <c r="V1" s="410"/>
      <c r="W1" s="411" t="s">
        <v>226</v>
      </c>
      <c r="X1" s="411" t="s">
        <v>23</v>
      </c>
    </row>
    <row r="2" spans="1:24" s="85" customFormat="1" ht="49.5" customHeight="1">
      <c r="A2" s="412"/>
      <c r="B2" s="412"/>
      <c r="C2" s="414"/>
      <c r="D2" s="415"/>
      <c r="E2" s="415"/>
      <c r="F2" s="415"/>
      <c r="G2" s="416"/>
      <c r="H2" s="415"/>
      <c r="I2" s="415"/>
      <c r="J2" s="418"/>
      <c r="K2" s="415"/>
      <c r="L2" s="420"/>
      <c r="M2" s="142" t="s">
        <v>227</v>
      </c>
      <c r="N2" s="142" t="s">
        <v>228</v>
      </c>
      <c r="O2" s="142" t="s">
        <v>229</v>
      </c>
      <c r="P2" s="142" t="s">
        <v>230</v>
      </c>
      <c r="Q2" s="142" t="s">
        <v>231</v>
      </c>
      <c r="R2" s="142" t="s">
        <v>232</v>
      </c>
      <c r="S2" s="420"/>
      <c r="T2" s="142" t="s">
        <v>233</v>
      </c>
      <c r="U2" s="142" t="s">
        <v>234</v>
      </c>
      <c r="V2" s="142" t="s">
        <v>235</v>
      </c>
      <c r="W2" s="412"/>
      <c r="X2" s="421"/>
    </row>
    <row r="3" spans="1:24" ht="14.25">
      <c r="A3" s="125" t="s">
        <v>236</v>
      </c>
      <c r="B3" s="126"/>
      <c r="C3" s="127" t="s">
        <v>237</v>
      </c>
      <c r="D3" s="128" t="s">
        <v>193</v>
      </c>
      <c r="E3" s="128" t="s">
        <v>194</v>
      </c>
      <c r="F3" s="128">
        <v>18068827794</v>
      </c>
      <c r="G3" s="129">
        <v>12000</v>
      </c>
      <c r="H3" s="130" t="s">
        <v>168</v>
      </c>
      <c r="I3" s="125" t="s">
        <v>238</v>
      </c>
      <c r="J3" s="143">
        <v>44627</v>
      </c>
      <c r="K3" s="143"/>
      <c r="L3" s="125" t="s">
        <v>239</v>
      </c>
      <c r="M3" s="125" t="s">
        <v>240</v>
      </c>
      <c r="N3" s="144">
        <v>3430</v>
      </c>
      <c r="O3" s="144">
        <v>3430</v>
      </c>
      <c r="P3" s="144">
        <v>3430</v>
      </c>
      <c r="Q3" s="144">
        <v>3430</v>
      </c>
      <c r="R3" s="155"/>
      <c r="S3" s="156" t="s">
        <v>239</v>
      </c>
      <c r="T3" s="125" t="s">
        <v>240</v>
      </c>
      <c r="U3" s="156">
        <v>0.05</v>
      </c>
      <c r="V3" s="144">
        <v>1650</v>
      </c>
      <c r="W3" s="127">
        <v>120000</v>
      </c>
    </row>
    <row r="4" spans="1:24" ht="14.25">
      <c r="A4" s="125" t="s">
        <v>241</v>
      </c>
      <c r="B4" s="126"/>
      <c r="C4" s="127" t="s">
        <v>237</v>
      </c>
      <c r="D4" s="128" t="s">
        <v>196</v>
      </c>
      <c r="E4" s="128" t="s">
        <v>197</v>
      </c>
      <c r="F4" s="128">
        <v>13696531963</v>
      </c>
      <c r="G4" s="129">
        <v>12000</v>
      </c>
      <c r="H4" s="130" t="s">
        <v>168</v>
      </c>
      <c r="I4" s="125" t="s">
        <v>238</v>
      </c>
      <c r="J4" s="143">
        <v>44627</v>
      </c>
      <c r="K4" s="143"/>
      <c r="L4" s="125" t="s">
        <v>239</v>
      </c>
      <c r="M4" s="125" t="s">
        <v>240</v>
      </c>
      <c r="N4" s="144">
        <v>3430</v>
      </c>
      <c r="O4" s="144">
        <v>3430</v>
      </c>
      <c r="P4" s="144">
        <v>3430</v>
      </c>
      <c r="Q4" s="144">
        <v>3430</v>
      </c>
      <c r="R4" s="155"/>
      <c r="S4" s="156" t="s">
        <v>239</v>
      </c>
      <c r="T4" s="125" t="s">
        <v>240</v>
      </c>
      <c r="U4" s="156">
        <v>0.05</v>
      </c>
      <c r="V4" s="144">
        <v>1650</v>
      </c>
      <c r="W4" s="127">
        <v>168000</v>
      </c>
    </row>
    <row r="5" spans="1:24" ht="13.5">
      <c r="A5" s="125" t="s">
        <v>242</v>
      </c>
      <c r="B5" s="126"/>
      <c r="C5" s="127" t="s">
        <v>237</v>
      </c>
      <c r="D5" s="131" t="s">
        <v>243</v>
      </c>
      <c r="E5" s="319" t="s">
        <v>244</v>
      </c>
      <c r="F5" s="131">
        <v>19556071829</v>
      </c>
      <c r="G5" s="131">
        <v>17000</v>
      </c>
      <c r="H5" s="132" t="s">
        <v>168</v>
      </c>
      <c r="I5" s="145" t="s">
        <v>245</v>
      </c>
      <c r="J5" s="146">
        <v>44634</v>
      </c>
      <c r="K5" s="147"/>
      <c r="L5" s="145" t="s">
        <v>239</v>
      </c>
      <c r="M5" s="145" t="s">
        <v>240</v>
      </c>
      <c r="N5" s="148">
        <v>3430</v>
      </c>
      <c r="O5" s="148">
        <v>3430</v>
      </c>
      <c r="P5" s="148">
        <v>3430</v>
      </c>
      <c r="Q5" s="148">
        <v>3430</v>
      </c>
      <c r="R5" s="157" t="s">
        <v>239</v>
      </c>
      <c r="S5" s="157" t="s">
        <v>239</v>
      </c>
      <c r="T5" s="145" t="s">
        <v>240</v>
      </c>
      <c r="U5" s="157">
        <v>0.05</v>
      </c>
      <c r="V5" s="148">
        <v>1650</v>
      </c>
      <c r="W5" s="127">
        <v>144000</v>
      </c>
    </row>
    <row r="6" spans="1:24" s="121" customFormat="1" ht="14.25">
      <c r="A6" s="133"/>
      <c r="B6" s="134"/>
      <c r="C6" s="135"/>
      <c r="D6" s="136" t="s">
        <v>198</v>
      </c>
      <c r="E6" s="137" t="s">
        <v>199</v>
      </c>
      <c r="F6" s="137" t="s">
        <v>246</v>
      </c>
      <c r="G6" s="138"/>
      <c r="H6" s="138" t="s">
        <v>168</v>
      </c>
      <c r="I6" s="138" t="s">
        <v>168</v>
      </c>
      <c r="J6" s="149" t="s">
        <v>245</v>
      </c>
      <c r="K6" s="150">
        <v>44652</v>
      </c>
      <c r="L6" s="90" t="s">
        <v>168</v>
      </c>
      <c r="M6" s="90" t="s">
        <v>239</v>
      </c>
      <c r="N6" s="138">
        <v>202205</v>
      </c>
      <c r="O6" s="151">
        <v>3430</v>
      </c>
      <c r="P6" s="151">
        <v>3430</v>
      </c>
      <c r="Q6" s="151">
        <v>3430</v>
      </c>
      <c r="R6" s="151">
        <v>3430</v>
      </c>
      <c r="S6" s="138"/>
      <c r="T6" s="138" t="s">
        <v>239</v>
      </c>
      <c r="U6" s="158" t="s">
        <v>247</v>
      </c>
      <c r="V6" s="138">
        <v>0.05</v>
      </c>
      <c r="W6" s="151">
        <v>1650</v>
      </c>
    </row>
    <row r="7" spans="1:24" s="121" customFormat="1" ht="14.25">
      <c r="A7" s="133"/>
      <c r="B7" s="134"/>
      <c r="C7" s="135"/>
      <c r="D7" s="136" t="s">
        <v>200</v>
      </c>
      <c r="E7" s="137" t="s">
        <v>201</v>
      </c>
      <c r="F7" s="137" t="s">
        <v>248</v>
      </c>
      <c r="G7" s="138"/>
      <c r="H7" s="138" t="s">
        <v>168</v>
      </c>
      <c r="I7" s="138" t="s">
        <v>168</v>
      </c>
      <c r="J7" s="149" t="s">
        <v>238</v>
      </c>
      <c r="K7" s="150">
        <v>44652</v>
      </c>
      <c r="L7" s="90" t="s">
        <v>168</v>
      </c>
      <c r="M7" s="90" t="s">
        <v>239</v>
      </c>
      <c r="N7" s="138">
        <v>202205</v>
      </c>
      <c r="O7" s="151">
        <v>3430</v>
      </c>
      <c r="P7" s="151">
        <v>3430</v>
      </c>
      <c r="Q7" s="151">
        <v>3430</v>
      </c>
      <c r="R7" s="151">
        <v>3430</v>
      </c>
      <c r="S7" s="138"/>
      <c r="T7" s="138" t="s">
        <v>239</v>
      </c>
      <c r="U7" s="158" t="s">
        <v>247</v>
      </c>
      <c r="V7" s="138">
        <v>0.05</v>
      </c>
      <c r="W7" s="151">
        <v>1650</v>
      </c>
    </row>
    <row r="8" spans="1:24" s="121" customFormat="1" ht="14.25">
      <c r="A8" s="133"/>
      <c r="B8" s="134"/>
      <c r="C8" s="135"/>
      <c r="D8" s="136" t="s">
        <v>202</v>
      </c>
      <c r="E8" s="137" t="s">
        <v>203</v>
      </c>
      <c r="F8" s="137" t="s">
        <v>249</v>
      </c>
      <c r="G8" s="138"/>
      <c r="H8" s="138" t="s">
        <v>168</v>
      </c>
      <c r="I8" s="138" t="s">
        <v>168</v>
      </c>
      <c r="J8" s="149" t="s">
        <v>245</v>
      </c>
      <c r="K8" s="150">
        <v>44652</v>
      </c>
      <c r="L8" s="90" t="s">
        <v>168</v>
      </c>
      <c r="M8" s="90" t="s">
        <v>239</v>
      </c>
      <c r="N8" s="138">
        <v>202205</v>
      </c>
      <c r="O8" s="151">
        <v>3430</v>
      </c>
      <c r="P8" s="151">
        <v>3430</v>
      </c>
      <c r="Q8" s="151">
        <v>3430</v>
      </c>
      <c r="R8" s="151">
        <v>3430</v>
      </c>
      <c r="S8" s="138"/>
      <c r="T8" s="138" t="s">
        <v>239</v>
      </c>
      <c r="U8" s="158" t="s">
        <v>247</v>
      </c>
      <c r="V8" s="138">
        <v>0.05</v>
      </c>
      <c r="W8" s="151">
        <v>1650</v>
      </c>
    </row>
    <row r="9" spans="1:24" s="121" customFormat="1" ht="14.25">
      <c r="A9" s="133"/>
      <c r="B9" s="134"/>
      <c r="C9" s="135"/>
      <c r="D9" s="136" t="s">
        <v>204</v>
      </c>
      <c r="E9" s="137" t="s">
        <v>205</v>
      </c>
      <c r="F9" s="137" t="s">
        <v>250</v>
      </c>
      <c r="G9" s="138"/>
      <c r="H9" s="138" t="s">
        <v>168</v>
      </c>
      <c r="I9" s="138" t="s">
        <v>168</v>
      </c>
      <c r="J9" s="149" t="s">
        <v>251</v>
      </c>
      <c r="K9" s="150">
        <v>44652</v>
      </c>
      <c r="L9" s="90" t="s">
        <v>168</v>
      </c>
      <c r="M9" s="90" t="s">
        <v>239</v>
      </c>
      <c r="N9" s="138">
        <v>202205</v>
      </c>
      <c r="O9" s="151">
        <v>3430</v>
      </c>
      <c r="P9" s="151">
        <v>3430</v>
      </c>
      <c r="Q9" s="151">
        <v>3430</v>
      </c>
      <c r="R9" s="151">
        <v>3430</v>
      </c>
      <c r="S9" s="138"/>
      <c r="T9" s="138" t="s">
        <v>239</v>
      </c>
      <c r="U9" s="158" t="s">
        <v>247</v>
      </c>
      <c r="V9" s="138">
        <v>0.05</v>
      </c>
      <c r="W9" s="151">
        <v>1650</v>
      </c>
    </row>
    <row r="10" spans="1:24" s="121" customFormat="1" ht="14.25">
      <c r="A10" s="133"/>
      <c r="B10" s="134"/>
      <c r="C10" s="135"/>
      <c r="D10" s="136" t="s">
        <v>206</v>
      </c>
      <c r="E10" s="137" t="s">
        <v>207</v>
      </c>
      <c r="F10" s="137" t="s">
        <v>252</v>
      </c>
      <c r="G10" s="138"/>
      <c r="H10" s="138" t="s">
        <v>168</v>
      </c>
      <c r="I10" s="138" t="s">
        <v>168</v>
      </c>
      <c r="J10" s="149" t="s">
        <v>251</v>
      </c>
      <c r="K10" s="150">
        <v>44652</v>
      </c>
      <c r="L10" s="90" t="s">
        <v>168</v>
      </c>
      <c r="M10" s="90" t="s">
        <v>239</v>
      </c>
      <c r="N10" s="138">
        <v>202205</v>
      </c>
      <c r="O10" s="151">
        <v>3430</v>
      </c>
      <c r="P10" s="151">
        <v>3430</v>
      </c>
      <c r="Q10" s="151">
        <v>3430</v>
      </c>
      <c r="R10" s="151">
        <v>3430</v>
      </c>
      <c r="S10" s="138"/>
      <c r="T10" s="138" t="s">
        <v>239</v>
      </c>
      <c r="U10" s="158" t="s">
        <v>247</v>
      </c>
      <c r="V10" s="138">
        <v>0.05</v>
      </c>
      <c r="W10" s="151">
        <v>1650</v>
      </c>
    </row>
    <row r="11" spans="1:24" s="121" customFormat="1" ht="14.25">
      <c r="A11" s="133"/>
      <c r="B11" s="134"/>
      <c r="C11" s="135"/>
      <c r="D11" s="136" t="s">
        <v>208</v>
      </c>
      <c r="E11" s="137" t="s">
        <v>209</v>
      </c>
      <c r="F11" s="137" t="s">
        <v>253</v>
      </c>
      <c r="G11" s="138"/>
      <c r="H11" s="138" t="s">
        <v>168</v>
      </c>
      <c r="I11" s="138" t="s">
        <v>168</v>
      </c>
      <c r="J11" s="149" t="s">
        <v>251</v>
      </c>
      <c r="K11" s="150">
        <v>44652</v>
      </c>
      <c r="L11" s="90" t="s">
        <v>168</v>
      </c>
      <c r="M11" s="90" t="s">
        <v>239</v>
      </c>
      <c r="N11" s="138">
        <v>202205</v>
      </c>
      <c r="O11" s="151">
        <v>3430</v>
      </c>
      <c r="P11" s="151">
        <v>3430</v>
      </c>
      <c r="Q11" s="151">
        <v>3430</v>
      </c>
      <c r="R11" s="151">
        <v>3430</v>
      </c>
      <c r="S11" s="138"/>
      <c r="T11" s="138" t="s">
        <v>239</v>
      </c>
      <c r="U11" s="158" t="s">
        <v>247</v>
      </c>
      <c r="V11" s="138">
        <v>0.05</v>
      </c>
      <c r="W11" s="151">
        <v>1650</v>
      </c>
    </row>
    <row r="12" spans="1:24" s="121" customFormat="1" ht="14.25">
      <c r="A12" s="133"/>
      <c r="B12" s="134"/>
      <c r="C12" s="135"/>
      <c r="D12" s="136" t="s">
        <v>210</v>
      </c>
      <c r="E12" s="137" t="s">
        <v>211</v>
      </c>
      <c r="F12" s="137" t="s">
        <v>254</v>
      </c>
      <c r="G12" s="138"/>
      <c r="H12" s="138" t="s">
        <v>168</v>
      </c>
      <c r="I12" s="138" t="s">
        <v>168</v>
      </c>
      <c r="J12" s="149" t="s">
        <v>251</v>
      </c>
      <c r="K12" s="150">
        <v>44652</v>
      </c>
      <c r="L12" s="90" t="s">
        <v>168</v>
      </c>
      <c r="M12" s="90" t="s">
        <v>239</v>
      </c>
      <c r="N12" s="138">
        <v>202205</v>
      </c>
      <c r="O12" s="151">
        <v>3430</v>
      </c>
      <c r="P12" s="151">
        <v>3430</v>
      </c>
      <c r="Q12" s="151">
        <v>3430</v>
      </c>
      <c r="R12" s="151">
        <v>3430</v>
      </c>
      <c r="S12" s="138"/>
      <c r="T12" s="138" t="s">
        <v>239</v>
      </c>
      <c r="U12" s="158" t="s">
        <v>247</v>
      </c>
      <c r="V12" s="138">
        <v>0.12</v>
      </c>
      <c r="W12" s="151">
        <v>1650</v>
      </c>
    </row>
    <row r="13" spans="1:24" s="121" customFormat="1" ht="14.25">
      <c r="A13" s="133"/>
      <c r="B13" s="134"/>
      <c r="C13" s="135"/>
      <c r="D13" s="136" t="s">
        <v>212</v>
      </c>
      <c r="E13" s="137" t="s">
        <v>213</v>
      </c>
      <c r="F13" s="137" t="s">
        <v>255</v>
      </c>
      <c r="G13" s="138"/>
      <c r="H13" s="138" t="s">
        <v>168</v>
      </c>
      <c r="I13" s="138" t="s">
        <v>168</v>
      </c>
      <c r="J13" s="149" t="s">
        <v>251</v>
      </c>
      <c r="K13" s="150">
        <v>44652</v>
      </c>
      <c r="L13" s="90" t="s">
        <v>168</v>
      </c>
      <c r="M13" s="90" t="s">
        <v>239</v>
      </c>
      <c r="N13" s="138">
        <v>202205</v>
      </c>
      <c r="O13" s="151">
        <v>3430</v>
      </c>
      <c r="P13" s="151">
        <v>3430</v>
      </c>
      <c r="Q13" s="151">
        <v>3430</v>
      </c>
      <c r="R13" s="151">
        <v>3430</v>
      </c>
      <c r="S13" s="138"/>
      <c r="T13" s="138" t="s">
        <v>239</v>
      </c>
      <c r="U13" s="158" t="s">
        <v>247</v>
      </c>
      <c r="V13" s="138">
        <v>0.05</v>
      </c>
      <c r="W13" s="151">
        <v>1650</v>
      </c>
    </row>
    <row r="18" spans="4:17" ht="33">
      <c r="D18" s="139" t="s">
        <v>104</v>
      </c>
      <c r="E18" s="139" t="s">
        <v>108</v>
      </c>
      <c r="F18" s="139" t="s">
        <v>215</v>
      </c>
      <c r="G18" s="139" t="s">
        <v>216</v>
      </c>
      <c r="H18" s="139" t="s">
        <v>256</v>
      </c>
      <c r="I18" s="139" t="s">
        <v>257</v>
      </c>
      <c r="J18" s="139" t="s">
        <v>218</v>
      </c>
      <c r="K18" s="139" t="s">
        <v>219</v>
      </c>
      <c r="L18" s="152" t="s">
        <v>47</v>
      </c>
      <c r="M18" s="152" t="s">
        <v>258</v>
      </c>
      <c r="N18" s="152" t="s">
        <v>259</v>
      </c>
      <c r="O18" s="152" t="s">
        <v>260</v>
      </c>
    </row>
    <row r="19" spans="4:17" ht="13.5">
      <c r="D19" s="140" t="s">
        <v>237</v>
      </c>
      <c r="E19" s="131" t="s">
        <v>243</v>
      </c>
      <c r="F19" s="319" t="s">
        <v>244</v>
      </c>
      <c r="G19" s="131">
        <v>19556071829</v>
      </c>
      <c r="H19" s="141"/>
      <c r="I19" s="132" t="s">
        <v>168</v>
      </c>
      <c r="J19" s="132" t="s">
        <v>168</v>
      </c>
      <c r="K19" s="141" t="s">
        <v>245</v>
      </c>
      <c r="L19" s="146">
        <v>44634</v>
      </c>
      <c r="M19" s="153"/>
      <c r="N19" s="153"/>
      <c r="O19" s="154" t="s">
        <v>261</v>
      </c>
      <c r="Q19" s="120" t="s">
        <v>262</v>
      </c>
    </row>
  </sheetData>
  <mergeCells count="17">
    <mergeCell ref="W1:W2"/>
    <mergeCell ref="X1:X2"/>
    <mergeCell ref="M1:R1"/>
    <mergeCell ref="T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</mergeCells>
  <phoneticPr fontId="114" type="noConversion"/>
  <dataValidations count="4">
    <dataValidation type="list" allowBlank="1" showInputMessage="1" showErrorMessage="1" sqref="R5 L3:L5 M6:M13 S3:S5 T6:T13">
      <formula1>"新参,调入"</formula1>
    </dataValidation>
    <dataValidation type="list" allowBlank="1" showInputMessage="1" showErrorMessage="1" sqref="H19">
      <formula1>"是,否"</formula1>
    </dataValidation>
    <dataValidation type="list" allowBlank="1" showInputMessage="1" showErrorMessage="1" sqref="K19 I3:I5 J6:J13">
      <formula1>"本地城镇,本地农村,外地城镇,外地农村"</formula1>
    </dataValidation>
    <dataValidation type="list" allowBlank="1" showInputMessage="1" showErrorMessage="1" sqref="O19">
      <formula1>"辞职,合同主动解除,合同被动解除,合同到期终止,试用期解除,死亡,其他"</formula1>
    </dataValidation>
  </dataValidation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 pane="topRight"/>
      <selection pane="bottomLeft"/>
      <selection pane="bottomRight" activeCell="M7" sqref="M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8980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L4+IFERROR(VLOOKUP($E:$E,'（居民）工资表-5月'!$E:$S,15,0),0)</f>
        <v>41360</v>
      </c>
      <c r="T4" s="69">
        <f>5000+IFERROR(VLOOKUP($E:$E,'（居民）工资表-5月'!$E:$T,16,0),0)</f>
        <v>30000</v>
      </c>
      <c r="U4" s="69">
        <f>Q4+IFERROR(VLOOKUP($E:$E,'（居民）工资表-5月'!$E:$U,17,0),0)</f>
        <v>3119.4</v>
      </c>
      <c r="V4" s="52"/>
      <c r="W4" s="52"/>
      <c r="X4" s="52">
        <v>6000</v>
      </c>
      <c r="Y4" s="52"/>
      <c r="Z4" s="52"/>
      <c r="AA4" s="52"/>
      <c r="AB4" s="68">
        <f>ROUND(SUM(V4:AA4),2)</f>
        <v>6000</v>
      </c>
      <c r="AC4" s="68">
        <f>R4+IFERROR(VLOOKUP($E:$E,'（居民）工资表-5月'!$E:$AC,25,0),0)</f>
        <v>0</v>
      </c>
      <c r="AD4" s="70">
        <f>ROUND(S4-T4-U4-AB4-AC4,2)</f>
        <v>2240.6</v>
      </c>
      <c r="AE4" s="71">
        <f>ROUND(MAX((AD4)*{0.03;0.1;0.2;0.25;0.3;0.35;0.45}-{0;2520;16920;31920;52920;85920;181920},0),2)</f>
        <v>67.22</v>
      </c>
      <c r="AF4" s="72">
        <f>IFERROR(VLOOKUP(E:E,'（居民）工资表-5月'!E:AF,28,0)+VLOOKUP(E:E,'（居民）工资表-5月'!E:AG,29,0),0)</f>
        <v>52.8</v>
      </c>
      <c r="AG4" s="72">
        <f>IF((AE4-AF4)&lt;0,0,AE4-AF4)</f>
        <v>14.42</v>
      </c>
      <c r="AH4" s="75">
        <f>ROUND(IF((L4-Q4-AG4)&lt;0,0,(L4-Q4-AG4)),2)</f>
        <v>8445.68</v>
      </c>
      <c r="AI4" s="76"/>
      <c r="AJ4" s="75">
        <f>AH4+AI4</f>
        <v>8445.68</v>
      </c>
      <c r="AK4" s="77"/>
      <c r="AL4" s="75">
        <f>AJ4+AG4+AK4</f>
        <v>8460.1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89</v>
      </c>
      <c r="D5" s="25" t="s">
        <v>87</v>
      </c>
      <c r="E5" s="318" t="s">
        <v>90</v>
      </c>
      <c r="F5" s="26" t="s">
        <v>264</v>
      </c>
      <c r="G5" s="27">
        <v>13926009696</v>
      </c>
      <c r="H5" s="28"/>
      <c r="I5" s="28"/>
      <c r="J5" s="51"/>
      <c r="K5" s="28"/>
      <c r="L5" s="52">
        <v>5800</v>
      </c>
      <c r="M5" s="53">
        <v>304.24</v>
      </c>
      <c r="N5" s="53">
        <v>123.5</v>
      </c>
      <c r="O5" s="53">
        <v>7.61</v>
      </c>
      <c r="P5" s="53">
        <v>0</v>
      </c>
      <c r="Q5" s="67">
        <f>ROUND(SUM(M5:P5),2)</f>
        <v>435.35</v>
      </c>
      <c r="R5" s="52">
        <v>0</v>
      </c>
      <c r="S5" s="68">
        <f>L5+IFERROR(VLOOKUP($E:$E,'（居民）工资表-5月'!$E:$S,15,0),0)</f>
        <v>23200</v>
      </c>
      <c r="T5" s="69">
        <f>5000+IFERROR(VLOOKUP($E:$E,'（居民）工资表-5月'!$E:$T,16,0),0)</f>
        <v>20000</v>
      </c>
      <c r="U5" s="69">
        <f>Q5+IFERROR(VLOOKUP($E:$E,'（居民）工资表-5月'!$E:$U,17,0),0)</f>
        <v>1741.4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R5+IFERROR(VLOOKUP($E:$E,'（居民）工资表-5月'!$E:$AC,25,0),0)</f>
        <v>0</v>
      </c>
      <c r="AD5" s="70">
        <f>ROUND(S5-T5-U5-AB5-AC5,2)</f>
        <v>1458.6</v>
      </c>
      <c r="AE5" s="71">
        <f>ROUND(MAX((AD5)*{0.03;0.1;0.2;0.25;0.3;0.35;0.45}-{0;2520;16920;31920;52920;85920;181920},0),2)</f>
        <v>43.76</v>
      </c>
      <c r="AF5" s="72">
        <f>IFERROR(VLOOKUP(E:E,'（居民）工资表-5月'!E:AF,28,0)+VLOOKUP(E:E,'（居民）工资表-5月'!E:AG,29,0),0)</f>
        <v>32.82</v>
      </c>
      <c r="AG5" s="72">
        <f>IF((AE5-AF5)&lt;0,0,AE5-AF5)</f>
        <v>10.94</v>
      </c>
      <c r="AH5" s="75">
        <f>ROUND(IF((L5-Q5-AG5)&lt;0,0,(L5-Q5-AG5)),2)</f>
        <v>5353.71</v>
      </c>
      <c r="AI5" s="76"/>
      <c r="AJ5" s="75">
        <f>AH5+AI5</f>
        <v>5353.71</v>
      </c>
      <c r="AK5" s="77"/>
      <c r="AL5" s="75">
        <f>AJ5+AG5+AK5</f>
        <v>5364.65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154</v>
      </c>
      <c r="D6" s="25" t="s">
        <v>87</v>
      </c>
      <c r="E6" s="25" t="s">
        <v>155</v>
      </c>
      <c r="F6" s="26" t="s">
        <v>263</v>
      </c>
      <c r="G6" s="27">
        <v>13944441728</v>
      </c>
      <c r="H6" s="28"/>
      <c r="I6" s="28"/>
      <c r="J6" s="51"/>
      <c r="K6" s="28"/>
      <c r="L6" s="52">
        <v>8120</v>
      </c>
      <c r="M6" s="53">
        <v>488.48</v>
      </c>
      <c r="N6" s="53">
        <v>122.12</v>
      </c>
      <c r="O6" s="53">
        <v>18.32</v>
      </c>
      <c r="P6" s="53">
        <v>158</v>
      </c>
      <c r="Q6" s="67">
        <f>ROUND(SUM(M6:P6),2)</f>
        <v>786.92</v>
      </c>
      <c r="R6" s="52">
        <v>0</v>
      </c>
      <c r="S6" s="68">
        <f>L6+IFERROR(VLOOKUP($E:$E,'（居民）工资表-5月'!$E:$S,15,0),0)</f>
        <v>21140</v>
      </c>
      <c r="T6" s="69">
        <f>5000+IFERROR(VLOOKUP($E:$E,'（居民）工资表-5月'!$E:$T,16,0),0)</f>
        <v>15000</v>
      </c>
      <c r="U6" s="69">
        <f>Q6+IFERROR(VLOOKUP($E:$E,'（居民）工资表-5月'!$E:$U,17,0),0)</f>
        <v>1573.84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R6+IFERROR(VLOOKUP($E:$E,'（居民）工资表-5月'!$E:$AC,25,0),0)</f>
        <v>0</v>
      </c>
      <c r="AD6" s="70">
        <f>ROUND(S6-T6-U6-AB6-AC6,2)</f>
        <v>4566.16</v>
      </c>
      <c r="AE6" s="71">
        <f>ROUND(MAX((AD6)*{0.03;0.1;0.2;0.25;0.3;0.35;0.45}-{0;2520;16920;31920;52920;85920;181920},0),2)</f>
        <v>136.97999999999999</v>
      </c>
      <c r="AF6" s="72">
        <f>IFERROR(VLOOKUP(E:E,'（居民）工资表-5月'!E:AF,28,0)+VLOOKUP(E:E,'（居民）工资表-5月'!E:AG,29,0),0)</f>
        <v>66.989999999999995</v>
      </c>
      <c r="AG6" s="72">
        <f>IF((AE6-AF6)&lt;0,0,AE6-AF6)</f>
        <v>69.989999999999995</v>
      </c>
      <c r="AH6" s="75">
        <f>ROUND(IF((L6-Q6-AG6)&lt;0,0,(L6-Q6-AG6)),2)</f>
        <v>7263.09</v>
      </c>
      <c r="AI6" s="76"/>
      <c r="AJ6" s="75">
        <f>AH6+AI6</f>
        <v>7263.09</v>
      </c>
      <c r="AK6" s="77"/>
      <c r="AL6" s="75">
        <f>AJ6+AG6+AK6</f>
        <v>7333.08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160</v>
      </c>
      <c r="D7" s="25" t="s">
        <v>87</v>
      </c>
      <c r="E7" s="318" t="s">
        <v>161</v>
      </c>
      <c r="F7" s="26" t="s">
        <v>263</v>
      </c>
      <c r="G7" s="27"/>
      <c r="H7" s="28"/>
      <c r="I7" s="28"/>
      <c r="J7" s="51"/>
      <c r="K7" s="28"/>
      <c r="L7" s="52">
        <v>25000</v>
      </c>
      <c r="M7" s="53">
        <f>320*2</f>
        <v>640</v>
      </c>
      <c r="N7" s="53">
        <f>80*2+86.67</f>
        <v>246.67</v>
      </c>
      <c r="O7" s="53">
        <f>12*2</f>
        <v>24</v>
      </c>
      <c r="P7" s="53">
        <v>400</v>
      </c>
      <c r="Q7" s="67">
        <f>ROUND(SUM(M7:P7),2)</f>
        <v>1310.67</v>
      </c>
      <c r="R7" s="52">
        <v>0</v>
      </c>
      <c r="S7" s="68">
        <f>L7+IFERROR(VLOOKUP($E:$E,'（居民）工资表-5月'!$E:$S,15,0),0)</f>
        <v>36904.76</v>
      </c>
      <c r="T7" s="69">
        <f>5000+IFERROR(VLOOKUP($E:$E,'（居民）工资表-5月'!$E:$T,16,0),0)</f>
        <v>10000</v>
      </c>
      <c r="U7" s="69">
        <f>Q7+IFERROR(VLOOKUP($E:$E,'（居民）工资表-5月'!$E:$U,17,0),0)</f>
        <v>1310.67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R7+IFERROR(VLOOKUP($E:$E,'（居民）工资表-5月'!$E:$AC,25,0),0)</f>
        <v>0</v>
      </c>
      <c r="AD7" s="70">
        <f>ROUND(S7-T7-U7-AB7-AC7,2)</f>
        <v>25594.09</v>
      </c>
      <c r="AE7" s="71">
        <f>ROUND(MAX((AD7)*{0.03;0.1;0.2;0.25;0.3;0.35;0.45}-{0;2520;16920;31920;52920;85920;181920},0),2)</f>
        <v>767.82</v>
      </c>
      <c r="AF7" s="72">
        <f>IFERROR(VLOOKUP(E:E,'（居民）工资表-5月'!E:AF,28,0)+VLOOKUP(E:E,'（居民）工资表-5月'!E:AG,29,0),0)</f>
        <v>207.14</v>
      </c>
      <c r="AG7" s="72">
        <f>IF((AE7-AF7)&lt;0,0,AE7-AF7)</f>
        <v>560.67999999999995</v>
      </c>
      <c r="AH7" s="75">
        <f>ROUND(IF((L7-Q7-AG7)&lt;0,0,(L7-Q7-AG7)),2)</f>
        <v>23128.65</v>
      </c>
      <c r="AI7" s="76"/>
      <c r="AJ7" s="75">
        <f>AH7+AI7</f>
        <v>23128.65</v>
      </c>
      <c r="AK7" s="77"/>
      <c r="AL7" s="75">
        <f>AJ7+AG7+AK7</f>
        <v>23689.33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91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47900</v>
      </c>
      <c r="M8" s="56">
        <f t="shared" si="0"/>
        <v>1696.72</v>
      </c>
      <c r="N8" s="56">
        <f t="shared" si="0"/>
        <v>558.29</v>
      </c>
      <c r="O8" s="56">
        <f t="shared" si="0"/>
        <v>59.83</v>
      </c>
      <c r="P8" s="56">
        <f t="shared" si="0"/>
        <v>738</v>
      </c>
      <c r="Q8" s="56">
        <f t="shared" si="0"/>
        <v>3052.84</v>
      </c>
      <c r="R8" s="56">
        <f t="shared" si="0"/>
        <v>0</v>
      </c>
      <c r="S8" s="56">
        <f t="shared" si="0"/>
        <v>122604.76</v>
      </c>
      <c r="T8" s="56">
        <f t="shared" si="0"/>
        <v>75000</v>
      </c>
      <c r="U8" s="56">
        <f t="shared" si="0"/>
        <v>7745.31</v>
      </c>
      <c r="V8" s="56">
        <f t="shared" si="0"/>
        <v>0</v>
      </c>
      <c r="W8" s="56">
        <f t="shared" si="0"/>
        <v>0</v>
      </c>
      <c r="X8" s="56">
        <f t="shared" si="0"/>
        <v>6000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6000</v>
      </c>
      <c r="AC8" s="56">
        <f t="shared" si="0"/>
        <v>0</v>
      </c>
      <c r="AD8" s="56">
        <f t="shared" si="0"/>
        <v>33859.449999999997</v>
      </c>
      <c r="AE8" s="56">
        <f t="shared" si="0"/>
        <v>1015.78</v>
      </c>
      <c r="AF8" s="56">
        <f t="shared" si="0"/>
        <v>359.75</v>
      </c>
      <c r="AG8" s="56">
        <f t="shared" si="0"/>
        <v>656.03</v>
      </c>
      <c r="AH8" s="56">
        <f t="shared" si="0"/>
        <v>44191.13</v>
      </c>
      <c r="AI8" s="78">
        <f t="shared" si="0"/>
        <v>0</v>
      </c>
      <c r="AJ8" s="56">
        <f t="shared" si="0"/>
        <v>44191.13</v>
      </c>
      <c r="AK8" s="56">
        <f t="shared" si="0"/>
        <v>0</v>
      </c>
      <c r="AL8" s="56">
        <f t="shared" si="0"/>
        <v>44847.16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64</v>
      </c>
      <c r="C12" s="35" t="s">
        <v>92</v>
      </c>
      <c r="D12" s="35" t="s">
        <v>65</v>
      </c>
      <c r="E12" s="35" t="s">
        <v>93</v>
      </c>
      <c r="AD12" s="8"/>
    </row>
    <row r="13" spans="1:46" ht="18.75" customHeight="1">
      <c r="B13" s="36">
        <f>AJ8</f>
        <v>44191.13</v>
      </c>
      <c r="C13" s="36">
        <f>AG8</f>
        <v>656.03</v>
      </c>
      <c r="D13" s="36">
        <f>AK8</f>
        <v>0</v>
      </c>
      <c r="E13" s="36">
        <f>B13+C13+D13</f>
        <v>44847.16</v>
      </c>
    </row>
    <row r="14" spans="1:46">
      <c r="B14" s="37"/>
      <c r="C14" s="37"/>
      <c r="D14" s="37"/>
      <c r="E14" s="37"/>
    </row>
    <row r="15" spans="1:46" s="12" customFormat="1">
      <c r="A15" s="38" t="s">
        <v>94</v>
      </c>
      <c r="B15" s="39" t="s">
        <v>95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96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97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98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99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100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101</v>
      </c>
    </row>
    <row r="23" spans="1:35">
      <c r="B23" s="47" t="s">
        <v>102</v>
      </c>
    </row>
    <row r="24" spans="1:35">
      <c r="B24" s="47" t="s">
        <v>103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0">
    <cfRule type="duplicateValues" dxfId="65" priority="2" stopIfTrue="1"/>
  </conditionalFormatting>
  <conditionalFormatting sqref="B15:B19">
    <cfRule type="duplicateValues" dxfId="64" priority="3" stopIfTrue="1"/>
  </conditionalFormatting>
  <conditionalFormatting sqref="B23:B24">
    <cfRule type="duplicateValues" dxfId="63" priority="1" stopIfTrue="1"/>
  </conditionalFormatting>
  <conditionalFormatting sqref="C12:C14">
    <cfRule type="duplicateValues" dxfId="62" priority="4" stopIfTrue="1"/>
    <cfRule type="expression" dxfId="61" priority="5" stopIfTrue="1">
      <formula>AND(COUNTIF($B$8:$B$65444,C12)+COUNTIF($B$1:$B$3,C12)&gt;1,NOT(ISBLANK(C12)))</formula>
    </cfRule>
    <cfRule type="expression" dxfId="60" priority="6" stopIfTrue="1">
      <formula>AND(COUNTIF($B$19:$B$65395,C12)+COUNTIF($B$1:$B$18,C12)&gt;1,NOT(ISBLANK(C12)))</formula>
    </cfRule>
    <cfRule type="expression" dxfId="59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36</v>
      </c>
      <c r="B1" s="19"/>
      <c r="C1" s="20"/>
      <c r="D1" s="21"/>
      <c r="E1" s="22"/>
      <c r="F1" s="22"/>
      <c r="G1" s="23"/>
      <c r="J1" s="48"/>
      <c r="L1" s="49"/>
      <c r="M1" s="370" t="s">
        <v>37</v>
      </c>
      <c r="N1" s="370"/>
      <c r="O1" s="370"/>
      <c r="P1" s="37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77" t="s">
        <v>18</v>
      </c>
      <c r="B2" s="379" t="s">
        <v>38</v>
      </c>
      <c r="C2" s="381" t="s">
        <v>39</v>
      </c>
      <c r="D2" s="381" t="s">
        <v>40</v>
      </c>
      <c r="E2" s="383" t="s">
        <v>41</v>
      </c>
      <c r="F2" s="385" t="s">
        <v>42</v>
      </c>
      <c r="G2" s="383" t="s">
        <v>43</v>
      </c>
      <c r="H2" s="383" t="s">
        <v>44</v>
      </c>
      <c r="I2" s="383" t="s">
        <v>45</v>
      </c>
      <c r="J2" s="387" t="s">
        <v>46</v>
      </c>
      <c r="K2" s="383" t="s">
        <v>47</v>
      </c>
      <c r="L2" s="383" t="s">
        <v>48</v>
      </c>
      <c r="M2" s="371" t="s">
        <v>49</v>
      </c>
      <c r="N2" s="372"/>
      <c r="O2" s="372"/>
      <c r="P2" s="373"/>
      <c r="Q2" s="385" t="s">
        <v>50</v>
      </c>
      <c r="R2" s="383" t="s">
        <v>51</v>
      </c>
      <c r="S2" s="385" t="s">
        <v>52</v>
      </c>
      <c r="T2" s="389" t="s">
        <v>53</v>
      </c>
      <c r="U2" s="385" t="s">
        <v>54</v>
      </c>
      <c r="V2" s="374" t="s">
        <v>55</v>
      </c>
      <c r="W2" s="375"/>
      <c r="X2" s="375"/>
      <c r="Y2" s="375"/>
      <c r="Z2" s="375"/>
      <c r="AA2" s="376"/>
      <c r="AB2" s="385" t="s">
        <v>56</v>
      </c>
      <c r="AC2" s="385" t="s">
        <v>57</v>
      </c>
      <c r="AD2" s="389" t="s">
        <v>58</v>
      </c>
      <c r="AE2" s="389" t="s">
        <v>59</v>
      </c>
      <c r="AF2" s="389" t="s">
        <v>60</v>
      </c>
      <c r="AG2" s="389" t="s">
        <v>61</v>
      </c>
      <c r="AH2" s="391" t="s">
        <v>62</v>
      </c>
      <c r="AI2" s="393" t="s">
        <v>63</v>
      </c>
      <c r="AJ2" s="391" t="s">
        <v>64</v>
      </c>
      <c r="AK2" s="381" t="s">
        <v>65</v>
      </c>
      <c r="AL2" s="391" t="s">
        <v>66</v>
      </c>
      <c r="AM2" s="383" t="s">
        <v>67</v>
      </c>
      <c r="AN2" s="383" t="s">
        <v>68</v>
      </c>
      <c r="AO2" s="395" t="s">
        <v>69</v>
      </c>
      <c r="AP2" s="383" t="s">
        <v>70</v>
      </c>
      <c r="AQ2" s="383" t="s">
        <v>71</v>
      </c>
      <c r="AR2" s="385" t="s">
        <v>72</v>
      </c>
      <c r="AS2" s="385" t="s">
        <v>73</v>
      </c>
      <c r="AT2" s="385" t="s">
        <v>74</v>
      </c>
    </row>
    <row r="3" spans="1:46" s="9" customFormat="1" ht="27" customHeight="1">
      <c r="A3" s="378"/>
      <c r="B3" s="380"/>
      <c r="C3" s="382"/>
      <c r="D3" s="382"/>
      <c r="E3" s="384"/>
      <c r="F3" s="386"/>
      <c r="G3" s="384"/>
      <c r="H3" s="384"/>
      <c r="I3" s="384"/>
      <c r="J3" s="388"/>
      <c r="K3" s="384"/>
      <c r="L3" s="384"/>
      <c r="M3" s="50" t="s">
        <v>75</v>
      </c>
      <c r="N3" s="50" t="s">
        <v>76</v>
      </c>
      <c r="O3" s="50" t="s">
        <v>77</v>
      </c>
      <c r="P3" s="50" t="s">
        <v>78</v>
      </c>
      <c r="Q3" s="386"/>
      <c r="R3" s="384"/>
      <c r="S3" s="386"/>
      <c r="T3" s="390"/>
      <c r="U3" s="386"/>
      <c r="V3" s="66" t="s">
        <v>79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386"/>
      <c r="AC3" s="386"/>
      <c r="AD3" s="390"/>
      <c r="AE3" s="390"/>
      <c r="AF3" s="390"/>
      <c r="AG3" s="390"/>
      <c r="AH3" s="392"/>
      <c r="AI3" s="394"/>
      <c r="AJ3" s="392"/>
      <c r="AK3" s="382"/>
      <c r="AL3" s="392"/>
      <c r="AM3" s="384"/>
      <c r="AN3" s="384"/>
      <c r="AO3" s="396"/>
      <c r="AP3" s="384"/>
      <c r="AQ3" s="384"/>
      <c r="AR3" s="386"/>
      <c r="AS3" s="386"/>
      <c r="AT3" s="386"/>
    </row>
    <row r="4" spans="1:46" s="10" customFormat="1" ht="18" customHeight="1">
      <c r="A4" s="24">
        <v>1</v>
      </c>
      <c r="B4" s="25" t="s">
        <v>85</v>
      </c>
      <c r="C4" s="25" t="s">
        <v>86</v>
      </c>
      <c r="D4" s="25" t="s">
        <v>87</v>
      </c>
      <c r="E4" s="25" t="s">
        <v>88</v>
      </c>
      <c r="F4" s="26" t="s">
        <v>263</v>
      </c>
      <c r="G4" s="27">
        <v>18035163638</v>
      </c>
      <c r="H4" s="28"/>
      <c r="I4" s="28"/>
      <c r="J4" s="51"/>
      <c r="K4" s="28"/>
      <c r="L4" s="52">
        <v>7700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L4+IFERROR(VLOOKUP($E:$E,'（居民）工资表-6月'!$E:$S,15,0),0)</f>
        <v>49060</v>
      </c>
      <c r="T4" s="69">
        <f>5000+IFERROR(VLOOKUP($E:$E,'（居民）工资表-6月'!$E:$T,16,0),0)</f>
        <v>35000</v>
      </c>
      <c r="U4" s="69">
        <f>Q4+IFERROR(VLOOKUP($E:$E,'（居民）工资表-6月'!$E:$U,17,0),0)</f>
        <v>3639.3</v>
      </c>
      <c r="V4" s="52"/>
      <c r="W4" s="52"/>
      <c r="X4" s="52">
        <v>7000</v>
      </c>
      <c r="Y4" s="52"/>
      <c r="Z4" s="52"/>
      <c r="AA4" s="52"/>
      <c r="AB4" s="68">
        <f>ROUND(SUM(V4:AA4),2)</f>
        <v>7000</v>
      </c>
      <c r="AC4" s="68">
        <f>R4+IFERROR(VLOOKUP($E:$E,'（居民）工资表-6月'!$E:$AC,25,0),0)</f>
        <v>0</v>
      </c>
      <c r="AD4" s="70">
        <f>ROUND(S4-T4-U4-AB4-AC4,2)</f>
        <v>3420.7</v>
      </c>
      <c r="AE4" s="71">
        <f>ROUND(MAX((AD4)*{0.03;0.1;0.2;0.25;0.3;0.35;0.45}-{0;2520;16920;31920;52920;85920;181920},0),2)</f>
        <v>102.62</v>
      </c>
      <c r="AF4" s="72">
        <f>IFERROR(VLOOKUP(E:E,'（居民）工资表-6月'!E:AF,28,0)+VLOOKUP(E:E,'（居民）工资表-6月'!E:AG,29,0),0)</f>
        <v>67.22</v>
      </c>
      <c r="AG4" s="72">
        <f>IF((AE4-AF4)&lt;0,0,AE4-AF4)</f>
        <v>35.4</v>
      </c>
      <c r="AH4" s="75">
        <f>ROUND(IF((L4-Q4-AG4)&lt;0,0,(L4-Q4-AG4)),2)</f>
        <v>7144.7</v>
      </c>
      <c r="AI4" s="76"/>
      <c r="AJ4" s="75">
        <f>AH4+AI4</f>
        <v>7144.7</v>
      </c>
      <c r="AK4" s="77"/>
      <c r="AL4" s="75">
        <f>AJ4+AG4+AK4</f>
        <v>7180.1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85</v>
      </c>
      <c r="C5" s="25" t="s">
        <v>89</v>
      </c>
      <c r="D5" s="25" t="s">
        <v>87</v>
      </c>
      <c r="E5" s="318" t="s">
        <v>90</v>
      </c>
      <c r="F5" s="26" t="s">
        <v>264</v>
      </c>
      <c r="G5" s="27">
        <v>13926009696</v>
      </c>
      <c r="H5" s="28"/>
      <c r="I5" s="28"/>
      <c r="J5" s="51"/>
      <c r="K5" s="28"/>
      <c r="L5" s="52">
        <v>4745.4545454545496</v>
      </c>
      <c r="M5" s="53">
        <v>304.24</v>
      </c>
      <c r="N5" s="53">
        <v>123.5</v>
      </c>
      <c r="O5" s="53">
        <v>7.61</v>
      </c>
      <c r="P5" s="53">
        <v>0</v>
      </c>
      <c r="Q5" s="67">
        <f>ROUND(SUM(M5:P5),2)</f>
        <v>435.35</v>
      </c>
      <c r="R5" s="52">
        <v>0</v>
      </c>
      <c r="S5" s="68">
        <f>L5+IFERROR(VLOOKUP($E:$E,'（居民）工资表-6月'!$E:$S,15,0),0)</f>
        <v>27945.454545454599</v>
      </c>
      <c r="T5" s="69">
        <f>5000+IFERROR(VLOOKUP($E:$E,'（居民）工资表-6月'!$E:$T,16,0),0)</f>
        <v>25000</v>
      </c>
      <c r="U5" s="69">
        <f>Q5+IFERROR(VLOOKUP($E:$E,'（居民）工资表-6月'!$E:$U,17,0),0)</f>
        <v>2176.75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R5+IFERROR(VLOOKUP($E:$E,'（居民）工资表-6月'!$E:$AC,25,0),0)</f>
        <v>0</v>
      </c>
      <c r="AD5" s="70">
        <f>ROUND(S5-T5-U5-AB5-AC5,2)</f>
        <v>768.7</v>
      </c>
      <c r="AE5" s="71">
        <f>ROUND(MAX((AD5)*{0.03;0.1;0.2;0.25;0.3;0.35;0.45}-{0;2520;16920;31920;52920;85920;181920},0),2)</f>
        <v>23.06</v>
      </c>
      <c r="AF5" s="72">
        <f>IFERROR(VLOOKUP(E:E,'（居民）工资表-6月'!E:AF,28,0)+VLOOKUP(E:E,'（居民）工资表-6月'!E:AG,29,0),0)</f>
        <v>43.76</v>
      </c>
      <c r="AG5" s="72">
        <f>IF((AE5-AF5)&lt;0,0,AE5-AF5)</f>
        <v>0</v>
      </c>
      <c r="AH5" s="75">
        <f>ROUND(IF((L5-Q5-AG5)&lt;0,0,(L5-Q5-AG5)),2)</f>
        <v>4310.1000000000004</v>
      </c>
      <c r="AI5" s="76"/>
      <c r="AJ5" s="75">
        <f>AH5+AI5</f>
        <v>4310.1000000000004</v>
      </c>
      <c r="AK5" s="77"/>
      <c r="AL5" s="75">
        <f>AJ5+AG5+AK5</f>
        <v>4310.1000000000004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85</v>
      </c>
      <c r="C6" s="25" t="s">
        <v>154</v>
      </c>
      <c r="D6" s="25" t="s">
        <v>87</v>
      </c>
      <c r="E6" s="25" t="s">
        <v>155</v>
      </c>
      <c r="F6" s="26" t="s">
        <v>263</v>
      </c>
      <c r="G6" s="27">
        <v>13944441728</v>
      </c>
      <c r="H6" s="28"/>
      <c r="I6" s="28"/>
      <c r="J6" s="51"/>
      <c r="K6" s="28"/>
      <c r="L6" s="52">
        <v>7000</v>
      </c>
      <c r="M6" s="53">
        <v>244.24</v>
      </c>
      <c r="N6" s="53">
        <v>61.06</v>
      </c>
      <c r="O6" s="53">
        <v>9.16</v>
      </c>
      <c r="P6" s="53">
        <v>79</v>
      </c>
      <c r="Q6" s="67">
        <f>ROUND(SUM(M6:P6),2)</f>
        <v>393.46</v>
      </c>
      <c r="R6" s="52">
        <v>0</v>
      </c>
      <c r="S6" s="68">
        <f>L6+IFERROR(VLOOKUP($E:$E,'（居民）工资表-6月'!$E:$S,15,0),0)</f>
        <v>28140</v>
      </c>
      <c r="T6" s="69">
        <f>5000+IFERROR(VLOOKUP($E:$E,'（居民）工资表-6月'!$E:$T,16,0),0)</f>
        <v>20000</v>
      </c>
      <c r="U6" s="69">
        <f>Q6+IFERROR(VLOOKUP($E:$E,'（居民）工资表-6月'!$E:$U,17,0),0)</f>
        <v>1967.3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R6+IFERROR(VLOOKUP($E:$E,'（居民）工资表-6月'!$E:$AC,25,0),0)</f>
        <v>0</v>
      </c>
      <c r="AD6" s="70">
        <f>ROUND(S6-T6-U6-AB6-AC6,2)</f>
        <v>6172.7</v>
      </c>
      <c r="AE6" s="71">
        <f>ROUND(MAX((AD6)*{0.03;0.1;0.2;0.25;0.3;0.35;0.45}-{0;2520;16920;31920;52920;85920;181920},0),2)</f>
        <v>185.18</v>
      </c>
      <c r="AF6" s="72">
        <f>IFERROR(VLOOKUP(E:E,'（居民）工资表-6月'!E:AF,28,0)+VLOOKUP(E:E,'（居民）工资表-6月'!E:AG,29,0),0)</f>
        <v>136.97999999999999</v>
      </c>
      <c r="AG6" s="72">
        <f>IF((AE6-AF6)&lt;0,0,AE6-AF6)</f>
        <v>48.2</v>
      </c>
      <c r="AH6" s="75">
        <f>ROUND(IF((L6-Q6-AG6)&lt;0,0,(L6-Q6-AG6)),2)</f>
        <v>6558.34</v>
      </c>
      <c r="AI6" s="76"/>
      <c r="AJ6" s="75">
        <f>AH6+AI6</f>
        <v>6558.34</v>
      </c>
      <c r="AK6" s="77"/>
      <c r="AL6" s="75">
        <f>AJ6+AG6+AK6</f>
        <v>6606.54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85</v>
      </c>
      <c r="C7" s="25" t="s">
        <v>160</v>
      </c>
      <c r="D7" s="25" t="s">
        <v>87</v>
      </c>
      <c r="E7" s="318" t="s">
        <v>161</v>
      </c>
      <c r="F7" s="26" t="s">
        <v>263</v>
      </c>
      <c r="G7" s="27">
        <v>18607383005</v>
      </c>
      <c r="H7" s="28"/>
      <c r="I7" s="28"/>
      <c r="J7" s="51"/>
      <c r="K7" s="28"/>
      <c r="L7" s="52">
        <v>24800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L7+IFERROR(VLOOKUP($E:$E,'（居民）工资表-6月'!$E:$S,15,0),0)</f>
        <v>61704.76</v>
      </c>
      <c r="T7" s="69">
        <f>5000+IFERROR(VLOOKUP($E:$E,'（居民）工资表-6月'!$E:$T,16,0),0)</f>
        <v>15000</v>
      </c>
      <c r="U7" s="69">
        <f>Q7+IFERROR(VLOOKUP($E:$E,'（居民）工资表-6月'!$E:$U,17,0),0)</f>
        <v>1922.67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R7+IFERROR(VLOOKUP($E:$E,'（居民）工资表-6月'!$E:$AC,25,0),0)</f>
        <v>0</v>
      </c>
      <c r="AD7" s="70">
        <f>ROUND(S7-T7-U7-AB7-AC7,2)</f>
        <v>44782.09</v>
      </c>
      <c r="AE7" s="71">
        <f>ROUND(MAX((AD7)*{0.03;0.1;0.2;0.25;0.3;0.35;0.45}-{0;2520;16920;31920;52920;85920;181920},0),2)</f>
        <v>1958.21</v>
      </c>
      <c r="AF7" s="72">
        <f>IFERROR(VLOOKUP(E:E,'（居民）工资表-6月'!E:AF,28,0)+VLOOKUP(E:E,'（居民）工资表-6月'!E:AG,29,0),0)</f>
        <v>767.82</v>
      </c>
      <c r="AG7" s="72">
        <f>IF((AE7-AF7)&lt;0,0,AE7-AF7)</f>
        <v>1190.3900000000001</v>
      </c>
      <c r="AH7" s="75">
        <f>ROUND(IF((L7-Q7-AG7)&lt;0,0,(L7-Q7-AG7)),2)</f>
        <v>22997.61</v>
      </c>
      <c r="AI7" s="76"/>
      <c r="AJ7" s="75">
        <f>AH7+AI7</f>
        <v>22997.61</v>
      </c>
      <c r="AK7" s="77"/>
      <c r="AL7" s="75">
        <f>AJ7+AG7+AK7</f>
        <v>24188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85</v>
      </c>
      <c r="C8" s="25" t="s">
        <v>265</v>
      </c>
      <c r="D8" s="25" t="s">
        <v>87</v>
      </c>
      <c r="E8" s="318" t="s">
        <v>266</v>
      </c>
      <c r="F8" s="26" t="str">
        <f>IF(MOD(MID(E8,17,1),2)=1,"男","女")</f>
        <v>女</v>
      </c>
      <c r="G8" s="27">
        <v>15360550807</v>
      </c>
      <c r="H8" s="28"/>
      <c r="I8" s="28"/>
      <c r="J8" s="51"/>
      <c r="K8" s="28"/>
      <c r="L8" s="52">
        <v>3523.6363636363599</v>
      </c>
      <c r="M8" s="53"/>
      <c r="N8" s="53"/>
      <c r="O8" s="53"/>
      <c r="P8" s="53"/>
      <c r="Q8" s="67">
        <f>ROUND(SUM(M8:P8),2)</f>
        <v>0</v>
      </c>
      <c r="R8" s="52">
        <v>0</v>
      </c>
      <c r="S8" s="68">
        <f>L8+IFERROR(VLOOKUP($E:$E,'（居民）工资表-6月'!$E:$S,15,0),0)</f>
        <v>3523.6363636363599</v>
      </c>
      <c r="T8" s="69">
        <f>5000+IFERROR(VLOOKUP($E:$E,'（居民）工资表-6月'!$E:$T,16,0),0)</f>
        <v>5000</v>
      </c>
      <c r="U8" s="69">
        <f>Q8+IFERROR(VLOOKUP($E:$E,'（居民）工资表-6月'!$E:$U,17,0),0)</f>
        <v>0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R8+IFERROR(VLOOKUP($E:$E,'（居民）工资表-6月'!$E:$AC,25,0),0)</f>
        <v>0</v>
      </c>
      <c r="AD8" s="70">
        <f>ROUND(S8-T8-U8-AB8-AC8,2)</f>
        <v>-1476.36</v>
      </c>
      <c r="AE8" s="71">
        <f>ROUND(MAX((AD8)*{0.03;0.1;0.2;0.25;0.3;0.35;0.45}-{0;2520;16920;31920;52920;85920;181920},0),2)</f>
        <v>0</v>
      </c>
      <c r="AF8" s="72">
        <f>IFERROR(VLOOKUP(E:E,'（居民）工资表-6月'!E:AF,28,0)+VLOOKUP(E:E,'（居民）工资表-6月'!E:AG,29,0),0)</f>
        <v>0</v>
      </c>
      <c r="AG8" s="72">
        <f>IF((AE8-AF8)&lt;0,0,AE8-AF8)</f>
        <v>0</v>
      </c>
      <c r="AH8" s="75">
        <f>ROUND(IF((L8-Q8-AG8)&lt;0,0,(L8-Q8-AG8)),2)</f>
        <v>3523.64</v>
      </c>
      <c r="AI8" s="76"/>
      <c r="AJ8" s="75">
        <f>AH8+AI8</f>
        <v>3523.64</v>
      </c>
      <c r="AK8" s="77"/>
      <c r="AL8" s="75">
        <f>AJ8+AG8+AK8</f>
        <v>3523.64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91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47769.090909090897</v>
      </c>
      <c r="M9" s="56">
        <f t="shared" si="0"/>
        <v>1132.48</v>
      </c>
      <c r="N9" s="56">
        <f t="shared" si="0"/>
        <v>330.56</v>
      </c>
      <c r="O9" s="56">
        <f t="shared" si="0"/>
        <v>38.67</v>
      </c>
      <c r="P9" s="56">
        <f t="shared" si="0"/>
        <v>459</v>
      </c>
      <c r="Q9" s="56">
        <f t="shared" si="0"/>
        <v>1960.71</v>
      </c>
      <c r="R9" s="56">
        <f t="shared" si="0"/>
        <v>0</v>
      </c>
      <c r="S9" s="56">
        <f t="shared" si="0"/>
        <v>170373.85090909101</v>
      </c>
      <c r="T9" s="56">
        <f t="shared" si="0"/>
        <v>100000</v>
      </c>
      <c r="U9" s="56">
        <f t="shared" si="0"/>
        <v>9706.02</v>
      </c>
      <c r="V9" s="56">
        <f t="shared" si="0"/>
        <v>0</v>
      </c>
      <c r="W9" s="56">
        <f t="shared" si="0"/>
        <v>0</v>
      </c>
      <c r="X9" s="56">
        <f t="shared" si="0"/>
        <v>7000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7000</v>
      </c>
      <c r="AC9" s="56">
        <f t="shared" si="0"/>
        <v>0</v>
      </c>
      <c r="AD9" s="56">
        <f t="shared" si="0"/>
        <v>53667.83</v>
      </c>
      <c r="AE9" s="56">
        <f t="shared" si="0"/>
        <v>2269.0700000000002</v>
      </c>
      <c r="AF9" s="56">
        <f t="shared" si="0"/>
        <v>1015.78</v>
      </c>
      <c r="AG9" s="56">
        <f t="shared" si="0"/>
        <v>1273.99</v>
      </c>
      <c r="AH9" s="56">
        <f t="shared" si="0"/>
        <v>44534.39</v>
      </c>
      <c r="AI9" s="78">
        <f t="shared" si="0"/>
        <v>0</v>
      </c>
      <c r="AJ9" s="56">
        <f t="shared" si="0"/>
        <v>44534.39</v>
      </c>
      <c r="AK9" s="56">
        <f t="shared" si="0"/>
        <v>0</v>
      </c>
      <c r="AL9" s="56">
        <f t="shared" si="0"/>
        <v>45808.38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64</v>
      </c>
      <c r="C13" s="35" t="s">
        <v>92</v>
      </c>
      <c r="D13" s="35" t="s">
        <v>65</v>
      </c>
      <c r="E13" s="35" t="s">
        <v>93</v>
      </c>
      <c r="AD13" s="8"/>
    </row>
    <row r="14" spans="1:46" ht="18.75" customHeight="1">
      <c r="B14" s="36">
        <f>AJ9</f>
        <v>44534.39</v>
      </c>
      <c r="C14" s="36">
        <f>AG9</f>
        <v>1273.99</v>
      </c>
      <c r="D14" s="36">
        <f>AK9</f>
        <v>0</v>
      </c>
      <c r="E14" s="36">
        <f>B14+C14+D14</f>
        <v>45808.38</v>
      </c>
    </row>
    <row r="15" spans="1:46">
      <c r="B15" s="37"/>
      <c r="C15" s="37"/>
      <c r="D15" s="37"/>
      <c r="E15" s="37">
        <f>社保1!BC30</f>
        <v>37550.820000000007</v>
      </c>
    </row>
    <row r="16" spans="1:46" s="12" customFormat="1">
      <c r="A16" s="38" t="s">
        <v>94</v>
      </c>
      <c r="B16" s="39" t="s">
        <v>95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96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97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98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99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100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101</v>
      </c>
    </row>
    <row r="24" spans="1:35">
      <c r="B24" s="47" t="s">
        <v>102</v>
      </c>
    </row>
    <row r="25" spans="1:35">
      <c r="B25" s="47" t="s">
        <v>103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4" type="noConversion"/>
  <conditionalFormatting sqref="B21">
    <cfRule type="duplicateValues" dxfId="58" priority="2" stopIfTrue="1"/>
  </conditionalFormatting>
  <conditionalFormatting sqref="B16:B20">
    <cfRule type="duplicateValues" dxfId="57" priority="3" stopIfTrue="1"/>
  </conditionalFormatting>
  <conditionalFormatting sqref="B24:B25">
    <cfRule type="duplicateValues" dxfId="56" priority="1" stopIfTrue="1"/>
  </conditionalFormatting>
  <conditionalFormatting sqref="C13:C15">
    <cfRule type="duplicateValues" dxfId="55" priority="4" stopIfTrue="1"/>
    <cfRule type="expression" dxfId="54" priority="5" stopIfTrue="1">
      <formula>AND(COUNTIF($B$9:$B$65445,C13)+COUNTIF($B$1:$B$3,C13)&gt;1,NOT(ISBLANK(C13)))</formula>
    </cfRule>
    <cfRule type="expression" dxfId="53" priority="6" stopIfTrue="1">
      <formula>AND(COUNTIF($B$20:$B$65396,C13)+COUNTIF($B$1:$B$19,C13)&gt;1,NOT(ISBLANK(C13)))</formula>
    </cfRule>
    <cfRule type="expression" dxfId="52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0">
    <comment s:ref="C1" rgbClr="19C8BC"/>
    <comment s:ref="H1" rgbClr="19C8BC"/>
    <comment s:ref="I1" rgbClr="19C8BC"/>
    <comment s:ref="L1" rgbClr="19C8BC"/>
    <comment s:ref="S1" rgbClr="19C8BC"/>
    <comment s:ref="M2" rgbClr="19C8BC"/>
    <comment s:ref="T2" rgbClr="19C8BC"/>
    <comment s:ref="D18" rgbClr="3BC768"/>
    <comment s:ref="J18" rgbClr="3BC768"/>
    <comment s:ref="K18" rgbClr="3BC768"/>
    <comment s:ref="L18" rgbClr="3BC768"/>
    <comment s:ref="O18" rgbClr="3BC768"/>
  </commentList>
  <commentList sheetStid="19"/>
  <commentList sheetStid="20"/>
  <commentList sheetStid="29"/>
  <commentList sheetStid="21"/>
  <commentList sheetStid="22"/>
  <commentList sheetStid="23"/>
  <commentList sheetStid="24"/>
  <commentList sheetStid="1"/>
  <commentList sheetStid="25"/>
  <commentList sheetStid="15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12</vt:i4>
      </vt:variant>
    </vt:vector>
  </HeadingPairs>
  <TitlesOfParts>
    <vt:vector size="30" baseType="lpstr">
      <vt:lpstr>付款通知</vt:lpstr>
      <vt:lpstr>（居民）工资表-3月</vt:lpstr>
      <vt:lpstr>社保</vt:lpstr>
      <vt:lpstr>（居民）工资表-4月</vt:lpstr>
      <vt:lpstr>（居民）工资表-5月</vt:lpstr>
      <vt:lpstr>社保1</vt:lpstr>
      <vt:lpstr>增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2022-04-06T09:08:34Z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