
<file path=[Content_Types].xml><?xml version="1.0" encoding="utf-8"?>
<Types xmlns="http://schemas.openxmlformats.org/package/2006/content-types">
  <Default Extension="wmf" ContentType="image/x-wmf"/>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609"/>
  </bookViews>
  <sheets>
    <sheet name="付款通知" sheetId="26" r:id="rId1"/>
    <sheet name="社保" sheetId="27" state="hidden" r:id="rId2"/>
    <sheet name="（居民）工资表-5月" sheetId="18" state="hidden" r:id="rId3"/>
    <sheet name="社保1" sheetId="28" r:id="rId4"/>
    <sheet name="（居民）工资表-6月" sheetId="19" state="hidden" r:id="rId5"/>
    <sheet name="（居民）工资表-7月" sheetId="20" state="hidden" r:id="rId6"/>
    <sheet name="增减" sheetId="29" state="hidden" r:id="rId7"/>
    <sheet name="（居民）工资表-8月" sheetId="21" state="hidden" r:id="rId8"/>
    <sheet name="（居民）工资表-9月" sheetId="22" state="hidden" r:id="rId9"/>
    <sheet name="（居民）工资表-10月" sheetId="23" state="hidden" r:id="rId10"/>
    <sheet name="（居民）工资表-11月" sheetId="24" state="hidden" r:id="rId11"/>
    <sheet name="（居民）工资表-1月" sheetId="1" state="hidden" r:id="rId12"/>
    <sheet name="（居民）工资表-12月" sheetId="25" state="hidden" r:id="rId13"/>
    <sheet name="（居民）工资表-2月" sheetId="15" state="hidden" r:id="rId14"/>
    <sheet name="（居民）工资表-3月" sheetId="16" state="hidden" r:id="rId15"/>
    <sheet name="（居民）工资表-4月" sheetId="17" r:id="rId16"/>
    <sheet name="增" sheetId="30" r:id="rId17"/>
    <sheet name="Sheet1" sheetId="14" state="hidden" r:id="rId18"/>
  </sheets>
  <definedNames>
    <definedName name="_xlnm._FilterDatabase" localSheetId="2" hidden="1">'（居民）工资表-5月'!$A$3:$AT$8</definedName>
    <definedName name="_xlnm._FilterDatabase" localSheetId="4" hidden="1">'（居民）工资表-6月'!$A$3:$AT$8</definedName>
    <definedName name="_xlnm._FilterDatabase" localSheetId="5" hidden="1">'（居民）工资表-7月'!$A$3:$AT$9</definedName>
    <definedName name="_xlnm._FilterDatabase" localSheetId="7" hidden="1">'（居民）工资表-8月'!$A$3:$AT$8</definedName>
    <definedName name="_xlnm._FilterDatabase" localSheetId="8" hidden="1">'（居民）工资表-9月'!$A$3:$AT$8</definedName>
    <definedName name="_xlnm._FilterDatabase" localSheetId="9" hidden="1">'（居民）工资表-10月'!$A$3:$AT$8</definedName>
    <definedName name="_xlnm._FilterDatabase" localSheetId="10" hidden="1">'（居民）工资表-11月'!$A$3:$AT$9</definedName>
    <definedName name="_xlnm._FilterDatabase" localSheetId="11" hidden="1">'（居民）工资表-1月'!$A$3:$AT$9</definedName>
    <definedName name="_xlnm._FilterDatabase" localSheetId="12" hidden="1">'（居民）工资表-12月'!$A$3:$AT$9</definedName>
    <definedName name="_xlnm._FilterDatabase" localSheetId="13" hidden="1">'（居民）工资表-2月'!$A$3:$AT$13</definedName>
    <definedName name="_xlnm._FilterDatabase" localSheetId="14" hidden="1">'（居民）工资表-3月'!$A$3:$AT$14</definedName>
    <definedName name="_xlnm._FilterDatabase" localSheetId="15" hidden="1">'（居民）工资表-4月'!$A$3:$AT$18</definedName>
    <definedName name="_xlnm.Print_Area" localSheetId="9">'（居民）工资表-10月'!$A$1:$AT$14</definedName>
    <definedName name="_xlnm.Print_Area" localSheetId="10">'（居民）工资表-11月'!$A$1:$AT$15</definedName>
    <definedName name="_xlnm.Print_Area" localSheetId="12">'（居民）工资表-12月'!$A$1:$AT$15</definedName>
    <definedName name="_xlnm.Print_Area" localSheetId="11">'（居民）工资表-1月'!$A$1:$AT$15</definedName>
    <definedName name="_xlnm.Print_Area" localSheetId="13">'（居民）工资表-2月'!$A$1:$AT$19</definedName>
    <definedName name="_xlnm.Print_Area" localSheetId="14">'（居民）工资表-3月'!$A$1:$AT$20</definedName>
    <definedName name="_xlnm.Print_Area" localSheetId="15">'（居民）工资表-4月'!$A$1:$AT$24</definedName>
    <definedName name="_xlnm.Print_Area" localSheetId="2">'（居民）工资表-5月'!$A$1:$AT$14</definedName>
    <definedName name="_xlnm.Print_Area" localSheetId="4">'（居民）工资表-6月'!$A$1:$AT$14</definedName>
    <definedName name="_xlnm.Print_Area" localSheetId="5">'（居民）工资表-7月'!$A$1:$AT$15</definedName>
    <definedName name="_xlnm.Print_Area" localSheetId="7">'（居民）工资表-8月'!$A$1:$AT$14</definedName>
    <definedName name="_xlnm.Print_Area" localSheetId="8">'（居民）工资表-9月'!$A$1:$AT$14</definedName>
    <definedName name="_xlnm._FilterDatabase" localSheetId="3" hidden="1">社保1!$A$2:$BH$14</definedName>
  </definedNames>
  <calcPr calcId="144525"/>
</workbook>
</file>

<file path=xl/comments1.xml><?xml version="1.0" encoding="utf-8"?>
<comments xmlns="http://schemas.openxmlformats.org/spreadsheetml/2006/main">
  <authors>
    <author>作者</author>
  </authors>
  <commentList>
    <comment ref="F17" authorId="0">
      <text>
        <r>
          <rPr>
            <sz val="9"/>
            <rFont val="宋体"/>
            <charset val="134"/>
          </rPr>
          <t>作者:
含补缴人数</t>
        </r>
      </text>
    </comment>
  </commentList>
</comments>
</file>

<file path=xl/comments2.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3.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4.xml><?xml version="1.0" encoding="utf-8"?>
<comments xmlns="http://schemas.openxmlformats.org/spreadsheetml/2006/main">
  <authors>
    <author>kk</author>
  </authors>
  <commentList>
    <comment ref="B1" authorId="0">
      <text>
        <r>
          <rPr>
            <sz val="9"/>
            <rFont val="宋体"/>
            <charset val="134"/>
          </rPr>
          <t>kk:
请填写客户全称</t>
        </r>
      </text>
    </comment>
    <comment ref="D1" authorId="0">
      <text>
        <r>
          <rPr>
            <sz val="9"/>
            <rFont val="宋体"/>
            <charset val="134"/>
          </rPr>
          <t>kk:
参照系统分类，以签署合同为准</t>
        </r>
      </text>
    </comment>
    <comment ref="F1" authorId="0">
      <text>
        <r>
          <rPr>
            <sz val="9"/>
            <rFont val="宋体"/>
            <charset val="134"/>
          </rPr>
          <t>kk:
以身份证为准，不要空格</t>
        </r>
      </text>
    </comment>
    <comment ref="G1" authorId="0">
      <text>
        <r>
          <rPr>
            <sz val="9"/>
            <rFont val="宋体"/>
            <charset val="134"/>
          </rPr>
          <t>kk:
18位身份证号码，不要空格</t>
        </r>
      </text>
    </comment>
    <comment ref="AS2" authorId="0">
      <text>
        <r>
          <rPr>
            <sz val="9"/>
            <rFont val="宋体"/>
            <charset val="134"/>
          </rPr>
          <t>kk:
养老保险公司汇缴+医疗保险公司汇缴+失业保险公司汇缴+生育保险公司汇缴+工伤保险公司汇缴+补充养老公司汇缴</t>
        </r>
      </text>
    </comment>
    <comment ref="AT2" authorId="0">
      <text>
        <r>
          <rPr>
            <sz val="9"/>
            <rFont val="宋体"/>
            <charset val="134"/>
          </rPr>
          <t xml:space="preserve">kk:
养老保险个人汇缴+医疗保险个人汇缴+失业保险个人汇缴+补充养老个人汇缴
</t>
        </r>
      </text>
    </comment>
    <comment ref="AW2" authorId="0">
      <text>
        <r>
          <rPr>
            <sz val="9"/>
            <rFont val="宋体"/>
            <charset val="134"/>
          </rPr>
          <t xml:space="preserve">kk:
社保公司+社保个人+公积金公司+公积金个人
</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kk</author>
    <author>Administrator</author>
    <author>SDWM</author>
  </authors>
  <commentList>
    <comment ref="E1" authorId="0">
      <text>
        <r>
          <rPr>
            <sz val="9"/>
            <rFont val="宋体"/>
            <charset val="134"/>
          </rPr>
          <t>客户无需填写，报送填写供应商全称。</t>
        </r>
      </text>
    </comment>
    <comment ref="F1" authorId="0">
      <text>
        <r>
          <rPr>
            <sz val="9"/>
            <rFont val="宋体"/>
            <charset val="134"/>
          </rPr>
          <t>请填写客户全称</t>
        </r>
      </text>
    </comment>
    <comment ref="G1" authorId="1">
      <text>
        <r>
          <rPr>
            <b/>
            <sz val="9"/>
            <rFont val="宋体"/>
            <charset val="134"/>
          </rPr>
          <t>以系统项目编号为准</t>
        </r>
      </text>
    </comment>
    <comment ref="H1" authorId="0">
      <text>
        <r>
          <rPr>
            <sz val="9"/>
            <rFont val="宋体"/>
            <charset val="134"/>
          </rPr>
          <t>按公司标准产品填写，以签署的合同为准</t>
        </r>
      </text>
    </comment>
    <comment ref="O1" authorId="0">
      <text>
        <r>
          <rPr>
            <sz val="9"/>
            <rFont val="宋体"/>
            <charset val="134"/>
          </rPr>
          <t>员工社保、住房的缴纳城市</t>
        </r>
      </text>
    </comment>
    <comment ref="P1" authorId="0">
      <text>
        <r>
          <rPr>
            <sz val="9"/>
            <rFont val="宋体"/>
            <charset val="134"/>
          </rPr>
          <t>“本地”以社保缴纳地为准，本地城镇、本地农村、外地城镇、外地农村，请选择即可</t>
        </r>
      </text>
    </comment>
    <comment ref="S1" authorId="0">
      <text>
        <r>
          <rPr>
            <sz val="9"/>
            <rFont val="宋体"/>
            <charset val="134"/>
          </rPr>
          <t>填写“新参保”或“调入”，新参保是指从未在当地缴纳过保险的情况；调入是指在当地有过参保记录的情况，请选择即可；</t>
        </r>
      </text>
    </comment>
    <comment ref="Z1" authorId="0">
      <text>
        <r>
          <rPr>
            <sz val="9"/>
            <rFont val="宋体"/>
            <charset val="134"/>
          </rPr>
          <t>填写“新参”或“调入”，新参是指从未在当地缴纳过公积金的情况；调入是指在当地有缴纳公积金记录的情况，请选择即可；</t>
        </r>
      </text>
    </comment>
    <comment ref="AL1" authorId="2">
      <text>
        <r>
          <rPr>
            <b/>
            <sz val="11"/>
            <rFont val="宋体"/>
            <charset val="134"/>
          </rPr>
          <t>只大连地区填写：大连户口详细到区，异地户口详细到市</t>
        </r>
      </text>
    </comment>
    <comment ref="AM1" authorId="2">
      <text>
        <r>
          <rPr>
            <b/>
            <sz val="11"/>
            <rFont val="宋体"/>
            <charset val="134"/>
          </rPr>
          <t>只大连地区填写：首次参加工作时间(精确到月)</t>
        </r>
      </text>
    </comment>
    <comment ref="AN1" authorId="2">
      <text>
        <r>
          <rPr>
            <b/>
            <sz val="11"/>
            <rFont val="宋体"/>
            <charset val="134"/>
          </rPr>
          <t>只大连地区填写：填是/否。填写注意：大连中山、西岗、沙河口、甘井子、高新、金州、旅顺的非农户市需要交纳采暖统筹的</t>
        </r>
      </text>
    </comment>
    <comment ref="AO1" authorId="1">
      <text>
        <r>
          <rPr>
            <b/>
            <sz val="9"/>
            <rFont val="宋体"/>
            <charset val="134"/>
          </rPr>
          <t>只大连地区填写</t>
        </r>
      </text>
    </comment>
    <comment ref="T2" authorId="0">
      <text>
        <r>
          <rPr>
            <sz val="9"/>
            <rFont val="宋体"/>
            <charset val="134"/>
          </rPr>
          <t>填写格式：201405【YYYYMM】，该月份产生费用；</t>
        </r>
      </text>
    </comment>
    <comment ref="AA2" authorId="0">
      <text>
        <r>
          <rPr>
            <sz val="9"/>
            <rFont val="宋体"/>
            <charset val="134"/>
          </rPr>
          <t>填写格式：201405【YYYYMM】，该月份产生费用；</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Administrator</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 ref="M5" authorId="3">
      <text>
        <r>
          <rPr>
            <b/>
            <sz val="9"/>
            <rFont val="宋体"/>
            <charset val="134"/>
          </rPr>
          <t>Administrator:</t>
        </r>
        <r>
          <rPr>
            <sz val="9"/>
            <rFont val="宋体"/>
            <charset val="134"/>
          </rPr>
          <t xml:space="preserve">
个人费用调整，且补扣个人费用</t>
        </r>
      </text>
    </comment>
    <comment ref="O5" authorId="3">
      <text>
        <r>
          <rPr>
            <b/>
            <sz val="9"/>
            <rFont val="宋体"/>
            <charset val="134"/>
          </rPr>
          <t>Administrator:</t>
        </r>
        <r>
          <rPr>
            <sz val="9"/>
            <rFont val="宋体"/>
            <charset val="134"/>
          </rPr>
          <t xml:space="preserve">
个人费用调整，且补扣个人费用
</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charset val="134"/>
          </rPr>
          <t xml:space="preserve">
其他扣除限以下内容：</t>
        </r>
        <r>
          <rPr>
            <sz val="9"/>
            <rFont val="Tahoma"/>
            <charset val="134"/>
          </rPr>
          <t xml:space="preserve">
</t>
        </r>
        <r>
          <rPr>
            <sz val="9"/>
            <rFont val="宋体"/>
            <charset val="134"/>
          </rPr>
          <t>年金、商业健康保险、税延养老保险、财产原值、允许扣除的税费、其他国家规定扣除</t>
        </r>
      </text>
    </comment>
    <comment ref="S2" authorId="1">
      <text>
        <r>
          <rPr>
            <sz val="9"/>
            <rFont val="宋体"/>
            <charset val="134"/>
          </rPr>
          <t xml:space="preserve">
填写本年度截止当前月份的工资、薪金所得累计金额</t>
        </r>
      </text>
    </comment>
    <comment ref="T2" authorId="1">
      <text>
        <r>
          <rPr>
            <sz val="9"/>
            <rFont val="宋体"/>
            <charset val="134"/>
          </rPr>
          <t xml:space="preserve">
5000元/月乘以纳税人当年在本单位任职受雇月份</t>
        </r>
      </text>
    </comment>
    <comment ref="U2" authorId="1">
      <text>
        <r>
          <rPr>
            <sz val="9"/>
            <rFont val="宋体"/>
            <charset val="134"/>
          </rPr>
          <t xml:space="preserve">
本年度截止当前月份的个人社保累计金额</t>
        </r>
      </text>
    </comment>
    <comment ref="V2" authorId="1">
      <text>
        <r>
          <rPr>
            <b/>
            <sz val="9"/>
            <rFont val="宋体"/>
            <charset val="134"/>
          </rPr>
          <t>AutoBVT:</t>
        </r>
        <r>
          <rPr>
            <sz val="9"/>
            <rFont val="宋体"/>
            <charset val="134"/>
          </rPr>
          <t xml:space="preserve">
分别填写截止当前月份的专项附加扣除累计金额</t>
        </r>
      </text>
    </comment>
    <comment ref="AB2" authorId="1">
      <text>
        <r>
          <rPr>
            <sz val="9"/>
            <rFont val="宋体"/>
            <charset val="134"/>
          </rPr>
          <t xml:space="preserve">
本年度截止当前月份的专项附加扣除累计金额</t>
        </r>
      </text>
    </comment>
    <comment ref="AC2" authorId="1">
      <text>
        <r>
          <rPr>
            <sz val="9"/>
            <rFont val="宋体"/>
            <charset val="134"/>
          </rPr>
          <t xml:space="preserve">
本年度截止当前月份的国家允许的其他扣除累计金额</t>
        </r>
      </text>
    </comment>
    <comment ref="AD2" authorId="1">
      <text>
        <r>
          <rPr>
            <sz val="9"/>
            <rFont val="宋体"/>
            <charset val="134"/>
          </rPr>
          <t xml:space="preserve">
本年度截止当前月份的累计应纳税所得额</t>
        </r>
      </text>
    </comment>
    <comment ref="AF2" authorId="1">
      <text>
        <r>
          <rPr>
            <sz val="9"/>
            <rFont val="宋体"/>
            <charset val="134"/>
          </rPr>
          <t xml:space="preserve">
填写本年度截止当前月份已累计扣缴总税额</t>
        </r>
      </text>
    </comment>
    <comment ref="AG2" authorId="1">
      <text>
        <r>
          <rPr>
            <b/>
            <sz val="9"/>
            <rFont val="宋体"/>
            <charset val="134"/>
          </rPr>
          <t>AutoBVT:</t>
        </r>
        <r>
          <rPr>
            <sz val="9"/>
            <rFont val="宋体"/>
            <charset val="134"/>
          </rPr>
          <t xml:space="preserve">
累计预扣预缴税额-已预扣预缴税额=本月应补（退）税额</t>
        </r>
      </text>
    </comment>
    <comment ref="AH2" authorId="1">
      <text>
        <r>
          <rPr>
            <sz val="9"/>
            <rFont val="宋体"/>
            <charset val="134"/>
          </rPr>
          <t xml:space="preserve">
本月应发工资-本月个人应扣金额-本月应扣个税=净工资</t>
        </r>
      </text>
    </comment>
    <comment ref="AI2" authorId="2">
      <text>
        <r>
          <rPr>
            <sz val="9"/>
            <rFont val="Tahoma"/>
            <charset val="134"/>
          </rPr>
          <t xml:space="preserve">
*</t>
        </r>
        <r>
          <rPr>
            <sz val="9"/>
            <rFont val="宋体"/>
            <charset val="134"/>
          </rPr>
          <t xml:space="preserve">补低差、罚款，取暖费、独生子女费、生育津贴、等等国家允许的不扣税项目
</t>
        </r>
        <r>
          <rPr>
            <sz val="9"/>
            <rFont val="Tahoma"/>
            <charset val="134"/>
          </rPr>
          <t>*</t>
        </r>
        <r>
          <rPr>
            <sz val="9"/>
            <rFont val="宋体"/>
            <charset val="134"/>
          </rPr>
          <t>补偿金或赔偿金不超过当地年平均工资</t>
        </r>
        <r>
          <rPr>
            <sz val="9"/>
            <rFont val="Tahoma"/>
            <charset val="134"/>
          </rPr>
          <t>3</t>
        </r>
        <r>
          <rPr>
            <sz val="9"/>
            <rFont val="宋体"/>
            <charset val="134"/>
          </rPr>
          <t xml:space="preserve">倍
</t>
        </r>
      </text>
    </comment>
    <comment ref="V3" authorId="0">
      <text>
        <r>
          <rPr>
            <sz val="9"/>
            <rFont val="Tahoma"/>
            <charset val="134"/>
          </rPr>
          <t xml:space="preserve">
*1000</t>
        </r>
        <r>
          <rPr>
            <sz val="9"/>
            <rFont val="宋体"/>
            <charset val="134"/>
          </rPr>
          <t>元</t>
        </r>
        <r>
          <rPr>
            <sz val="9"/>
            <rFont val="Tahoma"/>
            <charset val="134"/>
          </rPr>
          <t>/</t>
        </r>
        <r>
          <rPr>
            <sz val="9"/>
            <rFont val="宋体"/>
            <charset val="134"/>
          </rPr>
          <t>子女</t>
        </r>
        <r>
          <rPr>
            <sz val="9"/>
            <rFont val="Tahoma"/>
            <charset val="134"/>
          </rPr>
          <t>/</t>
        </r>
        <r>
          <rPr>
            <sz val="9"/>
            <rFont val="宋体"/>
            <charset val="134"/>
          </rPr>
          <t>月</t>
        </r>
      </text>
    </comment>
    <comment ref="W3" authorId="1">
      <text>
        <r>
          <rPr>
            <sz val="9"/>
            <rFont val="宋体"/>
            <charset val="134"/>
          </rPr>
          <t xml:space="preserve">
*独生子女 2000元/月
*非独生子女均摊，最高不能超过1000元/月</t>
        </r>
      </text>
    </comment>
    <comment ref="X3" authorId="0">
      <text>
        <r>
          <rPr>
            <sz val="9"/>
            <rFont val="Tahoma"/>
            <charset val="134"/>
          </rPr>
          <t xml:space="preserve">
*1000</t>
        </r>
        <r>
          <rPr>
            <sz val="9"/>
            <rFont val="宋体"/>
            <charset val="134"/>
          </rPr>
          <t>元</t>
        </r>
        <r>
          <rPr>
            <sz val="9"/>
            <rFont val="Tahoma"/>
            <charset val="134"/>
          </rPr>
          <t>/</t>
        </r>
        <r>
          <rPr>
            <sz val="9"/>
            <rFont val="宋体"/>
            <charset val="134"/>
          </rPr>
          <t>月，</t>
        </r>
        <r>
          <rPr>
            <sz val="9"/>
            <rFont val="Tahoma"/>
            <charset val="134"/>
          </rPr>
          <t>240</t>
        </r>
        <r>
          <rPr>
            <sz val="9"/>
            <rFont val="宋体"/>
            <charset val="134"/>
          </rPr>
          <t>月为限，限首套</t>
        </r>
      </text>
    </comment>
    <comment ref="Y3" authorId="1">
      <text>
        <r>
          <rPr>
            <sz val="9"/>
            <rFont val="宋体"/>
            <charset val="134"/>
          </rPr>
          <t xml:space="preserve">
*1500元/月，直辖市、省会、计划单列城市
*1100元/月，市人口 &gt;100万
*800元/月，市人口 &lt;100万</t>
        </r>
      </text>
    </comment>
    <comment ref="Z3" authorId="0">
      <text>
        <r>
          <rPr>
            <sz val="9"/>
            <rFont val="Tahoma"/>
            <charset val="134"/>
          </rPr>
          <t xml:space="preserve">
*</t>
        </r>
        <r>
          <rPr>
            <sz val="9"/>
            <rFont val="宋体"/>
            <charset val="134"/>
          </rPr>
          <t>学历继续教育</t>
        </r>
        <r>
          <rPr>
            <sz val="9"/>
            <rFont val="Tahoma"/>
            <charset val="134"/>
          </rPr>
          <t xml:space="preserve"> 400</t>
        </r>
        <r>
          <rPr>
            <sz val="9"/>
            <rFont val="宋体"/>
            <charset val="134"/>
          </rPr>
          <t>元</t>
        </r>
        <r>
          <rPr>
            <sz val="9"/>
            <rFont val="Tahoma"/>
            <charset val="134"/>
          </rPr>
          <t>/</t>
        </r>
        <r>
          <rPr>
            <sz val="9"/>
            <rFont val="宋体"/>
            <charset val="134"/>
          </rPr>
          <t>月，</t>
        </r>
        <r>
          <rPr>
            <sz val="9"/>
            <rFont val="Tahoma"/>
            <charset val="134"/>
          </rPr>
          <t>48</t>
        </r>
        <r>
          <rPr>
            <sz val="9"/>
            <rFont val="宋体"/>
            <charset val="134"/>
          </rPr>
          <t xml:space="preserve">个月
</t>
        </r>
        <r>
          <rPr>
            <sz val="9"/>
            <rFont val="Tahoma"/>
            <charset val="134"/>
          </rPr>
          <t>*</t>
        </r>
        <r>
          <rPr>
            <sz val="9"/>
            <rFont val="宋体"/>
            <charset val="134"/>
          </rPr>
          <t>职业资格继续教育</t>
        </r>
        <r>
          <rPr>
            <sz val="9"/>
            <rFont val="Tahoma"/>
            <charset val="134"/>
          </rPr>
          <t xml:space="preserve"> 3600</t>
        </r>
        <r>
          <rPr>
            <sz val="9"/>
            <rFont val="宋体"/>
            <charset val="134"/>
          </rPr>
          <t>元</t>
        </r>
        <r>
          <rPr>
            <sz val="9"/>
            <rFont val="Tahoma"/>
            <charset val="134"/>
          </rPr>
          <t>/</t>
        </r>
        <r>
          <rPr>
            <sz val="9"/>
            <rFont val="宋体"/>
            <charset val="134"/>
          </rPr>
          <t>年，取得证书年度</t>
        </r>
      </text>
    </comment>
    <comment ref="AA3" authorId="1">
      <text>
        <r>
          <rPr>
            <sz val="9"/>
            <rFont val="宋体"/>
            <charset val="134"/>
          </rPr>
          <t xml:space="preserve">
*自费超过1.5万，8万/年
*由纳税人在年度汇算清缴时办理，无需填写</t>
        </r>
      </text>
    </comment>
  </commentList>
</comments>
</file>

<file path=xl/comments17.xml><?xml version="1.0" encoding="utf-8"?>
<comments xmlns="http://schemas.openxmlformats.org/spreadsheetml/2006/main">
  <authors>
    <author>kk</author>
    <author>Administrator</author>
    <author>SDWM</author>
  </authors>
  <commentList>
    <comment ref="E1" authorId="0">
      <text>
        <r>
          <rPr>
            <sz val="9"/>
            <rFont val="宋体"/>
            <charset val="134"/>
          </rPr>
          <t>客户无需填写，报送填写供应商全称。</t>
        </r>
      </text>
    </comment>
    <comment ref="F1" authorId="0">
      <text>
        <r>
          <rPr>
            <sz val="9"/>
            <rFont val="宋体"/>
            <charset val="134"/>
          </rPr>
          <t>请填写客户全称</t>
        </r>
      </text>
    </comment>
    <comment ref="G1" authorId="1">
      <text>
        <r>
          <rPr>
            <b/>
            <sz val="9"/>
            <rFont val="宋体"/>
            <charset val="134"/>
          </rPr>
          <t>以系统项目编号为准</t>
        </r>
      </text>
    </comment>
    <comment ref="H1" authorId="0">
      <text>
        <r>
          <rPr>
            <sz val="9"/>
            <rFont val="宋体"/>
            <charset val="134"/>
          </rPr>
          <t>按公司标准产品填写，以签署的合同为准</t>
        </r>
      </text>
    </comment>
    <comment ref="O1" authorId="0">
      <text>
        <r>
          <rPr>
            <sz val="9"/>
            <rFont val="宋体"/>
            <charset val="134"/>
          </rPr>
          <t>员工社保、住房的缴纳城市</t>
        </r>
      </text>
    </comment>
    <comment ref="P1" authorId="0">
      <text>
        <r>
          <rPr>
            <sz val="9"/>
            <rFont val="宋体"/>
            <charset val="134"/>
          </rPr>
          <t>“本地”以社保缴纳地为准，本地城镇、本地农村、外地城镇、外地农村，请选择即可</t>
        </r>
      </text>
    </comment>
    <comment ref="S1" authorId="0">
      <text>
        <r>
          <rPr>
            <sz val="9"/>
            <rFont val="宋体"/>
            <charset val="134"/>
          </rPr>
          <t>填写“新参保”或“调入”，新参保是指从未在当地缴纳过保险的情况；调入是指在当地有过参保记录的情况，请选择即可；</t>
        </r>
      </text>
    </comment>
    <comment ref="Z1" authorId="0">
      <text>
        <r>
          <rPr>
            <sz val="9"/>
            <rFont val="宋体"/>
            <charset val="134"/>
          </rPr>
          <t>填写“新参”或“调入”，新参是指从未在当地缴纳过公积金的情况；调入是指在当地有缴纳公积金记录的情况，请选择即可；</t>
        </r>
      </text>
    </comment>
    <comment ref="AL1" authorId="2">
      <text>
        <r>
          <rPr>
            <b/>
            <sz val="11"/>
            <rFont val="宋体"/>
            <charset val="134"/>
          </rPr>
          <t>只大连地区填写：大连户口详细到区，异地户口详细到市</t>
        </r>
      </text>
    </comment>
    <comment ref="AM1" authorId="2">
      <text>
        <r>
          <rPr>
            <b/>
            <sz val="11"/>
            <rFont val="宋体"/>
            <charset val="134"/>
          </rPr>
          <t>只大连地区填写：首次参加工作时间(精确到月)</t>
        </r>
      </text>
    </comment>
    <comment ref="AN1" authorId="2">
      <text>
        <r>
          <rPr>
            <b/>
            <sz val="11"/>
            <rFont val="宋体"/>
            <charset val="134"/>
          </rPr>
          <t>只大连地区填写：填是/否。填写注意：大连中山、西岗、沙河口、甘井子、高新、金州、旅顺的非农户市需要交纳采暖统筹的</t>
        </r>
      </text>
    </comment>
    <comment ref="AO1" authorId="1">
      <text>
        <r>
          <rPr>
            <b/>
            <sz val="9"/>
            <rFont val="宋体"/>
            <charset val="134"/>
          </rPr>
          <t>只大连地区填写</t>
        </r>
      </text>
    </comment>
    <comment ref="T2" authorId="0">
      <text>
        <r>
          <rPr>
            <sz val="9"/>
            <rFont val="宋体"/>
            <charset val="134"/>
          </rPr>
          <t>填写格式：201405【YYYYMM】，该月份产生费用；</t>
        </r>
      </text>
    </comment>
    <comment ref="AA2" authorId="0">
      <text>
        <r>
          <rPr>
            <sz val="9"/>
            <rFont val="宋体"/>
            <charset val="134"/>
          </rPr>
          <t>填写格式：201405【YYYYMM】，该月份产生费用；</t>
        </r>
      </text>
    </comment>
  </commentList>
</comments>
</file>

<file path=xl/sharedStrings.xml><?xml version="1.0" encoding="utf-8"?>
<sst xmlns="http://schemas.openxmlformats.org/spreadsheetml/2006/main" count="1808" uniqueCount="280">
  <si>
    <t>付款通知书</t>
  </si>
  <si>
    <t>尊敬的客户：北京创联致信科技有限公司</t>
  </si>
  <si>
    <t>根据贵公司与我公司所签订的服务协议，请贵公司在2022年4月6日之前按照下列表格内容支付相关款项.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</si>
  <si>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</si>
  <si>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</si>
  <si>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</si>
  <si>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</si>
  <si>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</si>
  <si>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</si>
  <si>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</si>
  <si>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</si>
  <si>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</si>
  <si>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</si>
  <si>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charset val="134"/>
      </rPr>
      <t>工资保证金</t>
    </r>
    <r>
      <rPr>
        <sz val="10"/>
        <color indexed="8"/>
        <rFont val="宋体"/>
        <charset val="134"/>
      </rPr>
      <t>(+)</t>
    </r>
    <r>
      <rPr>
        <sz val="10"/>
        <color indexed="8"/>
        <rFont val="宋体"/>
        <charset val="134"/>
      </rPr>
      <t>：</t>
    </r>
  </si>
  <si>
    <t>本期减免服务费(+)：</t>
  </si>
  <si>
    <r>
      <rPr>
        <sz val="10"/>
        <color indexed="8"/>
        <rFont val="宋体"/>
        <charset val="134"/>
      </rPr>
      <t>上期预收款</t>
    </r>
    <r>
      <rPr>
        <sz val="10"/>
        <color indexed="8"/>
        <rFont val="宋体"/>
        <charset val="134"/>
      </rPr>
      <t>(-)</t>
    </r>
    <r>
      <rPr>
        <sz val="10"/>
        <color indexed="8"/>
        <rFont val="宋体"/>
        <charset val="134"/>
      </rPr>
      <t>：</t>
    </r>
  </si>
  <si>
    <r>
      <rPr>
        <sz val="10"/>
        <color indexed="8"/>
        <rFont val="宋体"/>
        <charset val="134"/>
      </rPr>
      <t>自划金额</t>
    </r>
    <r>
      <rPr>
        <sz val="10"/>
        <color indexed="8"/>
        <rFont val="宋体"/>
        <charset val="134"/>
      </rPr>
      <t>(-)</t>
    </r>
    <r>
      <rPr>
        <sz val="10"/>
        <color indexed="8"/>
        <rFont val="宋体"/>
        <charset val="134"/>
      </rPr>
      <t>：</t>
    </r>
  </si>
  <si>
    <t>gggggggggggggggggggggggggggggghhhhhhhhhhhhhhhhhhhhhhhhhhhhhhhhhhhhhhhhhhhhhhhhhhhhhh</t>
  </si>
  <si>
    <t>序号</t>
  </si>
  <si>
    <t>费用列项</t>
  </si>
  <si>
    <t>费用明细</t>
  </si>
  <si>
    <t>人次</t>
  </si>
  <si>
    <t>金额</t>
  </si>
  <si>
    <t>备注</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</si>
  <si>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</si>
  <si>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</si>
  <si>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t>
  </si>
  <si>
    <t>社   保(企业+个人)</t>
  </si>
  <si>
    <t>正常月</t>
  </si>
  <si>
    <t>公积金(企业+个人)</t>
  </si>
  <si>
    <t>小计</t>
  </si>
  <si>
    <t>人事管理费用</t>
  </si>
  <si>
    <t>服务费（含税）</t>
  </si>
  <si>
    <t>税金</t>
  </si>
  <si>
    <t>合计:</t>
  </si>
  <si>
    <t>开票金额:</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</si>
  <si>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</si>
  <si>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</si>
  <si>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</si>
  <si>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</si>
  <si>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</si>
  <si>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</si>
  <si>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</si>
  <si>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</si>
  <si>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</si>
  <si>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</si>
  <si>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</si>
  <si>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</si>
  <si>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</si>
  <si>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</si>
  <si>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</si>
  <si>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</si>
  <si>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</si>
  <si>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</si>
  <si>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</si>
  <si>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</si>
  <si>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</si>
  <si>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</si>
  <si>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</si>
  <si>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缴纳基数</t>
  </si>
  <si>
    <t>公司比例</t>
  </si>
  <si>
    <t>公司金额</t>
  </si>
  <si>
    <t>个人比例</t>
  </si>
  <si>
    <t>个人金额</t>
  </si>
  <si>
    <t>比例</t>
  </si>
  <si>
    <t>公司</t>
  </si>
  <si>
    <t>个人</t>
  </si>
  <si>
    <t>社保公司</t>
  </si>
  <si>
    <t>社保个人</t>
  </si>
  <si>
    <t>公积金公司</t>
  </si>
  <si>
    <t>公积金个人</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</si>
  <si>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</si>
  <si>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</si>
  <si>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</si>
  <si>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</si>
  <si>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</si>
  <si>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</si>
  <si>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</si>
  <si>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</si>
  <si>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</si>
  <si>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</si>
  <si>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</si>
  <si>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</si>
  <si>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</si>
  <si>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</si>
  <si>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</si>
  <si>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</si>
  <si>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</si>
  <si>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</si>
  <si>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</si>
  <si>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</si>
  <si>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</si>
  <si>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</si>
  <si>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</si>
  <si>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</si>
  <si>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</si>
  <si>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</si>
  <si>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</si>
  <si>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</si>
  <si>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</si>
  <si>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</si>
  <si>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</si>
  <si>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</si>
  <si>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</si>
  <si>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</si>
  <si>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</si>
  <si>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</si>
  <si>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</si>
  <si>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</si>
  <si>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</si>
  <si>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</si>
  <si>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</si>
  <si>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</si>
  <si>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</si>
  <si>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</si>
  <si>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</si>
  <si>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</si>
  <si>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</si>
  <si>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</si>
  <si>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</si>
  <si>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</si>
  <si>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</si>
  <si>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</si>
  <si>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</si>
  <si>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</si>
  <si>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</si>
  <si>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</si>
  <si>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</si>
  <si>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</si>
  <si>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</si>
  <si>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</si>
  <si>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</si>
  <si>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</si>
  <si>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</si>
  <si>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</si>
  <si>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</si>
  <si>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</si>
  <si>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</si>
  <si>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</si>
  <si>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</si>
  <si>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</si>
  <si>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</si>
  <si>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</si>
  <si>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</si>
  <si>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</si>
  <si>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</si>
  <si>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t>
  </si>
  <si>
    <t>身份证</t>
  </si>
  <si>
    <t>莫文太</t>
  </si>
  <si>
    <t>430822198211098211</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</si>
  <si>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</si>
  <si>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</si>
  <si>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</si>
  <si>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</si>
  <si>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</si>
  <si>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</si>
  <si>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</si>
  <si>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</si>
  <si>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</si>
  <si>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</si>
  <si>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</si>
  <si>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</si>
  <si>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202204</t>
  </si>
  <si>
    <t>据《吉林省人民政府关于发布全省最低工资标准的通知》（吉政函【2021】69号），现将我市2022年度住房公积金缴存基数上下限调整如下：
       四平市区住房公积金缴存基数下限调整至1640元，上限调整至16251元。
       本通知自2022年1月1日起执行至下一个调整日。</t>
  </si>
  <si>
    <t>根据省人力资源社会保障厅、省医疗保障局、省财政厅、省税务局 «关于公布２０２０年全省全口径城镇单位就业人员平均工资等有关问题的通知»，现将我省2022年度医保（基本医疗、生育）缴存基数上下限调整如下：
       四平：3602.85-18014.25，执行时间：2022年2月（2022年1月因基数上下限变更产生的基数差额医保局暂未确定于几月进行补收，待收到确定消息后第一时间告知并进行补收）</t>
  </si>
  <si>
    <t>202201</t>
  </si>
  <si>
    <t>202202</t>
  </si>
  <si>
    <t>202203</t>
  </si>
  <si>
    <t>长沙</t>
  </si>
  <si>
    <t>202105</t>
  </si>
  <si>
    <t>谢锋明</t>
  </si>
  <si>
    <t>43022319780815051X</t>
  </si>
  <si>
    <t>202110</t>
  </si>
  <si>
    <t>基数调整.3700</t>
  </si>
  <si>
    <t>梁敏霞</t>
  </si>
  <si>
    <t>440883199611084547</t>
  </si>
  <si>
    <t xml:space="preserve">关于调整2022年广州市养老比例及恢复医疗基数下限的通知
         主要内容：
         一、接广州市税务局通知，自2022年1月1日起，广州市养老比例及恢复医疗基数下限通知如下：
  1、医疗保险下限调整为6757元，上限保持不变；
  2、养老保险单位比例调整为15%，个人比例不变；
附：附上单位核定信息（养老比例）。
        医保局链接：http://guangdong.chinatax.gov.cn/gdsw/gzsw_tggg/2021-08/26/content_9a9d228e00cf4213974f57f00ab5c7ee.shtml
</t>
  </si>
  <si>
    <t>郑州</t>
  </si>
  <si>
    <t>楚华锋</t>
  </si>
  <si>
    <t>410183199311189538</t>
  </si>
  <si>
    <t>202205</t>
  </si>
  <si>
    <t>张铭</t>
  </si>
  <si>
    <t>411402199905127632</t>
  </si>
  <si>
    <t>王明贤</t>
  </si>
  <si>
    <t>411322199302132416</t>
  </si>
  <si>
    <t>何仪华</t>
  </si>
  <si>
    <t>412726198606097916</t>
  </si>
  <si>
    <t>芮瑞</t>
  </si>
  <si>
    <t>411221198610113536</t>
  </si>
  <si>
    <t>姚远</t>
  </si>
  <si>
    <t>410102198812110135</t>
  </si>
  <si>
    <t>桑柳成</t>
  </si>
  <si>
    <t>410521199111257519</t>
  </si>
  <si>
    <t>男</t>
  </si>
  <si>
    <t>女</t>
  </si>
  <si>
    <t>报送时间</t>
  </si>
  <si>
    <t>所属公司</t>
  </si>
  <si>
    <t>使用供应商</t>
  </si>
  <si>
    <t>项目编号</t>
  </si>
  <si>
    <t>员工工号</t>
  </si>
  <si>
    <t>身份证号</t>
  </si>
  <si>
    <t>手机号码</t>
  </si>
  <si>
    <t>是否需要外呼</t>
  </si>
  <si>
    <t>工作地点</t>
  </si>
  <si>
    <t>社保缴纳地</t>
  </si>
  <si>
    <t>户籍性质</t>
  </si>
  <si>
    <t>入职时间</t>
  </si>
  <si>
    <t>原参保城市</t>
  </si>
  <si>
    <t>社保缴纳类型</t>
  </si>
  <si>
    <t>社保</t>
  </si>
  <si>
    <t>公积金缴纳类型</t>
  </si>
  <si>
    <t>公积金</t>
  </si>
  <si>
    <t>是否签署劳动合同</t>
  </si>
  <si>
    <t>劳动合同版本</t>
  </si>
  <si>
    <t>劳动合同起始时间</t>
  </si>
  <si>
    <t>劳动合同终止时间</t>
  </si>
  <si>
    <t>试用期时间（0-12月）</t>
  </si>
  <si>
    <t>合同工资</t>
  </si>
  <si>
    <t>身份证校验</t>
  </si>
  <si>
    <t>户籍详细地址（仅大连地区填写）</t>
  </si>
  <si>
    <t>首次参加工作时间（仅大连地区填写）</t>
  </si>
  <si>
    <t>采暖统筹
是否缴纳（仅大连地区填写）</t>
  </si>
  <si>
    <t>福利开始时间
（与起缴月一致）（仅大连地区填写）</t>
  </si>
  <si>
    <t>社保起缴年月</t>
  </si>
  <si>
    <t>养老基数</t>
  </si>
  <si>
    <t>医疗基数</t>
  </si>
  <si>
    <t>失业基数</t>
  </si>
  <si>
    <t>工伤基数</t>
  </si>
  <si>
    <t>生育基数</t>
  </si>
  <si>
    <t>公积金起缴年月</t>
  </si>
  <si>
    <t>公积金缴纳比例（单位+个人）</t>
  </si>
  <si>
    <t>公积金基数</t>
  </si>
  <si>
    <t>北京易才博普奥</t>
  </si>
  <si>
    <t>湖南长沙</t>
  </si>
  <si>
    <t>本地农村</t>
  </si>
  <si>
    <t>长春</t>
  </si>
  <si>
    <t>调入</t>
  </si>
  <si>
    <t>2021.05</t>
  </si>
  <si>
    <t>5%</t>
  </si>
  <si>
    <t>4000</t>
  </si>
  <si>
    <t>是</t>
  </si>
  <si>
    <t>减</t>
  </si>
  <si>
    <t>创联致信（上月工资上月社保账单费用）</t>
  </si>
  <si>
    <t>622848 0018992539579</t>
  </si>
  <si>
    <t>中国农业银行北京永丰路支行</t>
  </si>
  <si>
    <t>农行</t>
  </si>
  <si>
    <t>15537954009</t>
  </si>
  <si>
    <t>15713680881</t>
  </si>
  <si>
    <t>15938792012</t>
  </si>
  <si>
    <t>张明亮</t>
  </si>
  <si>
    <t>41042219910810183X</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</si>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</sst>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numFmts count="16">
    <numFmt numFmtId="44" formatCode="_ &quot;￥&quot;* #,##0.00_ ;_ &quot;￥&quot;* \-#,##0.00_ ;_ &quot;￥&quot;* &quot;-&quot;??_ ;_ @_ "/>
    <numFmt numFmtId="176" formatCode="0.00_ "/>
    <numFmt numFmtId="42" formatCode="_ &quot;￥&quot;* #,##0_ ;_ &quot;￥&quot;* \-#,##0_ ;_ &quot;￥&quot;* &quot;-&quot;_ ;_ @_ "/>
    <numFmt numFmtId="177" formatCode="[DBNum2][$-804]General"/>
    <numFmt numFmtId="41" formatCode="_ * #,##0_ ;_ * \-#,##0_ ;_ * &quot;-&quot;_ ;_ @_ "/>
    <numFmt numFmtId="43" formatCode="_ * #,##0.00_ ;_ * \-#,##0.00_ ;_ * &quot;-&quot;??_ ;_ @_ "/>
    <numFmt numFmtId="178" formatCode="0_);[Red]\(0\)"/>
    <numFmt numFmtId="179" formatCode="0.00_);\(0.00\)"/>
    <numFmt numFmtId="180" formatCode="[$-10432]yyyy/mm/dd;@"/>
    <numFmt numFmtId="181" formatCode="0.00_);[Red]\(0.00\)"/>
    <numFmt numFmtId="182" formatCode="#,##0_);[Red]\(#,##0\)"/>
    <numFmt numFmtId="183" formatCode="#,##0.00_);[Red]\(#,##0.00\)"/>
    <numFmt numFmtId="184" formatCode="0.00;[Red]0.00"/>
    <numFmt numFmtId="185" formatCode="General\ &quot;年&quot;"/>
    <numFmt numFmtId="186" formatCode="&quot;$&quot;0_ "/>
    <numFmt numFmtId="187" formatCode="&quot;$&quot;#,##0_ ;[Red]\-&quot;$&quot;#,##0_ "/>
  </numFmts>
  <fonts count="133">
    <font>
      <sz val="11"/>
      <color theme="1"/>
      <name val="宋体"/>
      <charset val="134"/>
      <scheme val="minor"/>
    </font>
    <font>
      <sz val="18"/>
      <color theme="1"/>
      <name val="黑体"/>
      <charset val="134"/>
    </font>
    <font>
      <sz val="16"/>
      <color theme="1"/>
      <name val="仿宋_GB2312"/>
      <charset val="134"/>
    </font>
    <font>
      <b/>
      <sz val="12"/>
      <color theme="1"/>
      <name val="宋体"/>
      <charset val="134"/>
      <scheme val="major"/>
    </font>
    <font>
      <sz val="11"/>
      <color theme="1"/>
      <name val="宋体"/>
      <charset val="134"/>
      <scheme val="major"/>
    </font>
    <font>
      <b/>
      <sz val="12"/>
      <color rgb="FF2C2C2C"/>
      <name val="宋体"/>
      <charset val="134"/>
      <scheme val="minor"/>
    </font>
    <font>
      <sz val="10"/>
      <color theme="1"/>
      <name val="微软雅黑"/>
      <charset val="134"/>
    </font>
    <font>
      <sz val="10"/>
      <color indexed="8"/>
      <name val="宋体"/>
      <charset val="134"/>
    </font>
    <font>
      <b/>
      <sz val="10"/>
      <color theme="1"/>
      <name val="微软雅黑"/>
      <charset val="134"/>
    </font>
    <font>
      <sz val="9"/>
      <color indexed="8"/>
      <name val="宋体"/>
      <charset val="134"/>
      <scheme val="minor"/>
    </font>
    <font>
      <sz val="11"/>
      <color indexed="8"/>
      <name val="宋体"/>
      <charset val="134"/>
    </font>
    <font>
      <b/>
      <sz val="10"/>
      <color indexed="8"/>
      <name val="宋体"/>
      <charset val="134"/>
    </font>
    <font>
      <b/>
      <sz val="10"/>
      <color rgb="FFFF0000"/>
      <name val="Arial Unicode MS"/>
      <charset val="134"/>
    </font>
    <font>
      <b/>
      <sz val="12"/>
      <color rgb="FFFF0000"/>
      <name val="Arial Unicode MS"/>
      <charset val="134"/>
    </font>
    <font>
      <sz val="12"/>
      <name val="Arial Unicode MS"/>
      <charset val="134"/>
    </font>
    <font>
      <b/>
      <sz val="10"/>
      <name val="Arial Unicode MS"/>
      <charset val="134"/>
    </font>
    <font>
      <b/>
      <sz val="10"/>
      <color rgb="FFFF0000"/>
      <name val="宋体"/>
      <charset val="134"/>
    </font>
    <font>
      <b/>
      <sz val="10"/>
      <name val="宋体"/>
      <charset val="134"/>
    </font>
    <font>
      <sz val="10"/>
      <color theme="1"/>
      <name val="宋体"/>
      <charset val="134"/>
    </font>
    <font>
      <sz val="10"/>
      <name val="宋体"/>
      <charset val="134"/>
      <scheme val="minor"/>
    </font>
    <font>
      <b/>
      <sz val="10"/>
      <color indexed="8"/>
      <name val="Arial Unicode MS"/>
      <charset val="134"/>
    </font>
    <font>
      <b/>
      <sz val="9"/>
      <color rgb="FFFF0000"/>
      <name val="宋体"/>
      <charset val="134"/>
    </font>
    <font>
      <b/>
      <sz val="9"/>
      <color indexed="8"/>
      <name val="宋体"/>
      <charset val="134"/>
    </font>
    <font>
      <sz val="9"/>
      <color indexed="8"/>
      <name val="宋体"/>
      <charset val="134"/>
    </font>
    <font>
      <sz val="9"/>
      <color indexed="10"/>
      <name val="宋体"/>
      <charset val="134"/>
    </font>
    <font>
      <b/>
      <sz val="9"/>
      <name val="宋体"/>
      <charset val="134"/>
    </font>
    <font>
      <b/>
      <sz val="9"/>
      <color indexed="10"/>
      <name val="宋体"/>
      <charset val="134"/>
    </font>
    <font>
      <b/>
      <sz val="10"/>
      <color rgb="FFFF0000"/>
      <name val="宋体"/>
      <charset val="134"/>
      <scheme val="minor"/>
    </font>
    <font>
      <sz val="10"/>
      <name val="宋体"/>
      <charset val="134"/>
    </font>
    <font>
      <sz val="9"/>
      <name val="宋体"/>
      <charset val="134"/>
    </font>
    <font>
      <sz val="10"/>
      <color indexed="8"/>
      <name val="微软雅黑"/>
      <charset val="134"/>
    </font>
    <font>
      <sz val="10"/>
      <color rgb="FFFF0000"/>
      <name val="宋体"/>
      <charset val="134"/>
      <scheme val="minor"/>
    </font>
    <font>
      <sz val="10"/>
      <color indexed="8"/>
      <name val="宋体"/>
      <charset val="134"/>
      <scheme val="minor"/>
    </font>
    <font>
      <b/>
      <sz val="10"/>
      <name val="宋体"/>
      <charset val="134"/>
      <scheme val="minor"/>
    </font>
    <font>
      <sz val="10.5"/>
      <color rgb="FF191F25"/>
      <name val="宋体"/>
      <charset val="134"/>
    </font>
    <font>
      <sz val="10"/>
      <color rgb="FF171A1D"/>
      <name val="Segoe UI"/>
      <charset val="134"/>
    </font>
    <font>
      <sz val="10"/>
      <name val="SimSun"/>
      <charset val="134"/>
    </font>
    <font>
      <sz val="10.5"/>
      <name val="宋体"/>
      <charset val="134"/>
    </font>
    <font>
      <sz val="9"/>
      <name val="Segoe UI"/>
      <charset val="134"/>
    </font>
    <font>
      <sz val="10"/>
      <color theme="1"/>
      <name val="宋体"/>
      <charset val="134"/>
      <scheme val="minor"/>
    </font>
    <font>
      <b/>
      <sz val="10"/>
      <color indexed="10"/>
      <name val="宋体"/>
      <charset val="134"/>
      <scheme val="minor"/>
    </font>
    <font>
      <b/>
      <sz val="10"/>
      <name val="微软雅黑"/>
      <charset val="134"/>
    </font>
    <font>
      <sz val="6"/>
      <name val="Arial"/>
      <charset val="134"/>
    </font>
    <font>
      <sz val="6"/>
      <color indexed="8"/>
      <name val="Arial"/>
      <charset val="134"/>
    </font>
    <font>
      <b/>
      <sz val="11"/>
      <color indexed="10"/>
      <name val="宋体"/>
      <charset val="134"/>
    </font>
    <font>
      <sz val="11"/>
      <color indexed="10"/>
      <name val="宋体"/>
      <charset val="134"/>
    </font>
    <font>
      <sz val="11"/>
      <color indexed="8"/>
      <name val="微软雅黑"/>
      <charset val="134"/>
    </font>
    <font>
      <sz val="10"/>
      <color indexed="8"/>
      <name val="SimSun"/>
      <charset val="134"/>
    </font>
    <font>
      <sz val="10"/>
      <color theme="1"/>
      <name val="SimSun"/>
      <charset val="134"/>
    </font>
    <font>
      <sz val="10.5"/>
      <color rgb="FF191F25"/>
      <name val="Segoe UI"/>
      <charset val="134"/>
    </font>
    <font>
      <sz val="9"/>
      <color rgb="FF191F25"/>
      <name val="Segoe UI"/>
      <charset val="134"/>
    </font>
    <font>
      <sz val="10"/>
      <name val="宋体"/>
      <charset val="134"/>
      <scheme val="major"/>
    </font>
    <font>
      <sz val="10"/>
      <color theme="1"/>
      <name val="宋体"/>
      <charset val="134"/>
      <scheme val="major"/>
    </font>
    <font>
      <b/>
      <sz val="9"/>
      <color indexed="8"/>
      <name val="微软雅黑"/>
      <charset val="134"/>
    </font>
    <font>
      <sz val="10"/>
      <name val="微软雅黑"/>
      <charset val="134"/>
    </font>
    <font>
      <sz val="11"/>
      <name val="宋体"/>
      <charset val="134"/>
    </font>
    <font>
      <sz val="6"/>
      <color rgb="FFFF0000"/>
      <name val="Arial"/>
      <charset val="134"/>
    </font>
    <font>
      <sz val="10"/>
      <color rgb="FFFF0000"/>
      <name val="SimSun"/>
      <charset val="134"/>
    </font>
    <font>
      <sz val="10.5"/>
      <color rgb="FFFF0000"/>
      <name val="宋体"/>
      <charset val="134"/>
    </font>
    <font>
      <sz val="9"/>
      <color rgb="FFFF0000"/>
      <name val="Segoe UI"/>
      <charset val="134"/>
    </font>
    <font>
      <sz val="10"/>
      <color rgb="FFFF0000"/>
      <name val="宋体"/>
      <charset val="134"/>
      <scheme val="major"/>
    </font>
    <font>
      <sz val="9"/>
      <color rgb="FFFF0000"/>
      <name val="宋体"/>
      <charset val="134"/>
    </font>
    <font>
      <sz val="10"/>
      <color rgb="FFFF0000"/>
      <name val="微软雅黑"/>
      <charset val="134"/>
    </font>
    <font>
      <sz val="11"/>
      <color rgb="FFFF0000"/>
      <name val="宋体"/>
      <charset val="134"/>
    </font>
    <font>
      <b/>
      <sz val="20"/>
      <name val="黑体"/>
      <charset val="134"/>
    </font>
    <font>
      <b/>
      <sz val="12"/>
      <color indexed="8"/>
      <name val="宋体"/>
      <charset val="134"/>
    </font>
    <font>
      <sz val="10"/>
      <color indexed="8"/>
      <name val="Wingdings 2"/>
      <charset val="2"/>
    </font>
    <font>
      <sz val="11"/>
      <color indexed="0"/>
      <name val="宋体-PUA"/>
      <charset val="134"/>
    </font>
    <font>
      <sz val="9"/>
      <name val="Arial"/>
      <charset val="134"/>
    </font>
    <font>
      <sz val="9"/>
      <color indexed="8"/>
      <name val="宋体-PUA"/>
      <charset val="134"/>
    </font>
    <font>
      <sz val="9"/>
      <name val="宋体-PUA"/>
      <charset val="134"/>
    </font>
    <font>
      <b/>
      <sz val="11"/>
      <name val="宋体"/>
      <charset val="134"/>
    </font>
    <font>
      <sz val="9"/>
      <color indexed="0"/>
      <name val="宋体-PUA"/>
      <charset val="134"/>
    </font>
    <font>
      <b/>
      <sz val="12"/>
      <name val="宋体"/>
      <charset val="134"/>
    </font>
    <font>
      <b/>
      <sz val="10"/>
      <name val="Arial"/>
      <charset val="134"/>
    </font>
    <font>
      <sz val="10"/>
      <name val="Arial"/>
      <charset val="134"/>
    </font>
    <font>
      <sz val="10"/>
      <name val="宋体-PUA"/>
      <charset val="134"/>
    </font>
    <font>
      <b/>
      <sz val="12"/>
      <name val="微软雅黑"/>
      <charset val="134"/>
    </font>
    <font>
      <b/>
      <sz val="10"/>
      <color indexed="8"/>
      <name val="微软雅黑"/>
      <charset val="134"/>
    </font>
    <font>
      <i/>
      <sz val="11"/>
      <color indexed="0"/>
      <name val="宋体-PUA"/>
      <charset val="134"/>
    </font>
    <font>
      <b/>
      <sz val="12"/>
      <color indexed="0"/>
      <name val="宋体-PUA"/>
      <charset val="134"/>
    </font>
    <font>
      <b/>
      <i/>
      <sz val="11"/>
      <name val="宋体"/>
      <charset val="134"/>
    </font>
    <font>
      <i/>
      <sz val="11"/>
      <color indexed="0"/>
      <name val="宋体"/>
      <charset val="134"/>
    </font>
    <font>
      <b/>
      <sz val="12"/>
      <color indexed="0"/>
      <name val="宋体"/>
      <charset val="134"/>
    </font>
    <font>
      <sz val="12"/>
      <color indexed="0"/>
      <name val="宋体"/>
      <charset val="134"/>
    </font>
    <font>
      <b/>
      <sz val="11"/>
      <color indexed="8"/>
      <name val="宋体"/>
      <charset val="134"/>
    </font>
    <font>
      <sz val="10"/>
      <color indexed="8"/>
      <name val="宋体-PUA"/>
      <charset val="134"/>
    </font>
    <font>
      <b/>
      <sz val="11"/>
      <name val="宋体-PUA"/>
      <charset val="134"/>
    </font>
    <font>
      <sz val="12"/>
      <name val="宋体-PUA"/>
      <charset val="134"/>
    </font>
    <font>
      <sz val="11"/>
      <color rgb="FF006100"/>
      <name val="宋体"/>
      <charset val="0"/>
      <scheme val="minor"/>
    </font>
    <font>
      <sz val="12"/>
      <name val="宋体"/>
      <charset val="134"/>
    </font>
    <font>
      <sz val="11"/>
      <color indexed="9"/>
      <name val="宋体"/>
      <charset val="134"/>
    </font>
    <font>
      <sz val="11"/>
      <color theme="0"/>
      <name val="宋体"/>
      <charset val="0"/>
      <scheme val="minor"/>
    </font>
    <font>
      <b/>
      <sz val="15"/>
      <color theme="3"/>
      <name val="宋体"/>
      <charset val="134"/>
      <scheme val="minor"/>
    </font>
    <font>
      <i/>
      <sz val="11"/>
      <color indexed="23"/>
      <name val="宋体"/>
      <charset val="134"/>
    </font>
    <font>
      <sz val="11"/>
      <color rgb="FF3F3F76"/>
      <name val="宋体"/>
      <charset val="0"/>
      <scheme val="minor"/>
    </font>
    <font>
      <b/>
      <sz val="11"/>
      <color indexed="63"/>
      <name val="宋体"/>
      <charset val="134"/>
    </font>
    <font>
      <b/>
      <sz val="11"/>
      <color indexed="56"/>
      <name val="宋体"/>
      <charset val="134"/>
    </font>
    <font>
      <sz val="11"/>
      <color rgb="FFFA7D00"/>
      <name val="宋体"/>
      <charset val="0"/>
      <scheme val="minor"/>
    </font>
    <font>
      <b/>
      <sz val="13"/>
      <color indexed="56"/>
      <name val="宋体"/>
      <charset val="134"/>
    </font>
    <font>
      <b/>
      <sz val="11"/>
      <color indexed="52"/>
      <name val="宋体"/>
      <charset val="134"/>
    </font>
    <font>
      <sz val="11"/>
      <color rgb="FFFF0000"/>
      <name val="宋体"/>
      <charset val="0"/>
      <scheme val="minor"/>
    </font>
    <font>
      <b/>
      <sz val="15"/>
      <color indexed="56"/>
      <name val="宋体"/>
      <charset val="134"/>
    </font>
    <font>
      <sz val="11"/>
      <color rgb="FF9C6500"/>
      <name val="宋体"/>
      <charset val="0"/>
      <scheme val="minor"/>
    </font>
    <font>
      <sz val="11"/>
      <color theme="1"/>
      <name val="宋体"/>
      <charset val="0"/>
      <scheme val="minor"/>
    </font>
    <font>
      <u/>
      <sz val="11"/>
      <color rgb="FF0000FF"/>
      <name val="宋体"/>
      <charset val="0"/>
      <scheme val="minor"/>
    </font>
    <font>
      <b/>
      <sz val="18"/>
      <color indexed="56"/>
      <name val="宋体"/>
      <charset val="134"/>
    </font>
    <font>
      <b/>
      <sz val="11"/>
      <color rgb="FFFA7D00"/>
      <name val="宋体"/>
      <charset val="0"/>
      <scheme val="minor"/>
    </font>
    <font>
      <i/>
      <sz val="11"/>
      <color rgb="FF7F7F7F"/>
      <name val="宋体"/>
      <charset val="0"/>
      <scheme val="minor"/>
    </font>
    <font>
      <sz val="11"/>
      <color indexed="62"/>
      <name val="宋体"/>
      <charset val="134"/>
    </font>
    <font>
      <sz val="10"/>
      <name val="Helv"/>
      <charset val="134"/>
    </font>
    <font>
      <sz val="11"/>
      <color indexed="52"/>
      <name val="宋体"/>
      <charset val="134"/>
    </font>
    <font>
      <b/>
      <sz val="11"/>
      <color theme="3"/>
      <name val="宋体"/>
      <charset val="134"/>
      <scheme val="minor"/>
    </font>
    <font>
      <sz val="11"/>
      <color indexed="60"/>
      <name val="宋体"/>
      <charset val="134"/>
    </font>
    <font>
      <b/>
      <sz val="18"/>
      <color theme="3"/>
      <name val="宋体"/>
      <charset val="134"/>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9C0006"/>
      <name val="宋体"/>
      <charset val="0"/>
      <scheme val="minor"/>
    </font>
    <font>
      <sz val="10"/>
      <name val="Geneva"/>
      <charset val="134"/>
    </font>
    <font>
      <b/>
      <sz val="11"/>
      <color rgb="FF3F3F3F"/>
      <name val="宋体"/>
      <charset val="0"/>
      <scheme val="minor"/>
    </font>
    <font>
      <b/>
      <sz val="11"/>
      <color indexed="9"/>
      <name val="宋体"/>
      <charset val="134"/>
    </font>
    <font>
      <sz val="11"/>
      <color indexed="20"/>
      <name val="宋体"/>
      <charset val="134"/>
    </font>
    <font>
      <sz val="11"/>
      <color indexed="17"/>
      <name val="宋体"/>
      <charset val="134"/>
    </font>
    <font>
      <sz val="10"/>
      <color indexed="8"/>
      <name val="Arial"/>
      <charset val="134"/>
    </font>
    <font>
      <sz val="12"/>
      <color indexed="8"/>
      <name val="Verdana"/>
      <charset val="134"/>
    </font>
    <font>
      <sz val="12"/>
      <name val="Times New Roman"/>
      <charset val="134"/>
    </font>
    <font>
      <u/>
      <sz val="10"/>
      <color indexed="12"/>
      <name val="新細明體"/>
      <charset val="134"/>
    </font>
    <font>
      <b/>
      <sz val="9"/>
      <name val="宋体"/>
      <charset val="134"/>
    </font>
    <font>
      <sz val="9"/>
      <name val="宋体"/>
      <charset val="134"/>
    </font>
    <font>
      <sz val="9"/>
      <name val="Tahoma"/>
      <charset val="134"/>
    </font>
    <font>
      <b/>
      <sz val="11"/>
      <name val="宋体"/>
      <charset val="134"/>
    </font>
  </fonts>
  <fills count="62">
    <fill>
      <patternFill patternType="none"/>
    </fill>
    <fill>
      <patternFill patternType="gray125"/>
    </fill>
    <fill>
      <patternFill patternType="solid">
        <fgColor theme="0" tint="-0.349986266670736"/>
        <bgColor indexed="64"/>
      </patternFill>
    </fill>
    <fill>
      <patternFill patternType="solid">
        <fgColor indexed="5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00"/>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0"/>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rgb="FFC6EFCE"/>
        <bgColor indexed="64"/>
      </patternFill>
    </fill>
    <fill>
      <patternFill patternType="solid">
        <fgColor indexed="36"/>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theme="4" tint="0.399975585192419"/>
        <bgColor indexed="64"/>
      </patternFill>
    </fill>
    <fill>
      <patternFill patternType="solid">
        <fgColor indexed="29"/>
        <bgColor indexed="64"/>
      </patternFill>
    </fill>
    <fill>
      <patternFill patternType="solid">
        <fgColor indexed="44"/>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47"/>
        <bgColor indexed="64"/>
      </patternFill>
    </fill>
    <fill>
      <patternFill patternType="solid">
        <fgColor rgb="FFF2F2F2"/>
        <bgColor indexed="64"/>
      </patternFill>
    </fill>
    <fill>
      <patternFill patternType="solid">
        <fgColor indexed="46"/>
        <bgColor indexed="64"/>
      </patternFill>
    </fill>
    <fill>
      <patternFill patternType="solid">
        <fgColor indexed="62"/>
        <bgColor indexed="64"/>
      </patternFill>
    </fill>
    <fill>
      <patternFill patternType="solid">
        <fgColor theme="9" tint="0.399975585192419"/>
        <bgColor indexed="64"/>
      </patternFill>
    </fill>
    <fill>
      <patternFill patternType="solid">
        <fgColor rgb="FFFFFFCC"/>
        <bgColor indexed="64"/>
      </patternFill>
    </fill>
    <fill>
      <patternFill patternType="solid">
        <fgColor indexed="31"/>
        <bgColor indexed="64"/>
      </patternFill>
    </fill>
    <fill>
      <patternFill patternType="solid">
        <fgColor indexed="43"/>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indexed="45"/>
        <bgColor indexed="64"/>
      </patternFill>
    </fill>
    <fill>
      <patternFill patternType="solid">
        <fgColor indexed="42"/>
        <bgColor indexed="64"/>
      </patternFill>
    </fill>
    <fill>
      <patternFill patternType="solid">
        <fgColor rgb="FFA5A5A5"/>
        <bgColor indexed="64"/>
      </patternFill>
    </fill>
    <fill>
      <patternFill patternType="solid">
        <fgColor theme="8" tint="0.399975585192419"/>
        <bgColor indexed="64"/>
      </patternFill>
    </fill>
    <fill>
      <patternFill patternType="solid">
        <fgColor indexed="49"/>
        <bgColor indexed="64"/>
      </patternFill>
    </fill>
    <fill>
      <patternFill patternType="solid">
        <fgColor rgb="FFFFC7CE"/>
        <bgColor indexed="64"/>
      </patternFill>
    </fill>
    <fill>
      <patternFill patternType="solid">
        <fgColor indexed="51"/>
        <bgColor indexed="64"/>
      </patternFill>
    </fill>
    <fill>
      <patternFill patternType="solid">
        <fgColor indexed="5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indexed="30"/>
        <bgColor indexed="64"/>
      </patternFill>
    </fill>
    <fill>
      <patternFill patternType="solid">
        <fgColor indexed="53"/>
        <bgColor indexed="64"/>
      </patternFill>
    </fill>
  </fills>
  <borders count="6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8"/>
      </bottom>
      <diagonal/>
    </border>
    <border>
      <left/>
      <right style="thin">
        <color auto="1"/>
      </right>
      <top style="thin">
        <color auto="1"/>
      </top>
      <bottom/>
      <diagonal/>
    </border>
    <border>
      <left/>
      <right style="thin">
        <color auto="1"/>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top style="thin">
        <color indexed="62"/>
      </top>
      <bottom style="double">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double">
        <color rgb="FFFF800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s>
  <cellStyleXfs count="491">
    <xf numFmtId="0" fontId="0" fillId="0" borderId="0">
      <alignment vertical="center"/>
    </xf>
    <xf numFmtId="42" fontId="0" fillId="0" borderId="0" applyFont="0" applyFill="0" applyBorder="0" applyAlignment="0" applyProtection="0">
      <alignment vertical="center"/>
    </xf>
    <xf numFmtId="0" fontId="111" fillId="0" borderId="59" applyNumberFormat="0" applyFill="0" applyAlignment="0" applyProtection="0">
      <alignment vertical="center"/>
    </xf>
    <xf numFmtId="0" fontId="10" fillId="38" borderId="0" applyNumberFormat="0" applyBorder="0" applyAlignment="0" applyProtection="0">
      <alignment vertical="center"/>
    </xf>
    <xf numFmtId="0" fontId="91" fillId="22" borderId="0" applyNumberFormat="0" applyBorder="0" applyAlignment="0" applyProtection="0">
      <alignment vertical="center"/>
    </xf>
    <xf numFmtId="0" fontId="85" fillId="0" borderId="48" applyNumberFormat="0" applyFill="0" applyAlignment="0" applyProtection="0">
      <alignment vertical="center"/>
    </xf>
    <xf numFmtId="0" fontId="75" fillId="0" borderId="0">
      <alignment vertical="center"/>
    </xf>
    <xf numFmtId="0" fontId="104" fillId="40" borderId="0" applyNumberFormat="0" applyBorder="0" applyAlignment="0" applyProtection="0">
      <alignment vertical="center"/>
    </xf>
    <xf numFmtId="0" fontId="96" fillId="19" borderId="51" applyNumberFormat="0" applyAlignment="0" applyProtection="0">
      <alignment vertical="center"/>
    </xf>
    <xf numFmtId="0" fontId="111" fillId="0" borderId="59" applyNumberFormat="0" applyFill="0" applyAlignment="0" applyProtection="0">
      <alignment vertical="center"/>
    </xf>
    <xf numFmtId="0" fontId="95" fillId="18" borderId="50" applyNumberFormat="0" applyAlignment="0" applyProtection="0">
      <alignment vertical="center"/>
    </xf>
    <xf numFmtId="0" fontId="91" fillId="22"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0" borderId="0">
      <alignment vertical="center"/>
    </xf>
    <xf numFmtId="0" fontId="104" fillId="42" borderId="0" applyNumberFormat="0" applyBorder="0" applyAlignment="0" applyProtection="0">
      <alignment vertical="center"/>
    </xf>
    <xf numFmtId="0" fontId="100" fillId="19" borderId="56" applyNumberFormat="0" applyAlignment="0" applyProtection="0">
      <alignment vertical="center"/>
    </xf>
    <xf numFmtId="43" fontId="0" fillId="0" borderId="0" applyFont="0" applyFill="0" applyBorder="0" applyAlignment="0" applyProtection="0">
      <alignment vertical="center"/>
    </xf>
    <xf numFmtId="0" fontId="90" fillId="0" borderId="0"/>
    <xf numFmtId="0" fontId="119" fillId="48" borderId="0" applyNumberFormat="0" applyBorder="0" applyAlignment="0" applyProtection="0">
      <alignment vertical="center"/>
    </xf>
    <xf numFmtId="0" fontId="105" fillId="0" borderId="0" applyNumberFormat="0" applyFill="0" applyBorder="0" applyAlignment="0" applyProtection="0">
      <alignment vertical="center"/>
    </xf>
    <xf numFmtId="0" fontId="91" fillId="23" borderId="0" applyNumberFormat="0" applyBorder="0" applyAlignment="0" applyProtection="0">
      <alignment vertical="center"/>
    </xf>
    <xf numFmtId="0" fontId="92" fillId="5" borderId="0" applyNumberFormat="0" applyBorder="0" applyAlignment="0" applyProtection="0">
      <alignment vertical="center"/>
    </xf>
    <xf numFmtId="9" fontId="0" fillId="0" borderId="0" applyFont="0" applyFill="0" applyBorder="0" applyAlignment="0" applyProtection="0">
      <alignment vertical="center"/>
    </xf>
    <xf numFmtId="0" fontId="117" fillId="0" borderId="0" applyNumberFormat="0" applyFill="0" applyBorder="0" applyAlignment="0" applyProtection="0">
      <alignment vertical="center"/>
    </xf>
    <xf numFmtId="0" fontId="0" fillId="37" borderId="58" applyNumberFormat="0" applyFont="0" applyAlignment="0" applyProtection="0">
      <alignment vertical="center"/>
    </xf>
    <xf numFmtId="0" fontId="10" fillId="0" borderId="0">
      <alignment vertical="center"/>
    </xf>
    <xf numFmtId="0" fontId="91" fillId="25" borderId="0" applyNumberFormat="0" applyBorder="0" applyAlignment="0" applyProtection="0">
      <alignment vertical="center"/>
    </xf>
    <xf numFmtId="0" fontId="10" fillId="34" borderId="0" applyNumberFormat="0" applyBorder="0" applyAlignment="0" applyProtection="0">
      <alignment vertical="center"/>
    </xf>
    <xf numFmtId="0" fontId="92" fillId="4" borderId="0" applyNumberFormat="0" applyBorder="0" applyAlignment="0" applyProtection="0">
      <alignment vertical="center"/>
    </xf>
    <xf numFmtId="0" fontId="94"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0" fillId="20" borderId="52" applyNumberFormat="0" applyFont="0" applyAlignment="0" applyProtection="0">
      <alignment vertical="center"/>
    </xf>
    <xf numFmtId="0" fontId="101" fillId="0" borderId="0" applyNumberFormat="0" applyFill="0" applyBorder="0" applyAlignment="0" applyProtection="0">
      <alignment vertical="center"/>
    </xf>
    <xf numFmtId="0" fontId="91" fillId="35" borderId="0" applyNumberFormat="0" applyBorder="0" applyAlignment="0" applyProtection="0">
      <alignment vertical="center"/>
    </xf>
    <xf numFmtId="0" fontId="0" fillId="0" borderId="0">
      <alignment vertical="center"/>
    </xf>
    <xf numFmtId="0" fontId="91" fillId="25" borderId="0" applyNumberFormat="0" applyBorder="0" applyAlignment="0" applyProtection="0">
      <alignment vertical="center"/>
    </xf>
    <xf numFmtId="0" fontId="114" fillId="0" borderId="0" applyNumberFormat="0" applyFill="0" applyBorder="0" applyAlignment="0" applyProtection="0">
      <alignment vertical="center"/>
    </xf>
    <xf numFmtId="0" fontId="108" fillId="0" borderId="0" applyNumberFormat="0" applyFill="0" applyBorder="0" applyAlignment="0" applyProtection="0">
      <alignment vertical="center"/>
    </xf>
    <xf numFmtId="9" fontId="10" fillId="0" borderId="0" applyFont="0" applyFill="0" applyBorder="0" applyAlignment="0" applyProtection="0">
      <alignment vertical="center"/>
    </xf>
    <xf numFmtId="0" fontId="93" fillId="0" borderId="49" applyNumberFormat="0" applyFill="0" applyAlignment="0" applyProtection="0">
      <alignment vertical="center"/>
    </xf>
    <xf numFmtId="0" fontId="120" fillId="0" borderId="0"/>
    <xf numFmtId="0" fontId="116" fillId="0" borderId="49" applyNumberFormat="0" applyFill="0" applyAlignment="0" applyProtection="0">
      <alignment vertical="center"/>
    </xf>
    <xf numFmtId="0" fontId="92" fillId="24" borderId="0" applyNumberFormat="0" applyBorder="0" applyAlignment="0" applyProtection="0">
      <alignment vertical="center"/>
    </xf>
    <xf numFmtId="0" fontId="112" fillId="0" borderId="60" applyNumberFormat="0" applyFill="0" applyAlignment="0" applyProtection="0">
      <alignment vertical="center"/>
    </xf>
    <xf numFmtId="0" fontId="10" fillId="20" borderId="52" applyNumberFormat="0" applyFont="0" applyAlignment="0" applyProtection="0">
      <alignment vertical="center"/>
    </xf>
    <xf numFmtId="0" fontId="92" fillId="17" borderId="0" applyNumberFormat="0" applyBorder="0" applyAlignment="0" applyProtection="0">
      <alignment vertical="center"/>
    </xf>
    <xf numFmtId="0" fontId="96" fillId="19" borderId="51" applyNumberFormat="0" applyAlignment="0" applyProtection="0">
      <alignment vertical="center"/>
    </xf>
    <xf numFmtId="0" fontId="121" fillId="33" borderId="63" applyNumberFormat="0" applyAlignment="0" applyProtection="0">
      <alignment vertical="center"/>
    </xf>
    <xf numFmtId="0" fontId="107" fillId="33" borderId="50" applyNumberFormat="0" applyAlignment="0" applyProtection="0">
      <alignment vertical="center"/>
    </xf>
    <xf numFmtId="0" fontId="100" fillId="19" borderId="56" applyNumberFormat="0" applyAlignment="0" applyProtection="0">
      <alignment vertical="center"/>
    </xf>
    <xf numFmtId="0" fontId="10" fillId="34" borderId="0" applyNumberFormat="0" applyBorder="0" applyAlignment="0" applyProtection="0">
      <alignment vertical="center"/>
    </xf>
    <xf numFmtId="0" fontId="115" fillId="45" borderId="61" applyNumberFormat="0" applyAlignment="0" applyProtection="0">
      <alignment vertical="center"/>
    </xf>
    <xf numFmtId="0" fontId="90" fillId="0" borderId="0">
      <alignment vertical="center"/>
    </xf>
    <xf numFmtId="0" fontId="104" fillId="31" borderId="0" applyNumberFormat="0" applyBorder="0" applyAlignment="0" applyProtection="0">
      <alignment vertical="center"/>
    </xf>
    <xf numFmtId="0" fontId="92" fillId="16" borderId="0" applyNumberFormat="0" applyBorder="0" applyAlignment="0" applyProtection="0">
      <alignment vertical="center"/>
    </xf>
    <xf numFmtId="0" fontId="10" fillId="20" borderId="52" applyNumberFormat="0" applyFont="0" applyAlignment="0" applyProtection="0">
      <alignment vertical="center"/>
    </xf>
    <xf numFmtId="0" fontId="98" fillId="0" borderId="54" applyNumberFormat="0" applyFill="0" applyAlignment="0" applyProtection="0">
      <alignment vertical="center"/>
    </xf>
    <xf numFmtId="0" fontId="91" fillId="15" borderId="0" applyNumberFormat="0" applyBorder="0" applyAlignment="0" applyProtection="0">
      <alignment vertical="center"/>
    </xf>
    <xf numFmtId="0" fontId="10" fillId="49" borderId="0" applyNumberFormat="0" applyBorder="0" applyAlignment="0" applyProtection="0">
      <alignment vertical="center"/>
    </xf>
    <xf numFmtId="0" fontId="118" fillId="0" borderId="62" applyNumberFormat="0" applyFill="0" applyAlignment="0" applyProtection="0">
      <alignment vertical="center"/>
    </xf>
    <xf numFmtId="0" fontId="89" fillId="14" borderId="0" applyNumberFormat="0" applyBorder="0" applyAlignment="0" applyProtection="0">
      <alignment vertical="center"/>
    </xf>
    <xf numFmtId="0" fontId="96" fillId="19" borderId="51" applyNumberFormat="0" applyAlignment="0" applyProtection="0">
      <alignment vertical="center"/>
    </xf>
    <xf numFmtId="0" fontId="10" fillId="44" borderId="0" applyNumberFormat="0" applyBorder="0" applyAlignment="0" applyProtection="0">
      <alignment vertical="center"/>
    </xf>
    <xf numFmtId="0" fontId="103" fillId="29" borderId="0" applyNumberFormat="0" applyBorder="0" applyAlignment="0" applyProtection="0">
      <alignment vertical="center"/>
    </xf>
    <xf numFmtId="0" fontId="96" fillId="19" borderId="51" applyNumberFormat="0" applyAlignment="0" applyProtection="0">
      <alignment vertical="center"/>
    </xf>
    <xf numFmtId="0" fontId="90" fillId="0" borderId="0">
      <alignment vertical="center"/>
    </xf>
    <xf numFmtId="0" fontId="104" fillId="51" borderId="0" applyNumberFormat="0" applyBorder="0" applyAlignment="0" applyProtection="0">
      <alignment vertical="center"/>
    </xf>
    <xf numFmtId="0" fontId="122" fillId="3" borderId="64" applyNumberFormat="0" applyAlignment="0" applyProtection="0">
      <alignment vertical="center"/>
    </xf>
    <xf numFmtId="0" fontId="90" fillId="0" borderId="0"/>
    <xf numFmtId="0" fontId="92" fillId="52" borderId="0" applyNumberFormat="0" applyBorder="0" applyAlignment="0" applyProtection="0">
      <alignment vertical="center"/>
    </xf>
    <xf numFmtId="0" fontId="10" fillId="20" borderId="52" applyNumberFormat="0" applyFont="0" applyAlignment="0" applyProtection="0">
      <alignment vertical="center"/>
    </xf>
    <xf numFmtId="0" fontId="111" fillId="0" borderId="59" applyNumberFormat="0" applyFill="0" applyAlignment="0" applyProtection="0">
      <alignment vertical="center"/>
    </xf>
    <xf numFmtId="0" fontId="104" fillId="53" borderId="0" applyNumberFormat="0" applyBorder="0" applyAlignment="0" applyProtection="0">
      <alignment vertical="center"/>
    </xf>
    <xf numFmtId="0" fontId="85" fillId="0" borderId="48" applyNumberFormat="0" applyFill="0" applyAlignment="0" applyProtection="0">
      <alignment vertical="center"/>
    </xf>
    <xf numFmtId="0" fontId="10" fillId="34" borderId="0" applyNumberFormat="0" applyBorder="0" applyAlignment="0" applyProtection="0">
      <alignment vertical="center"/>
    </xf>
    <xf numFmtId="0" fontId="75" fillId="0" borderId="0"/>
    <xf numFmtId="0" fontId="104" fillId="56" borderId="0" applyNumberFormat="0" applyBorder="0" applyAlignment="0" applyProtection="0">
      <alignment vertical="center"/>
    </xf>
    <xf numFmtId="0" fontId="96" fillId="19" borderId="51" applyNumberFormat="0" applyAlignment="0" applyProtection="0">
      <alignment vertical="center"/>
    </xf>
    <xf numFmtId="0" fontId="111" fillId="0" borderId="59" applyNumberFormat="0" applyFill="0" applyAlignment="0" applyProtection="0">
      <alignment vertical="center"/>
    </xf>
    <xf numFmtId="0" fontId="104" fillId="41" borderId="0" applyNumberFormat="0" applyBorder="0" applyAlignment="0" applyProtection="0">
      <alignment vertical="center"/>
    </xf>
    <xf numFmtId="0" fontId="104" fillId="54" borderId="0" applyNumberFormat="0" applyBorder="0" applyAlignment="0" applyProtection="0">
      <alignment vertical="center"/>
    </xf>
    <xf numFmtId="0" fontId="92" fillId="57" borderId="0" applyNumberFormat="0" applyBorder="0" applyAlignment="0" applyProtection="0">
      <alignment vertical="center"/>
    </xf>
    <xf numFmtId="0" fontId="92" fillId="28" borderId="0" applyNumberFormat="0" applyBorder="0" applyAlignment="0" applyProtection="0">
      <alignment vertical="center"/>
    </xf>
    <xf numFmtId="0" fontId="96" fillId="19" borderId="51" applyNumberFormat="0" applyAlignment="0" applyProtection="0">
      <alignment vertical="center"/>
    </xf>
    <xf numFmtId="0" fontId="85" fillId="0" borderId="48" applyNumberFormat="0" applyFill="0" applyAlignment="0" applyProtection="0">
      <alignment vertical="center"/>
    </xf>
    <xf numFmtId="0" fontId="104" fillId="30" borderId="0" applyNumberFormat="0" applyBorder="0" applyAlignment="0" applyProtection="0">
      <alignment vertical="center"/>
    </xf>
    <xf numFmtId="0" fontId="100" fillId="19" borderId="56" applyNumberFormat="0" applyAlignment="0" applyProtection="0">
      <alignment vertical="center"/>
    </xf>
    <xf numFmtId="0" fontId="104" fillId="58" borderId="0" applyNumberFormat="0" applyBorder="0" applyAlignment="0" applyProtection="0">
      <alignment vertical="center"/>
    </xf>
    <xf numFmtId="0" fontId="92" fillId="59" borderId="0" applyNumberFormat="0" applyBorder="0" applyAlignment="0" applyProtection="0">
      <alignment vertical="center"/>
    </xf>
    <xf numFmtId="0" fontId="100" fillId="19" borderId="56" applyNumberFormat="0" applyAlignment="0" applyProtection="0">
      <alignment vertical="center"/>
    </xf>
    <xf numFmtId="0" fontId="104" fillId="7" borderId="0" applyNumberFormat="0" applyBorder="0" applyAlignment="0" applyProtection="0">
      <alignment vertical="center"/>
    </xf>
    <xf numFmtId="0" fontId="10" fillId="20" borderId="52" applyNumberFormat="0" applyFont="0" applyAlignment="0" applyProtection="0">
      <alignment vertical="center"/>
    </xf>
    <xf numFmtId="0" fontId="92" fillId="46" borderId="0" applyNumberFormat="0" applyBorder="0" applyAlignment="0" applyProtection="0">
      <alignment vertical="center"/>
    </xf>
    <xf numFmtId="0" fontId="92" fillId="27" borderId="0" applyNumberFormat="0" applyBorder="0" applyAlignment="0" applyProtection="0">
      <alignment vertical="center"/>
    </xf>
    <xf numFmtId="0" fontId="96" fillId="19" borderId="51" applyNumberFormat="0" applyAlignment="0" applyProtection="0">
      <alignment vertical="center"/>
    </xf>
    <xf numFmtId="0" fontId="113" fillId="39" borderId="0" applyNumberFormat="0" applyBorder="0" applyAlignment="0" applyProtection="0">
      <alignment vertical="center"/>
    </xf>
    <xf numFmtId="0" fontId="100" fillId="19" borderId="56" applyNumberFormat="0" applyAlignment="0" applyProtection="0">
      <alignment vertical="center"/>
    </xf>
    <xf numFmtId="0" fontId="10" fillId="44" borderId="0" applyNumberFormat="0" applyBorder="0" applyAlignment="0" applyProtection="0">
      <alignment vertical="center"/>
    </xf>
    <xf numFmtId="0" fontId="104" fillId="55" borderId="0" applyNumberFormat="0" applyBorder="0" applyAlignment="0" applyProtection="0">
      <alignment vertical="center"/>
    </xf>
    <xf numFmtId="0" fontId="92" fillId="36" borderId="0" applyNumberFormat="0" applyBorder="0" applyAlignment="0" applyProtection="0">
      <alignment vertical="center"/>
    </xf>
    <xf numFmtId="0" fontId="97" fillId="0" borderId="0" applyNumberFormat="0" applyFill="0" applyBorder="0" applyAlignment="0" applyProtection="0">
      <alignment vertical="center"/>
    </xf>
    <xf numFmtId="0" fontId="75" fillId="0" borderId="0"/>
    <xf numFmtId="0" fontId="124" fillId="44" borderId="0" applyNumberFormat="0" applyBorder="0" applyAlignment="0" applyProtection="0">
      <alignment vertical="center"/>
    </xf>
    <xf numFmtId="0" fontId="10" fillId="38" borderId="0" applyNumberFormat="0" applyBorder="0" applyAlignment="0" applyProtection="0">
      <alignment vertical="center"/>
    </xf>
    <xf numFmtId="0" fontId="10" fillId="25" borderId="0" applyNumberFormat="0" applyBorder="0" applyAlignment="0" applyProtection="0">
      <alignment vertical="center"/>
    </xf>
    <xf numFmtId="0" fontId="75" fillId="0" borderId="0"/>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23" fillId="43" borderId="0" applyNumberFormat="0" applyBorder="0" applyAlignment="0" applyProtection="0">
      <alignment vertical="center"/>
    </xf>
    <xf numFmtId="0" fontId="90" fillId="0" borderId="0">
      <alignment vertical="center"/>
    </xf>
    <xf numFmtId="0" fontId="75" fillId="0" borderId="0"/>
    <xf numFmtId="0" fontId="10" fillId="38" borderId="0" applyNumberFormat="0" applyBorder="0" applyAlignment="0" applyProtection="0">
      <alignment vertical="center"/>
    </xf>
    <xf numFmtId="0" fontId="91" fillId="47" borderId="0" applyNumberFormat="0" applyBorder="0" applyAlignment="0" applyProtection="0">
      <alignment vertical="center"/>
    </xf>
    <xf numFmtId="0" fontId="90" fillId="0" borderId="0"/>
    <xf numFmtId="0" fontId="10" fillId="0" borderId="0"/>
    <xf numFmtId="0" fontId="10" fillId="38"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3" borderId="0" applyNumberFormat="0" applyBorder="0" applyAlignment="0" applyProtection="0">
      <alignment vertical="center"/>
    </xf>
    <xf numFmtId="0" fontId="96" fillId="19" borderId="51" applyNumberFormat="0" applyAlignment="0" applyProtection="0">
      <alignment vertical="center"/>
    </xf>
    <xf numFmtId="0" fontId="10" fillId="44" borderId="0" applyNumberFormat="0" applyBorder="0" applyAlignment="0" applyProtection="0">
      <alignment vertical="center"/>
    </xf>
    <xf numFmtId="0" fontId="96" fillId="19" borderId="51" applyNumberFormat="0" applyAlignment="0" applyProtection="0">
      <alignment vertical="center"/>
    </xf>
    <xf numFmtId="0" fontId="10" fillId="44" borderId="0" applyNumberFormat="0" applyBorder="0" applyAlignment="0" applyProtection="0">
      <alignment vertical="center"/>
    </xf>
    <xf numFmtId="0" fontId="96" fillId="19" borderId="51" applyNumberFormat="0" applyAlignment="0" applyProtection="0">
      <alignment vertical="center"/>
    </xf>
    <xf numFmtId="0" fontId="10" fillId="44" borderId="0" applyNumberFormat="0" applyBorder="0" applyAlignment="0" applyProtection="0">
      <alignment vertical="center"/>
    </xf>
    <xf numFmtId="0" fontId="96" fillId="19" borderId="51" applyNumberFormat="0" applyAlignment="0" applyProtection="0">
      <alignment vertical="center"/>
    </xf>
    <xf numFmtId="0" fontId="91" fillId="60" borderId="0" applyNumberFormat="0" applyBorder="0" applyAlignment="0" applyProtection="0">
      <alignment vertical="center"/>
    </xf>
    <xf numFmtId="0" fontId="10" fillId="44" borderId="0" applyNumberFormat="0" applyBorder="0" applyAlignment="0" applyProtection="0">
      <alignment vertical="center"/>
    </xf>
    <xf numFmtId="0" fontId="91" fillId="60" borderId="0" applyNumberFormat="0" applyBorder="0" applyAlignment="0" applyProtection="0">
      <alignment vertical="center"/>
    </xf>
    <xf numFmtId="0" fontId="10" fillId="44" borderId="0" applyNumberFormat="0" applyBorder="0" applyAlignment="0" applyProtection="0">
      <alignment vertical="center"/>
    </xf>
    <xf numFmtId="0" fontId="96" fillId="19" borderId="51" applyNumberFormat="0" applyAlignment="0" applyProtection="0">
      <alignment vertical="center"/>
    </xf>
    <xf numFmtId="0" fontId="10" fillId="0" borderId="0">
      <alignment vertical="center"/>
    </xf>
    <xf numFmtId="0" fontId="10" fillId="34" borderId="0" applyNumberFormat="0" applyBorder="0" applyAlignment="0" applyProtection="0">
      <alignment vertical="center"/>
    </xf>
    <xf numFmtId="0" fontId="96" fillId="19" borderId="51" applyNumberFormat="0" applyAlignment="0" applyProtection="0">
      <alignment vertical="center"/>
    </xf>
    <xf numFmtId="0" fontId="10" fillId="0" borderId="0">
      <alignment vertical="center"/>
    </xf>
    <xf numFmtId="0" fontId="10" fillId="34" borderId="0" applyNumberFormat="0" applyBorder="0" applyAlignment="0" applyProtection="0">
      <alignment vertical="center"/>
    </xf>
    <xf numFmtId="0" fontId="109" fillId="32" borderId="56" applyNumberFormat="0" applyAlignment="0" applyProtection="0">
      <alignment vertical="center"/>
    </xf>
    <xf numFmtId="0" fontId="10" fillId="0" borderId="0">
      <alignment vertical="center"/>
    </xf>
    <xf numFmtId="0" fontId="10" fillId="34" borderId="0" applyNumberFormat="0" applyBorder="0" applyAlignment="0" applyProtection="0">
      <alignment vertical="center"/>
    </xf>
    <xf numFmtId="0" fontId="96" fillId="19" borderId="51" applyNumberFormat="0" applyAlignment="0" applyProtection="0">
      <alignment vertical="center"/>
    </xf>
    <xf numFmtId="0" fontId="10" fillId="0" borderId="0">
      <alignment vertical="center"/>
    </xf>
    <xf numFmtId="0" fontId="10" fillId="34" borderId="0" applyNumberFormat="0" applyBorder="0" applyAlignment="0" applyProtection="0">
      <alignment vertical="center"/>
    </xf>
    <xf numFmtId="0" fontId="10" fillId="0" borderId="0">
      <alignment vertical="center"/>
    </xf>
    <xf numFmtId="0" fontId="10" fillId="34" borderId="0" applyNumberFormat="0" applyBorder="0" applyAlignment="0" applyProtection="0">
      <alignment vertical="center"/>
    </xf>
    <xf numFmtId="0" fontId="0" fillId="0" borderId="0"/>
    <xf numFmtId="0" fontId="91" fillId="25" borderId="0" applyNumberFormat="0" applyBorder="0" applyAlignment="0" applyProtection="0">
      <alignment vertical="center"/>
    </xf>
    <xf numFmtId="0" fontId="10" fillId="34" borderId="0" applyNumberFormat="0" applyBorder="0" applyAlignment="0" applyProtection="0">
      <alignment vertical="center"/>
    </xf>
    <xf numFmtId="0" fontId="96" fillId="19" borderId="51" applyNumberFormat="0" applyAlignment="0" applyProtection="0">
      <alignment vertical="center"/>
    </xf>
    <xf numFmtId="0" fontId="10" fillId="13" borderId="0" applyNumberFormat="0" applyBorder="0" applyAlignment="0" applyProtection="0">
      <alignment vertical="center"/>
    </xf>
    <xf numFmtId="0" fontId="96" fillId="19" borderId="51" applyNumberFormat="0" applyAlignment="0" applyProtection="0">
      <alignment vertical="center"/>
    </xf>
    <xf numFmtId="0" fontId="90" fillId="0" borderId="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6" fillId="19" borderId="51" applyNumberFormat="0" applyAlignment="0" applyProtection="0">
      <alignment vertical="center"/>
    </xf>
    <xf numFmtId="0" fontId="10" fillId="13" borderId="0" applyNumberFormat="0" applyBorder="0" applyAlignment="0" applyProtection="0">
      <alignment vertical="center"/>
    </xf>
    <xf numFmtId="0" fontId="123" fillId="43" borderId="0" applyNumberFormat="0" applyBorder="0" applyAlignment="0" applyProtection="0">
      <alignment vertical="center"/>
    </xf>
    <xf numFmtId="9" fontId="90" fillId="0" borderId="0" applyFont="0" applyFill="0" applyBorder="0" applyAlignment="0" applyProtection="0">
      <alignment vertical="center"/>
    </xf>
    <xf numFmtId="0" fontId="10" fillId="13" borderId="0" applyNumberFormat="0" applyBorder="0" applyAlignment="0" applyProtection="0">
      <alignment vertical="center"/>
    </xf>
    <xf numFmtId="0" fontId="91" fillId="21" borderId="0" applyNumberFormat="0" applyBorder="0" applyAlignment="0" applyProtection="0">
      <alignment vertical="center"/>
    </xf>
    <xf numFmtId="0" fontId="10" fillId="13" borderId="0" applyNumberFormat="0" applyBorder="0" applyAlignment="0" applyProtection="0">
      <alignment vertical="center"/>
    </xf>
    <xf numFmtId="0" fontId="91" fillId="21" borderId="0" applyNumberFormat="0" applyBorder="0" applyAlignment="0" applyProtection="0">
      <alignment vertical="center"/>
    </xf>
    <xf numFmtId="0" fontId="10" fillId="13" borderId="0" applyNumberFormat="0" applyBorder="0" applyAlignment="0" applyProtection="0">
      <alignment vertical="center"/>
    </xf>
    <xf numFmtId="0" fontId="10" fillId="32" borderId="0" applyNumberFormat="0" applyBorder="0" applyAlignment="0" applyProtection="0">
      <alignment vertical="center"/>
    </xf>
    <xf numFmtId="0" fontId="10" fillId="34" borderId="0" applyNumberFormat="0" applyBorder="0" applyAlignment="0" applyProtection="0">
      <alignment vertical="center"/>
    </xf>
    <xf numFmtId="0" fontId="10" fillId="32" borderId="0" applyNumberFormat="0" applyBorder="0" applyAlignment="0" applyProtection="0">
      <alignment vertical="center"/>
    </xf>
    <xf numFmtId="0" fontId="10" fillId="3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0" fillId="32" borderId="0" applyNumberFormat="0" applyBorder="0" applyAlignment="0" applyProtection="0">
      <alignment vertical="center"/>
    </xf>
    <xf numFmtId="0" fontId="10" fillId="20" borderId="52" applyNumberFormat="0" applyFont="0" applyAlignment="0" applyProtection="0">
      <alignment vertical="center"/>
    </xf>
    <xf numFmtId="0" fontId="91" fillId="15" borderId="0" applyNumberFormat="0" applyBorder="0" applyAlignment="0" applyProtection="0">
      <alignment vertical="center"/>
    </xf>
    <xf numFmtId="0" fontId="10" fillId="32" borderId="0" applyNumberFormat="0" applyBorder="0" applyAlignment="0" applyProtection="0">
      <alignment vertical="center"/>
    </xf>
    <xf numFmtId="0" fontId="91" fillId="15" borderId="0" applyNumberFormat="0" applyBorder="0" applyAlignment="0" applyProtection="0">
      <alignment vertical="center"/>
    </xf>
    <xf numFmtId="0" fontId="10" fillId="26"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0" fillId="19" borderId="56" applyNumberFormat="0" applyAlignment="0" applyProtection="0">
      <alignment vertical="center"/>
    </xf>
    <xf numFmtId="0" fontId="10" fillId="21" borderId="0" applyNumberFormat="0" applyBorder="0" applyAlignment="0" applyProtection="0">
      <alignment vertical="center"/>
    </xf>
    <xf numFmtId="0" fontId="100" fillId="19" borderId="56"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0" fillId="19" borderId="56" applyNumberFormat="0" applyAlignment="0" applyProtection="0">
      <alignment vertical="center"/>
    </xf>
    <xf numFmtId="0" fontId="10" fillId="21" borderId="0" applyNumberFormat="0" applyBorder="0" applyAlignment="0" applyProtection="0">
      <alignment vertical="center"/>
    </xf>
    <xf numFmtId="0" fontId="100" fillId="19" borderId="56" applyNumberFormat="0" applyAlignment="0" applyProtection="0">
      <alignment vertical="center"/>
    </xf>
    <xf numFmtId="0" fontId="10" fillId="21" borderId="0" applyNumberFormat="0" applyBorder="0" applyAlignment="0" applyProtection="0">
      <alignment vertical="center"/>
    </xf>
    <xf numFmtId="177" fontId="90" fillId="0" borderId="0"/>
    <xf numFmtId="0" fontId="100" fillId="19" borderId="56"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22" fillId="3" borderId="64" applyNumberFormat="0" applyAlignment="0" applyProtection="0">
      <alignment vertical="center"/>
    </xf>
    <xf numFmtId="0" fontId="100" fillId="19" borderId="56" applyNumberFormat="0" applyAlignment="0" applyProtection="0">
      <alignment vertical="center"/>
    </xf>
    <xf numFmtId="0" fontId="85" fillId="0" borderId="48" applyNumberFormat="0" applyFill="0" applyAlignment="0" applyProtection="0">
      <alignment vertical="center"/>
    </xf>
    <xf numFmtId="0" fontId="97" fillId="0" borderId="0" applyNumberFormat="0" applyFill="0" applyBorder="0" applyAlignment="0" applyProtection="0">
      <alignment vertical="center"/>
    </xf>
    <xf numFmtId="0" fontId="10" fillId="34" borderId="0" applyNumberFormat="0" applyBorder="0" applyAlignment="0" applyProtection="0">
      <alignment vertical="center"/>
    </xf>
    <xf numFmtId="0" fontId="122" fillId="3" borderId="64" applyNumberFormat="0" applyAlignment="0" applyProtection="0">
      <alignment vertical="center"/>
    </xf>
    <xf numFmtId="0" fontId="85" fillId="0" borderId="48" applyNumberFormat="0" applyFill="0" applyAlignment="0" applyProtection="0">
      <alignment vertical="center"/>
    </xf>
    <xf numFmtId="0" fontId="97" fillId="0" borderId="0" applyNumberFormat="0" applyFill="0" applyBorder="0" applyAlignment="0" applyProtection="0">
      <alignment vertical="center"/>
    </xf>
    <xf numFmtId="0" fontId="10" fillId="34" borderId="0" applyNumberFormat="0" applyBorder="0" applyAlignment="0" applyProtection="0">
      <alignment vertical="center"/>
    </xf>
    <xf numFmtId="0" fontId="109" fillId="32" borderId="56" applyNumberFormat="0" applyAlignment="0" applyProtection="0">
      <alignment vertical="center"/>
    </xf>
    <xf numFmtId="0" fontId="100" fillId="19" borderId="56" applyNumberFormat="0" applyAlignment="0" applyProtection="0">
      <alignment vertical="center"/>
    </xf>
    <xf numFmtId="0" fontId="10" fillId="34" borderId="0" applyNumberFormat="0" applyBorder="0" applyAlignment="0" applyProtection="0">
      <alignment vertical="center"/>
    </xf>
    <xf numFmtId="0" fontId="100" fillId="19" borderId="56" applyNumberFormat="0" applyAlignment="0" applyProtection="0">
      <alignment vertical="center"/>
    </xf>
    <xf numFmtId="0" fontId="124" fillId="44" borderId="0" applyNumberFormat="0" applyBorder="0" applyAlignment="0" applyProtection="0">
      <alignment vertical="center"/>
    </xf>
    <xf numFmtId="0" fontId="10" fillId="26" borderId="0" applyNumberFormat="0" applyBorder="0" applyAlignment="0" applyProtection="0">
      <alignment vertical="center"/>
    </xf>
    <xf numFmtId="0" fontId="91" fillId="15" borderId="0" applyNumberFormat="0" applyBorder="0" applyAlignment="0" applyProtection="0">
      <alignment vertical="center"/>
    </xf>
    <xf numFmtId="0" fontId="10" fillId="26" borderId="0" applyNumberFormat="0" applyBorder="0" applyAlignment="0" applyProtection="0">
      <alignment vertical="center"/>
    </xf>
    <xf numFmtId="0" fontId="109" fillId="32" borderId="56" applyNumberFormat="0" applyAlignment="0" applyProtection="0">
      <alignment vertical="center"/>
    </xf>
    <xf numFmtId="0" fontId="10" fillId="26" borderId="0" applyNumberFormat="0" applyBorder="0" applyAlignment="0" applyProtection="0">
      <alignment vertical="center"/>
    </xf>
    <xf numFmtId="0" fontId="91" fillId="4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3" fillId="39" borderId="0" applyNumberFormat="0" applyBorder="0" applyAlignment="0" applyProtection="0">
      <alignment vertical="center"/>
    </xf>
    <xf numFmtId="0" fontId="100" fillId="19" borderId="56" applyNumberFormat="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13" fillId="39" borderId="0" applyNumberFormat="0" applyBorder="0" applyAlignment="0" applyProtection="0">
      <alignment vertical="center"/>
    </xf>
    <xf numFmtId="0" fontId="91" fillId="50" borderId="0" applyNumberFormat="0" applyBorder="0" applyAlignment="0" applyProtection="0">
      <alignment vertical="center"/>
    </xf>
    <xf numFmtId="0" fontId="10" fillId="49" borderId="0" applyNumberFormat="0" applyBorder="0" applyAlignment="0" applyProtection="0">
      <alignment vertical="center"/>
    </xf>
    <xf numFmtId="0" fontId="94" fillId="0" borderId="0" applyNumberFormat="0" applyFill="0" applyBorder="0" applyAlignment="0" applyProtection="0">
      <alignment vertical="center"/>
    </xf>
    <xf numFmtId="0" fontId="10" fillId="49" borderId="0" applyNumberFormat="0" applyBorder="0" applyAlignment="0" applyProtection="0">
      <alignment vertical="center"/>
    </xf>
    <xf numFmtId="0" fontId="91" fillId="50" borderId="0" applyNumberFormat="0" applyBorder="0" applyAlignment="0" applyProtection="0">
      <alignment vertical="center"/>
    </xf>
    <xf numFmtId="0" fontId="91" fillId="15" borderId="0" applyNumberFormat="0" applyBorder="0" applyAlignment="0" applyProtection="0">
      <alignment vertical="center"/>
    </xf>
    <xf numFmtId="0" fontId="10" fillId="49" borderId="0" applyNumberFormat="0" applyBorder="0" applyAlignment="0" applyProtection="0">
      <alignment vertical="center"/>
    </xf>
    <xf numFmtId="0" fontId="91" fillId="60" borderId="0" applyNumberFormat="0" applyBorder="0" applyAlignment="0" applyProtection="0">
      <alignment vertical="center"/>
    </xf>
    <xf numFmtId="0" fontId="91" fillId="60" borderId="0" applyNumberFormat="0" applyBorder="0" applyAlignment="0" applyProtection="0">
      <alignment vertical="center"/>
    </xf>
    <xf numFmtId="0" fontId="91" fillId="60" borderId="0" applyNumberFormat="0" applyBorder="0" applyAlignment="0" applyProtection="0">
      <alignment vertical="center"/>
    </xf>
    <xf numFmtId="0" fontId="91" fillId="60" borderId="0" applyNumberFormat="0" applyBorder="0" applyAlignment="0" applyProtection="0">
      <alignment vertical="center"/>
    </xf>
    <xf numFmtId="0" fontId="10" fillId="20" borderId="52" applyNumberFormat="0" applyFont="0" applyAlignment="0" applyProtection="0">
      <alignment vertical="center"/>
    </xf>
    <xf numFmtId="0" fontId="45" fillId="0" borderId="0" applyNumberFormat="0" applyFill="0" applyBorder="0" applyAlignment="0" applyProtection="0">
      <alignment vertical="center"/>
    </xf>
    <xf numFmtId="0" fontId="91" fillId="60" borderId="0" applyNumberFormat="0" applyBorder="0" applyAlignment="0" applyProtection="0">
      <alignment vertical="center"/>
    </xf>
    <xf numFmtId="0" fontId="91" fillId="25" borderId="0" applyNumberFormat="0" applyBorder="0" applyAlignment="0" applyProtection="0">
      <alignment vertical="center"/>
    </xf>
    <xf numFmtId="0" fontId="10" fillId="20" borderId="52" applyNumberFormat="0" applyFont="0" applyAlignment="0" applyProtection="0">
      <alignment vertical="center"/>
    </xf>
    <xf numFmtId="0" fontId="10" fillId="0" borderId="0">
      <alignment vertical="center"/>
    </xf>
    <xf numFmtId="0" fontId="91" fillId="25" borderId="0" applyNumberFormat="0" applyBorder="0" applyAlignment="0" applyProtection="0">
      <alignment vertical="center"/>
    </xf>
    <xf numFmtId="0" fontId="0" fillId="0" borderId="0">
      <alignment vertical="center"/>
    </xf>
    <xf numFmtId="0" fontId="91" fillId="25" borderId="0" applyNumberFormat="0" applyBorder="0" applyAlignment="0" applyProtection="0">
      <alignment vertical="center"/>
    </xf>
    <xf numFmtId="0" fontId="45" fillId="0" borderId="0" applyNumberFormat="0" applyFill="0" applyBorder="0" applyAlignment="0" applyProtection="0">
      <alignment vertical="center"/>
    </xf>
    <xf numFmtId="0" fontId="90" fillId="0" borderId="0">
      <alignment vertical="center"/>
    </xf>
    <xf numFmtId="0" fontId="91" fillId="25" borderId="0" applyNumberFormat="0" applyBorder="0" applyAlignment="0" applyProtection="0">
      <alignment vertical="center"/>
    </xf>
    <xf numFmtId="0" fontId="91" fillId="22" borderId="0" applyNumberFormat="0" applyBorder="0" applyAlignment="0" applyProtection="0">
      <alignment vertical="center"/>
    </xf>
    <xf numFmtId="0" fontId="91" fillId="21" borderId="0" applyNumberFormat="0" applyBorder="0" applyAlignment="0" applyProtection="0">
      <alignment vertical="center"/>
    </xf>
    <xf numFmtId="0" fontId="91" fillId="21" borderId="0" applyNumberFormat="0" applyBorder="0" applyAlignment="0" applyProtection="0">
      <alignment vertical="center"/>
    </xf>
    <xf numFmtId="0" fontId="91" fillId="21" borderId="0" applyNumberFormat="0" applyBorder="0" applyAlignment="0" applyProtection="0">
      <alignment vertical="center"/>
    </xf>
    <xf numFmtId="0" fontId="91" fillId="21" borderId="0" applyNumberFormat="0" applyBorder="0" applyAlignment="0" applyProtection="0">
      <alignment vertical="center"/>
    </xf>
    <xf numFmtId="0" fontId="91" fillId="21" borderId="0" applyNumberFormat="0" applyBorder="0" applyAlignment="0" applyProtection="0">
      <alignment vertical="center"/>
    </xf>
    <xf numFmtId="0" fontId="91" fillId="15" borderId="0" applyNumberFormat="0" applyBorder="0" applyAlignment="0" applyProtection="0">
      <alignment vertical="center"/>
    </xf>
    <xf numFmtId="0" fontId="90" fillId="0" borderId="0">
      <alignment vertical="center"/>
    </xf>
    <xf numFmtId="0" fontId="91" fillId="15" borderId="0" applyNumberFormat="0" applyBorder="0" applyAlignment="0" applyProtection="0">
      <alignment vertical="center"/>
    </xf>
    <xf numFmtId="0" fontId="91" fillId="47" borderId="0" applyNumberFormat="0" applyBorder="0" applyAlignment="0" applyProtection="0">
      <alignment vertical="center"/>
    </xf>
    <xf numFmtId="0" fontId="91" fillId="15"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23" borderId="0" applyNumberFormat="0" applyBorder="0" applyAlignment="0" applyProtection="0">
      <alignment vertical="center"/>
    </xf>
    <xf numFmtId="0" fontId="91" fillId="47" borderId="0" applyNumberFormat="0" applyBorder="0" applyAlignment="0" applyProtection="0">
      <alignment vertical="center"/>
    </xf>
    <xf numFmtId="0" fontId="10" fillId="0" borderId="0">
      <alignment vertical="center"/>
    </xf>
    <xf numFmtId="0" fontId="91" fillId="23" borderId="0" applyNumberFormat="0" applyBorder="0" applyAlignment="0" applyProtection="0">
      <alignment vertical="center"/>
    </xf>
    <xf numFmtId="0" fontId="125" fillId="0" borderId="0" applyNumberFormat="0" applyFill="0" applyBorder="0" applyAlignment="0" applyProtection="0">
      <alignment vertical="center"/>
    </xf>
    <xf numFmtId="0" fontId="91" fillId="23" borderId="0" applyNumberFormat="0" applyBorder="0" applyAlignment="0" applyProtection="0">
      <alignment vertical="center"/>
    </xf>
    <xf numFmtId="0" fontId="91" fillId="23" borderId="0" applyNumberFormat="0" applyBorder="0" applyAlignment="0" applyProtection="0">
      <alignment vertical="center"/>
    </xf>
    <xf numFmtId="0" fontId="91" fillId="23" borderId="0" applyNumberFormat="0" applyBorder="0" applyAlignment="0" applyProtection="0">
      <alignment vertical="center"/>
    </xf>
    <xf numFmtId="0" fontId="91" fillId="23" borderId="0" applyNumberFormat="0" applyBorder="0" applyAlignment="0" applyProtection="0">
      <alignment vertical="center"/>
    </xf>
    <xf numFmtId="0" fontId="45" fillId="0" borderId="0" applyNumberFormat="0" applyFill="0" applyBorder="0" applyAlignment="0" applyProtection="0">
      <alignment vertical="center"/>
    </xf>
    <xf numFmtId="176" fontId="10" fillId="0" borderId="0">
      <alignment vertical="center"/>
    </xf>
    <xf numFmtId="0" fontId="123" fillId="43" borderId="0" applyNumberFormat="0" applyBorder="0" applyAlignment="0" applyProtection="0">
      <alignment vertical="center"/>
    </xf>
    <xf numFmtId="9" fontId="10" fillId="0" borderId="0">
      <alignment vertical="center"/>
    </xf>
    <xf numFmtId="9" fontId="90" fillId="0" borderId="0" applyFont="0" applyFill="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85" fillId="0" borderId="48" applyNumberFormat="0" applyFill="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99" fillId="0" borderId="55" applyNumberFormat="0" applyFill="0" applyAlignment="0" applyProtection="0">
      <alignment vertical="center"/>
    </xf>
    <xf numFmtId="0" fontId="99" fillId="0" borderId="55" applyNumberFormat="0" applyFill="0" applyAlignment="0" applyProtection="0">
      <alignment vertical="center"/>
    </xf>
    <xf numFmtId="0" fontId="124" fillId="44" borderId="0" applyNumberFormat="0" applyBorder="0" applyAlignment="0" applyProtection="0">
      <alignment vertical="center"/>
    </xf>
    <xf numFmtId="0" fontId="99" fillId="0" borderId="55" applyNumberFormat="0" applyFill="0" applyAlignment="0" applyProtection="0">
      <alignment vertical="center"/>
    </xf>
    <xf numFmtId="0" fontId="99" fillId="0" borderId="55" applyNumberFormat="0" applyFill="0" applyAlignment="0" applyProtection="0">
      <alignment vertical="center"/>
    </xf>
    <xf numFmtId="0" fontId="10" fillId="0" borderId="0">
      <alignment vertical="center"/>
    </xf>
    <xf numFmtId="0" fontId="99" fillId="0" borderId="55" applyNumberFormat="0" applyFill="0" applyAlignment="0" applyProtection="0">
      <alignment vertical="center"/>
    </xf>
    <xf numFmtId="0" fontId="99" fillId="0" borderId="55" applyNumberFormat="0" applyFill="0" applyAlignment="0" applyProtection="0">
      <alignment vertical="center"/>
    </xf>
    <xf numFmtId="0" fontId="99" fillId="0" borderId="55" applyNumberFormat="0" applyFill="0" applyAlignment="0" applyProtection="0">
      <alignment vertical="center"/>
    </xf>
    <xf numFmtId="0" fontId="97" fillId="0" borderId="53" applyNumberFormat="0" applyFill="0" applyAlignment="0" applyProtection="0">
      <alignment vertical="center"/>
    </xf>
    <xf numFmtId="0" fontId="124" fillId="44" borderId="0" applyNumberFormat="0" applyBorder="0" applyAlignment="0" applyProtection="0">
      <alignment vertical="center"/>
    </xf>
    <xf numFmtId="0" fontId="97" fillId="0" borderId="53" applyNumberFormat="0" applyFill="0" applyAlignment="0" applyProtection="0">
      <alignment vertical="center"/>
    </xf>
    <xf numFmtId="0" fontId="97" fillId="0" borderId="53" applyNumberFormat="0" applyFill="0" applyAlignment="0" applyProtection="0">
      <alignment vertical="center"/>
    </xf>
    <xf numFmtId="0" fontId="97" fillId="0" borderId="53" applyNumberFormat="0" applyFill="0" applyAlignment="0" applyProtection="0">
      <alignment vertical="center"/>
    </xf>
    <xf numFmtId="0" fontId="110" fillId="0" borderId="0"/>
    <xf numFmtId="0" fontId="97" fillId="0" borderId="53" applyNumberFormat="0" applyFill="0" applyAlignment="0" applyProtection="0">
      <alignment vertical="center"/>
    </xf>
    <xf numFmtId="0" fontId="97" fillId="0" borderId="53" applyNumberFormat="0" applyFill="0" applyAlignment="0" applyProtection="0">
      <alignment vertical="center"/>
    </xf>
    <xf numFmtId="0" fontId="97" fillId="0" borderId="53" applyNumberFormat="0" applyFill="0" applyAlignment="0" applyProtection="0">
      <alignment vertical="center"/>
    </xf>
    <xf numFmtId="43" fontId="9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5" fillId="0" borderId="48" applyNumberFormat="0" applyFill="0" applyAlignment="0" applyProtection="0">
      <alignment vertical="center"/>
    </xf>
    <xf numFmtId="0" fontId="97" fillId="0" borderId="0" applyNumberFormat="0" applyFill="0" applyBorder="0" applyAlignment="0" applyProtection="0">
      <alignment vertical="center"/>
    </xf>
    <xf numFmtId="0" fontId="85" fillId="0" borderId="48" applyNumberFormat="0" applyFill="0" applyAlignment="0" applyProtection="0">
      <alignment vertical="center"/>
    </xf>
    <xf numFmtId="0" fontId="97"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1" fillId="35" borderId="0" applyNumberFormat="0" applyBorder="0" applyAlignment="0" applyProtection="0">
      <alignment vertical="center"/>
    </xf>
    <xf numFmtId="0" fontId="106" fillId="0" borderId="0" applyNumberFormat="0" applyFill="0" applyBorder="0" applyAlignment="0" applyProtection="0">
      <alignment vertical="center"/>
    </xf>
    <xf numFmtId="0" fontId="91" fillId="35" borderId="0" applyNumberFormat="0" applyBorder="0" applyAlignment="0" applyProtection="0">
      <alignment vertical="center"/>
    </xf>
    <xf numFmtId="0" fontId="85" fillId="0" borderId="48" applyNumberFormat="0" applyFill="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1" fillId="22" borderId="0" applyNumberFormat="0" applyBorder="0" applyAlignment="0" applyProtection="0">
      <alignment vertical="center"/>
    </xf>
    <xf numFmtId="0" fontId="106" fillId="0" borderId="0" applyNumberFormat="0" applyFill="0" applyBorder="0" applyAlignment="0" applyProtection="0">
      <alignment vertical="center"/>
    </xf>
    <xf numFmtId="0" fontId="10" fillId="20" borderId="52" applyNumberFormat="0" applyFont="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23" fillId="43" borderId="0" applyNumberFormat="0" applyBorder="0" applyAlignment="0" applyProtection="0">
      <alignment vertical="center"/>
    </xf>
    <xf numFmtId="0" fontId="123" fillId="43" borderId="0" applyNumberFormat="0" applyBorder="0" applyAlignment="0" applyProtection="0">
      <alignment vertical="center"/>
    </xf>
    <xf numFmtId="0" fontId="123" fillId="43" borderId="0" applyNumberFormat="0" applyBorder="0" applyAlignment="0" applyProtection="0">
      <alignment vertical="center"/>
    </xf>
    <xf numFmtId="0" fontId="123" fillId="43" borderId="0" applyNumberFormat="0" applyBorder="0" applyAlignment="0" applyProtection="0">
      <alignment vertical="center"/>
    </xf>
    <xf numFmtId="0" fontId="10" fillId="0" borderId="0">
      <alignment vertical="center"/>
    </xf>
    <xf numFmtId="0" fontId="90" fillId="0" borderId="0">
      <alignment vertical="center"/>
    </xf>
    <xf numFmtId="0" fontId="10" fillId="0" borderId="0">
      <alignment vertical="center"/>
    </xf>
    <xf numFmtId="0" fontId="90" fillId="0" borderId="0"/>
    <xf numFmtId="0" fontId="90" fillId="0" borderId="0">
      <alignment vertical="center"/>
    </xf>
    <xf numFmtId="0" fontId="90" fillId="0" borderId="0">
      <alignment vertical="center"/>
    </xf>
    <xf numFmtId="0" fontId="91" fillId="5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7" fillId="0" borderId="0">
      <alignment vertical="center"/>
    </xf>
    <xf numFmtId="0" fontId="126" fillId="0" borderId="0" applyNumberFormat="0" applyFill="0" applyBorder="0" applyProtection="0">
      <alignment vertical="top" wrapText="1"/>
    </xf>
    <xf numFmtId="0" fontId="7" fillId="0" borderId="0">
      <alignment vertical="center"/>
    </xf>
    <xf numFmtId="0" fontId="10" fillId="0" borderId="0"/>
    <xf numFmtId="0" fontId="10" fillId="0" borderId="0"/>
    <xf numFmtId="0" fontId="109" fillId="32" borderId="56" applyNumberFormat="0" applyAlignment="0" applyProtection="0">
      <alignment vertical="center"/>
    </xf>
    <xf numFmtId="0" fontId="7" fillId="0" borderId="0">
      <alignment vertical="center"/>
    </xf>
    <xf numFmtId="0" fontId="110" fillId="0" borderId="0"/>
    <xf numFmtId="0" fontId="109" fillId="32" borderId="56" applyNumberFormat="0" applyAlignment="0" applyProtection="0">
      <alignment vertical="center"/>
    </xf>
    <xf numFmtId="0" fontId="90" fillId="0" borderId="0">
      <alignment vertical="center"/>
    </xf>
    <xf numFmtId="0" fontId="18" fillId="0" borderId="0">
      <alignment vertical="center"/>
    </xf>
    <xf numFmtId="0" fontId="10" fillId="0" borderId="0"/>
    <xf numFmtId="0" fontId="109" fillId="32" borderId="56" applyNumberFormat="0" applyAlignment="0" applyProtection="0">
      <alignment vertical="center"/>
    </xf>
    <xf numFmtId="0" fontId="7" fillId="0" borderId="0">
      <alignment vertical="center"/>
    </xf>
    <xf numFmtId="0" fontId="10" fillId="0" borderId="0"/>
    <xf numFmtId="0" fontId="91" fillId="15" borderId="0" applyNumberFormat="0" applyBorder="0" applyAlignment="0" applyProtection="0">
      <alignment vertical="center"/>
    </xf>
    <xf numFmtId="0" fontId="18" fillId="0" borderId="0">
      <alignment vertical="center"/>
    </xf>
    <xf numFmtId="0" fontId="91" fillId="15" borderId="0" applyNumberFormat="0" applyBorder="0" applyAlignment="0" applyProtection="0">
      <alignment vertical="center"/>
    </xf>
    <xf numFmtId="0" fontId="10" fillId="0" borderId="0"/>
    <xf numFmtId="0" fontId="91" fillId="15" borderId="0" applyNumberFormat="0" applyBorder="0" applyAlignment="0" applyProtection="0">
      <alignment vertical="center"/>
    </xf>
    <xf numFmtId="0" fontId="90" fillId="0" borderId="0"/>
    <xf numFmtId="0" fontId="91" fillId="15" borderId="0" applyNumberFormat="0" applyBorder="0" applyAlignment="0" applyProtection="0">
      <alignment vertical="center"/>
    </xf>
    <xf numFmtId="0" fontId="90" fillId="0" borderId="0"/>
    <xf numFmtId="0" fontId="90" fillId="0" borderId="0"/>
    <xf numFmtId="0" fontId="10" fillId="0" borderId="0">
      <alignment vertical="center"/>
    </xf>
    <xf numFmtId="0" fontId="113"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91" fillId="47" borderId="0" applyNumberFormat="0" applyBorder="0" applyAlignment="0" applyProtection="0">
      <alignment vertical="center"/>
    </xf>
    <xf numFmtId="0" fontId="0" fillId="0" borderId="0">
      <alignment vertical="center"/>
    </xf>
    <xf numFmtId="0" fontId="91" fillId="47" borderId="0" applyNumberFormat="0" applyBorder="0" applyAlignment="0" applyProtection="0">
      <alignment vertical="center"/>
    </xf>
    <xf numFmtId="0" fontId="0" fillId="0" borderId="0">
      <alignment vertical="center"/>
    </xf>
    <xf numFmtId="0" fontId="90" fillId="0" borderId="0"/>
    <xf numFmtId="0" fontId="90" fillId="0" borderId="0"/>
    <xf numFmtId="0" fontId="109" fillId="32" borderId="56" applyNumberFormat="0" applyAlignment="0" applyProtection="0">
      <alignment vertical="center"/>
    </xf>
    <xf numFmtId="0" fontId="10" fillId="0" borderId="0">
      <alignment vertical="center"/>
    </xf>
    <xf numFmtId="0" fontId="90" fillId="0" borderId="0"/>
    <xf numFmtId="0" fontId="91" fillId="61" borderId="0" applyNumberFormat="0" applyBorder="0" applyAlignment="0" applyProtection="0">
      <alignment vertical="center"/>
    </xf>
    <xf numFmtId="0" fontId="75" fillId="0" borderId="0">
      <alignment vertical="center"/>
    </xf>
    <xf numFmtId="0" fontId="0" fillId="0" borderId="0">
      <alignment vertical="center"/>
    </xf>
    <xf numFmtId="0" fontId="10" fillId="20" borderId="52" applyNumberFormat="0" applyFont="0" applyAlignment="0" applyProtection="0">
      <alignment vertical="center"/>
    </xf>
    <xf numFmtId="0" fontId="45" fillId="0" borderId="0" applyNumberFormat="0" applyFill="0" applyBorder="0" applyAlignment="0" applyProtection="0">
      <alignment vertical="center"/>
    </xf>
    <xf numFmtId="0" fontId="110" fillId="0" borderId="0"/>
    <xf numFmtId="0" fontId="124" fillId="44" borderId="0" applyNumberFormat="0" applyBorder="0" applyAlignment="0" applyProtection="0">
      <alignment vertical="center"/>
    </xf>
    <xf numFmtId="0" fontId="124" fillId="44" borderId="0" applyNumberFormat="0" applyBorder="0" applyAlignment="0" applyProtection="0">
      <alignment vertical="center"/>
    </xf>
    <xf numFmtId="0" fontId="124" fillId="44" borderId="0" applyNumberFormat="0" applyBorder="0" applyAlignment="0" applyProtection="0">
      <alignment vertical="center"/>
    </xf>
    <xf numFmtId="0" fontId="85" fillId="0" borderId="48" applyNumberFormat="0" applyFill="0" applyAlignment="0" applyProtection="0">
      <alignment vertical="center"/>
    </xf>
    <xf numFmtId="0" fontId="122" fillId="3" borderId="64" applyNumberFormat="0" applyAlignment="0" applyProtection="0">
      <alignment vertical="center"/>
    </xf>
    <xf numFmtId="0" fontId="85" fillId="0" borderId="48" applyNumberFormat="0" applyFill="0" applyAlignment="0" applyProtection="0">
      <alignment vertical="center"/>
    </xf>
    <xf numFmtId="0" fontId="85" fillId="0" borderId="48" applyNumberFormat="0" applyFill="0" applyAlignment="0" applyProtection="0">
      <alignment vertical="center"/>
    </xf>
    <xf numFmtId="0" fontId="85" fillId="0" borderId="48" applyNumberFormat="0" applyFill="0" applyAlignment="0" applyProtection="0">
      <alignment vertical="center"/>
    </xf>
    <xf numFmtId="0" fontId="75" fillId="0" borderId="0"/>
    <xf numFmtId="0" fontId="91" fillId="50" borderId="0" applyNumberFormat="0" applyBorder="0" applyAlignment="0" applyProtection="0">
      <alignment vertical="center"/>
    </xf>
    <xf numFmtId="0" fontId="85" fillId="0" borderId="48" applyNumberFormat="0" applyFill="0" applyAlignment="0" applyProtection="0">
      <alignment vertical="center"/>
    </xf>
    <xf numFmtId="0" fontId="122" fillId="3" borderId="64" applyNumberFormat="0" applyAlignment="0" applyProtection="0">
      <alignment vertical="center"/>
    </xf>
    <xf numFmtId="0" fontId="122" fillId="3" borderId="64" applyNumberFormat="0" applyAlignment="0" applyProtection="0">
      <alignment vertical="center"/>
    </xf>
    <xf numFmtId="0" fontId="122" fillId="3" borderId="64"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0" fillId="20" borderId="52"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0" fillId="20" borderId="52" applyNumberFormat="0" applyFont="0" applyAlignment="0" applyProtection="0">
      <alignment vertical="center"/>
    </xf>
    <xf numFmtId="0" fontId="111" fillId="0" borderId="59" applyNumberFormat="0" applyFill="0" applyAlignment="0" applyProtection="0">
      <alignment vertical="center"/>
    </xf>
    <xf numFmtId="0" fontId="10" fillId="20" borderId="52" applyNumberFormat="0" applyFont="0" applyAlignment="0" applyProtection="0">
      <alignment vertical="center"/>
    </xf>
    <xf numFmtId="0" fontId="111" fillId="0" borderId="59" applyNumberFormat="0" applyFill="0" applyAlignment="0" applyProtection="0">
      <alignment vertical="center"/>
    </xf>
    <xf numFmtId="0" fontId="111" fillId="0" borderId="59" applyNumberFormat="0" applyFill="0" applyAlignment="0" applyProtection="0">
      <alignment vertical="center"/>
    </xf>
    <xf numFmtId="43" fontId="90" fillId="0" borderId="0" applyFont="0" applyFill="0" applyBorder="0" applyAlignment="0" applyProtection="0"/>
    <xf numFmtId="43" fontId="90" fillId="0" borderId="0" applyFont="0" applyFill="0" applyBorder="0" applyAlignment="0" applyProtection="0"/>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35" borderId="0" applyNumberFormat="0" applyBorder="0" applyAlignment="0" applyProtection="0">
      <alignment vertical="center"/>
    </xf>
    <xf numFmtId="0" fontId="91" fillId="22" borderId="0" applyNumberFormat="0" applyBorder="0" applyAlignment="0" applyProtection="0">
      <alignment vertical="center"/>
    </xf>
    <xf numFmtId="0" fontId="91" fillId="22" borderId="0" applyNumberFormat="0" applyBorder="0" applyAlignment="0" applyProtection="0">
      <alignment vertical="center"/>
    </xf>
    <xf numFmtId="0" fontId="91" fillId="22" borderId="0" applyNumberFormat="0" applyBorder="0" applyAlignment="0" applyProtection="0">
      <alignment vertical="center"/>
    </xf>
    <xf numFmtId="0" fontId="109" fillId="32" borderId="56" applyNumberFormat="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15" borderId="0" applyNumberFormat="0" applyBorder="0" applyAlignment="0" applyProtection="0">
      <alignment vertical="center"/>
    </xf>
    <xf numFmtId="0" fontId="109" fillId="32" borderId="56" applyNumberFormat="0" applyAlignment="0" applyProtection="0">
      <alignment vertical="center"/>
    </xf>
    <xf numFmtId="0" fontId="91" fillId="15"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96" fillId="19" borderId="51" applyNumberFormat="0" applyAlignment="0" applyProtection="0">
      <alignment vertical="center"/>
    </xf>
    <xf numFmtId="0" fontId="96" fillId="19" borderId="51" applyNumberFormat="0" applyAlignment="0" applyProtection="0">
      <alignment vertical="center"/>
    </xf>
    <xf numFmtId="0" fontId="96" fillId="19" borderId="51" applyNumberFormat="0" applyAlignment="0" applyProtection="0">
      <alignment vertical="center"/>
    </xf>
    <xf numFmtId="0" fontId="96" fillId="19" borderId="51" applyNumberFormat="0" applyAlignment="0" applyProtection="0">
      <alignment vertical="center"/>
    </xf>
    <xf numFmtId="0" fontId="120" fillId="0" borderId="0"/>
    <xf numFmtId="0" fontId="109" fillId="32" borderId="56" applyNumberFormat="0" applyAlignment="0" applyProtection="0">
      <alignment vertical="center"/>
    </xf>
    <xf numFmtId="0" fontId="120" fillId="0" borderId="0"/>
    <xf numFmtId="0" fontId="109" fillId="32" borderId="56" applyNumberFormat="0" applyAlignment="0" applyProtection="0">
      <alignment vertical="center"/>
    </xf>
    <xf numFmtId="0" fontId="109" fillId="32" borderId="56" applyNumberFormat="0" applyAlignment="0" applyProtection="0">
      <alignment vertical="center"/>
    </xf>
    <xf numFmtId="0" fontId="109" fillId="32" borderId="56" applyNumberFormat="0" applyAlignment="0" applyProtection="0">
      <alignment vertical="center"/>
    </xf>
    <xf numFmtId="0" fontId="109" fillId="32" borderId="56" applyNumberFormat="0" applyAlignment="0" applyProtection="0">
      <alignment vertical="center"/>
    </xf>
    <xf numFmtId="0" fontId="127" fillId="0" borderId="0"/>
    <xf numFmtId="0" fontId="75" fillId="0" borderId="0"/>
    <xf numFmtId="0" fontId="120" fillId="0" borderId="0"/>
    <xf numFmtId="0" fontId="120" fillId="0" borderId="0"/>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10" fillId="20" borderId="52" applyNumberFormat="0" applyFont="0" applyAlignment="0" applyProtection="0">
      <alignment vertical="center"/>
    </xf>
    <xf numFmtId="0" fontId="90" fillId="0" borderId="0"/>
    <xf numFmtId="0" fontId="128" fillId="0" borderId="0" applyNumberFormat="0" applyFill="0" applyBorder="0" applyAlignment="0" applyProtection="0">
      <alignment vertical="center"/>
    </xf>
    <xf numFmtId="38" fontId="90" fillId="0" borderId="0" applyFont="0" applyFill="0" applyBorder="0" applyAlignment="0" applyProtection="0">
      <alignment vertical="center"/>
    </xf>
    <xf numFmtId="0" fontId="29" fillId="0" borderId="0">
      <alignment vertical="center"/>
    </xf>
  </cellStyleXfs>
  <cellXfs count="39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protection locked="0"/>
    </xf>
    <xf numFmtId="49" fontId="8" fillId="3" borderId="5" xfId="411" applyNumberFormat="1" applyFont="1" applyFill="1" applyBorder="1" applyAlignment="1" applyProtection="1">
      <alignment horizontal="center" vertical="center" wrapText="1"/>
    </xf>
    <xf numFmtId="49" fontId="8" fillId="3" borderId="6" xfId="411" applyNumberFormat="1" applyFont="1" applyFill="1" applyBorder="1" applyAlignment="1" applyProtection="1">
      <alignment horizontal="center" vertical="center" wrapText="1"/>
    </xf>
    <xf numFmtId="49" fontId="8" fillId="4" borderId="5" xfId="411" applyNumberFormat="1" applyFont="1" applyFill="1" applyBorder="1" applyAlignment="1" applyProtection="1">
      <alignment horizontal="center" vertical="center" wrapText="1"/>
    </xf>
    <xf numFmtId="178" fontId="8" fillId="3" borderId="6" xfId="411" applyNumberFormat="1" applyFont="1" applyFill="1" applyBorder="1" applyAlignment="1" applyProtection="1">
      <alignment horizontal="center" vertical="center" wrapText="1"/>
    </xf>
    <xf numFmtId="49" fontId="8" fillId="3" borderId="7" xfId="411" applyNumberFormat="1" applyFont="1" applyFill="1" applyBorder="1" applyAlignment="1" applyProtection="1">
      <alignment horizontal="center" vertical="center" wrapText="1"/>
    </xf>
    <xf numFmtId="49" fontId="8" fillId="4" borderId="7" xfId="411" applyNumberFormat="1" applyFont="1" applyFill="1" applyBorder="1" applyAlignment="1" applyProtection="1">
      <alignment horizontal="center" vertical="center" wrapText="1"/>
    </xf>
    <xf numFmtId="49" fontId="8" fillId="4" borderId="6" xfId="411" applyNumberFormat="1" applyFont="1" applyFill="1" applyBorder="1" applyAlignment="1" applyProtection="1">
      <alignment horizontal="center" vertical="center" wrapText="1"/>
    </xf>
    <xf numFmtId="177" fontId="9"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180" fontId="8" fillId="4" borderId="6" xfId="411" applyNumberFormat="1" applyFont="1" applyFill="1" applyBorder="1" applyAlignment="1" applyProtection="1">
      <alignment horizontal="center" vertical="center" wrapText="1"/>
    </xf>
    <xf numFmtId="49" fontId="8" fillId="4" borderId="6" xfId="364" applyNumberFormat="1" applyFont="1" applyFill="1" applyBorder="1" applyAlignment="1" applyProtection="1">
      <alignment horizontal="center" vertical="center" wrapText="1"/>
    </xf>
    <xf numFmtId="49" fontId="8" fillId="3" borderId="8" xfId="411" applyNumberFormat="1" applyFont="1" applyFill="1" applyBorder="1" applyAlignment="1" applyProtection="1">
      <alignment horizontal="center" vertical="center" wrapText="1"/>
    </xf>
    <xf numFmtId="49" fontId="8" fillId="3" borderId="9" xfId="411" applyNumberFormat="1" applyFont="1" applyFill="1" applyBorder="1" applyAlignment="1" applyProtection="1">
      <alignment horizontal="center" vertical="center" wrapText="1"/>
    </xf>
    <xf numFmtId="9" fontId="7" fillId="0" borderId="0" xfId="0" applyNumberFormat="1" applyFont="1" applyFill="1" applyBorder="1" applyAlignment="1" applyProtection="1">
      <alignment horizontal="left" vertical="center"/>
      <protection locked="0"/>
    </xf>
    <xf numFmtId="49" fontId="8" fillId="5" borderId="6" xfId="364" applyNumberFormat="1" applyFont="1" applyFill="1" applyBorder="1" applyAlignment="1" applyProtection="1">
      <alignment horizontal="center" vertical="center" wrapText="1"/>
    </xf>
    <xf numFmtId="0" fontId="8" fillId="6" borderId="6" xfId="364"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xf>
    <xf numFmtId="0" fontId="10" fillId="0" borderId="0" xfId="309" applyBorder="1">
      <alignment vertical="center"/>
    </xf>
    <xf numFmtId="0" fontId="11" fillId="0" borderId="0" xfId="309" applyNumberFormat="1" applyFont="1" applyFill="1" applyBorder="1" applyAlignment="1" applyProtection="1">
      <alignment horizontal="center" vertical="center"/>
    </xf>
    <xf numFmtId="0" fontId="10" fillId="0" borderId="0" xfId="309" applyFill="1">
      <alignment vertical="center"/>
    </xf>
    <xf numFmtId="0" fontId="10" fillId="0" borderId="0" xfId="309"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vertical="center"/>
    </xf>
    <xf numFmtId="0" fontId="10" fillId="0" borderId="0" xfId="309">
      <alignment vertical="center"/>
    </xf>
    <xf numFmtId="0" fontId="10" fillId="0" borderId="0" xfId="309" applyNumberFormat="1">
      <alignment vertical="center"/>
    </xf>
    <xf numFmtId="0" fontId="10" fillId="0" borderId="0" xfId="309" applyNumberFormat="1" applyAlignment="1">
      <alignment horizontal="center" vertical="center"/>
    </xf>
    <xf numFmtId="14" fontId="10" fillId="0" borderId="0" xfId="309" applyNumberFormat="1">
      <alignment vertical="center"/>
    </xf>
    <xf numFmtId="181" fontId="10" fillId="0" borderId="0" xfId="309" applyNumberFormat="1">
      <alignment vertical="center"/>
    </xf>
    <xf numFmtId="182" fontId="12" fillId="0" borderId="0" xfId="111" applyNumberFormat="1" applyFont="1" applyFill="1" applyBorder="1" applyAlignment="1" applyProtection="1">
      <alignment vertical="center"/>
    </xf>
    <xf numFmtId="182" fontId="13" fillId="0" borderId="0" xfId="111" applyNumberFormat="1" applyFont="1" applyFill="1" applyBorder="1" applyAlignment="1" applyProtection="1">
      <alignment vertical="center"/>
    </xf>
    <xf numFmtId="182" fontId="14" fillId="0" borderId="0" xfId="111" applyNumberFormat="1" applyFont="1" applyFill="1" applyBorder="1" applyAlignment="1" applyProtection="1">
      <alignment vertical="center"/>
    </xf>
    <xf numFmtId="182" fontId="14" fillId="0" borderId="0" xfId="111" applyNumberFormat="1" applyFont="1" applyFill="1" applyBorder="1" applyAlignment="1" applyProtection="1">
      <alignment horizontal="center" vertical="top"/>
    </xf>
    <xf numFmtId="0" fontId="10" fillId="0" borderId="0" xfId="309" applyNumberFormat="1" applyFont="1" applyFill="1" applyBorder="1" applyAlignment="1" applyProtection="1">
      <alignment horizontal="center" vertical="center"/>
    </xf>
    <xf numFmtId="0" fontId="10" fillId="0" borderId="0" xfId="309" applyNumberFormat="1" applyBorder="1" applyAlignment="1">
      <alignment horizontal="center" vertical="center"/>
    </xf>
    <xf numFmtId="182" fontId="15" fillId="6" borderId="5" xfId="111" applyNumberFormat="1" applyFont="1" applyFill="1" applyBorder="1" applyAlignment="1" applyProtection="1">
      <alignment horizontal="center" vertical="center"/>
    </xf>
    <xf numFmtId="182" fontId="12" fillId="6" borderId="5" xfId="111" applyNumberFormat="1" applyFont="1" applyFill="1" applyBorder="1" applyAlignment="1" applyProtection="1">
      <alignment horizontal="center" vertical="center"/>
    </xf>
    <xf numFmtId="0" fontId="12" fillId="6" borderId="5" xfId="111" applyNumberFormat="1" applyFont="1" applyFill="1" applyBorder="1" applyAlignment="1" applyProtection="1">
      <alignment horizontal="center" vertical="center" wrapText="1"/>
    </xf>
    <xf numFmtId="0" fontId="16" fillId="6" borderId="5" xfId="402" applyNumberFormat="1" applyFont="1" applyFill="1" applyBorder="1" applyAlignment="1" applyProtection="1">
      <alignment horizontal="center" vertical="center" wrapText="1"/>
    </xf>
    <xf numFmtId="0" fontId="17" fillId="6" borderId="5" xfId="402" applyNumberFormat="1" applyFont="1" applyFill="1" applyBorder="1" applyAlignment="1" applyProtection="1">
      <alignment horizontal="center" vertical="center" wrapText="1"/>
    </xf>
    <xf numFmtId="182" fontId="15" fillId="6" borderId="10" xfId="111" applyNumberFormat="1" applyFont="1" applyFill="1" applyBorder="1" applyAlignment="1" applyProtection="1">
      <alignment horizontal="center" vertical="center"/>
    </xf>
    <xf numFmtId="182" fontId="12" fillId="6" borderId="10" xfId="111" applyNumberFormat="1" applyFont="1" applyFill="1" applyBorder="1" applyAlignment="1" applyProtection="1">
      <alignment horizontal="center" vertical="center"/>
    </xf>
    <xf numFmtId="0" fontId="12" fillId="6" borderId="10" xfId="111" applyNumberFormat="1" applyFont="1" applyFill="1" applyBorder="1" applyAlignment="1" applyProtection="1">
      <alignment horizontal="center" vertical="center" wrapText="1"/>
    </xf>
    <xf numFmtId="0" fontId="16" fillId="6" borderId="10" xfId="402" applyNumberFormat="1" applyFont="1" applyFill="1" applyBorder="1" applyAlignment="1" applyProtection="1">
      <alignment horizontal="center" vertical="center" wrapText="1"/>
    </xf>
    <xf numFmtId="0" fontId="17" fillId="6" borderId="10" xfId="402" applyNumberFormat="1" applyFont="1" applyFill="1" applyBorder="1" applyAlignment="1" applyProtection="1">
      <alignment horizontal="center" vertical="center" wrapText="1"/>
    </xf>
    <xf numFmtId="182" fontId="7" fillId="0" borderId="10" xfId="309" applyNumberFormat="1" applyFont="1" applyFill="1" applyBorder="1" applyAlignment="1" applyProtection="1">
      <alignment horizontal="center" vertical="center"/>
    </xf>
    <xf numFmtId="0" fontId="18" fillId="0" borderId="6" xfId="309" applyFont="1" applyFill="1" applyBorder="1" applyAlignment="1">
      <alignment horizontal="center" vertical="center" wrapText="1"/>
    </xf>
    <xf numFmtId="49" fontId="19" fillId="7" borderId="11" xfId="309" applyNumberFormat="1" applyFont="1" applyFill="1" applyBorder="1" applyAlignment="1">
      <alignment horizontal="center" vertical="center" wrapText="1"/>
    </xf>
    <xf numFmtId="0" fontId="10" fillId="0" borderId="6" xfId="309" applyNumberFormat="1" applyFont="1" applyFill="1" applyBorder="1" applyAlignment="1">
      <alignment horizontal="center" vertical="center"/>
    </xf>
    <xf numFmtId="0" fontId="10" fillId="0" borderId="11" xfId="309" applyFill="1" applyBorder="1">
      <alignment vertical="center"/>
    </xf>
    <xf numFmtId="0" fontId="10" fillId="0" borderId="6" xfId="309" applyNumberFormat="1" applyFill="1" applyBorder="1" applyAlignment="1">
      <alignment horizontal="center" vertical="center"/>
    </xf>
    <xf numFmtId="182" fontId="7" fillId="7" borderId="10" xfId="309" applyNumberFormat="1" applyFont="1" applyFill="1" applyBorder="1" applyAlignment="1" applyProtection="1">
      <alignment horizontal="center" vertical="center" shrinkToFit="1"/>
    </xf>
    <xf numFmtId="182" fontId="20" fillId="7" borderId="6" xfId="309" applyNumberFormat="1" applyFont="1" applyFill="1" applyBorder="1" applyAlignment="1" applyProtection="1">
      <alignment horizontal="center" vertical="center" shrinkToFit="1"/>
    </xf>
    <xf numFmtId="182" fontId="20" fillId="7" borderId="6" xfId="309" applyNumberFormat="1" applyFont="1" applyFill="1" applyBorder="1" applyAlignment="1" applyProtection="1">
      <alignment horizontal="center" vertical="top" shrinkToFit="1"/>
    </xf>
    <xf numFmtId="0" fontId="19" fillId="7" borderId="6" xfId="309" applyNumberFormat="1" applyFont="1" applyFill="1" applyBorder="1" applyAlignment="1">
      <alignment horizontal="center" vertical="center" shrinkToFit="1"/>
    </xf>
    <xf numFmtId="0" fontId="10" fillId="7" borderId="6" xfId="309" applyNumberFormat="1" applyFont="1" applyFill="1" applyBorder="1" applyAlignment="1" applyProtection="1">
      <alignment horizontal="center" vertical="center" shrinkToFit="1"/>
    </xf>
    <xf numFmtId="0" fontId="10" fillId="7" borderId="6" xfId="309" applyNumberFormat="1" applyFill="1" applyBorder="1" applyAlignment="1">
      <alignment horizontal="center" vertical="center" shrinkToFit="1"/>
    </xf>
    <xf numFmtId="0" fontId="10" fillId="6" borderId="6" xfId="309" applyFont="1" applyFill="1" applyBorder="1" applyAlignment="1">
      <alignment horizontal="center" vertical="center"/>
    </xf>
    <xf numFmtId="181" fontId="10" fillId="7" borderId="6" xfId="309" applyNumberFormat="1" applyFont="1" applyFill="1" applyBorder="1" applyAlignment="1">
      <alignment horizontal="center" vertical="center"/>
    </xf>
    <xf numFmtId="183" fontId="10" fillId="0" borderId="0" xfId="309" applyNumberFormat="1" applyFont="1" applyBorder="1" applyAlignment="1">
      <alignment horizontal="center" vertical="center"/>
    </xf>
    <xf numFmtId="0" fontId="21"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183"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vertical="center" wrapText="1"/>
    </xf>
    <xf numFmtId="0" fontId="25" fillId="0" borderId="0" xfId="309" applyNumberFormat="1" applyFont="1" applyFill="1" applyBorder="1" applyAlignment="1" applyProtection="1">
      <alignment horizontal="left" vertical="center"/>
    </xf>
    <xf numFmtId="0" fontId="26" fillId="0" borderId="0" xfId="0" applyNumberFormat="1" applyFont="1" applyFill="1" applyBorder="1" applyAlignment="1" applyProtection="1">
      <alignment vertical="center"/>
    </xf>
    <xf numFmtId="14" fontId="10" fillId="0" borderId="0" xfId="309" applyNumberFormat="1" applyBorder="1">
      <alignment vertical="center"/>
    </xf>
    <xf numFmtId="182" fontId="14" fillId="0" borderId="0" xfId="111" applyNumberFormat="1" applyFont="1" applyFill="1" applyBorder="1" applyAlignment="1" applyProtection="1">
      <alignment horizontal="center" vertical="center"/>
    </xf>
    <xf numFmtId="176" fontId="27" fillId="8" borderId="0" xfId="309" applyNumberFormat="1" applyFont="1" applyFill="1" applyBorder="1" applyAlignment="1">
      <alignment horizontal="center" vertical="center"/>
    </xf>
    <xf numFmtId="14" fontId="16" fillId="6" borderId="5" xfId="402" applyNumberFormat="1" applyFont="1" applyFill="1" applyBorder="1" applyAlignment="1" applyProtection="1">
      <alignment horizontal="center" vertical="center" wrapText="1"/>
    </xf>
    <xf numFmtId="0" fontId="16" fillId="6" borderId="11" xfId="402" applyNumberFormat="1" applyFont="1" applyFill="1" applyBorder="1" applyAlignment="1" applyProtection="1">
      <alignment horizontal="center" vertical="center" wrapText="1"/>
    </xf>
    <xf numFmtId="0" fontId="16" fillId="6" borderId="12" xfId="402" applyNumberFormat="1" applyFont="1" applyFill="1" applyBorder="1" applyAlignment="1" applyProtection="1">
      <alignment horizontal="center" vertical="center" wrapText="1"/>
    </xf>
    <xf numFmtId="0" fontId="16" fillId="6" borderId="13" xfId="402" applyNumberFormat="1" applyFont="1" applyFill="1" applyBorder="1" applyAlignment="1" applyProtection="1">
      <alignment horizontal="center" vertical="center" wrapText="1"/>
    </xf>
    <xf numFmtId="14" fontId="16" fillId="6" borderId="10" xfId="402" applyNumberFormat="1" applyFont="1" applyFill="1" applyBorder="1" applyAlignment="1" applyProtection="1">
      <alignment horizontal="center" vertical="center" wrapText="1"/>
    </xf>
    <xf numFmtId="0" fontId="16" fillId="6" borderId="6" xfId="402" applyNumberFormat="1" applyFont="1" applyFill="1" applyBorder="1" applyAlignment="1" applyProtection="1">
      <alignment horizontal="center" vertical="center" wrapText="1"/>
    </xf>
    <xf numFmtId="14" fontId="10" fillId="0" borderId="11" xfId="309" applyNumberFormat="1" applyFill="1" applyBorder="1">
      <alignment vertical="center"/>
    </xf>
    <xf numFmtId="176" fontId="7" fillId="0" borderId="6" xfId="309" applyNumberFormat="1" applyFont="1" applyFill="1" applyBorder="1" applyAlignment="1">
      <alignment vertical="center"/>
    </xf>
    <xf numFmtId="176" fontId="7" fillId="0" borderId="6" xfId="309" applyNumberFormat="1" applyFont="1" applyFill="1" applyBorder="1" applyAlignment="1">
      <alignment horizontal="center" vertical="center"/>
    </xf>
    <xf numFmtId="176" fontId="7" fillId="0" borderId="6" xfId="309" applyNumberFormat="1" applyFont="1" applyFill="1" applyBorder="1">
      <alignment vertical="center"/>
    </xf>
    <xf numFmtId="0" fontId="10" fillId="7" borderId="11" xfId="309" applyNumberFormat="1" applyFont="1" applyFill="1" applyBorder="1" applyAlignment="1" applyProtection="1">
      <alignment horizontal="center" vertical="center" shrinkToFit="1"/>
    </xf>
    <xf numFmtId="14" fontId="10" fillId="7" borderId="11" xfId="309" applyNumberFormat="1" applyFont="1" applyFill="1" applyBorder="1" applyAlignment="1" applyProtection="1">
      <alignment horizontal="center" vertical="center" shrinkToFit="1"/>
    </xf>
    <xf numFmtId="183" fontId="20" fillId="7" borderId="6" xfId="309" applyNumberFormat="1" applyFont="1" applyFill="1" applyBorder="1" applyAlignment="1" applyProtection="1">
      <alignment horizontal="center" vertical="center" shrinkToFit="1"/>
    </xf>
    <xf numFmtId="14" fontId="10" fillId="0" borderId="0" xfId="0" applyNumberFormat="1" applyFont="1" applyFill="1" applyBorder="1" applyAlignment="1" applyProtection="1">
      <alignment vertical="center"/>
    </xf>
    <xf numFmtId="178" fontId="10" fillId="0" borderId="0" xfId="0" applyNumberFormat="1" applyFont="1" applyFill="1" applyBorder="1" applyAlignment="1" applyProtection="1">
      <alignment vertical="center"/>
    </xf>
    <xf numFmtId="14" fontId="10" fillId="0" borderId="0" xfId="0" applyNumberFormat="1" applyFont="1" applyFill="1" applyBorder="1" applyAlignment="1" applyProtection="1">
      <alignment horizontal="left" vertical="center" wrapText="1"/>
    </xf>
    <xf numFmtId="178"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vertical="center" wrapText="1"/>
    </xf>
    <xf numFmtId="14" fontId="10" fillId="0" borderId="0" xfId="0" applyNumberFormat="1" applyFont="1" applyFill="1" applyBorder="1" applyAlignment="1" applyProtection="1">
      <alignment vertical="center" wrapText="1"/>
    </xf>
    <xf numFmtId="178" fontId="10" fillId="0" borderId="0" xfId="0" applyNumberFormat="1" applyFont="1" applyFill="1" applyBorder="1" applyAlignment="1" applyProtection="1">
      <alignment vertical="center" wrapText="1"/>
    </xf>
    <xf numFmtId="14" fontId="24" fillId="0" borderId="0" xfId="0" applyNumberFormat="1" applyFont="1" applyFill="1" applyBorder="1" applyAlignment="1" applyProtection="1">
      <alignment vertical="center" wrapText="1"/>
    </xf>
    <xf numFmtId="176" fontId="0" fillId="0" borderId="0" xfId="309" applyNumberFormat="1" applyFont="1" applyFill="1" applyBorder="1" applyAlignment="1">
      <alignment horizontal="left" vertical="center"/>
    </xf>
    <xf numFmtId="181" fontId="17" fillId="6" borderId="5" xfId="402" applyNumberFormat="1" applyFont="1" applyFill="1" applyBorder="1" applyAlignment="1" applyProtection="1">
      <alignment horizontal="center" vertical="center" wrapText="1"/>
    </xf>
    <xf numFmtId="0" fontId="17" fillId="6" borderId="11" xfId="402" applyNumberFormat="1" applyFont="1" applyFill="1" applyBorder="1" applyAlignment="1" applyProtection="1">
      <alignment horizontal="center" vertical="center" wrapText="1"/>
    </xf>
    <xf numFmtId="0" fontId="17" fillId="6" borderId="12" xfId="402" applyNumberFormat="1" applyFont="1" applyFill="1" applyBorder="1" applyAlignment="1" applyProtection="1">
      <alignment horizontal="center" vertical="center" wrapText="1"/>
    </xf>
    <xf numFmtId="181" fontId="17" fillId="6" borderId="10" xfId="402" applyNumberFormat="1" applyFont="1" applyFill="1" applyBorder="1" applyAlignment="1" applyProtection="1">
      <alignment horizontal="center" vertical="center" wrapText="1"/>
    </xf>
    <xf numFmtId="0" fontId="17" fillId="6" borderId="6" xfId="402" applyNumberFormat="1" applyFont="1" applyFill="1" applyBorder="1" applyAlignment="1" applyProtection="1">
      <alignment horizontal="center" vertical="center" wrapText="1"/>
    </xf>
    <xf numFmtId="176" fontId="7" fillId="7" borderId="6" xfId="309" applyNumberFormat="1" applyFont="1" applyFill="1" applyBorder="1">
      <alignment vertical="center"/>
    </xf>
    <xf numFmtId="176" fontId="7" fillId="7" borderId="13" xfId="309" applyNumberFormat="1" applyFont="1" applyFill="1" applyBorder="1" applyAlignment="1">
      <alignment horizontal="center" vertical="center"/>
    </xf>
    <xf numFmtId="176" fontId="7" fillId="7" borderId="13" xfId="309" applyNumberFormat="1" applyFont="1" applyFill="1" applyBorder="1">
      <alignment vertical="center"/>
    </xf>
    <xf numFmtId="0" fontId="17" fillId="6" borderId="13" xfId="402" applyNumberFormat="1" applyFont="1" applyFill="1" applyBorder="1" applyAlignment="1" applyProtection="1">
      <alignment horizontal="center" vertical="center" wrapText="1"/>
    </xf>
    <xf numFmtId="183" fontId="7" fillId="7" borderId="13" xfId="309" applyNumberFormat="1" applyFont="1" applyFill="1" applyBorder="1" applyAlignment="1" applyProtection="1">
      <alignment horizontal="center" vertical="center"/>
    </xf>
    <xf numFmtId="181" fontId="23" fillId="7" borderId="6" xfId="292" applyNumberFormat="1" applyFont="1" applyFill="1" applyBorder="1" applyAlignment="1" applyProtection="1">
      <alignment horizontal="center" vertical="center"/>
    </xf>
    <xf numFmtId="181" fontId="28" fillId="7" borderId="6" xfId="402" applyNumberFormat="1" applyFont="1" applyFill="1" applyBorder="1" applyAlignment="1" applyProtection="1">
      <alignment horizontal="center" vertical="center"/>
    </xf>
    <xf numFmtId="183" fontId="7" fillId="0" borderId="0" xfId="309" applyNumberFormat="1" applyFont="1" applyFill="1" applyBorder="1" applyAlignment="1" applyProtection="1">
      <alignment horizontal="center" vertical="center"/>
    </xf>
    <xf numFmtId="181" fontId="14" fillId="0" borderId="0" xfId="111" applyNumberFormat="1" applyFont="1" applyFill="1" applyBorder="1" applyAlignment="1" applyProtection="1">
      <alignment horizontal="center" vertical="center" wrapText="1"/>
    </xf>
    <xf numFmtId="0" fontId="15" fillId="6" borderId="5" xfId="111" applyNumberFormat="1" applyFont="1" applyFill="1" applyBorder="1" applyAlignment="1" applyProtection="1">
      <alignment horizontal="center" vertical="center" wrapText="1"/>
    </xf>
    <xf numFmtId="181" fontId="12" fillId="6" borderId="5" xfId="111" applyNumberFormat="1" applyFont="1" applyFill="1" applyBorder="1" applyAlignment="1" applyProtection="1">
      <alignment horizontal="center" vertical="center" wrapText="1"/>
    </xf>
    <xf numFmtId="0" fontId="15" fillId="6" borderId="10" xfId="111" applyNumberFormat="1" applyFont="1" applyFill="1" applyBorder="1" applyAlignment="1" applyProtection="1">
      <alignment horizontal="center" vertical="center" wrapText="1"/>
    </xf>
    <xf numFmtId="181" fontId="12" fillId="6" borderId="10" xfId="111" applyNumberFormat="1" applyFont="1" applyFill="1" applyBorder="1" applyAlignment="1" applyProtection="1">
      <alignment horizontal="center" vertical="center" wrapText="1"/>
    </xf>
    <xf numFmtId="183" fontId="7" fillId="7" borderId="6" xfId="309" applyNumberFormat="1" applyFont="1" applyFill="1" applyBorder="1" applyAlignment="1" applyProtection="1">
      <alignment horizontal="center" vertical="center"/>
    </xf>
    <xf numFmtId="181" fontId="19" fillId="0" borderId="6" xfId="309" applyNumberFormat="1" applyFont="1" applyFill="1" applyBorder="1" applyAlignment="1">
      <alignment horizontal="center" vertical="center" wrapText="1"/>
    </xf>
    <xf numFmtId="183" fontId="7" fillId="0" borderId="6" xfId="309" applyNumberFormat="1" applyFont="1" applyFill="1" applyBorder="1" applyAlignment="1" applyProtection="1">
      <alignment horizontal="center" vertical="center"/>
    </xf>
    <xf numFmtId="183" fontId="7" fillId="7" borderId="6" xfId="309" applyNumberFormat="1" applyFont="1" applyFill="1" applyBorder="1" applyAlignment="1" applyProtection="1">
      <alignment horizontal="center" vertical="center" shrinkToFit="1"/>
    </xf>
    <xf numFmtId="183" fontId="10" fillId="0" borderId="0" xfId="309" applyNumberFormat="1">
      <alignment vertical="center"/>
    </xf>
    <xf numFmtId="181" fontId="10" fillId="0" borderId="0" xfId="0" applyNumberFormat="1" applyFont="1" applyFill="1" applyBorder="1" applyAlignment="1" applyProtection="1">
      <alignment vertical="center"/>
    </xf>
    <xf numFmtId="49" fontId="10" fillId="0" borderId="0" xfId="309" applyNumberFormat="1" applyFont="1" applyFill="1" applyBorder="1" applyAlignment="1" applyProtection="1">
      <alignment horizontal="center" vertical="center"/>
    </xf>
    <xf numFmtId="49" fontId="16" fillId="6" borderId="5" xfId="402" applyNumberFormat="1" applyFont="1" applyFill="1" applyBorder="1" applyAlignment="1" applyProtection="1">
      <alignment horizontal="center" vertical="center" wrapText="1"/>
    </xf>
    <xf numFmtId="49" fontId="16" fillId="6" borderId="10" xfId="402" applyNumberFormat="1" applyFont="1" applyFill="1" applyBorder="1" applyAlignment="1" applyProtection="1">
      <alignment horizontal="center" vertical="center" wrapText="1"/>
    </xf>
    <xf numFmtId="0" fontId="28" fillId="7" borderId="6" xfId="309" applyFont="1" applyFill="1" applyBorder="1" applyAlignment="1">
      <alignment horizontal="center" vertical="center"/>
    </xf>
    <xf numFmtId="0" fontId="28" fillId="7" borderId="6" xfId="309" applyFont="1" applyFill="1" applyBorder="1" applyAlignment="1">
      <alignment horizontal="center" vertical="center" shrinkToFit="1"/>
    </xf>
    <xf numFmtId="0" fontId="29" fillId="9" borderId="6" xfId="273" applyFont="1" applyFill="1" applyBorder="1" applyAlignment="1">
      <alignment horizontal="left" vertical="center"/>
    </xf>
    <xf numFmtId="49" fontId="29" fillId="0" borderId="6" xfId="273" applyNumberFormat="1" applyFont="1" applyBorder="1" applyAlignment="1" applyProtection="1">
      <protection locked="0"/>
    </xf>
    <xf numFmtId="0" fontId="10" fillId="0" borderId="11" xfId="309" applyFont="1" applyFill="1" applyBorder="1" applyAlignment="1">
      <alignment vertical="center"/>
    </xf>
    <xf numFmtId="14" fontId="10" fillId="0" borderId="11" xfId="309" applyNumberFormat="1" applyFont="1" applyFill="1" applyBorder="1" applyAlignment="1">
      <alignment vertical="center"/>
    </xf>
    <xf numFmtId="0" fontId="7" fillId="0" borderId="6" xfId="309" applyNumberFormat="1" applyFont="1" applyFill="1" applyBorder="1">
      <alignment vertical="center"/>
    </xf>
    <xf numFmtId="181" fontId="20" fillId="7" borderId="6" xfId="309"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14" fontId="7" fillId="0" borderId="0" xfId="0" applyNumberFormat="1" applyFont="1" applyFill="1" applyBorder="1" applyAlignment="1" applyProtection="1">
      <alignment horizontal="left" vertical="center"/>
      <protection locked="0"/>
    </xf>
    <xf numFmtId="178" fontId="7" fillId="0" borderId="0" xfId="0" applyNumberFormat="1" applyFont="1" applyFill="1" applyBorder="1" applyAlignment="1" applyProtection="1">
      <alignment horizontal="left" vertical="center"/>
      <protection locked="0"/>
    </xf>
    <xf numFmtId="180" fontId="7" fillId="0" borderId="0" xfId="0" applyNumberFormat="1"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49" fontId="33" fillId="3" borderId="6" xfId="411" applyNumberFormat="1" applyFont="1" applyFill="1" applyBorder="1" applyAlignment="1" applyProtection="1">
      <alignment horizontal="center" vertical="center" wrapText="1"/>
    </xf>
    <xf numFmtId="49" fontId="27" fillId="3" borderId="6" xfId="411" applyNumberFormat="1" applyFont="1" applyFill="1" applyBorder="1" applyAlignment="1" applyProtection="1">
      <alignment horizontal="center" vertical="center" wrapText="1"/>
    </xf>
    <xf numFmtId="178" fontId="33" fillId="3" borderId="6" xfId="411" applyNumberFormat="1" applyFont="1" applyFill="1" applyBorder="1" applyAlignment="1" applyProtection="1">
      <alignment horizontal="center" vertical="center" wrapText="1"/>
    </xf>
    <xf numFmtId="0" fontId="31" fillId="0" borderId="6" xfId="0" applyFont="1" applyFill="1" applyBorder="1" applyAlignment="1" applyProtection="1">
      <alignment horizontal="center" vertical="center"/>
      <protection locked="0"/>
    </xf>
    <xf numFmtId="14" fontId="31" fillId="0" borderId="6" xfId="0" applyNumberFormat="1" applyFont="1" applyFill="1" applyBorder="1" applyAlignment="1" applyProtection="1">
      <alignment horizontal="center" vertical="center"/>
      <protection locked="0"/>
    </xf>
    <xf numFmtId="49" fontId="31" fillId="9" borderId="6" xfId="0" applyNumberFormat="1" applyFont="1" applyFill="1" applyBorder="1" applyAlignment="1" applyProtection="1">
      <alignment horizontal="center" vertical="center"/>
    </xf>
    <xf numFmtId="49" fontId="31" fillId="0" borderId="6" xfId="0" applyNumberFormat="1" applyFont="1" applyFill="1" applyBorder="1" applyAlignment="1" applyProtection="1">
      <alignment horizontal="center" vertical="center"/>
    </xf>
    <xf numFmtId="49" fontId="19" fillId="9" borderId="6" xfId="0" applyNumberFormat="1"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xf>
    <xf numFmtId="14" fontId="19" fillId="0" borderId="6" xfId="0" applyNumberFormat="1"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14" fontId="32" fillId="0" borderId="6" xfId="0" applyNumberFormat="1" applyFont="1" applyFill="1" applyBorder="1" applyAlignment="1" applyProtection="1">
      <alignment horizontal="center" vertical="center"/>
      <protection locked="0"/>
    </xf>
    <xf numFmtId="178" fontId="32" fillId="0" borderId="6" xfId="0" applyNumberFormat="1" applyFont="1" applyFill="1" applyBorder="1" applyAlignment="1" applyProtection="1">
      <alignment horizontal="center" vertical="center"/>
      <protection locked="0"/>
    </xf>
    <xf numFmtId="0" fontId="34" fillId="0" borderId="6" xfId="0" applyFont="1" applyFill="1" applyBorder="1" applyAlignment="1">
      <alignment horizontal="center" vertical="center"/>
    </xf>
    <xf numFmtId="0" fontId="35" fillId="0" borderId="0" xfId="0" applyFont="1" applyFill="1" applyAlignment="1">
      <alignment vertical="center"/>
    </xf>
    <xf numFmtId="0" fontId="7" fillId="0" borderId="6" xfId="0" applyFont="1" applyFill="1" applyBorder="1" applyAlignment="1" applyProtection="1">
      <alignment vertical="center"/>
      <protection locked="0"/>
    </xf>
    <xf numFmtId="0" fontId="19" fillId="0" borderId="6" xfId="0" applyFont="1" applyFill="1" applyBorder="1" applyAlignment="1">
      <alignment horizontal="center" vertical="center"/>
    </xf>
    <xf numFmtId="49" fontId="36" fillId="0" borderId="6" xfId="0" applyNumberFormat="1" applyFont="1" applyFill="1" applyBorder="1" applyAlignment="1">
      <alignment horizontal="center"/>
    </xf>
    <xf numFmtId="49" fontId="36" fillId="0" borderId="6" xfId="0" applyNumberFormat="1" applyFont="1" applyFill="1" applyBorder="1" applyAlignment="1">
      <alignment horizontal="center" vertical="center"/>
    </xf>
    <xf numFmtId="0" fontId="37" fillId="0" borderId="6" xfId="0" applyFont="1" applyFill="1" applyBorder="1" applyAlignment="1">
      <alignment horizontal="center" vertical="center"/>
    </xf>
    <xf numFmtId="49" fontId="38" fillId="0" borderId="6" xfId="0" applyNumberFormat="1" applyFont="1" applyFill="1" applyBorder="1" applyAlignment="1">
      <alignment horizontal="center" vertical="center"/>
    </xf>
    <xf numFmtId="0" fontId="39" fillId="0" borderId="6" xfId="0" applyFont="1" applyFill="1" applyBorder="1" applyAlignment="1">
      <alignment horizontal="center" vertical="center"/>
    </xf>
    <xf numFmtId="180" fontId="27" fillId="3" borderId="6" xfId="411" applyNumberFormat="1" applyFont="1" applyFill="1" applyBorder="1" applyAlignment="1" applyProtection="1">
      <alignment horizontal="center" vertical="center" wrapText="1"/>
    </xf>
    <xf numFmtId="49" fontId="40" fillId="3" borderId="6" xfId="411" applyNumberFormat="1" applyFont="1" applyFill="1" applyBorder="1" applyAlignment="1" applyProtection="1">
      <alignment horizontal="center" vertical="center" wrapText="1"/>
    </xf>
    <xf numFmtId="49" fontId="27" fillId="3" borderId="6" xfId="364" applyNumberFormat="1" applyFont="1" applyFill="1" applyBorder="1" applyAlignment="1" applyProtection="1">
      <alignment horizontal="center" vertical="center" wrapText="1"/>
    </xf>
    <xf numFmtId="176" fontId="31"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protection locked="0"/>
    </xf>
    <xf numFmtId="0" fontId="19" fillId="0" borderId="6" xfId="0" applyNumberFormat="1" applyFont="1" applyFill="1" applyBorder="1" applyAlignment="1" applyProtection="1">
      <alignment horizontal="center" vertical="center"/>
      <protection locked="0"/>
    </xf>
    <xf numFmtId="49" fontId="31" fillId="0" borderId="6"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49" fontId="32" fillId="0" borderId="6" xfId="0" applyNumberFormat="1" applyFont="1" applyFill="1" applyBorder="1" applyAlignment="1" applyProtection="1">
      <alignment horizontal="center" vertical="center"/>
      <protection locked="0"/>
    </xf>
    <xf numFmtId="49" fontId="33" fillId="5" borderId="6" xfId="364" applyNumberFormat="1" applyFont="1" applyFill="1" applyBorder="1" applyAlignment="1" applyProtection="1">
      <alignment horizontal="center" vertical="center" wrapText="1"/>
    </xf>
    <xf numFmtId="0" fontId="41" fillId="6" borderId="6" xfId="364" applyFont="1" applyFill="1" applyBorder="1" applyAlignment="1" applyProtection="1">
      <alignment horizontal="center" vertical="center" wrapText="1"/>
    </xf>
    <xf numFmtId="0" fontId="41" fillId="6" borderId="6" xfId="0" applyFont="1" applyFill="1" applyBorder="1" applyAlignment="1" applyProtection="1">
      <alignment horizontal="center" vertical="center" wrapText="1"/>
    </xf>
    <xf numFmtId="0" fontId="41" fillId="6" borderId="6" xfId="0" applyFont="1" applyFill="1" applyBorder="1" applyAlignment="1" applyProtection="1">
      <alignment horizontal="center" vertical="center"/>
    </xf>
    <xf numFmtId="0" fontId="10" fillId="0" borderId="0" xfId="0" applyFont="1" applyFill="1" applyAlignment="1">
      <alignment horizontal="center" vertical="center"/>
    </xf>
    <xf numFmtId="0" fontId="10" fillId="0" borderId="0" xfId="0" applyFont="1" applyFill="1" applyAlignment="1">
      <alignment vertical="center"/>
    </xf>
    <xf numFmtId="0" fontId="42" fillId="0" borderId="0" xfId="0" applyFont="1" applyFill="1" applyAlignment="1">
      <alignment vertical="center"/>
    </xf>
    <xf numFmtId="0" fontId="42" fillId="10" borderId="0" xfId="0" applyFont="1" applyFill="1" applyAlignment="1">
      <alignment vertical="center"/>
    </xf>
    <xf numFmtId="0" fontId="43" fillId="0" borderId="0" xfId="0" applyFont="1" applyFill="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10" fillId="0" borderId="0" xfId="0" applyNumberFormat="1" applyFont="1" applyFill="1" applyAlignment="1">
      <alignment vertical="center"/>
    </xf>
    <xf numFmtId="0" fontId="46" fillId="0" borderId="0" xfId="0" applyFont="1" applyFill="1" applyAlignment="1">
      <alignment vertical="center"/>
    </xf>
    <xf numFmtId="0" fontId="22" fillId="11" borderId="6"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45" fillId="0" borderId="6" xfId="0" applyFont="1" applyFill="1" applyBorder="1" applyAlignment="1"/>
    <xf numFmtId="0" fontId="24" fillId="11" borderId="6" xfId="0" applyFont="1" applyFill="1" applyBorder="1" applyAlignment="1">
      <alignment horizontal="center" vertical="center" wrapText="1"/>
    </xf>
    <xf numFmtId="0" fontId="36" fillId="0" borderId="6" xfId="0" applyFont="1" applyFill="1" applyBorder="1" applyAlignment="1">
      <alignment horizontal="center"/>
    </xf>
    <xf numFmtId="0" fontId="36" fillId="10" borderId="6" xfId="0" applyFont="1" applyFill="1" applyBorder="1" applyAlignment="1">
      <alignment horizontal="center"/>
    </xf>
    <xf numFmtId="49" fontId="36" fillId="10" borderId="6" xfId="0" applyNumberFormat="1" applyFont="1" applyFill="1" applyBorder="1" applyAlignment="1">
      <alignment horizontal="center" vertical="center"/>
    </xf>
    <xf numFmtId="0" fontId="19" fillId="10" borderId="6" xfId="0" applyFont="1" applyFill="1" applyBorder="1" applyAlignment="1" applyProtection="1">
      <alignment horizontal="center" vertical="center"/>
      <protection locked="0"/>
    </xf>
    <xf numFmtId="49" fontId="36" fillId="10" borderId="6" xfId="0" applyNumberFormat="1" applyFont="1" applyFill="1" applyBorder="1" applyAlignment="1">
      <alignment horizontal="center"/>
    </xf>
    <xf numFmtId="0" fontId="37" fillId="10" borderId="6" xfId="0" applyFont="1" applyFill="1" applyBorder="1" applyAlignment="1">
      <alignment horizontal="center" vertical="center"/>
    </xf>
    <xf numFmtId="49" fontId="38" fillId="10" borderId="6" xfId="0" applyNumberFormat="1" applyFont="1" applyFill="1" applyBorder="1" applyAlignment="1">
      <alignment horizontal="center" vertical="center"/>
    </xf>
    <xf numFmtId="0" fontId="47" fillId="0" borderId="14" xfId="0" applyFont="1" applyFill="1" applyBorder="1" applyAlignment="1">
      <alignment horizontal="center"/>
    </xf>
    <xf numFmtId="49" fontId="47" fillId="0" borderId="14" xfId="0" applyNumberFormat="1" applyFont="1" applyFill="1" applyBorder="1" applyAlignment="1">
      <alignment horizontal="center" vertical="center"/>
    </xf>
    <xf numFmtId="0" fontId="19" fillId="0" borderId="10" xfId="0" applyFont="1" applyFill="1" applyBorder="1" applyAlignment="1" applyProtection="1">
      <alignment horizontal="center" vertical="center"/>
      <protection locked="0"/>
    </xf>
    <xf numFmtId="49" fontId="47" fillId="0" borderId="10" xfId="0" applyNumberFormat="1" applyFont="1" applyFill="1" applyBorder="1" applyAlignment="1">
      <alignment horizontal="center"/>
    </xf>
    <xf numFmtId="49" fontId="48" fillId="0" borderId="15" xfId="0" applyNumberFormat="1" applyFont="1" applyFill="1" applyBorder="1" applyAlignment="1">
      <alignment horizontal="center" vertical="center"/>
    </xf>
    <xf numFmtId="0" fontId="49" fillId="0" borderId="10" xfId="0" applyFont="1" applyFill="1" applyBorder="1" applyAlignment="1">
      <alignment horizontal="center" vertical="center"/>
    </xf>
    <xf numFmtId="49" fontId="50" fillId="0" borderId="10" xfId="0" applyNumberFormat="1" applyFont="1" applyFill="1" applyBorder="1" applyAlignment="1">
      <alignment horizontal="center" vertical="center"/>
    </xf>
    <xf numFmtId="49" fontId="48" fillId="0" borderId="10" xfId="0" applyNumberFormat="1" applyFont="1" applyFill="1" applyBorder="1" applyAlignment="1">
      <alignment horizontal="center"/>
    </xf>
    <xf numFmtId="0" fontId="22" fillId="11" borderId="16" xfId="0" applyFont="1" applyFill="1" applyBorder="1" applyAlignment="1">
      <alignment horizontal="left" vertical="center"/>
    </xf>
    <xf numFmtId="4" fontId="22" fillId="11" borderId="17" xfId="0" applyNumberFormat="1" applyFont="1" applyFill="1" applyBorder="1" applyAlignment="1">
      <alignment horizontal="right" vertical="center"/>
    </xf>
    <xf numFmtId="4" fontId="22" fillId="11" borderId="10" xfId="0" applyNumberFormat="1" applyFont="1" applyFill="1" applyBorder="1" applyAlignment="1">
      <alignment horizontal="right" vertical="center"/>
    </xf>
    <xf numFmtId="4" fontId="22" fillId="11" borderId="15" xfId="0" applyNumberFormat="1" applyFont="1" applyFill="1" applyBorder="1" applyAlignment="1">
      <alignment horizontal="right" vertical="center"/>
    </xf>
    <xf numFmtId="0" fontId="22" fillId="11" borderId="18" xfId="0" applyFont="1" applyFill="1" applyBorder="1" applyAlignment="1">
      <alignment horizontal="left" vertical="center"/>
    </xf>
    <xf numFmtId="4" fontId="22" fillId="11" borderId="19" xfId="0" applyNumberFormat="1" applyFont="1" applyFill="1" applyBorder="1" applyAlignment="1">
      <alignment horizontal="right" vertical="center"/>
    </xf>
    <xf numFmtId="4" fontId="22" fillId="11" borderId="20" xfId="0" applyNumberFormat="1" applyFont="1" applyFill="1" applyBorder="1" applyAlignment="1">
      <alignment horizontal="right" vertical="center"/>
    </xf>
    <xf numFmtId="4" fontId="22" fillId="11" borderId="21" xfId="0" applyNumberFormat="1" applyFont="1" applyFill="1" applyBorder="1" applyAlignment="1">
      <alignment horizontal="right" vertical="center"/>
    </xf>
    <xf numFmtId="0" fontId="10" fillId="0" borderId="0" xfId="0" applyFont="1" applyFill="1" applyAlignment="1"/>
    <xf numFmtId="0" fontId="49" fillId="0" borderId="0" xfId="0" applyFont="1" applyFill="1" applyAlignment="1">
      <alignment vertical="center"/>
    </xf>
    <xf numFmtId="0" fontId="25" fillId="11" borderId="6" xfId="0" applyFont="1" applyFill="1" applyBorder="1" applyAlignment="1">
      <alignment horizontal="center" vertical="center" wrapText="1"/>
    </xf>
    <xf numFmtId="0" fontId="23" fillId="11" borderId="6" xfId="0" applyFont="1" applyFill="1" applyBorder="1" applyAlignment="1">
      <alignment horizontal="center" vertical="center" wrapText="1"/>
    </xf>
    <xf numFmtId="0" fontId="47" fillId="0" borderId="15" xfId="0" applyFont="1" applyFill="1" applyBorder="1" applyAlignment="1">
      <alignment horizontal="center"/>
    </xf>
    <xf numFmtId="0" fontId="48" fillId="0" borderId="15" xfId="0" applyFont="1" applyFill="1" applyBorder="1" applyAlignment="1">
      <alignment horizontal="center"/>
    </xf>
    <xf numFmtId="4" fontId="22" fillId="11" borderId="22" xfId="0" applyNumberFormat="1" applyFont="1" applyFill="1" applyBorder="1" applyAlignment="1">
      <alignment horizontal="right" vertical="center"/>
    </xf>
    <xf numFmtId="0" fontId="47" fillId="6" borderId="15" xfId="0" applyFont="1" applyFill="1" applyBorder="1" applyAlignment="1">
      <alignment horizontal="center"/>
    </xf>
    <xf numFmtId="0" fontId="48" fillId="6" borderId="15" xfId="0" applyFont="1" applyFill="1" applyBorder="1" applyAlignment="1">
      <alignment horizontal="center"/>
    </xf>
    <xf numFmtId="0" fontId="42" fillId="0" borderId="6" xfId="0" applyFont="1" applyFill="1" applyBorder="1" applyAlignment="1">
      <alignment vertical="center"/>
    </xf>
    <xf numFmtId="0" fontId="42" fillId="10" borderId="6" xfId="0" applyFont="1" applyFill="1" applyBorder="1" applyAlignment="1">
      <alignment vertical="center"/>
    </xf>
    <xf numFmtId="0" fontId="43" fillId="0" borderId="15" xfId="0" applyFont="1" applyFill="1" applyBorder="1" applyAlignment="1">
      <alignment vertical="center"/>
    </xf>
    <xf numFmtId="0" fontId="22" fillId="11" borderId="6" xfId="0" applyNumberFormat="1" applyFont="1" applyFill="1" applyBorder="1" applyAlignment="1">
      <alignment horizontal="center" vertical="center" wrapText="1"/>
    </xf>
    <xf numFmtId="0" fontId="23" fillId="11" borderId="6" xfId="0" applyNumberFormat="1" applyFont="1" applyFill="1" applyBorder="1" applyAlignment="1">
      <alignment horizontal="center" vertical="center" wrapText="1"/>
    </xf>
    <xf numFmtId="184" fontId="51" fillId="0" borderId="6" xfId="0" applyNumberFormat="1" applyFont="1" applyFill="1" applyBorder="1" applyAlignment="1">
      <alignment horizontal="left" vertical="center"/>
    </xf>
    <xf numFmtId="0" fontId="36" fillId="0" borderId="6" xfId="0" applyNumberFormat="1" applyFont="1" applyFill="1" applyBorder="1" applyAlignment="1">
      <alignment horizontal="center"/>
    </xf>
    <xf numFmtId="184" fontId="51" fillId="10" borderId="6" xfId="0" applyNumberFormat="1" applyFont="1" applyFill="1" applyBorder="1" applyAlignment="1">
      <alignment horizontal="left" vertical="center"/>
    </xf>
    <xf numFmtId="0" fontId="36" fillId="10" borderId="6" xfId="0" applyNumberFormat="1" applyFont="1" applyFill="1" applyBorder="1" applyAlignment="1">
      <alignment horizontal="center"/>
    </xf>
    <xf numFmtId="49" fontId="47" fillId="0" borderId="15" xfId="0" applyNumberFormat="1" applyFont="1" applyFill="1" applyBorder="1" applyAlignment="1">
      <alignment horizontal="center" vertical="center"/>
    </xf>
    <xf numFmtId="184" fontId="52" fillId="0" borderId="15" xfId="0" applyNumberFormat="1" applyFont="1" applyFill="1" applyBorder="1" applyAlignment="1">
      <alignment horizontal="left" vertical="center"/>
    </xf>
    <xf numFmtId="0" fontId="47" fillId="0" borderId="15" xfId="0" applyNumberFormat="1" applyFont="1" applyFill="1" applyBorder="1" applyAlignment="1">
      <alignment horizontal="center"/>
    </xf>
    <xf numFmtId="0" fontId="22" fillId="11" borderId="22" xfId="0" applyNumberFormat="1" applyFont="1" applyFill="1" applyBorder="1" applyAlignment="1">
      <alignment horizontal="right" vertical="center"/>
    </xf>
    <xf numFmtId="0" fontId="10" fillId="0" borderId="0" xfId="0" applyNumberFormat="1" applyFont="1" applyFill="1" applyAlignment="1"/>
    <xf numFmtId="0" fontId="53" fillId="11" borderId="13" xfId="0" applyFont="1" applyFill="1" applyBorder="1" applyAlignment="1">
      <alignment horizontal="center" vertical="center" wrapText="1"/>
    </xf>
    <xf numFmtId="4" fontId="29" fillId="0" borderId="6"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49" fontId="54" fillId="0" borderId="13" xfId="0" applyNumberFormat="1" applyFont="1" applyFill="1" applyBorder="1" applyAlignment="1">
      <alignment horizontal="center" wrapText="1"/>
    </xf>
    <xf numFmtId="4" fontId="29" fillId="10" borderId="6" xfId="0" applyNumberFormat="1" applyFont="1" applyFill="1" applyBorder="1" applyAlignment="1">
      <alignment horizontal="center" vertical="center" wrapText="1"/>
    </xf>
    <xf numFmtId="0" fontId="29" fillId="10" borderId="6" xfId="0" applyNumberFormat="1" applyFont="1" applyFill="1" applyBorder="1" applyAlignment="1">
      <alignment horizontal="center" vertical="center" wrapText="1"/>
    </xf>
    <xf numFmtId="49" fontId="54" fillId="10" borderId="13" xfId="0" applyNumberFormat="1" applyFont="1" applyFill="1" applyBorder="1" applyAlignment="1">
      <alignment horizontal="center" wrapText="1"/>
    </xf>
    <xf numFmtId="49" fontId="54" fillId="0" borderId="13" xfId="0" applyNumberFormat="1" applyFont="1" applyFill="1" applyBorder="1" applyAlignment="1">
      <alignment horizontal="center"/>
    </xf>
    <xf numFmtId="49" fontId="54" fillId="0" borderId="13" xfId="0" applyNumberFormat="1" applyFont="1" applyFill="1" applyBorder="1" applyAlignment="1">
      <alignment horizontal="center" vertical="top" wrapText="1"/>
    </xf>
    <xf numFmtId="49" fontId="54" fillId="10" borderId="13" xfId="0" applyNumberFormat="1" applyFont="1" applyFill="1" applyBorder="1" applyAlignment="1">
      <alignment horizontal="center"/>
    </xf>
    <xf numFmtId="4" fontId="23" fillId="0" borderId="15" xfId="0" applyNumberFormat="1" applyFont="1" applyFill="1" applyBorder="1" applyAlignment="1">
      <alignment horizontal="center" vertical="center" wrapText="1"/>
    </xf>
    <xf numFmtId="4" fontId="23" fillId="0" borderId="14"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wrapText="1"/>
    </xf>
    <xf numFmtId="4" fontId="23" fillId="0" borderId="6" xfId="0" applyNumberFormat="1" applyFont="1" applyFill="1" applyBorder="1" applyAlignment="1">
      <alignment horizontal="center" vertical="center" wrapText="1"/>
    </xf>
    <xf numFmtId="49" fontId="6" fillId="0" borderId="13" xfId="0" applyNumberFormat="1" applyFont="1" applyFill="1" applyBorder="1" applyAlignment="1">
      <alignment horizontal="center"/>
    </xf>
    <xf numFmtId="4" fontId="53" fillId="11" borderId="6" xfId="0" applyNumberFormat="1" applyFont="1" applyFill="1" applyBorder="1" applyAlignment="1">
      <alignment horizontal="right" vertical="center"/>
    </xf>
    <xf numFmtId="4" fontId="22" fillId="11" borderId="15" xfId="0" applyNumberFormat="1" applyFont="1" applyFill="1" applyBorder="1" applyAlignment="1">
      <alignment horizontal="center" vertical="center"/>
    </xf>
    <xf numFmtId="4" fontId="53" fillId="11" borderId="4" xfId="0" applyNumberFormat="1" applyFont="1" applyFill="1" applyBorder="1" applyAlignment="1">
      <alignment horizontal="right" vertical="center"/>
    </xf>
    <xf numFmtId="0" fontId="46" fillId="0" borderId="0" xfId="0" applyFont="1" applyFill="1" applyAlignment="1"/>
    <xf numFmtId="176" fontId="10" fillId="0" borderId="0" xfId="0" applyNumberFormat="1" applyFont="1" applyFill="1" applyAlignment="1">
      <alignment horizontal="center" vertical="center"/>
    </xf>
    <xf numFmtId="176" fontId="10" fillId="0" borderId="0" xfId="0" applyNumberFormat="1" applyFont="1" applyFill="1" applyAlignment="1">
      <alignment vertical="center"/>
    </xf>
    <xf numFmtId="0" fontId="36" fillId="0" borderId="23" xfId="0" applyFont="1" applyFill="1" applyBorder="1" applyAlignment="1">
      <alignment horizontal="center" wrapText="1"/>
    </xf>
    <xf numFmtId="0" fontId="36" fillId="0" borderId="24" xfId="0" applyFont="1" applyFill="1" applyBorder="1" applyAlignment="1">
      <alignment horizontal="center" wrapText="1"/>
    </xf>
    <xf numFmtId="0" fontId="36" fillId="0" borderId="24" xfId="0" applyFont="1" applyFill="1" applyBorder="1" applyAlignment="1">
      <alignment horizontal="center"/>
    </xf>
    <xf numFmtId="49" fontId="36" fillId="0" borderId="24" xfId="0" applyNumberFormat="1" applyFont="1" applyFill="1" applyBorder="1" applyAlignment="1">
      <alignment horizontal="center" vertical="center"/>
    </xf>
    <xf numFmtId="0" fontId="55" fillId="0" borderId="0" xfId="0" applyFont="1" applyFill="1" applyAlignment="1">
      <alignment vertical="center"/>
    </xf>
    <xf numFmtId="0" fontId="36" fillId="10" borderId="23" xfId="0" applyFont="1" applyFill="1" applyBorder="1" applyAlignment="1">
      <alignment horizontal="center" wrapText="1"/>
    </xf>
    <xf numFmtId="0" fontId="55" fillId="10" borderId="0" xfId="0" applyFont="1" applyFill="1" applyAlignment="1">
      <alignment vertical="center"/>
    </xf>
    <xf numFmtId="0" fontId="29" fillId="9" borderId="11" xfId="357" applyFont="1" applyFill="1" applyBorder="1" applyAlignment="1">
      <alignment horizontal="left" vertical="center"/>
    </xf>
    <xf numFmtId="0" fontId="56" fillId="0" borderId="0" xfId="0" applyFont="1" applyFill="1" applyAlignment="1">
      <alignment vertical="center"/>
    </xf>
    <xf numFmtId="0" fontId="57" fillId="0" borderId="6" xfId="0" applyFont="1" applyFill="1" applyBorder="1" applyAlignment="1">
      <alignment horizontal="center"/>
    </xf>
    <xf numFmtId="49" fontId="57" fillId="0" borderId="6" xfId="0" applyNumberFormat="1" applyFont="1" applyFill="1" applyBorder="1" applyAlignment="1">
      <alignment horizontal="center" vertical="center"/>
    </xf>
    <xf numFmtId="49" fontId="57" fillId="0" borderId="6" xfId="0" applyNumberFormat="1" applyFont="1" applyFill="1" applyBorder="1" applyAlignment="1">
      <alignment horizontal="center"/>
    </xf>
    <xf numFmtId="0" fontId="58" fillId="0" borderId="6" xfId="0" applyFont="1" applyFill="1" applyBorder="1" applyAlignment="1">
      <alignment horizontal="center" vertical="center"/>
    </xf>
    <xf numFmtId="49" fontId="59" fillId="0" borderId="6" xfId="0" applyNumberFormat="1" applyFont="1" applyFill="1" applyBorder="1" applyAlignment="1">
      <alignment horizontal="center" vertical="center"/>
    </xf>
    <xf numFmtId="0" fontId="57" fillId="6" borderId="6" xfId="0" applyFont="1" applyFill="1" applyBorder="1" applyAlignment="1">
      <alignment horizontal="center"/>
    </xf>
    <xf numFmtId="0" fontId="56" fillId="0" borderId="6" xfId="0" applyFont="1" applyFill="1" applyBorder="1" applyAlignment="1">
      <alignment vertical="center"/>
    </xf>
    <xf numFmtId="184" fontId="60" fillId="0" borderId="6" xfId="0" applyNumberFormat="1" applyFont="1" applyFill="1" applyBorder="1" applyAlignment="1">
      <alignment horizontal="left" vertical="center"/>
    </xf>
    <xf numFmtId="0" fontId="57" fillId="0" borderId="6" xfId="0" applyNumberFormat="1" applyFont="1" applyFill="1" applyBorder="1" applyAlignment="1">
      <alignment horizontal="center"/>
    </xf>
    <xf numFmtId="4" fontId="61" fillId="0" borderId="6" xfId="0" applyNumberFormat="1" applyFont="1" applyFill="1" applyBorder="1" applyAlignment="1">
      <alignment horizontal="center" vertical="center" wrapText="1"/>
    </xf>
    <xf numFmtId="0" fontId="61" fillId="0" borderId="6" xfId="0" applyNumberFormat="1" applyFont="1" applyFill="1" applyBorder="1" applyAlignment="1">
      <alignment horizontal="center" vertical="center" wrapText="1"/>
    </xf>
    <xf numFmtId="49" fontId="62" fillId="0" borderId="13" xfId="0" applyNumberFormat="1" applyFont="1" applyFill="1" applyBorder="1" applyAlignment="1">
      <alignment horizontal="center"/>
    </xf>
    <xf numFmtId="0" fontId="36" fillId="0" borderId="23" xfId="0" applyFont="1" applyFill="1" applyBorder="1" applyAlignment="1">
      <alignment horizontal="center"/>
    </xf>
    <xf numFmtId="0" fontId="63" fillId="0" borderId="0" xfId="0" applyFont="1" applyFill="1" applyAlignment="1">
      <alignment vertical="center"/>
    </xf>
    <xf numFmtId="0" fontId="10" fillId="12" borderId="0" xfId="0" applyFont="1" applyFill="1" applyAlignment="1">
      <alignment vertical="center"/>
    </xf>
    <xf numFmtId="0" fontId="64" fillId="12" borderId="0" xfId="490" applyFont="1" applyFill="1" applyBorder="1" applyAlignment="1">
      <alignment horizontal="center" vertical="center"/>
    </xf>
    <xf numFmtId="0" fontId="65" fillId="12" borderId="0" xfId="490" applyNumberFormat="1" applyFont="1" applyFill="1" applyBorder="1" applyAlignment="1" applyProtection="1">
      <alignment horizontal="center" vertical="center"/>
      <protection locked="0"/>
    </xf>
    <xf numFmtId="0" fontId="65" fillId="12" borderId="0" xfId="490" applyNumberFormat="1" applyFont="1" applyFill="1" applyBorder="1" applyAlignment="1" applyProtection="1">
      <alignment horizontal="left" vertical="center"/>
      <protection locked="0"/>
    </xf>
    <xf numFmtId="0" fontId="66" fillId="12" borderId="0" xfId="490" applyNumberFormat="1" applyFont="1" applyFill="1" applyBorder="1" applyAlignment="1" applyProtection="1">
      <alignment horizontal="center" vertical="center"/>
      <protection locked="0"/>
    </xf>
    <xf numFmtId="0" fontId="67" fillId="12" borderId="0" xfId="490" applyNumberFormat="1" applyFont="1" applyFill="1" applyBorder="1" applyAlignment="1" applyProtection="1">
      <alignment horizontal="left" vertical="center"/>
      <protection locked="0"/>
    </xf>
    <xf numFmtId="0" fontId="29" fillId="12" borderId="0" xfId="0" applyFont="1" applyFill="1" applyBorder="1" applyAlignment="1" applyProtection="1">
      <alignment horizontal="right" vertical="center"/>
      <protection locked="0"/>
    </xf>
    <xf numFmtId="49" fontId="68" fillId="12" borderId="0" xfId="489" applyNumberFormat="1" applyFont="1" applyFill="1" applyBorder="1" applyAlignment="1" applyProtection="1">
      <alignment horizontal="left" vertical="center"/>
      <protection locked="0"/>
    </xf>
    <xf numFmtId="0" fontId="55" fillId="12" borderId="0" xfId="0" applyFont="1" applyFill="1" applyBorder="1" applyAlignment="1" applyProtection="1">
      <alignment horizontal="left" vertical="center"/>
      <protection locked="0"/>
    </xf>
    <xf numFmtId="0" fontId="69" fillId="12" borderId="0" xfId="490" applyFont="1" applyFill="1" applyBorder="1" applyAlignment="1">
      <alignment horizontal="right" vertical="center"/>
    </xf>
    <xf numFmtId="14" fontId="70" fillId="12" borderId="0" xfId="0" applyNumberFormat="1" applyFont="1" applyFill="1" applyBorder="1" applyAlignment="1" applyProtection="1">
      <alignment horizontal="left" vertical="center"/>
      <protection locked="0"/>
    </xf>
    <xf numFmtId="0" fontId="70" fillId="12" borderId="0" xfId="0" applyFont="1" applyFill="1" applyBorder="1" applyAlignment="1" applyProtection="1">
      <alignment horizontal="right" vertical="center"/>
      <protection locked="0"/>
    </xf>
    <xf numFmtId="0" fontId="71" fillId="12" borderId="0" xfId="0" applyFont="1" applyFill="1" applyBorder="1" applyAlignment="1">
      <alignment horizontal="left" vertical="center"/>
    </xf>
    <xf numFmtId="0" fontId="71" fillId="12" borderId="0" xfId="0" applyFont="1" applyFill="1" applyAlignment="1">
      <alignment horizontal="left" vertical="center"/>
    </xf>
    <xf numFmtId="0" fontId="67" fillId="12" borderId="0" xfId="490" applyNumberFormat="1" applyFont="1" applyFill="1" applyBorder="1" applyAlignment="1" applyProtection="1">
      <alignment horizontal="center" vertical="center"/>
      <protection locked="0"/>
    </xf>
    <xf numFmtId="0" fontId="71" fillId="12" borderId="0" xfId="0" applyFont="1" applyFill="1" applyBorder="1" applyAlignment="1" applyProtection="1">
      <alignment horizontal="left" vertical="center"/>
      <protection locked="0"/>
    </xf>
    <xf numFmtId="0" fontId="72" fillId="12" borderId="0" xfId="490" applyNumberFormat="1" applyFont="1" applyFill="1" applyBorder="1" applyAlignment="1" applyProtection="1">
      <alignment horizontal="center" vertical="center"/>
      <protection locked="0"/>
    </xf>
    <xf numFmtId="186" fontId="70" fillId="12" borderId="0" xfId="489" applyNumberFormat="1" applyFont="1" applyFill="1" applyBorder="1" applyAlignment="1" applyProtection="1">
      <alignment horizontal="left" vertical="center"/>
      <protection locked="0"/>
    </xf>
    <xf numFmtId="0" fontId="73" fillId="12" borderId="25" xfId="0" applyFont="1" applyFill="1" applyBorder="1" applyAlignment="1" applyProtection="1">
      <alignment horizontal="center" vertical="center"/>
      <protection locked="0"/>
    </xf>
    <xf numFmtId="0" fontId="73" fillId="12" borderId="26" xfId="0" applyFont="1" applyFill="1" applyBorder="1" applyAlignment="1" applyProtection="1">
      <alignment horizontal="center" vertical="center"/>
      <protection locked="0"/>
    </xf>
    <xf numFmtId="0" fontId="17" fillId="12" borderId="27" xfId="488" applyNumberFormat="1" applyFont="1" applyFill="1" applyBorder="1" applyAlignment="1" applyProtection="1">
      <alignment horizontal="left" vertical="center"/>
      <protection locked="0"/>
    </xf>
    <xf numFmtId="0" fontId="17" fillId="12" borderId="10" xfId="488" applyNumberFormat="1" applyFont="1" applyFill="1" applyBorder="1" applyAlignment="1" applyProtection="1">
      <alignment horizontal="left" vertical="center"/>
      <protection locked="0"/>
    </xf>
    <xf numFmtId="43" fontId="74" fillId="12" borderId="11" xfId="0" applyNumberFormat="1" applyFont="1" applyFill="1" applyBorder="1" applyAlignment="1" applyProtection="1">
      <alignment horizontal="left" vertical="center" shrinkToFit="1"/>
    </xf>
    <xf numFmtId="43" fontId="74" fillId="12" borderId="12" xfId="0" applyNumberFormat="1" applyFont="1" applyFill="1" applyBorder="1" applyAlignment="1" applyProtection="1">
      <alignment horizontal="left" vertical="center" shrinkToFit="1"/>
    </xf>
    <xf numFmtId="43" fontId="74" fillId="12" borderId="28" xfId="0" applyNumberFormat="1" applyFont="1" applyFill="1" applyBorder="1" applyAlignment="1" applyProtection="1">
      <alignment horizontal="left" vertical="center" shrinkToFit="1"/>
    </xf>
    <xf numFmtId="0" fontId="17" fillId="12" borderId="29" xfId="488" applyNumberFormat="1" applyFont="1" applyFill="1" applyBorder="1" applyAlignment="1" applyProtection="1">
      <alignment horizontal="left" vertical="center"/>
      <protection locked="0"/>
    </xf>
    <xf numFmtId="0" fontId="17" fillId="12" borderId="30" xfId="488" applyNumberFormat="1" applyFont="1" applyFill="1" applyBorder="1" applyAlignment="1" applyProtection="1">
      <alignment horizontal="left" vertical="center"/>
      <protection locked="0"/>
    </xf>
    <xf numFmtId="177" fontId="74" fillId="12" borderId="31" xfId="0" applyNumberFormat="1" applyFont="1" applyFill="1" applyBorder="1" applyAlignment="1" applyProtection="1">
      <alignment horizontal="right" vertical="center" shrinkToFit="1"/>
    </xf>
    <xf numFmtId="177" fontId="74" fillId="12" borderId="32" xfId="0" applyNumberFormat="1" applyFont="1" applyFill="1" applyBorder="1" applyAlignment="1" applyProtection="1">
      <alignment horizontal="right" vertical="center" shrinkToFit="1"/>
    </xf>
    <xf numFmtId="177" fontId="74" fillId="12" borderId="33" xfId="0" applyNumberFormat="1" applyFont="1" applyFill="1" applyBorder="1" applyAlignment="1" applyProtection="1">
      <alignment horizontal="right" vertical="center" shrinkToFit="1"/>
    </xf>
    <xf numFmtId="0" fontId="28" fillId="12" borderId="27" xfId="489" applyNumberFormat="1" applyFont="1" applyFill="1" applyBorder="1" applyAlignment="1" applyProtection="1">
      <alignment horizontal="left" vertical="center"/>
      <protection locked="0"/>
    </xf>
    <xf numFmtId="0" fontId="28" fillId="12" borderId="10" xfId="489" applyNumberFormat="1" applyFont="1" applyFill="1" applyBorder="1" applyAlignment="1" applyProtection="1">
      <alignment horizontal="left" vertical="center"/>
      <protection locked="0"/>
    </xf>
    <xf numFmtId="43" fontId="75" fillId="12" borderId="10" xfId="0" applyNumberFormat="1" applyFont="1" applyFill="1" applyBorder="1" applyAlignment="1" applyProtection="1">
      <alignment horizontal="left" vertical="center" shrinkToFit="1"/>
    </xf>
    <xf numFmtId="0" fontId="28" fillId="12" borderId="34" xfId="489" applyNumberFormat="1" applyFont="1" applyFill="1" applyBorder="1" applyAlignment="1" applyProtection="1">
      <alignment horizontal="left" vertical="center"/>
      <protection locked="0"/>
    </xf>
    <xf numFmtId="0" fontId="28" fillId="12" borderId="35" xfId="489" applyNumberFormat="1" applyFont="1" applyFill="1" applyBorder="1" applyAlignment="1" applyProtection="1">
      <alignment horizontal="left" vertical="center"/>
      <protection locked="0"/>
    </xf>
    <xf numFmtId="0" fontId="28" fillId="12" borderId="36" xfId="489" applyNumberFormat="1" applyFont="1" applyFill="1" applyBorder="1" applyAlignment="1" applyProtection="1">
      <alignment horizontal="left" vertical="center"/>
      <protection locked="0"/>
    </xf>
    <xf numFmtId="43" fontId="75" fillId="12" borderId="37" xfId="0" applyNumberFormat="1" applyFont="1" applyFill="1" applyBorder="1" applyAlignment="1" applyProtection="1">
      <alignment horizontal="left" vertical="center" shrinkToFit="1"/>
      <protection locked="0"/>
    </xf>
    <xf numFmtId="0" fontId="7" fillId="12" borderId="38" xfId="163" applyFont="1" applyFill="1" applyBorder="1" applyAlignment="1">
      <alignment vertical="center"/>
    </xf>
    <xf numFmtId="0" fontId="7" fillId="12" borderId="6" xfId="163" applyFont="1" applyFill="1" applyBorder="1" applyAlignment="1">
      <alignment vertical="center"/>
    </xf>
    <xf numFmtId="43" fontId="75" fillId="12" borderId="6" xfId="0" applyNumberFormat="1" applyFont="1" applyFill="1" applyBorder="1" applyAlignment="1" applyProtection="1">
      <alignment horizontal="left" vertical="center" shrinkToFit="1"/>
      <protection locked="0"/>
    </xf>
    <xf numFmtId="0" fontId="7" fillId="12" borderId="11" xfId="163" applyFont="1" applyFill="1" applyBorder="1" applyAlignment="1">
      <alignment horizontal="left" vertical="center"/>
    </xf>
    <xf numFmtId="0" fontId="7" fillId="12" borderId="12" xfId="163" applyFont="1" applyFill="1" applyBorder="1" applyAlignment="1">
      <alignment horizontal="left" vertical="center"/>
    </xf>
    <xf numFmtId="0" fontId="7" fillId="12" borderId="13" xfId="163" applyFont="1" applyFill="1" applyBorder="1" applyAlignment="1">
      <alignment horizontal="left" vertical="center"/>
    </xf>
    <xf numFmtId="43" fontId="75" fillId="12" borderId="39" xfId="0" applyNumberFormat="1" applyFont="1" applyFill="1" applyBorder="1" applyAlignment="1" applyProtection="1">
      <alignment horizontal="left" vertical="center" shrinkToFit="1"/>
      <protection locked="0"/>
    </xf>
    <xf numFmtId="0" fontId="7" fillId="12" borderId="40" xfId="163" applyFont="1" applyFill="1" applyBorder="1" applyAlignment="1">
      <alignment vertical="center"/>
    </xf>
    <xf numFmtId="0" fontId="7" fillId="12" borderId="41" xfId="163" applyFont="1" applyFill="1" applyBorder="1" applyAlignment="1">
      <alignment vertical="center"/>
    </xf>
    <xf numFmtId="43" fontId="75" fillId="12" borderId="41" xfId="489" applyNumberFormat="1" applyFont="1" applyFill="1" applyBorder="1" applyAlignment="1" applyProtection="1">
      <alignment horizontal="left" vertical="center" shrinkToFit="1"/>
      <protection locked="0"/>
    </xf>
    <xf numFmtId="187" fontId="28" fillId="12" borderId="42" xfId="489" applyNumberFormat="1" applyFont="1" applyFill="1" applyBorder="1" applyAlignment="1" applyProtection="1">
      <alignment horizontal="left" vertical="center"/>
      <protection locked="0"/>
    </xf>
    <xf numFmtId="187" fontId="28" fillId="12" borderId="43" xfId="489" applyNumberFormat="1" applyFont="1" applyFill="1" applyBorder="1" applyAlignment="1" applyProtection="1">
      <alignment horizontal="left" vertical="center"/>
      <protection locked="0"/>
    </xf>
    <xf numFmtId="187" fontId="28" fillId="12" borderId="44" xfId="489" applyNumberFormat="1" applyFont="1" applyFill="1" applyBorder="1" applyAlignment="1" applyProtection="1">
      <alignment horizontal="left" vertical="center"/>
      <protection locked="0"/>
    </xf>
    <xf numFmtId="43" fontId="75" fillId="12" borderId="45" xfId="489" applyNumberFormat="1" applyFont="1" applyFill="1" applyBorder="1" applyAlignment="1" applyProtection="1">
      <alignment horizontal="left" vertical="center" shrinkToFit="1"/>
      <protection locked="0"/>
    </xf>
    <xf numFmtId="185" fontId="76" fillId="12" borderId="0" xfId="489" applyNumberFormat="1" applyFont="1" applyFill="1" applyBorder="1" applyAlignment="1" applyProtection="1">
      <alignment horizontal="left" vertical="center"/>
      <protection locked="0"/>
    </xf>
    <xf numFmtId="0" fontId="77" fillId="0" borderId="25" xfId="487" applyFont="1" applyFill="1" applyBorder="1" applyAlignment="1">
      <alignment horizontal="center" vertical="center" wrapText="1"/>
    </xf>
    <xf numFmtId="0" fontId="77" fillId="0" borderId="46" xfId="487" applyFont="1" applyFill="1" applyBorder="1" applyAlignment="1">
      <alignment horizontal="center" vertical="center" wrapText="1"/>
    </xf>
    <xf numFmtId="178" fontId="77" fillId="0" borderId="46" xfId="487" applyNumberFormat="1" applyFont="1" applyFill="1" applyBorder="1" applyAlignment="1">
      <alignment horizontal="center" vertical="center" wrapText="1"/>
    </xf>
    <xf numFmtId="179" fontId="77" fillId="0" borderId="46" xfId="487" applyNumberFormat="1" applyFont="1" applyFill="1" applyBorder="1" applyAlignment="1">
      <alignment horizontal="center" vertical="center" wrapText="1"/>
    </xf>
    <xf numFmtId="0" fontId="77" fillId="0" borderId="47" xfId="487" applyFont="1" applyFill="1" applyBorder="1" applyAlignment="1">
      <alignment horizontal="center" vertical="center" wrapText="1"/>
    </xf>
    <xf numFmtId="0" fontId="54" fillId="0" borderId="38" xfId="487" applyFont="1" applyFill="1" applyBorder="1" applyAlignment="1">
      <alignment horizontal="center" vertical="center"/>
    </xf>
    <xf numFmtId="0" fontId="54" fillId="0" borderId="6" xfId="487" applyFont="1" applyFill="1" applyBorder="1" applyAlignment="1">
      <alignment horizontal="center" vertical="center"/>
    </xf>
    <xf numFmtId="43" fontId="54" fillId="0" borderId="6" xfId="487" applyNumberFormat="1" applyFont="1" applyFill="1" applyBorder="1" applyAlignment="1">
      <alignment horizontal="left" vertical="center"/>
    </xf>
    <xf numFmtId="178" fontId="54" fillId="0" borderId="6" xfId="487" applyNumberFormat="1" applyFont="1" applyFill="1" applyBorder="1" applyAlignment="1">
      <alignment horizontal="center" vertical="center"/>
    </xf>
    <xf numFmtId="179" fontId="54" fillId="0" borderId="6" xfId="487" applyNumberFormat="1" applyFont="1" applyFill="1" applyBorder="1" applyAlignment="1">
      <alignment horizontal="right" vertical="center"/>
    </xf>
    <xf numFmtId="0" fontId="54" fillId="0" borderId="39" xfId="487" applyFont="1" applyFill="1" applyBorder="1" applyAlignment="1">
      <alignment horizontal="left" vertical="center"/>
    </xf>
    <xf numFmtId="43" fontId="54" fillId="0" borderId="6" xfId="487" applyNumberFormat="1" applyFont="1" applyFill="1" applyBorder="1" applyAlignment="1">
      <alignment vertical="center"/>
    </xf>
    <xf numFmtId="43" fontId="54" fillId="0" borderId="6" xfId="487" applyNumberFormat="1" applyFont="1" applyFill="1" applyBorder="1" applyAlignment="1">
      <alignment horizontal="center" vertical="center"/>
    </xf>
    <xf numFmtId="0" fontId="54" fillId="0" borderId="39" xfId="487" applyFont="1" applyFill="1" applyBorder="1" applyAlignment="1">
      <alignment vertical="center" wrapText="1"/>
    </xf>
    <xf numFmtId="43" fontId="78" fillId="0" borderId="6" xfId="487" applyNumberFormat="1" applyFont="1" applyFill="1" applyBorder="1" applyAlignment="1">
      <alignment horizontal="center" vertical="center"/>
    </xf>
    <xf numFmtId="179" fontId="78" fillId="0" borderId="6" xfId="487" applyNumberFormat="1" applyFont="1" applyFill="1" applyBorder="1" applyAlignment="1">
      <alignment horizontal="right" vertical="center"/>
    </xf>
    <xf numFmtId="0" fontId="54" fillId="0" borderId="39" xfId="487" applyFont="1" applyFill="1" applyBorder="1" applyAlignment="1">
      <alignment vertical="center"/>
    </xf>
    <xf numFmtId="0" fontId="54" fillId="0" borderId="6" xfId="487" applyFont="1" applyFill="1" applyBorder="1" applyAlignment="1">
      <alignment horizontal="center" vertical="center" wrapText="1"/>
    </xf>
    <xf numFmtId="10" fontId="78" fillId="0" borderId="6" xfId="487" applyNumberFormat="1" applyFont="1" applyFill="1" applyBorder="1" applyAlignment="1">
      <alignment horizontal="center" vertical="center"/>
    </xf>
    <xf numFmtId="0" fontId="41" fillId="13" borderId="38" xfId="487" applyFont="1" applyFill="1" applyBorder="1" applyAlignment="1">
      <alignment horizontal="center" vertical="center"/>
    </xf>
    <xf numFmtId="0" fontId="41" fillId="13" borderId="6" xfId="487" applyFont="1" applyFill="1" applyBorder="1" applyAlignment="1">
      <alignment horizontal="center" vertical="center"/>
    </xf>
    <xf numFmtId="179" fontId="41" fillId="13" borderId="6" xfId="487" applyNumberFormat="1" applyFont="1" applyFill="1" applyBorder="1" applyAlignment="1">
      <alignment vertical="center"/>
    </xf>
    <xf numFmtId="0" fontId="54" fillId="13" borderId="39" xfId="487" applyFont="1" applyFill="1" applyBorder="1" applyAlignment="1">
      <alignment horizontal="left" vertical="center"/>
    </xf>
    <xf numFmtId="0" fontId="41" fillId="13" borderId="40" xfId="487" applyFont="1" applyFill="1" applyBorder="1" applyAlignment="1">
      <alignment horizontal="center" vertical="center"/>
    </xf>
    <xf numFmtId="0" fontId="41" fillId="13" borderId="41" xfId="487" applyFont="1" applyFill="1" applyBorder="1" applyAlignment="1">
      <alignment horizontal="center" vertical="center"/>
    </xf>
    <xf numFmtId="179" fontId="41" fillId="13" borderId="41" xfId="487" applyNumberFormat="1" applyFont="1" applyFill="1" applyBorder="1" applyAlignment="1">
      <alignment vertical="center"/>
    </xf>
    <xf numFmtId="0" fontId="54" fillId="13" borderId="45" xfId="487" applyFont="1" applyFill="1" applyBorder="1" applyAlignment="1">
      <alignment horizontal="left" vertical="center"/>
    </xf>
    <xf numFmtId="186" fontId="70" fillId="12" borderId="0" xfId="489" applyNumberFormat="1" applyFont="1" applyFill="1" applyBorder="1" applyAlignment="1" applyProtection="1">
      <alignment horizontal="right" vertical="center"/>
      <protection locked="0"/>
    </xf>
    <xf numFmtId="0" fontId="23" fillId="12" borderId="0" xfId="490" applyFont="1" applyFill="1" applyBorder="1" applyAlignment="1">
      <alignment horizontal="right" vertical="center"/>
    </xf>
    <xf numFmtId="14" fontId="68" fillId="12" borderId="0" xfId="0" applyNumberFormat="1" applyFont="1" applyFill="1" applyBorder="1" applyAlignment="1" applyProtection="1">
      <alignment horizontal="left" vertical="center"/>
      <protection locked="0"/>
    </xf>
    <xf numFmtId="0" fontId="79" fillId="12" borderId="0" xfId="490" applyNumberFormat="1" applyFont="1" applyFill="1" applyBorder="1" applyAlignment="1" applyProtection="1">
      <alignment horizontal="right" vertical="center"/>
      <protection locked="0"/>
    </xf>
    <xf numFmtId="0" fontId="80" fillId="12" borderId="0" xfId="490" applyNumberFormat="1" applyFont="1" applyFill="1" applyBorder="1" applyAlignment="1" applyProtection="1">
      <alignment horizontal="left" vertical="center"/>
      <protection locked="0"/>
    </xf>
    <xf numFmtId="0" fontId="81" fillId="12" borderId="0" xfId="490" applyNumberFormat="1" applyFont="1" applyFill="1" applyBorder="1" applyAlignment="1" applyProtection="1">
      <alignment horizontal="right" vertical="center"/>
      <protection locked="0"/>
    </xf>
    <xf numFmtId="0" fontId="82" fillId="12" borderId="0" xfId="490" applyNumberFormat="1" applyFont="1" applyFill="1" applyBorder="1" applyAlignment="1" applyProtection="1">
      <alignment horizontal="left" vertical="center"/>
      <protection locked="0"/>
    </xf>
    <xf numFmtId="0" fontId="83" fillId="12" borderId="0" xfId="490" applyNumberFormat="1" applyFont="1" applyFill="1" applyBorder="1" applyAlignment="1" applyProtection="1">
      <alignment horizontal="left" vertical="center"/>
      <protection locked="0"/>
    </xf>
    <xf numFmtId="0" fontId="84" fillId="12" borderId="0" xfId="490" applyNumberFormat="1" applyFont="1" applyFill="1" applyBorder="1" applyAlignment="1" applyProtection="1">
      <alignment horizontal="left" vertical="center"/>
      <protection locked="0"/>
    </xf>
    <xf numFmtId="0" fontId="85" fillId="12" borderId="0" xfId="490" applyNumberFormat="1" applyFont="1" applyFill="1" applyBorder="1" applyAlignment="1" applyProtection="1">
      <alignment horizontal="left" vertical="center"/>
      <protection locked="0"/>
    </xf>
    <xf numFmtId="0" fontId="71" fillId="12" borderId="0" xfId="144" applyFont="1" applyFill="1" applyBorder="1" applyAlignment="1">
      <alignment horizontal="left" vertical="center"/>
    </xf>
    <xf numFmtId="0" fontId="71" fillId="12" borderId="0" xfId="144" applyFont="1" applyFill="1" applyAlignment="1">
      <alignment horizontal="left" vertical="center"/>
    </xf>
    <xf numFmtId="0" fontId="84" fillId="12" borderId="0" xfId="490" applyNumberFormat="1" applyFont="1" applyFill="1" applyBorder="1" applyAlignment="1" applyProtection="1">
      <alignment horizontal="right" vertical="center"/>
      <protection locked="0"/>
    </xf>
    <xf numFmtId="0" fontId="71" fillId="12" borderId="0" xfId="144" applyFont="1" applyFill="1" applyBorder="1" applyAlignment="1">
      <alignment horizontal="left" vertical="center" wrapText="1"/>
    </xf>
    <xf numFmtId="0" fontId="71" fillId="12" borderId="0" xfId="144" applyFont="1" applyFill="1" applyAlignment="1">
      <alignment horizontal="left" vertical="center" wrapText="1"/>
    </xf>
    <xf numFmtId="49" fontId="86" fillId="12" borderId="0" xfId="490" applyNumberFormat="1" applyFont="1" applyFill="1" applyBorder="1" applyAlignment="1" applyProtection="1">
      <alignment horizontal="left" vertical="center"/>
      <protection locked="0"/>
    </xf>
    <xf numFmtId="0" fontId="87" fillId="12" borderId="0" xfId="0" applyFont="1" applyFill="1" applyBorder="1" applyAlignment="1">
      <alignment horizontal="left" vertical="center"/>
    </xf>
    <xf numFmtId="0" fontId="88" fillId="12" borderId="0" xfId="0" applyFont="1" applyFill="1" applyAlignment="1">
      <alignment vertical="center"/>
    </xf>
    <xf numFmtId="49" fontId="76" fillId="12" borderId="0" xfId="489" applyNumberFormat="1" applyFont="1" applyFill="1" applyBorder="1" applyAlignment="1" applyProtection="1">
      <alignment horizontal="left" vertical="center"/>
      <protection locked="0"/>
    </xf>
    <xf numFmtId="49" fontId="69" fillId="12" borderId="0" xfId="490" applyNumberFormat="1" applyFont="1" applyFill="1" applyBorder="1" applyAlignment="1" applyProtection="1">
      <alignment horizontal="left" vertical="center"/>
      <protection locked="0"/>
    </xf>
    <xf numFmtId="49" fontId="23" fillId="12" borderId="0" xfId="490" applyNumberFormat="1" applyFont="1" applyFill="1" applyBorder="1" applyAlignment="1" applyProtection="1">
      <alignment horizontal="left" vertical="center"/>
      <protection locked="0"/>
    </xf>
    <xf numFmtId="49" fontId="70" fillId="12" borderId="0" xfId="489" applyNumberFormat="1" applyFont="1" applyFill="1" applyBorder="1" applyAlignment="1" applyProtection="1">
      <alignment horizontal="left" vertical="center"/>
      <protection locked="0"/>
    </xf>
    <xf numFmtId="49" fontId="29" fillId="12" borderId="0" xfId="489" applyNumberFormat="1" applyFont="1" applyFill="1" applyBorder="1" applyAlignment="1" applyProtection="1">
      <alignment horizontal="left" vertical="center"/>
      <protection locked="0"/>
    </xf>
    <xf numFmtId="0" fontId="7" fillId="12" borderId="0" xfId="0" applyFont="1" applyFill="1" applyAlignment="1">
      <alignment horizontal="left" vertical="center" wrapText="1"/>
    </xf>
    <xf numFmtId="49" fontId="38" fillId="0" borderId="6" xfId="0" applyNumberFormat="1" applyFont="1" applyFill="1" applyBorder="1" applyAlignment="1" quotePrefix="1">
      <alignment horizontal="center" vertical="center"/>
    </xf>
    <xf numFmtId="49" fontId="59" fillId="0" borderId="6" xfId="0" applyNumberFormat="1" applyFont="1" applyFill="1" applyBorder="1" applyAlignment="1" quotePrefix="1">
      <alignment horizontal="center" vertical="center"/>
    </xf>
    <xf numFmtId="49" fontId="29" fillId="0" borderId="6" xfId="273" applyNumberFormat="1" applyFont="1" applyBorder="1" applyAlignment="1" applyProtection="1" quotePrefix="1">
      <protection locked="0"/>
    </xf>
    <xf numFmtId="0" fontId="18" fillId="0" borderId="6" xfId="309" applyFont="1" applyFill="1" applyBorder="1" applyAlignment="1" quotePrefix="1">
      <alignment horizontal="center" vertical="center" wrapText="1"/>
    </xf>
    <xf numFmtId="0" fontId="35" fillId="0" borderId="0" xfId="0" applyFont="1" applyFill="1" applyAlignment="1" quotePrefix="1">
      <alignment vertical="center"/>
    </xf>
  </cellXfs>
  <cellStyles count="491">
    <cellStyle name="常规" xfId="0" builtinId="0"/>
    <cellStyle name="货币[0]" xfId="1" builtinId="7"/>
    <cellStyle name="链接单元格 3 2" xfId="2"/>
    <cellStyle name="20% - 强调文字颜色 1 2" xfId="3"/>
    <cellStyle name="强调文字颜色 2 5" xfId="4"/>
    <cellStyle name="汇总 4 2" xfId="5"/>
    <cellStyle name="_ET_STYLE_NoName_-01_ 3 3 3 2" xfId="6"/>
    <cellStyle name="20% - 强调文字颜色 3" xfId="7" builtinId="38"/>
    <cellStyle name="输出 3" xfId="8"/>
    <cellStyle name="链接单元格 5" xfId="9"/>
    <cellStyle name="输入" xfId="10" builtinId="20"/>
    <cellStyle name="强调文字颜色 2 3 2" xfId="11"/>
    <cellStyle name="货币" xfId="12" builtinId="4"/>
    <cellStyle name="千位分隔[0]" xfId="13" builtinId="6"/>
    <cellStyle name="常规 3 4 3" xfId="14"/>
    <cellStyle name="40% - 强调文字颜色 3" xfId="15" builtinId="39"/>
    <cellStyle name="计算 2" xfId="16"/>
    <cellStyle name="千位分隔" xfId="17" builtinId="3"/>
    <cellStyle name="常规 7 3" xfId="18"/>
    <cellStyle name="差" xfId="19" builtinId="27"/>
    <cellStyle name="超链接" xfId="20" builtinId="8"/>
    <cellStyle name="60% - 强调文字颜色 6 3 2" xfId="21"/>
    <cellStyle name="60% - 强调文字颜色 3" xfId="22" builtinId="40"/>
    <cellStyle name="百分比" xfId="23" builtinId="5"/>
    <cellStyle name="已访问的超链接" xfId="24" builtinId="9"/>
    <cellStyle name="注释" xfId="25" builtinId="10"/>
    <cellStyle name="常规 6" xfId="26"/>
    <cellStyle name="60% - 强调文字颜色 2 3" xfId="27"/>
    <cellStyle name="20% - 强调文字颜色 4 5" xfId="28"/>
    <cellStyle name="60% - 强调文字颜色 2" xfId="29" builtinId="36"/>
    <cellStyle name="解释性文本 2 2" xfId="30"/>
    <cellStyle name="标题 4" xfId="31" builtinId="19"/>
    <cellStyle name="注释 5" xfId="32"/>
    <cellStyle name="警告文本" xfId="33" builtinId="11"/>
    <cellStyle name="强调文字颜色 1 2 3" xfId="34"/>
    <cellStyle name="常规 5 2" xfId="35"/>
    <cellStyle name="60% - 强调文字颜色 2 2 2" xfId="36"/>
    <cellStyle name="标题" xfId="37" builtinId="15"/>
    <cellStyle name="解释性文本" xfId="38" builtinId="53"/>
    <cellStyle name="百分比 4" xfId="39"/>
    <cellStyle name="标题 1" xfId="40" builtinId="16"/>
    <cellStyle name="0,0_x000d__x000a_NA_x000d__x000a_" xfId="41"/>
    <cellStyle name="标题 2" xfId="42" builtinId="17"/>
    <cellStyle name="60% - 强调文字颜色 1" xfId="43" builtinId="32"/>
    <cellStyle name="标题 3" xfId="44" builtinId="18"/>
    <cellStyle name="注释 3 2 2" xfId="45"/>
    <cellStyle name="60% - 强调文字颜色 4" xfId="46" builtinId="44"/>
    <cellStyle name="输出 2 4 2" xfId="47"/>
    <cellStyle name="输出" xfId="48" builtinId="21"/>
    <cellStyle name="计算" xfId="49" builtinId="22"/>
    <cellStyle name="计算 3 2" xfId="50"/>
    <cellStyle name="40% - 强调文字颜色 4 2" xfId="51"/>
    <cellStyle name="检查单元格" xfId="52" builtinId="23"/>
    <cellStyle name="常规 8 3" xfId="53"/>
    <cellStyle name="20% - 强调文字颜色 6" xfId="54" builtinId="50"/>
    <cellStyle name="强调文字颜色 2" xfId="55" builtinId="33"/>
    <cellStyle name="注释 2 3" xfId="56"/>
    <cellStyle name="链接单元格" xfId="57" builtinId="24"/>
    <cellStyle name="60% - 强调文字颜色 4 2 3" xfId="58"/>
    <cellStyle name="40% - 强调文字颜色 6 5" xfId="59"/>
    <cellStyle name="汇总" xfId="60" builtinId="25"/>
    <cellStyle name="好" xfId="61" builtinId="26"/>
    <cellStyle name="输出 3 3" xfId="62"/>
    <cellStyle name="20% - 强调文字颜色 3 3" xfId="63"/>
    <cellStyle name="适中" xfId="64" builtinId="28"/>
    <cellStyle name="输出 5" xfId="65"/>
    <cellStyle name="常规 8 2" xfId="66"/>
    <cellStyle name="20% - 强调文字颜色 5" xfId="67" builtinId="46"/>
    <cellStyle name="检查单元格 3 2" xfId="68"/>
    <cellStyle name=" 3]_x000d__x000a_Zoomed=1_x000d__x000a_Row=128_x000d__x000a_Column=101_x000d__x000a_Height=300_x000d__x000a_Width=301_x000d__x000a_FontName=System_x000d__x000a_FontStyle=1_x000d__x000a_FontSize=12_x000d__x000a_PrtFontNa" xfId="69"/>
    <cellStyle name="强调文字颜色 1" xfId="70" builtinId="29"/>
    <cellStyle name="注释 2 3 3" xfId="71"/>
    <cellStyle name="链接单元格 3" xfId="72"/>
    <cellStyle name="20% - 强调文字颜色 1" xfId="73" builtinId="30"/>
    <cellStyle name="汇总 3 3" xfId="74"/>
    <cellStyle name="40% - 强调文字颜色 4 3 2" xfId="75"/>
    <cellStyle name="??&amp;O龡&amp;H?_x0008_??_x0007__x0001__x0001_" xfId="76"/>
    <cellStyle name="40% - 强调文字颜色 1" xfId="77" builtinId="31"/>
    <cellStyle name="输出 2" xfId="78"/>
    <cellStyle name="链接单元格 4" xfId="79"/>
    <cellStyle name="20% - 强调文字颜色 2" xfId="80" builtinId="34"/>
    <cellStyle name="40% - 强调文字颜色 2" xfId="81" builtinId="35"/>
    <cellStyle name="强调文字颜色 3" xfId="82" builtinId="37"/>
    <cellStyle name="强调文字颜色 4" xfId="83" builtinId="41"/>
    <cellStyle name="输出 4" xfId="84"/>
    <cellStyle name="汇总 3 2 2" xfId="85"/>
    <cellStyle name="20% - 强调文字颜色 4" xfId="86" builtinId="42"/>
    <cellStyle name="计算 3" xfId="87"/>
    <cellStyle name="40% - 强调文字颜色 4" xfId="88" builtinId="43"/>
    <cellStyle name="强调文字颜色 5" xfId="89" builtinId="45"/>
    <cellStyle name="计算 4" xfId="90"/>
    <cellStyle name="40% - 强调文字颜色 5" xfId="91" builtinId="47"/>
    <cellStyle name="注释 3 2 3" xfId="92"/>
    <cellStyle name="60% - 强调文字颜色 5" xfId="93" builtinId="48"/>
    <cellStyle name="强调文字颜色 6" xfId="94" builtinId="49"/>
    <cellStyle name="输出 3 3 2" xfId="95"/>
    <cellStyle name="适中 2" xfId="96"/>
    <cellStyle name="计算 5" xfId="97"/>
    <cellStyle name="20% - 强调文字颜色 3 3 2" xfId="98"/>
    <cellStyle name="40% - 强调文字颜色 6" xfId="99" builtinId="51"/>
    <cellStyle name="60% - 强调文字颜色 6" xfId="100" builtinId="52"/>
    <cellStyle name="标题 4 2 2" xfId="101"/>
    <cellStyle name="_ET_STYLE_NoName_00_" xfId="102"/>
    <cellStyle name="好 2" xfId="103"/>
    <cellStyle name="20% - 强调文字颜色 1 5" xfId="104"/>
    <cellStyle name="40% - 强调文字颜色 2 2" xfId="105"/>
    <cellStyle name="_ET_STYLE_NoName_00__南区长促工资1004_5" xfId="106"/>
    <cellStyle name="20% - 强调文字颜色 1 2 3" xfId="107"/>
    <cellStyle name="20% - 强调文字颜色 1 4" xfId="108"/>
    <cellStyle name="20% - 强调文字颜色 1 3" xfId="109"/>
    <cellStyle name="差 2 3" xfId="110"/>
    <cellStyle name="??_x005f_x0011_?_x005f_x0010_?" xfId="111"/>
    <cellStyle name="_ET_STYLE_NoName_00__北区长促工资1004_3" xfId="112"/>
    <cellStyle name="20% - 强调文字颜色 1 3 2" xfId="113"/>
    <cellStyle name="强调文字颜色 5 5" xfId="114"/>
    <cellStyle name="0,0_x000a__x000a_NA_x000a__x000a_" xfId="115"/>
    <cellStyle name="常规 2 3 2 3" xfId="116"/>
    <cellStyle name="20% - 强调文字颜色 1 2 2" xfId="117"/>
    <cellStyle name="输出 2 2" xfId="118"/>
    <cellStyle name="20% - 强调文字颜色 2 2" xfId="119"/>
    <cellStyle name="输出 2 2 2" xfId="120"/>
    <cellStyle name="20% - 强调文字颜色 2 2 2" xfId="121"/>
    <cellStyle name="输出 2 2 3" xfId="122"/>
    <cellStyle name="20% - 强调文字颜色 2 2 3" xfId="123"/>
    <cellStyle name="输出 2 3" xfId="124"/>
    <cellStyle name="20% - 强调文字颜色 2 3" xfId="125"/>
    <cellStyle name="输出 2 3 2" xfId="126"/>
    <cellStyle name="20% - 强调文字颜色 2 3 2" xfId="127"/>
    <cellStyle name="输出 2 4" xfId="128"/>
    <cellStyle name="20% - 强调文字颜色 2 4" xfId="129"/>
    <cellStyle name="输出 2 5" xfId="130"/>
    <cellStyle name="20% - 强调文字颜色 2 5" xfId="131"/>
    <cellStyle name="输出 3 2" xfId="132"/>
    <cellStyle name="20% - 强调文字颜色 3 2" xfId="133"/>
    <cellStyle name="输出 3 2 2" xfId="134"/>
    <cellStyle name="20% - 强调文字颜色 3 2 2" xfId="135"/>
    <cellStyle name="输出 3 2 3" xfId="136"/>
    <cellStyle name="20% - 强调文字颜色 3 2 3" xfId="137"/>
    <cellStyle name="输出 3 4" xfId="138"/>
    <cellStyle name="60% - 强调文字颜色 1 2" xfId="139"/>
    <cellStyle name="20% - 强调文字颜色 3 4" xfId="140"/>
    <cellStyle name="60% - 强调文字颜色 1 3" xfId="141"/>
    <cellStyle name="20% - 强调文字颜色 3 5" xfId="142"/>
    <cellStyle name="输出 4 2" xfId="143"/>
    <cellStyle name="常规 3" xfId="144"/>
    <cellStyle name="20% - 强调文字颜色 4 2" xfId="145"/>
    <cellStyle name="输出 4 2 2" xfId="146"/>
    <cellStyle name="常规 3 2" xfId="147"/>
    <cellStyle name="20% - 强调文字颜色 4 2 2" xfId="148"/>
    <cellStyle name="输入 4 2" xfId="149"/>
    <cellStyle name="常规 3 3" xfId="150"/>
    <cellStyle name="20% - 强调文字颜色 4 2 3" xfId="151"/>
    <cellStyle name="输出 4 3" xfId="152"/>
    <cellStyle name="常规 4" xfId="153"/>
    <cellStyle name="20% - 强调文字颜色 4 3" xfId="154"/>
    <cellStyle name="常规 4 2" xfId="155"/>
    <cellStyle name="20% - 强调文字颜色 4 3 2" xfId="156"/>
    <cellStyle name="常规 5" xfId="157"/>
    <cellStyle name="60% - 强调文字颜色 2 2" xfId="158"/>
    <cellStyle name="20% - 强调文字颜色 4 4" xfId="159"/>
    <cellStyle name="输出 5 2" xfId="160"/>
    <cellStyle name="20% - 强调文字颜色 5 2" xfId="161"/>
    <cellStyle name="输出 5 2 2" xfId="162"/>
    <cellStyle name="3232" xfId="163"/>
    <cellStyle name="20% - 强调文字颜色 5 2 2" xfId="164"/>
    <cellStyle name="20% - 强调文字颜色 5 2 3" xfId="165"/>
    <cellStyle name="输出 5 3" xfId="166"/>
    <cellStyle name="20% - 强调文字颜色 5 3" xfId="167"/>
    <cellStyle name="差 5" xfId="168"/>
    <cellStyle name="百分比 3" xfId="169"/>
    <cellStyle name="20% - 强调文字颜色 5 3 2" xfId="170"/>
    <cellStyle name="60% - 强调文字颜色 3 2" xfId="171"/>
    <cellStyle name="20% - 强调文字颜色 5 4" xfId="172"/>
    <cellStyle name="60% - 强调文字颜色 3 3" xfId="173"/>
    <cellStyle name="20% - 强调文字颜色 5 5" xfId="174"/>
    <cellStyle name="20% - 强调文字颜色 6 2" xfId="175"/>
    <cellStyle name="40% - 强调文字颜色 4 4" xfId="176"/>
    <cellStyle name="20% - 强调文字颜色 6 2 2" xfId="177"/>
    <cellStyle name="40% - 强调文字颜色 4 5" xfId="178"/>
    <cellStyle name="20% - 强调文字颜色 6 2 3" xfId="179"/>
    <cellStyle name="20% - 强调文字颜色 6 3" xfId="180"/>
    <cellStyle name="40% - 强调文字颜色 5 4" xfId="181"/>
    <cellStyle name="20% - 强调文字颜色 6 3 2" xfId="182"/>
    <cellStyle name="注释 3 2 2 2" xfId="183"/>
    <cellStyle name="60% - 强调文字颜色 4 2" xfId="184"/>
    <cellStyle name="20% - 强调文字颜色 6 4" xfId="185"/>
    <cellStyle name="60% - 强调文字颜色 4 3" xfId="186"/>
    <cellStyle name="40% - 强调文字颜色 5 2 2" xfId="187"/>
    <cellStyle name="20% - 强调文字颜色 6 5" xfId="188"/>
    <cellStyle name="40% - 强调文字颜色 1 2" xfId="189"/>
    <cellStyle name="40% - 强调文字颜色 1 2 2" xfId="190"/>
    <cellStyle name="40% - 强调文字颜色 1 2 3" xfId="191"/>
    <cellStyle name="40% - 强调文字颜色 1 3" xfId="192"/>
    <cellStyle name="40% - 强调文字颜色 1 3 2" xfId="193"/>
    <cellStyle name="40% - 强调文字颜色 1 4" xfId="194"/>
    <cellStyle name="40% - 强调文字颜色 1 5" xfId="195"/>
    <cellStyle name="40% - 强调文字颜色 2 2 2" xfId="196"/>
    <cellStyle name="40% - 强调文字颜色 2 2 3" xfId="197"/>
    <cellStyle name="40% - 强调文字颜色 2 3" xfId="198"/>
    <cellStyle name="40% - 强调文字颜色 2 3 2" xfId="199"/>
    <cellStyle name="40% - 强调文字颜色 2 4" xfId="200"/>
    <cellStyle name="40% - 强调文字颜色 2 5" xfId="201"/>
    <cellStyle name="计算 2 2" xfId="202"/>
    <cellStyle name="40% - 强调文字颜色 3 2" xfId="203"/>
    <cellStyle name="计算 2 2 2" xfId="204"/>
    <cellStyle name="40% - 强调文字颜色 3 2 2" xfId="205"/>
    <cellStyle name="40% - 强调文字颜色 3 2 3" xfId="206"/>
    <cellStyle name="计算 2 3" xfId="207"/>
    <cellStyle name="40% - 强调文字颜色 3 3" xfId="208"/>
    <cellStyle name="计算 2 3 2" xfId="209"/>
    <cellStyle name="40% - 强调文字颜色 3 3 2" xfId="210"/>
    <cellStyle name="常规 25" xfId="211"/>
    <cellStyle name="计算 2 4" xfId="212"/>
    <cellStyle name="40% - 强调文字颜色 3 4" xfId="213"/>
    <cellStyle name="40% - 强调文字颜色 3 5" xfId="214"/>
    <cellStyle name="检查单元格 2" xfId="215"/>
    <cellStyle name="计算 3 2 2" xfId="216"/>
    <cellStyle name="汇总 2 3" xfId="217"/>
    <cellStyle name="标题 4 4" xfId="218"/>
    <cellStyle name="40% - 强调文字颜色 4 2 2" xfId="219"/>
    <cellStyle name="检查单元格 3" xfId="220"/>
    <cellStyle name="汇总 2 4" xfId="221"/>
    <cellStyle name="标题 4 5" xfId="222"/>
    <cellStyle name="40% - 强调文字颜色 4 2 3" xfId="223"/>
    <cellStyle name="输入 2 2 2" xfId="224"/>
    <cellStyle name="计算 3 3" xfId="225"/>
    <cellStyle name="40% - 强调文字颜色 4 3" xfId="226"/>
    <cellStyle name="计算 4 2" xfId="227"/>
    <cellStyle name="好 2 3" xfId="228"/>
    <cellStyle name="40% - 强调文字颜色 5 2" xfId="229"/>
    <cellStyle name="60% - 强调文字颜色 4 4" xfId="230"/>
    <cellStyle name="40% - 强调文字颜色 5 2 3" xfId="231"/>
    <cellStyle name="输入 2 3 2" xfId="232"/>
    <cellStyle name="40% - 强调文字颜色 5 3" xfId="233"/>
    <cellStyle name="60% - 强调文字颜色 5 3" xfId="234"/>
    <cellStyle name="40% - 强调文字颜色 5 3 2" xfId="235"/>
    <cellStyle name="40% - 强调文字颜色 5 5" xfId="236"/>
    <cellStyle name="适中 2 2" xfId="237"/>
    <cellStyle name="计算 5 2" xfId="238"/>
    <cellStyle name="40% - 强调文字颜色 6 2" xfId="239"/>
    <cellStyle name="40% - 强调文字颜色 6 2 2" xfId="240"/>
    <cellStyle name="40% - 强调文字颜色 6 2 3" xfId="241"/>
    <cellStyle name="适中 2 3" xfId="242"/>
    <cellStyle name="强调文字颜色 3 2 2" xfId="243"/>
    <cellStyle name="40% - 强调文字颜色 6 3" xfId="244"/>
    <cellStyle name="解释性文本 3" xfId="245"/>
    <cellStyle name="40% - 强调文字颜色 6 3 2" xfId="246"/>
    <cellStyle name="强调文字颜色 3 2 3" xfId="247"/>
    <cellStyle name="60% - 强调文字颜色 4 2 2" xfId="248"/>
    <cellStyle name="40% - 强调文字颜色 6 4" xfId="249"/>
    <cellStyle name="60% - 强调文字颜色 1 2 2" xfId="250"/>
    <cellStyle name="60% - 强调文字颜色 1 2 3" xfId="251"/>
    <cellStyle name="60% - 强调文字颜色 1 3 2" xfId="252"/>
    <cellStyle name="60% - 强调文字颜色 1 4" xfId="253"/>
    <cellStyle name="注释 5 2 2" xfId="254"/>
    <cellStyle name="警告文本 2 2" xfId="255"/>
    <cellStyle name="60% - 强调文字颜色 1 5" xfId="256"/>
    <cellStyle name="60% - 强调文字颜色 2 2 3" xfId="257"/>
    <cellStyle name="注释 2" xfId="258"/>
    <cellStyle name="常规 6 2" xfId="259"/>
    <cellStyle name="60% - 强调文字颜色 2 3 2" xfId="260"/>
    <cellStyle name="常规 7" xfId="261"/>
    <cellStyle name="60% - 强调文字颜色 2 4" xfId="262"/>
    <cellStyle name="警告文本 3 2" xfId="263"/>
    <cellStyle name="常规 8" xfId="264"/>
    <cellStyle name="60% - 强调文字颜色 2 5" xfId="265"/>
    <cellStyle name="强调文字颜色 2 2 3" xfId="266"/>
    <cellStyle name="60% - 强调文字颜色 3 2 2" xfId="267"/>
    <cellStyle name="60% - 强调文字颜色 3 2 3" xfId="268"/>
    <cellStyle name="60% - 强调文字颜色 3 3 2" xfId="269"/>
    <cellStyle name="60% - 强调文字颜色 3 4" xfId="270"/>
    <cellStyle name="60% - 强调文字颜色 3 5" xfId="271"/>
    <cellStyle name="60% - 强调文字颜色 4 3 2" xfId="272"/>
    <cellStyle name="常规_创联至信12年工资表sn803808" xfId="273"/>
    <cellStyle name="60% - 强调文字颜色 4 5" xfId="274"/>
    <cellStyle name="60% - 强调文字颜色 5 2" xfId="275"/>
    <cellStyle name="强调文字颜色 4 2 3" xfId="276"/>
    <cellStyle name="60% - 强调文字颜色 5 2 2" xfId="277"/>
    <cellStyle name="60% - 强调文字颜色 5 2 3" xfId="278"/>
    <cellStyle name="60% - 强调文字颜色 5 3 2" xfId="279"/>
    <cellStyle name="60% - 强调文字颜色 5 4" xfId="280"/>
    <cellStyle name="60% - 强调文字颜色 5 5" xfId="281"/>
    <cellStyle name="60% - 强调文字颜色 6 2" xfId="282"/>
    <cellStyle name="强调文字颜色 5 2 3" xfId="283"/>
    <cellStyle name="常规 3 5 3" xfId="284"/>
    <cellStyle name="60% - 强调文字颜色 6 2 2" xfId="285"/>
    <cellStyle name="Normal_08'前程工资8月" xfId="286"/>
    <cellStyle name="60% - 强调文字颜色 6 2 3" xfId="287"/>
    <cellStyle name="60% - 强调文字颜色 6 3" xfId="288"/>
    <cellStyle name="60% - 强调文字颜色 6 4" xfId="289"/>
    <cellStyle name="60% - 强调文字颜色 6 5" xfId="290"/>
    <cellStyle name="警告文本 2 3" xfId="291"/>
    <cellStyle name="Comma_SALARYBJ" xfId="292"/>
    <cellStyle name="差 4" xfId="293"/>
    <cellStyle name="百分比 2" xfId="294"/>
    <cellStyle name="百分比 2 2" xfId="295"/>
    <cellStyle name="标题 1 2" xfId="296"/>
    <cellStyle name="标题 1 2 2" xfId="297"/>
    <cellStyle name="标题 1 2 3" xfId="298"/>
    <cellStyle name="标题 1 3" xfId="299"/>
    <cellStyle name="汇总 3" xfId="300"/>
    <cellStyle name="标题 1 3 2" xfId="301"/>
    <cellStyle name="标题 1 4" xfId="302"/>
    <cellStyle name="标题 1 5" xfId="303"/>
    <cellStyle name="标题 2 2" xfId="304"/>
    <cellStyle name="标题 2 2 2" xfId="305"/>
    <cellStyle name="好 3 2" xfId="306"/>
    <cellStyle name="标题 2 2 3" xfId="307"/>
    <cellStyle name="标题 2 3" xfId="308"/>
    <cellStyle name="常规 11" xfId="309"/>
    <cellStyle name="标题 2 3 2" xfId="310"/>
    <cellStyle name="标题 2 4" xfId="311"/>
    <cellStyle name="标题 2 5" xfId="312"/>
    <cellStyle name="标题 3 2" xfId="313"/>
    <cellStyle name="好 5" xfId="314"/>
    <cellStyle name="标题 3 2 2" xfId="315"/>
    <cellStyle name="标题 3 2 3" xfId="316"/>
    <cellStyle name="标题 3 3" xfId="317"/>
    <cellStyle name="样式 1" xfId="318"/>
    <cellStyle name="标题 3 3 2" xfId="319"/>
    <cellStyle name="标题 3 4" xfId="320"/>
    <cellStyle name="标题 3 5" xfId="321"/>
    <cellStyle name="千位分隔 3" xfId="322"/>
    <cellStyle name="标题 4 2" xfId="323"/>
    <cellStyle name="标题 4 2 3" xfId="324"/>
    <cellStyle name="汇总 2 2" xfId="325"/>
    <cellStyle name="标题 4 3" xfId="326"/>
    <cellStyle name="汇总 2 2 2" xfId="327"/>
    <cellStyle name="标题 4 3 2" xfId="328"/>
    <cellStyle name="解释性文本 2 3" xfId="329"/>
    <cellStyle name="标题 5" xfId="330"/>
    <cellStyle name="强调文字颜色 1 4" xfId="331"/>
    <cellStyle name="标题 5 2" xfId="332"/>
    <cellStyle name="强调文字颜色 1 5" xfId="333"/>
    <cellStyle name="汇总 3 2" xfId="334"/>
    <cellStyle name="标题 5 3" xfId="335"/>
    <cellStyle name="标题 6" xfId="336"/>
    <cellStyle name="强调文字颜色 2 4" xfId="337"/>
    <cellStyle name="标题 6 2" xfId="338"/>
    <cellStyle name="注释 2 4 2" xfId="339"/>
    <cellStyle name="标题 7" xfId="340"/>
    <cellStyle name="标题 8" xfId="341"/>
    <cellStyle name="解释性文本 5" xfId="342"/>
    <cellStyle name="差 2" xfId="343"/>
    <cellStyle name="差 2 2" xfId="344"/>
    <cellStyle name="差 3" xfId="345"/>
    <cellStyle name="差 3 2" xfId="346"/>
    <cellStyle name="常规 11 2" xfId="347"/>
    <cellStyle name="常规 2 3 2 2" xfId="348"/>
    <cellStyle name="常规 11 3" xfId="349"/>
    <cellStyle name="常规 12" xfId="350"/>
    <cellStyle name="常规 12 2" xfId="351"/>
    <cellStyle name="常规 12 3" xfId="352"/>
    <cellStyle name="强调文字颜色 3 3 2" xfId="353"/>
    <cellStyle name="常规 14" xfId="354"/>
    <cellStyle name="常规 14 2" xfId="355"/>
    <cellStyle name="常规 14 3" xfId="356"/>
    <cellStyle name="常规 2" xfId="357"/>
    <cellStyle name="常规 2 2" xfId="358"/>
    <cellStyle name="常规 2 2 2" xfId="359"/>
    <cellStyle name="常规 2 2 2 2" xfId="360"/>
    <cellStyle name="常规 2 2 3" xfId="361"/>
    <cellStyle name="输入 3 2" xfId="362"/>
    <cellStyle name="常规 2 3" xfId="363"/>
    <cellStyle name="常规_全国客服表格" xfId="364"/>
    <cellStyle name="输入 3 2 2" xfId="365"/>
    <cellStyle name="常规 2 3 2" xfId="366"/>
    <cellStyle name="常规 2 3 3" xfId="367"/>
    <cellStyle name="常规 2 3 4" xfId="368"/>
    <cellStyle name="输入 3 3" xfId="369"/>
    <cellStyle name="常规 2 4" xfId="370"/>
    <cellStyle name="常规 2 4 2" xfId="371"/>
    <cellStyle name="强调文字颜色 4 2" xfId="372"/>
    <cellStyle name="常规 2 5" xfId="373"/>
    <cellStyle name="强调文字颜色 4 2 2" xfId="374"/>
    <cellStyle name="常规 2 5 2" xfId="375"/>
    <cellStyle name="强调文字颜色 4 3" xfId="376"/>
    <cellStyle name="常规 2 6" xfId="377"/>
    <cellStyle name="强调文字颜色 4 3 2" xfId="378"/>
    <cellStyle name="常规 2 6 2" xfId="379"/>
    <cellStyle name="常规 2 6 2 2" xfId="380"/>
    <cellStyle name="常规 27" xfId="381"/>
    <cellStyle name="适中 4" xfId="382"/>
    <cellStyle name="常规 3 2 2" xfId="383"/>
    <cellStyle name="常规 3 3 2" xfId="384"/>
    <cellStyle name="常规 3 3 3" xfId="385"/>
    <cellStyle name="常规 3 4" xfId="386"/>
    <cellStyle name="常规 3 4 2" xfId="387"/>
    <cellStyle name="强调文字颜色 5 2" xfId="388"/>
    <cellStyle name="常规 3 5" xfId="389"/>
    <cellStyle name="强调文字颜色 5 2 2" xfId="390"/>
    <cellStyle name="常规 3 5 2" xfId="391"/>
    <cellStyle name="常规 4 4" xfId="392"/>
    <cellStyle name="常规 4 2 2" xfId="393"/>
    <cellStyle name="输入 5 2" xfId="394"/>
    <cellStyle name="常规 4 3" xfId="395"/>
    <cellStyle name="常规 7 2" xfId="396"/>
    <cellStyle name="强调文字颜色 6 3 2" xfId="397"/>
    <cellStyle name="常规 8 4" xfId="398"/>
    <cellStyle name="常规 9" xfId="399"/>
    <cellStyle name="注释 5 2" xfId="400"/>
    <cellStyle name="警告文本 2" xfId="401"/>
    <cellStyle name="常规_付款通知书智联（神数系统）" xfId="402"/>
    <cellStyle name="好 2 2" xfId="403"/>
    <cellStyle name="好 3" xfId="404"/>
    <cellStyle name="好 4" xfId="405"/>
    <cellStyle name="汇总 2" xfId="406"/>
    <cellStyle name="检查单元格 2 2" xfId="407"/>
    <cellStyle name="汇总 2 3 2" xfId="408"/>
    <cellStyle name="汇总 4" xfId="409"/>
    <cellStyle name="汇总 5" xfId="410"/>
    <cellStyle name="常规_Sheet1" xfId="411"/>
    <cellStyle name="强调文字颜色 3 5" xfId="412"/>
    <cellStyle name="汇总 5 2" xfId="413"/>
    <cellStyle name="检查单元格 2 3" xfId="414"/>
    <cellStyle name="检查单元格 4" xfId="415"/>
    <cellStyle name="检查单元格 5" xfId="416"/>
    <cellStyle name="解释性文本 2" xfId="417"/>
    <cellStyle name="解释性文本 3 2" xfId="418"/>
    <cellStyle name="解释性文本 4" xfId="419"/>
    <cellStyle name="注释 5 3" xfId="420"/>
    <cellStyle name="警告文本 3" xfId="421"/>
    <cellStyle name="警告文本 4" xfId="422"/>
    <cellStyle name="警告文本 5" xfId="423"/>
    <cellStyle name="注释 2 3 2" xfId="424"/>
    <cellStyle name="链接单元格 2" xfId="425"/>
    <cellStyle name="注释 2 3 2 2" xfId="426"/>
    <cellStyle name="链接单元格 2 2" xfId="427"/>
    <cellStyle name="链接单元格 2 3" xfId="428"/>
    <cellStyle name="千位分隔 2" xfId="429"/>
    <cellStyle name="千位分隔 2 2" xfId="430"/>
    <cellStyle name="强调文字颜色 1 2" xfId="431"/>
    <cellStyle name="强调文字颜色 1 2 2" xfId="432"/>
    <cellStyle name="强调文字颜色 1 3" xfId="433"/>
    <cellStyle name="强调文字颜色 1 3 2" xfId="434"/>
    <cellStyle name="强调文字颜色 2 2" xfId="435"/>
    <cellStyle name="强调文字颜色 2 2 2" xfId="436"/>
    <cellStyle name="强调文字颜色 2 3" xfId="437"/>
    <cellStyle name="输入 2 4" xfId="438"/>
    <cellStyle name="强调文字颜色 3 2" xfId="439"/>
    <cellStyle name="强调文字颜色 3 3" xfId="440"/>
    <cellStyle name="强调文字颜色 3 4" xfId="441"/>
    <cellStyle name="强调文字颜色 4 4" xfId="442"/>
    <cellStyle name="输入 2" xfId="443"/>
    <cellStyle name="强调文字颜色 4 5" xfId="444"/>
    <cellStyle name="强调文字颜色 5 3" xfId="445"/>
    <cellStyle name="强调文字颜色 5 3 2" xfId="446"/>
    <cellStyle name="强调文字颜色 5 4" xfId="447"/>
    <cellStyle name="强调文字颜色 6 2" xfId="448"/>
    <cellStyle name="强调文字颜色 6 2 2" xfId="449"/>
    <cellStyle name="强调文字颜色 6 2 3" xfId="450"/>
    <cellStyle name="强调文字颜色 6 3" xfId="451"/>
    <cellStyle name="强调文字颜色 6 4" xfId="452"/>
    <cellStyle name="强调文字颜色 6 5" xfId="453"/>
    <cellStyle name="适中 3" xfId="454"/>
    <cellStyle name="适中 3 2" xfId="455"/>
    <cellStyle name="适中 5" xfId="456"/>
    <cellStyle name="输出 2 2 2 2" xfId="457"/>
    <cellStyle name="输出 2 3 2 2" xfId="458"/>
    <cellStyle name="输出 2 3 3" xfId="459"/>
    <cellStyle name="输出 3 2 2 2" xfId="460"/>
    <cellStyle name="样式 2 4" xfId="461"/>
    <cellStyle name="输入 2 2" xfId="462"/>
    <cellStyle name="样式 2 5" xfId="463"/>
    <cellStyle name="输入 2 3" xfId="464"/>
    <cellStyle name="输入 3" xfId="465"/>
    <cellStyle name="输入 4" xfId="466"/>
    <cellStyle name="输入 5" xfId="467"/>
    <cellStyle name="样式 1 2" xfId="468"/>
    <cellStyle name="样式 2" xfId="469"/>
    <cellStyle name="样式 2 2" xfId="470"/>
    <cellStyle name="样式 2 3" xfId="471"/>
    <cellStyle name="注释 2 2" xfId="472"/>
    <cellStyle name="注释 2 2 2" xfId="473"/>
    <cellStyle name="注释 2 2 2 2" xfId="474"/>
    <cellStyle name="注释 2 2 3" xfId="475"/>
    <cellStyle name="注释 2 4" xfId="476"/>
    <cellStyle name="注释 2 5" xfId="477"/>
    <cellStyle name="注释 3" xfId="478"/>
    <cellStyle name="注释 3 2" xfId="479"/>
    <cellStyle name="注释 3 3" xfId="480"/>
    <cellStyle name="注释 3 3 2" xfId="481"/>
    <cellStyle name="注释 3 4" xfId="482"/>
    <cellStyle name="注释 4" xfId="483"/>
    <cellStyle name="注释 4 2" xfId="484"/>
    <cellStyle name="注释 4 2 2" xfId="485"/>
    <cellStyle name="注释 4 3" xfId="486"/>
    <cellStyle name="常规_0705 UL South CS meeting (chonghua)" xfId="487"/>
    <cellStyle name="㼿㼿㼿㼿㼿" xfId="488"/>
    <cellStyle name="㼿㼿㼿㼿㼿㼿㼿" xfId="489"/>
    <cellStyle name="㼿㼿㼿㼿? 2" xfId="490"/>
  </cellStyles>
  <dxfs count="6">
    <dxf>
      <fill>
        <patternFill patternType="solid">
          <bgColor indexed="43"/>
        </patternFill>
      </fill>
    </dxf>
    <dxf>
      <fill>
        <patternFill patternType="solid">
          <bgColor indexed="45"/>
        </patternFill>
      </fill>
    </dxf>
    <dxf>
      <font>
        <b val="0"/>
        <color indexed="20"/>
      </font>
      <fill>
        <patternFill patternType="solid">
          <bgColor indexed="45"/>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
      <font>
        <b val="0"/>
        <i val="0"/>
        <strike val="0"/>
        <u val="none"/>
        <sz val="11"/>
        <color rgb="FF9C0006"/>
      </font>
      <fill>
        <patternFill patternType="solid">
          <bgColor rgb="FFFFC7CE"/>
        </patternFill>
      </fill>
    </dxf>
  </dxfs>
  <tableStyles count="0" defaultTableStyle="TableStyleMedium2" defaultPivotStyle="PivotStyleLight16"/>
  <colors>
    <mruColors>
      <color rgb="0079EBA7"/>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r:embed="rId1" cstate="print"/>
        <a:srcRect/>
        <a:stretch>
          <a:fillRect/>
        </a:stretch>
      </xdr:blipFill>
      <xdr:spPr>
        <a:xfrm>
          <a:off x="0" y="0"/>
          <a:ext cx="240982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workbookViewId="0">
      <selection activeCell="G25" sqref="G25"/>
    </sheetView>
  </sheetViews>
  <sheetFormatPr defaultColWidth="9" defaultRowHeight="13.5"/>
  <cols>
    <col min="1" max="2" width="9" style="291"/>
    <col min="3" max="3" width="10.75" style="291" customWidth="1"/>
    <col min="4" max="4" width="16.75" style="291" customWidth="1"/>
    <col min="5" max="5" width="11.75" style="291" customWidth="1"/>
    <col min="6" max="6" width="9" style="291"/>
    <col min="7" max="7" width="10.75" style="291" customWidth="1"/>
    <col min="8" max="12" width="9" style="291"/>
    <col min="13" max="13" width="9.5" style="291" customWidth="1"/>
    <col min="14" max="14" width="16.5" style="291" customWidth="1"/>
    <col min="15" max="16384" width="9" style="291"/>
  </cols>
  <sheetData>
    <row r="1" s="291" customFormat="1" ht="25.5" spans="1:14">
      <c r="A1" s="292" t="s">
        <v>0</v>
      </c>
      <c r="B1" s="292"/>
      <c r="C1" s="292"/>
      <c r="D1" s="292"/>
      <c r="E1" s="292"/>
      <c r="F1" s="292"/>
      <c r="G1" s="292"/>
      <c r="H1" s="292"/>
      <c r="I1" s="292"/>
      <c r="J1" s="292"/>
      <c r="K1" s="292"/>
      <c r="L1" s="292"/>
      <c r="M1" s="292"/>
      <c r="N1" s="292"/>
    </row>
    <row r="2" s="291" customFormat="1" ht="14.25" spans="1:14">
      <c r="A2" s="293"/>
      <c r="B2" s="294"/>
      <c r="C2" s="294"/>
      <c r="D2" s="295"/>
      <c r="E2" s="295"/>
      <c r="F2" s="295"/>
      <c r="G2" s="293"/>
      <c r="H2" s="293"/>
      <c r="I2" s="293"/>
      <c r="J2" s="295"/>
      <c r="K2" s="295"/>
      <c r="L2" s="295"/>
      <c r="M2" s="295"/>
      <c r="N2" s="295"/>
    </row>
    <row r="3" s="291" customFormat="1" spans="1:14">
      <c r="A3" s="296"/>
      <c r="B3" s="297"/>
      <c r="C3" s="298"/>
      <c r="D3" s="299"/>
      <c r="E3" s="300"/>
      <c r="F3" s="300"/>
      <c r="G3" s="301"/>
      <c r="H3" s="302"/>
      <c r="I3" s="297"/>
      <c r="J3" s="298"/>
      <c r="K3" s="299"/>
      <c r="L3" s="370"/>
      <c r="M3" s="295"/>
      <c r="N3" s="295"/>
    </row>
    <row r="4" s="291" customFormat="1" spans="1:14">
      <c r="A4" s="296"/>
      <c r="B4" s="303" t="s">
        <v>1</v>
      </c>
      <c r="C4" s="303"/>
      <c r="D4" s="303"/>
      <c r="E4" s="303"/>
      <c r="F4" s="304"/>
      <c r="G4" s="303"/>
      <c r="H4" s="302"/>
      <c r="K4" s="295"/>
      <c r="L4" s="371"/>
      <c r="M4" s="372"/>
      <c r="N4" s="295"/>
    </row>
    <row r="5" s="291" customFormat="1" spans="1:14">
      <c r="A5" s="305"/>
      <c r="B5" s="306" t="s">
        <v>2</v>
      </c>
      <c r="C5" s="299"/>
      <c r="D5" s="299"/>
      <c r="E5" s="299"/>
      <c r="F5" s="299"/>
      <c r="G5" s="299"/>
      <c r="H5" s="307"/>
      <c r="I5" s="302"/>
      <c r="J5" s="297"/>
      <c r="K5" s="298"/>
      <c r="L5" s="370"/>
      <c r="M5" s="295"/>
      <c r="N5" s="295"/>
    </row>
    <row r="6" s="291" customFormat="1" ht="9.75" customHeight="1" spans="1:14">
      <c r="A6" s="308"/>
      <c r="B6" s="308"/>
      <c r="C6" s="308"/>
      <c r="D6" s="308"/>
      <c r="E6" s="308"/>
      <c r="F6" s="308"/>
      <c r="G6" s="308"/>
      <c r="H6" s="308"/>
      <c r="I6" s="373"/>
      <c r="J6" s="373"/>
      <c r="K6" s="374"/>
      <c r="L6" s="374"/>
      <c r="M6" s="374"/>
      <c r="N6" s="374"/>
    </row>
    <row r="7" s="291" customFormat="1" ht="15" spans="1:14">
      <c r="A7" s="308"/>
      <c r="B7" s="309" t="s">
        <v>3</v>
      </c>
      <c r="C7" s="310"/>
      <c r="D7" s="310"/>
      <c r="E7" s="310"/>
      <c r="F7" s="310"/>
      <c r="G7" s="310"/>
      <c r="H7" s="310"/>
      <c r="I7" s="375" t="s">
        <v>4</v>
      </c>
      <c r="J7" s="375"/>
      <c r="K7" s="376"/>
      <c r="L7" s="294"/>
      <c r="M7" s="294"/>
      <c r="N7" s="377"/>
    </row>
    <row r="8" s="291" customFormat="1" ht="14.25" spans="1:14">
      <c r="A8" s="308"/>
      <c r="B8" s="311" t="s">
        <v>5</v>
      </c>
      <c r="C8" s="312"/>
      <c r="D8" s="312"/>
      <c r="E8" s="313">
        <f>D10</f>
        <v>197374.81</v>
      </c>
      <c r="F8" s="314"/>
      <c r="G8" s="314"/>
      <c r="H8" s="315"/>
      <c r="I8" s="378"/>
      <c r="J8" s="379" t="s">
        <v>6</v>
      </c>
      <c r="K8" s="379"/>
      <c r="L8" s="379"/>
      <c r="M8" s="379"/>
      <c r="N8" s="379"/>
    </row>
    <row r="9" s="291" customFormat="1" ht="14.25" spans="1:14">
      <c r="A9" s="308"/>
      <c r="B9" s="316" t="s">
        <v>7</v>
      </c>
      <c r="C9" s="317"/>
      <c r="D9" s="317"/>
      <c r="E9" s="318">
        <f>G24</f>
        <v>197374.81</v>
      </c>
      <c r="F9" s="319"/>
      <c r="G9" s="319"/>
      <c r="H9" s="320"/>
      <c r="I9" s="379"/>
      <c r="J9" s="380" t="s">
        <v>8</v>
      </c>
      <c r="K9" s="380"/>
      <c r="L9" s="380"/>
      <c r="M9" s="380"/>
      <c r="N9" s="381"/>
    </row>
    <row r="10" s="291" customFormat="1" ht="15" spans="1:14">
      <c r="A10" s="308"/>
      <c r="B10" s="321" t="s">
        <v>9</v>
      </c>
      <c r="C10" s="322"/>
      <c r="D10" s="323">
        <f>G24</f>
        <v>197374.81</v>
      </c>
      <c r="E10" s="324" t="s">
        <v>10</v>
      </c>
      <c r="F10" s="325"/>
      <c r="G10" s="326"/>
      <c r="H10" s="327">
        <v>0</v>
      </c>
      <c r="I10" s="382"/>
      <c r="J10" s="383" t="s">
        <v>11</v>
      </c>
      <c r="K10" s="383"/>
      <c r="L10" s="383"/>
      <c r="M10" s="383"/>
      <c r="N10" s="384"/>
    </row>
    <row r="11" s="291" customFormat="1" ht="14.25" spans="1:14">
      <c r="A11" s="308"/>
      <c r="B11" s="328" t="s">
        <v>12</v>
      </c>
      <c r="C11" s="329"/>
      <c r="D11" s="330"/>
      <c r="E11" s="331" t="s">
        <v>13</v>
      </c>
      <c r="F11" s="332"/>
      <c r="G11" s="333"/>
      <c r="H11" s="334"/>
      <c r="I11" s="385"/>
      <c r="J11" s="386"/>
      <c r="K11" s="385"/>
      <c r="L11" s="385"/>
      <c r="M11" s="385"/>
      <c r="N11" s="387"/>
    </row>
    <row r="12" s="291" customFormat="1" spans="1:14">
      <c r="A12" s="305"/>
      <c r="B12" s="328" t="s">
        <v>14</v>
      </c>
      <c r="C12" s="329"/>
      <c r="D12" s="330">
        <v>0</v>
      </c>
      <c r="E12" s="331" t="s">
        <v>15</v>
      </c>
      <c r="F12" s="332"/>
      <c r="G12" s="333"/>
      <c r="H12" s="334"/>
      <c r="I12" s="388"/>
      <c r="J12" s="389"/>
      <c r="K12" s="390"/>
      <c r="L12" s="390"/>
      <c r="M12" s="390"/>
      <c r="N12" s="390"/>
    </row>
    <row r="13" s="291" customFormat="1" ht="14.25" spans="1:14">
      <c r="A13" s="295"/>
      <c r="B13" s="335" t="s">
        <v>16</v>
      </c>
      <c r="C13" s="336"/>
      <c r="D13" s="337">
        <v>0</v>
      </c>
      <c r="E13" s="338"/>
      <c r="F13" s="339"/>
      <c r="G13" s="340"/>
      <c r="H13" s="341"/>
      <c r="I13" s="308"/>
      <c r="J13" s="391"/>
      <c r="K13" s="392"/>
      <c r="L13" s="392"/>
      <c r="M13" s="392"/>
      <c r="N13" s="392"/>
    </row>
    <row r="14" s="291" customFormat="1" ht="5.25" customHeight="1" spans="1:14">
      <c r="A14" s="342"/>
      <c r="B14" s="308"/>
      <c r="C14" s="308"/>
      <c r="D14" s="308"/>
      <c r="E14" s="308"/>
      <c r="F14" s="308"/>
      <c r="G14" s="308"/>
      <c r="H14" s="308"/>
      <c r="I14" s="308"/>
      <c r="J14" s="308"/>
      <c r="K14" s="308"/>
      <c r="L14" s="308"/>
      <c r="M14" s="308"/>
      <c r="N14" s="308"/>
    </row>
    <row r="15" s="291" customFormat="1" spans="1:14">
      <c r="A15" s="295" t="s">
        <v>17</v>
      </c>
      <c r="B15" s="295"/>
      <c r="C15" s="295"/>
      <c r="D15" s="295"/>
      <c r="E15" s="295"/>
      <c r="F15" s="295"/>
      <c r="G15" s="295"/>
      <c r="H15" s="295"/>
      <c r="I15" s="295"/>
      <c r="J15" s="295"/>
      <c r="K15" s="295"/>
      <c r="L15" s="295"/>
      <c r="M15" s="295"/>
      <c r="N15" s="295"/>
    </row>
    <row r="16" s="291" customFormat="1" ht="3" customHeight="1" spans="1:14">
      <c r="A16" s="295"/>
      <c r="B16" s="295"/>
      <c r="C16" s="295"/>
      <c r="D16" s="295"/>
      <c r="E16" s="295"/>
      <c r="F16" s="295"/>
      <c r="G16" s="295"/>
      <c r="H16" s="295"/>
      <c r="I16" s="295"/>
      <c r="J16" s="295"/>
      <c r="K16" s="295"/>
      <c r="L16" s="295"/>
      <c r="M16" s="295"/>
      <c r="N16" s="295"/>
    </row>
    <row r="17" s="291" customFormat="1" ht="18.75" spans="2:13">
      <c r="B17" s="343" t="s">
        <v>18</v>
      </c>
      <c r="C17" s="344" t="s">
        <v>19</v>
      </c>
      <c r="D17" s="344" t="s">
        <v>20</v>
      </c>
      <c r="E17" s="344"/>
      <c r="F17" s="345" t="s">
        <v>21</v>
      </c>
      <c r="G17" s="346" t="s">
        <v>22</v>
      </c>
      <c r="H17" s="347" t="s">
        <v>23</v>
      </c>
      <c r="J17" s="393" t="s">
        <v>24</v>
      </c>
      <c r="K17" s="393"/>
      <c r="L17" s="393"/>
      <c r="M17" s="393"/>
    </row>
    <row r="18" s="291" customFormat="1" ht="16.5" spans="2:13">
      <c r="B18" s="348">
        <v>1</v>
      </c>
      <c r="C18" s="349" t="s">
        <v>25</v>
      </c>
      <c r="D18" s="350" t="s">
        <v>26</v>
      </c>
      <c r="E18" s="350"/>
      <c r="F18" s="351"/>
      <c r="G18" s="352">
        <f>'（居民）工资表-4月'!E23</f>
        <v>171166.94</v>
      </c>
      <c r="H18" s="353"/>
      <c r="J18" s="393"/>
      <c r="K18" s="393"/>
      <c r="L18" s="393"/>
      <c r="M18" s="393"/>
    </row>
    <row r="19" s="291" customFormat="1" ht="16.5" spans="2:13">
      <c r="B19" s="348">
        <v>2</v>
      </c>
      <c r="C19" s="349"/>
      <c r="D19" s="354" t="s">
        <v>27</v>
      </c>
      <c r="E19" s="355" t="s">
        <v>28</v>
      </c>
      <c r="F19" s="351"/>
      <c r="G19" s="352">
        <f>社保1!AX23</f>
        <v>18459.47</v>
      </c>
      <c r="H19" s="356"/>
      <c r="J19" s="393"/>
      <c r="K19" s="393"/>
      <c r="L19" s="393"/>
      <c r="M19" s="393"/>
    </row>
    <row r="20" s="291" customFormat="1" ht="16.5" spans="2:13">
      <c r="B20" s="348">
        <v>3</v>
      </c>
      <c r="C20" s="349"/>
      <c r="D20" s="354" t="s">
        <v>29</v>
      </c>
      <c r="E20" s="355" t="s">
        <v>28</v>
      </c>
      <c r="F20" s="351"/>
      <c r="G20" s="352">
        <f>社保1!AZ23</f>
        <v>6548.4</v>
      </c>
      <c r="H20" s="356"/>
      <c r="J20" s="393"/>
      <c r="K20" s="393"/>
      <c r="L20" s="393"/>
      <c r="M20" s="393"/>
    </row>
    <row r="21" s="291" customFormat="1" ht="16.5" spans="2:13">
      <c r="B21" s="348">
        <v>6</v>
      </c>
      <c r="C21" s="349"/>
      <c r="D21" s="357" t="s">
        <v>30</v>
      </c>
      <c r="E21" s="357"/>
      <c r="F21" s="351"/>
      <c r="G21" s="358">
        <f>G18+G19+G20</f>
        <v>196174.81</v>
      </c>
      <c r="H21" s="359"/>
      <c r="J21" s="393"/>
      <c r="K21" s="393"/>
      <c r="L21" s="393"/>
      <c r="M21" s="393"/>
    </row>
    <row r="22" s="291" customFormat="1" ht="16.5" spans="2:13">
      <c r="B22" s="348">
        <v>7</v>
      </c>
      <c r="C22" s="349" t="s">
        <v>31</v>
      </c>
      <c r="D22" s="357" t="s">
        <v>32</v>
      </c>
      <c r="E22" s="357"/>
      <c r="F22" s="351"/>
      <c r="G22" s="358">
        <f>社保1!BB23</f>
        <v>1200</v>
      </c>
      <c r="H22" s="353"/>
      <c r="J22" s="393"/>
      <c r="K22" s="393"/>
      <c r="L22" s="393"/>
      <c r="M22" s="393"/>
    </row>
    <row r="23" s="291" customFormat="1" ht="18" customHeight="1" spans="2:13">
      <c r="B23" s="348">
        <v>8</v>
      </c>
      <c r="C23" s="360" t="s">
        <v>33</v>
      </c>
      <c r="D23" s="361">
        <v>0.056</v>
      </c>
      <c r="E23" s="361"/>
      <c r="F23" s="361"/>
      <c r="G23" s="358"/>
      <c r="H23" s="353"/>
      <c r="J23" s="393"/>
      <c r="K23" s="393"/>
      <c r="L23" s="393"/>
      <c r="M23" s="393"/>
    </row>
    <row r="24" s="291" customFormat="1" ht="16.5" spans="2:8">
      <c r="B24" s="362" t="s">
        <v>34</v>
      </c>
      <c r="C24" s="363"/>
      <c r="D24" s="363"/>
      <c r="E24" s="363"/>
      <c r="F24" s="363"/>
      <c r="G24" s="364">
        <f>G21+G22</f>
        <v>197374.81</v>
      </c>
      <c r="H24" s="365"/>
    </row>
    <row r="25" s="291" customFormat="1" ht="16" customHeight="1" spans="2:8">
      <c r="B25" s="366" t="s">
        <v>35</v>
      </c>
      <c r="C25" s="367"/>
      <c r="D25" s="367"/>
      <c r="E25" s="367"/>
      <c r="F25" s="367"/>
      <c r="G25" s="368">
        <f>G24</f>
        <v>197374.81</v>
      </c>
      <c r="H25" s="369"/>
    </row>
    <row r="26" s="291" customFormat="1" ht="14.25"/>
  </sheetData>
  <mergeCells count="31">
    <mergeCell ref="A1:N1"/>
    <mergeCell ref="B4:F4"/>
    <mergeCell ref="B7:H7"/>
    <mergeCell ref="I7:J7"/>
    <mergeCell ref="B8:D8"/>
    <mergeCell ref="E8:H8"/>
    <mergeCell ref="J8:N8"/>
    <mergeCell ref="B9:D9"/>
    <mergeCell ref="E9:H9"/>
    <mergeCell ref="J9:N9"/>
    <mergeCell ref="B10:C10"/>
    <mergeCell ref="E10:G10"/>
    <mergeCell ref="J10:N10"/>
    <mergeCell ref="B11:C11"/>
    <mergeCell ref="E11:G11"/>
    <mergeCell ref="B12:C12"/>
    <mergeCell ref="E12:G12"/>
    <mergeCell ref="K12:N12"/>
    <mergeCell ref="B13:C13"/>
    <mergeCell ref="E13:G13"/>
    <mergeCell ref="K13:N13"/>
    <mergeCell ref="A15:N15"/>
    <mergeCell ref="D17:E17"/>
    <mergeCell ref="D18:E18"/>
    <mergeCell ref="D21:E21"/>
    <mergeCell ref="D22:E22"/>
    <mergeCell ref="D23:F23"/>
    <mergeCell ref="B24:F24"/>
    <mergeCell ref="B25:F25"/>
    <mergeCell ref="C18:C21"/>
    <mergeCell ref="J17:M23"/>
  </mergeCells>
  <conditionalFormatting sqref="G20:H20 C21:H21 F19:F22">
    <cfRule type="cellIs" dxfId="0" priority="2" stopIfTrue="1" operator="equal">
      <formula>"現金"</formula>
    </cfRule>
    <cfRule type="cellIs" dxfId="1" priority="1" stopIfTrue="1" operator="equal">
      <formula>"信用卡"</formula>
    </cfRule>
  </conditionalFormatting>
  <pageMargins left="0.75" right="0.75" top="1" bottom="1" header="0.5" footer="0.5"/>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3"/>
  <sheetViews>
    <sheetView workbookViewId="0">
      <selection activeCell="C27" sqref="C27"/>
    </sheetView>
  </sheetViews>
  <sheetFormatPr defaultColWidth="9" defaultRowHeight="16.5"/>
  <cols>
    <col min="1" max="1" width="5" style="189" customWidth="1"/>
    <col min="2" max="2" width="25" style="189" customWidth="1"/>
    <col min="3" max="3" width="7.375" style="189" customWidth="1"/>
    <col min="4" max="4" width="9.5" style="189" customWidth="1"/>
    <col min="5" max="5" width="8.25" style="189" customWidth="1"/>
    <col min="6" max="6" width="11.875" style="189" customWidth="1"/>
    <col min="7" max="7" width="16.375" style="189" customWidth="1"/>
    <col min="8" max="11" width="8.5" style="189" customWidth="1"/>
    <col min="12" max="12" width="9.125" style="189" customWidth="1"/>
    <col min="13" max="14" width="9.25" style="189" customWidth="1"/>
    <col min="15" max="15" width="7.5" style="189" customWidth="1"/>
    <col min="16" max="16" width="11.25" style="189" customWidth="1"/>
    <col min="17" max="17" width="9.125" style="189" customWidth="1"/>
    <col min="18" max="21" width="9.25" style="189" customWidth="1"/>
    <col min="22" max="22" width="9.125" style="189" customWidth="1"/>
    <col min="23" max="26" width="9.25" style="189" customWidth="1"/>
    <col min="27" max="28" width="9.125" style="189" customWidth="1"/>
    <col min="29" max="29" width="9" style="189" customWidth="1"/>
    <col min="30" max="30" width="9.125" style="189" customWidth="1"/>
    <col min="31" max="31" width="9.25" style="189" customWidth="1"/>
    <col min="32" max="32" width="8.875" style="189" customWidth="1"/>
    <col min="33" max="33" width="9.125" style="189" customWidth="1"/>
    <col min="34" max="34" width="9.25" style="189" customWidth="1"/>
    <col min="35" max="35" width="11.125" style="189" customWidth="1"/>
    <col min="36" max="36" width="9.25" style="189" customWidth="1"/>
    <col min="37" max="37" width="8.5" style="189" customWidth="1"/>
    <col min="38" max="38" width="9.125" style="189" hidden="1" customWidth="1"/>
    <col min="39" max="42" width="9.25" style="189" hidden="1" customWidth="1"/>
    <col min="43" max="43" width="9.875" style="189" customWidth="1"/>
    <col min="44" max="44" width="9.375" style="189" customWidth="1"/>
    <col min="45" max="45" width="10.25" style="195" customWidth="1"/>
    <col min="46" max="46" width="10" style="195" customWidth="1"/>
    <col min="47" max="49" width="9.25" style="195" customWidth="1"/>
    <col min="50" max="50" width="9.25" style="189" customWidth="1"/>
    <col min="51" max="51" width="5.875" style="189" customWidth="1"/>
    <col min="52" max="52" width="8.375" style="189" customWidth="1"/>
    <col min="53" max="53" width="5.875" style="189" customWidth="1"/>
    <col min="54" max="54" width="8.875" style="189" customWidth="1"/>
    <col min="55" max="55" width="10.875" style="189" customWidth="1"/>
    <col min="56" max="56" width="40.25" style="196" customWidth="1"/>
    <col min="57" max="57" width="10.625" style="189" customWidth="1"/>
    <col min="58" max="16384" width="9" style="189"/>
  </cols>
  <sheetData>
    <row r="1" s="188" customFormat="1" ht="22.5" customHeight="1" spans="1:56">
      <c r="A1" s="197" t="s">
        <v>18</v>
      </c>
      <c r="B1" s="198" t="s">
        <v>36</v>
      </c>
      <c r="C1" s="198" t="s">
        <v>37</v>
      </c>
      <c r="D1" s="197" t="s">
        <v>38</v>
      </c>
      <c r="E1" s="198" t="s">
        <v>39</v>
      </c>
      <c r="F1" s="198" t="s">
        <v>40</v>
      </c>
      <c r="G1" s="198" t="s">
        <v>41</v>
      </c>
      <c r="H1" s="198" t="s">
        <v>42</v>
      </c>
      <c r="I1" s="198" t="s">
        <v>43</v>
      </c>
      <c r="J1" s="198" t="s">
        <v>44</v>
      </c>
      <c r="K1" s="198" t="s">
        <v>45</v>
      </c>
      <c r="L1" s="226" t="s">
        <v>46</v>
      </c>
      <c r="M1" s="226"/>
      <c r="N1" s="226"/>
      <c r="O1" s="226"/>
      <c r="P1" s="226"/>
      <c r="Q1" s="226" t="s">
        <v>47</v>
      </c>
      <c r="R1" s="226"/>
      <c r="S1" s="226"/>
      <c r="T1" s="226"/>
      <c r="U1" s="226"/>
      <c r="V1" s="226" t="s">
        <v>48</v>
      </c>
      <c r="W1" s="226"/>
      <c r="X1" s="226"/>
      <c r="Y1" s="226"/>
      <c r="Z1" s="226"/>
      <c r="AA1" s="197" t="s">
        <v>49</v>
      </c>
      <c r="AB1" s="197"/>
      <c r="AC1" s="197"/>
      <c r="AD1" s="197" t="s">
        <v>50</v>
      </c>
      <c r="AE1" s="197"/>
      <c r="AF1" s="197"/>
      <c r="AG1" s="226" t="s">
        <v>51</v>
      </c>
      <c r="AH1" s="226"/>
      <c r="AI1" s="226"/>
      <c r="AJ1" s="226"/>
      <c r="AK1" s="226"/>
      <c r="AL1" s="197" t="s">
        <v>52</v>
      </c>
      <c r="AM1" s="197"/>
      <c r="AN1" s="197"/>
      <c r="AO1" s="197"/>
      <c r="AP1" s="197"/>
      <c r="AQ1" s="197" t="s">
        <v>53</v>
      </c>
      <c r="AR1" s="197"/>
      <c r="AS1" s="236" t="s">
        <v>54</v>
      </c>
      <c r="AT1" s="236"/>
      <c r="AU1" s="236"/>
      <c r="AV1" s="236"/>
      <c r="AW1" s="236"/>
      <c r="AX1" s="197" t="s">
        <v>55</v>
      </c>
      <c r="AY1" s="197"/>
      <c r="AZ1" s="197" t="s">
        <v>56</v>
      </c>
      <c r="BA1" s="197"/>
      <c r="BB1" s="197" t="s">
        <v>57</v>
      </c>
      <c r="BC1" s="197" t="s">
        <v>58</v>
      </c>
      <c r="BD1" s="247" t="s">
        <v>23</v>
      </c>
    </row>
    <row r="2" s="189" customFormat="1" ht="22.5" customHeight="1" spans="1:56">
      <c r="A2" s="197"/>
      <c r="B2" s="199"/>
      <c r="C2" s="198"/>
      <c r="D2" s="197"/>
      <c r="E2" s="198"/>
      <c r="F2" s="200"/>
      <c r="G2" s="200"/>
      <c r="H2" s="198"/>
      <c r="I2" s="198"/>
      <c r="J2" s="198"/>
      <c r="K2" s="198"/>
      <c r="L2" s="227" t="s">
        <v>59</v>
      </c>
      <c r="M2" s="227" t="s">
        <v>60</v>
      </c>
      <c r="N2" s="227" t="s">
        <v>61</v>
      </c>
      <c r="O2" s="227" t="s">
        <v>62</v>
      </c>
      <c r="P2" s="227" t="s">
        <v>63</v>
      </c>
      <c r="Q2" s="227" t="s">
        <v>59</v>
      </c>
      <c r="R2" s="227" t="s">
        <v>60</v>
      </c>
      <c r="S2" s="227" t="s">
        <v>61</v>
      </c>
      <c r="T2" s="227" t="s">
        <v>62</v>
      </c>
      <c r="U2" s="227" t="s">
        <v>63</v>
      </c>
      <c r="V2" s="227" t="s">
        <v>59</v>
      </c>
      <c r="W2" s="227" t="s">
        <v>60</v>
      </c>
      <c r="X2" s="227" t="s">
        <v>61</v>
      </c>
      <c r="Y2" s="227" t="s">
        <v>62</v>
      </c>
      <c r="Z2" s="227" t="s">
        <v>63</v>
      </c>
      <c r="AA2" s="227" t="s">
        <v>59</v>
      </c>
      <c r="AB2" s="227" t="s">
        <v>64</v>
      </c>
      <c r="AC2" s="227" t="s">
        <v>22</v>
      </c>
      <c r="AD2" s="227" t="s">
        <v>59</v>
      </c>
      <c r="AE2" s="227" t="s">
        <v>64</v>
      </c>
      <c r="AF2" s="227" t="s">
        <v>22</v>
      </c>
      <c r="AG2" s="227" t="s">
        <v>59</v>
      </c>
      <c r="AH2" s="227" t="s">
        <v>60</v>
      </c>
      <c r="AI2" s="227" t="s">
        <v>61</v>
      </c>
      <c r="AJ2" s="227" t="s">
        <v>62</v>
      </c>
      <c r="AK2" s="227" t="s">
        <v>63</v>
      </c>
      <c r="AL2" s="227" t="s">
        <v>59</v>
      </c>
      <c r="AM2" s="227" t="s">
        <v>60</v>
      </c>
      <c r="AN2" s="227" t="s">
        <v>61</v>
      </c>
      <c r="AO2" s="227" t="s">
        <v>62</v>
      </c>
      <c r="AP2" s="227" t="s">
        <v>63</v>
      </c>
      <c r="AQ2" s="227" t="s">
        <v>65</v>
      </c>
      <c r="AR2" s="227" t="s">
        <v>66</v>
      </c>
      <c r="AS2" s="237" t="s">
        <v>67</v>
      </c>
      <c r="AT2" s="237" t="s">
        <v>68</v>
      </c>
      <c r="AU2" s="237" t="s">
        <v>69</v>
      </c>
      <c r="AV2" s="237" t="s">
        <v>70</v>
      </c>
      <c r="AW2" s="237" t="s">
        <v>30</v>
      </c>
      <c r="AX2" s="197"/>
      <c r="AY2" s="197"/>
      <c r="AZ2" s="197"/>
      <c r="BA2" s="197"/>
      <c r="BB2" s="197"/>
      <c r="BC2" s="197"/>
      <c r="BD2" s="247"/>
    </row>
    <row r="3" s="190" customFormat="1" ht="18" customHeight="1" spans="1:60">
      <c r="A3" s="201">
        <v>1</v>
      </c>
      <c r="B3" s="171" t="s">
        <v>71</v>
      </c>
      <c r="C3" s="160" t="s">
        <v>72</v>
      </c>
      <c r="D3" s="170" t="s">
        <v>73</v>
      </c>
      <c r="E3" s="171" t="s">
        <v>74</v>
      </c>
      <c r="F3" s="172" t="s">
        <v>75</v>
      </c>
      <c r="G3" s="173" t="s">
        <v>76</v>
      </c>
      <c r="H3" s="170" t="s">
        <v>77</v>
      </c>
      <c r="I3" s="170" t="s">
        <v>77</v>
      </c>
      <c r="J3" s="170" t="s">
        <v>78</v>
      </c>
      <c r="K3" s="170" t="s">
        <v>78</v>
      </c>
      <c r="L3" s="201">
        <v>3300</v>
      </c>
      <c r="M3" s="201">
        <v>0.16</v>
      </c>
      <c r="N3" s="201">
        <f t="shared" ref="N3:N8" si="0">ROUND(L3*M3,2)</f>
        <v>528</v>
      </c>
      <c r="O3" s="201">
        <v>0.08</v>
      </c>
      <c r="P3" s="201">
        <f t="shared" ref="P3:P8" si="1">ROUND(L3*O3,2)</f>
        <v>264</v>
      </c>
      <c r="Q3" s="201">
        <v>3300</v>
      </c>
      <c r="R3" s="201">
        <v>0.08</v>
      </c>
      <c r="S3" s="201">
        <f t="shared" ref="S3:S8" si="2">ROUND(Q3*R3,2)</f>
        <v>264</v>
      </c>
      <c r="T3" s="201">
        <v>0.02</v>
      </c>
      <c r="U3" s="201">
        <f t="shared" ref="U3:U8" si="3">ROUND(Q3*T3,2)</f>
        <v>66</v>
      </c>
      <c r="V3" s="201">
        <v>3300</v>
      </c>
      <c r="W3" s="201">
        <v>0.007</v>
      </c>
      <c r="X3" s="201">
        <f t="shared" ref="X3:X8" si="4">ROUND(V3*W3,2)</f>
        <v>23.1</v>
      </c>
      <c r="Y3" s="201">
        <v>0.003</v>
      </c>
      <c r="Z3" s="201">
        <f t="shared" ref="Z3:Z8" si="5">ROUND(V3*Y3,2)</f>
        <v>9.9</v>
      </c>
      <c r="AA3" s="201"/>
      <c r="AB3" s="201"/>
      <c r="AC3" s="201"/>
      <c r="AD3" s="201">
        <v>3300</v>
      </c>
      <c r="AE3" s="201">
        <v>0.002</v>
      </c>
      <c r="AF3" s="201">
        <f t="shared" ref="AF3:AF15" si="6">ROUND(AD3*AE3,2)</f>
        <v>6.6</v>
      </c>
      <c r="AG3" s="201">
        <v>3000</v>
      </c>
      <c r="AH3" s="201">
        <v>0.1</v>
      </c>
      <c r="AI3" s="201">
        <f>ROUND(AG3*AH3,2)</f>
        <v>300</v>
      </c>
      <c r="AJ3" s="201">
        <v>0.06</v>
      </c>
      <c r="AK3" s="201">
        <f>ROUND(AG3*AJ3,2)</f>
        <v>180</v>
      </c>
      <c r="AL3" s="233"/>
      <c r="AM3" s="201"/>
      <c r="AN3" s="201"/>
      <c r="AO3" s="201"/>
      <c r="AP3" s="171" t="s">
        <v>79</v>
      </c>
      <c r="AQ3" s="238">
        <v>5</v>
      </c>
      <c r="AR3" s="201"/>
      <c r="AS3" s="239">
        <f t="shared" ref="AS3:AS15" si="7">N3+S3+X3+AC3+AF3+AN3+AQ3</f>
        <v>826.7</v>
      </c>
      <c r="AT3" s="239">
        <f t="shared" ref="AT3:AT15" si="8">P3+U3+Z3</f>
        <v>339.9</v>
      </c>
      <c r="AU3" s="239">
        <f t="shared" ref="AU3:AU15" si="9">AI3</f>
        <v>300</v>
      </c>
      <c r="AV3" s="239">
        <f t="shared" ref="AV3:AV15" si="10">AK3</f>
        <v>180</v>
      </c>
      <c r="AW3" s="239">
        <f t="shared" ref="AW3:AW15" si="11">AV3+AS3+AT3+AU3</f>
        <v>1646.6</v>
      </c>
      <c r="AX3" s="248">
        <f t="shared" ref="AX3:AX15" si="12">AS3+AT3</f>
        <v>1166.6</v>
      </c>
      <c r="AY3" s="248"/>
      <c r="AZ3" s="248">
        <f t="shared" ref="AZ3:AZ8" si="13">AU3+AV3</f>
        <v>480</v>
      </c>
      <c r="BA3" s="248"/>
      <c r="BB3" s="249">
        <v>80</v>
      </c>
      <c r="BC3" s="248">
        <f t="shared" ref="BC3:BC15" si="14">AX3+AZ3+BB3</f>
        <v>1726.6</v>
      </c>
      <c r="BD3" s="254"/>
      <c r="BE3" s="289"/>
      <c r="BF3" s="270"/>
      <c r="BG3" s="270"/>
      <c r="BH3" s="271" t="s">
        <v>79</v>
      </c>
    </row>
    <row r="4" s="190" customFormat="1" ht="18" customHeight="1" spans="1:60">
      <c r="A4" s="201"/>
      <c r="B4" s="171" t="s">
        <v>71</v>
      </c>
      <c r="C4" s="160" t="s">
        <v>72</v>
      </c>
      <c r="D4" s="170" t="s">
        <v>73</v>
      </c>
      <c r="E4" s="171" t="s">
        <v>74</v>
      </c>
      <c r="F4" s="172" t="s">
        <v>75</v>
      </c>
      <c r="G4" s="173" t="s">
        <v>76</v>
      </c>
      <c r="H4" s="170" t="s">
        <v>77</v>
      </c>
      <c r="I4" s="170" t="s">
        <v>77</v>
      </c>
      <c r="J4" s="170" t="s">
        <v>80</v>
      </c>
      <c r="K4" s="170" t="s">
        <v>80</v>
      </c>
      <c r="L4" s="201">
        <v>3300</v>
      </c>
      <c r="M4" s="201">
        <v>0.16</v>
      </c>
      <c r="N4" s="201">
        <f t="shared" si="0"/>
        <v>528</v>
      </c>
      <c r="O4" s="201">
        <v>0.08</v>
      </c>
      <c r="P4" s="201">
        <f t="shared" si="1"/>
        <v>264</v>
      </c>
      <c r="Q4" s="201">
        <v>3300</v>
      </c>
      <c r="R4" s="201">
        <v>0.08</v>
      </c>
      <c r="S4" s="201">
        <f t="shared" si="2"/>
        <v>264</v>
      </c>
      <c r="T4" s="201">
        <v>0.02</v>
      </c>
      <c r="U4" s="201">
        <f t="shared" si="3"/>
        <v>66</v>
      </c>
      <c r="V4" s="201">
        <v>3300</v>
      </c>
      <c r="W4" s="201">
        <v>0.007</v>
      </c>
      <c r="X4" s="201">
        <f t="shared" si="4"/>
        <v>23.1</v>
      </c>
      <c r="Y4" s="201">
        <v>0.003</v>
      </c>
      <c r="Z4" s="201">
        <f t="shared" si="5"/>
        <v>9.9</v>
      </c>
      <c r="AA4" s="201"/>
      <c r="AB4" s="201"/>
      <c r="AC4" s="201"/>
      <c r="AD4" s="201">
        <v>3300</v>
      </c>
      <c r="AE4" s="201">
        <v>0.002</v>
      </c>
      <c r="AF4" s="201">
        <f t="shared" si="6"/>
        <v>6.6</v>
      </c>
      <c r="AG4" s="201">
        <v>3000</v>
      </c>
      <c r="AH4" s="201">
        <v>0.1</v>
      </c>
      <c r="AI4" s="201">
        <f>ROUND(AG4*AH4,2)</f>
        <v>300</v>
      </c>
      <c r="AJ4" s="201">
        <v>0.06</v>
      </c>
      <c r="AK4" s="201">
        <f>ROUND(AG4*AJ4,2)</f>
        <v>180</v>
      </c>
      <c r="AL4" s="233"/>
      <c r="AM4" s="201"/>
      <c r="AN4" s="201"/>
      <c r="AO4" s="201"/>
      <c r="AP4" s="171" t="s">
        <v>79</v>
      </c>
      <c r="AQ4" s="238">
        <v>5</v>
      </c>
      <c r="AR4" s="201"/>
      <c r="AS4" s="239">
        <f t="shared" si="7"/>
        <v>826.7</v>
      </c>
      <c r="AT4" s="239">
        <f t="shared" si="8"/>
        <v>339.9</v>
      </c>
      <c r="AU4" s="239">
        <f t="shared" si="9"/>
        <v>300</v>
      </c>
      <c r="AV4" s="239">
        <f t="shared" si="10"/>
        <v>180</v>
      </c>
      <c r="AW4" s="239">
        <f t="shared" si="11"/>
        <v>1646.6</v>
      </c>
      <c r="AX4" s="248">
        <f t="shared" si="12"/>
        <v>1166.6</v>
      </c>
      <c r="AY4" s="248"/>
      <c r="AZ4" s="248">
        <f t="shared" si="13"/>
        <v>480</v>
      </c>
      <c r="BA4" s="248"/>
      <c r="BB4" s="249">
        <v>80</v>
      </c>
      <c r="BC4" s="248">
        <f t="shared" si="14"/>
        <v>1726.6</v>
      </c>
      <c r="BD4" s="254"/>
      <c r="BE4" s="289"/>
      <c r="BF4" s="270"/>
      <c r="BG4" s="270"/>
      <c r="BH4" s="271" t="s">
        <v>79</v>
      </c>
    </row>
    <row r="5" s="190" customFormat="1" ht="18" customHeight="1" spans="1:60">
      <c r="A5" s="201"/>
      <c r="B5" s="171" t="s">
        <v>71</v>
      </c>
      <c r="C5" s="160" t="s">
        <v>72</v>
      </c>
      <c r="D5" s="170" t="s">
        <v>73</v>
      </c>
      <c r="E5" s="171" t="s">
        <v>74</v>
      </c>
      <c r="F5" s="172" t="s">
        <v>75</v>
      </c>
      <c r="G5" s="173" t="s">
        <v>76</v>
      </c>
      <c r="H5" s="170" t="s">
        <v>77</v>
      </c>
      <c r="I5" s="170" t="s">
        <v>77</v>
      </c>
      <c r="J5" s="170" t="s">
        <v>81</v>
      </c>
      <c r="K5" s="170" t="s">
        <v>81</v>
      </c>
      <c r="L5" s="201">
        <v>3300</v>
      </c>
      <c r="M5" s="201">
        <v>0.16</v>
      </c>
      <c r="N5" s="201">
        <f t="shared" si="0"/>
        <v>528</v>
      </c>
      <c r="O5" s="201">
        <v>0.08</v>
      </c>
      <c r="P5" s="201">
        <f t="shared" si="1"/>
        <v>264</v>
      </c>
      <c r="Q5" s="201">
        <v>3300</v>
      </c>
      <c r="R5" s="201">
        <v>0.08</v>
      </c>
      <c r="S5" s="201">
        <f t="shared" si="2"/>
        <v>264</v>
      </c>
      <c r="T5" s="201">
        <v>0.02</v>
      </c>
      <c r="U5" s="201">
        <f t="shared" si="3"/>
        <v>66</v>
      </c>
      <c r="V5" s="201">
        <v>3300</v>
      </c>
      <c r="W5" s="201">
        <v>0.007</v>
      </c>
      <c r="X5" s="201">
        <f t="shared" si="4"/>
        <v>23.1</v>
      </c>
      <c r="Y5" s="201">
        <v>0.003</v>
      </c>
      <c r="Z5" s="201">
        <f t="shared" si="5"/>
        <v>9.9</v>
      </c>
      <c r="AA5" s="201"/>
      <c r="AB5" s="201"/>
      <c r="AC5" s="201"/>
      <c r="AD5" s="201">
        <v>3300</v>
      </c>
      <c r="AE5" s="201">
        <v>0.002</v>
      </c>
      <c r="AF5" s="201">
        <f t="shared" si="6"/>
        <v>6.6</v>
      </c>
      <c r="AG5" s="201">
        <v>3000</v>
      </c>
      <c r="AH5" s="201">
        <v>0.1</v>
      </c>
      <c r="AI5" s="201">
        <f>ROUND(AG5*AH5,2)</f>
        <v>300</v>
      </c>
      <c r="AJ5" s="201">
        <v>0.06</v>
      </c>
      <c r="AK5" s="201">
        <f>ROUND(AG5*AJ5,2)</f>
        <v>180</v>
      </c>
      <c r="AL5" s="233"/>
      <c r="AM5" s="201"/>
      <c r="AN5" s="201"/>
      <c r="AO5" s="201"/>
      <c r="AP5" s="171" t="s">
        <v>79</v>
      </c>
      <c r="AQ5" s="238">
        <v>5</v>
      </c>
      <c r="AR5" s="201"/>
      <c r="AS5" s="239">
        <f t="shared" si="7"/>
        <v>826.7</v>
      </c>
      <c r="AT5" s="239">
        <f t="shared" si="8"/>
        <v>339.9</v>
      </c>
      <c r="AU5" s="239">
        <f t="shared" si="9"/>
        <v>300</v>
      </c>
      <c r="AV5" s="239">
        <f t="shared" si="10"/>
        <v>180</v>
      </c>
      <c r="AW5" s="239">
        <f t="shared" si="11"/>
        <v>1646.6</v>
      </c>
      <c r="AX5" s="248">
        <f t="shared" si="12"/>
        <v>1166.6</v>
      </c>
      <c r="AY5" s="248"/>
      <c r="AZ5" s="248">
        <f t="shared" si="13"/>
        <v>480</v>
      </c>
      <c r="BA5" s="248"/>
      <c r="BB5" s="249">
        <v>80</v>
      </c>
      <c r="BC5" s="248">
        <f t="shared" si="14"/>
        <v>1726.6</v>
      </c>
      <c r="BD5" s="254"/>
      <c r="BE5" s="289"/>
      <c r="BF5" s="270"/>
      <c r="BG5" s="270"/>
      <c r="BH5" s="271" t="s">
        <v>79</v>
      </c>
    </row>
    <row r="6" s="190" customFormat="1" ht="18" customHeight="1" spans="1:60">
      <c r="A6" s="201">
        <v>2</v>
      </c>
      <c r="B6" s="171" t="s">
        <v>71</v>
      </c>
      <c r="C6" s="160" t="s">
        <v>82</v>
      </c>
      <c r="D6" s="170" t="s">
        <v>73</v>
      </c>
      <c r="E6" s="171" t="s">
        <v>83</v>
      </c>
      <c r="F6" s="172" t="s">
        <v>84</v>
      </c>
      <c r="G6" s="394" t="s">
        <v>85</v>
      </c>
      <c r="H6" s="170" t="s">
        <v>77</v>
      </c>
      <c r="I6" s="170" t="s">
        <v>86</v>
      </c>
      <c r="J6" s="170" t="s">
        <v>78</v>
      </c>
      <c r="K6" s="170" t="s">
        <v>86</v>
      </c>
      <c r="L6" s="201">
        <v>3803</v>
      </c>
      <c r="M6" s="201">
        <v>0.14</v>
      </c>
      <c r="N6" s="201">
        <f t="shared" si="0"/>
        <v>532.42</v>
      </c>
      <c r="O6" s="201">
        <v>0.08</v>
      </c>
      <c r="P6" s="201">
        <f t="shared" si="1"/>
        <v>304.24</v>
      </c>
      <c r="Q6" s="201">
        <v>6175</v>
      </c>
      <c r="R6" s="201">
        <v>0.055</v>
      </c>
      <c r="S6" s="201">
        <f t="shared" si="2"/>
        <v>339.63</v>
      </c>
      <c r="T6" s="201">
        <v>0.02</v>
      </c>
      <c r="U6" s="201">
        <f t="shared" si="3"/>
        <v>123.5</v>
      </c>
      <c r="V6" s="201">
        <v>3803</v>
      </c>
      <c r="W6" s="201">
        <v>0.0032</v>
      </c>
      <c r="X6" s="201">
        <f t="shared" si="4"/>
        <v>12.17</v>
      </c>
      <c r="Y6" s="201">
        <v>0.002</v>
      </c>
      <c r="Z6" s="201">
        <f t="shared" si="5"/>
        <v>7.61</v>
      </c>
      <c r="AA6" s="201">
        <v>6175</v>
      </c>
      <c r="AB6" s="201">
        <v>0.0085</v>
      </c>
      <c r="AC6" s="201">
        <f t="shared" ref="AC6:AC8" si="15">ROUND(AA6*AB6,2)</f>
        <v>52.49</v>
      </c>
      <c r="AD6" s="201">
        <v>3803</v>
      </c>
      <c r="AE6" s="201">
        <v>0.0016</v>
      </c>
      <c r="AF6" s="201">
        <f t="shared" si="6"/>
        <v>6.08</v>
      </c>
      <c r="AG6" s="201"/>
      <c r="AH6" s="201"/>
      <c r="AI6" s="201"/>
      <c r="AJ6" s="201"/>
      <c r="AK6" s="201"/>
      <c r="AL6" s="233"/>
      <c r="AM6" s="201"/>
      <c r="AN6" s="201"/>
      <c r="AO6" s="201"/>
      <c r="AP6" s="171"/>
      <c r="AQ6" s="238">
        <v>26.76</v>
      </c>
      <c r="AR6" s="201"/>
      <c r="AS6" s="239">
        <f t="shared" si="7"/>
        <v>969.55</v>
      </c>
      <c r="AT6" s="239">
        <f t="shared" si="8"/>
        <v>435.35</v>
      </c>
      <c r="AU6" s="239">
        <f t="shared" si="9"/>
        <v>0</v>
      </c>
      <c r="AV6" s="239">
        <f t="shared" si="10"/>
        <v>0</v>
      </c>
      <c r="AW6" s="239">
        <f t="shared" si="11"/>
        <v>1404.9</v>
      </c>
      <c r="AX6" s="248">
        <f t="shared" si="12"/>
        <v>1404.9</v>
      </c>
      <c r="AY6" s="248"/>
      <c r="AZ6" s="248">
        <f t="shared" si="13"/>
        <v>0</v>
      </c>
      <c r="BA6" s="248"/>
      <c r="BB6" s="249">
        <v>80</v>
      </c>
      <c r="BC6" s="248">
        <f t="shared" si="14"/>
        <v>1484.9</v>
      </c>
      <c r="BD6" s="254"/>
      <c r="BE6" s="272"/>
      <c r="BF6" s="272"/>
      <c r="BG6" s="272"/>
      <c r="BH6" s="272"/>
    </row>
    <row r="7" s="190" customFormat="1" ht="18" customHeight="1" spans="1:60">
      <c r="A7" s="201"/>
      <c r="B7" s="171" t="s">
        <v>71</v>
      </c>
      <c r="C7" s="160" t="s">
        <v>82</v>
      </c>
      <c r="D7" s="170" t="s">
        <v>73</v>
      </c>
      <c r="E7" s="171" t="s">
        <v>83</v>
      </c>
      <c r="F7" s="172" t="s">
        <v>84</v>
      </c>
      <c r="G7" s="394" t="s">
        <v>85</v>
      </c>
      <c r="H7" s="170" t="s">
        <v>77</v>
      </c>
      <c r="I7" s="170" t="s">
        <v>86</v>
      </c>
      <c r="J7" s="170" t="s">
        <v>80</v>
      </c>
      <c r="K7" s="170" t="s">
        <v>86</v>
      </c>
      <c r="L7" s="201">
        <v>3803</v>
      </c>
      <c r="M7" s="201">
        <v>0.14</v>
      </c>
      <c r="N7" s="201">
        <f t="shared" si="0"/>
        <v>532.42</v>
      </c>
      <c r="O7" s="201">
        <v>0.08</v>
      </c>
      <c r="P7" s="201">
        <f t="shared" si="1"/>
        <v>304.24</v>
      </c>
      <c r="Q7" s="201">
        <v>6175</v>
      </c>
      <c r="R7" s="201">
        <v>0.055</v>
      </c>
      <c r="S7" s="201">
        <f t="shared" si="2"/>
        <v>339.63</v>
      </c>
      <c r="T7" s="201">
        <v>0.02</v>
      </c>
      <c r="U7" s="201">
        <f t="shared" si="3"/>
        <v>123.5</v>
      </c>
      <c r="V7" s="201">
        <v>3803</v>
      </c>
      <c r="W7" s="201">
        <v>0.0032</v>
      </c>
      <c r="X7" s="201">
        <f t="shared" si="4"/>
        <v>12.17</v>
      </c>
      <c r="Y7" s="201">
        <v>0.002</v>
      </c>
      <c r="Z7" s="201">
        <f t="shared" si="5"/>
        <v>7.61</v>
      </c>
      <c r="AA7" s="201">
        <v>6175</v>
      </c>
      <c r="AB7" s="201">
        <v>0.0085</v>
      </c>
      <c r="AC7" s="201">
        <f t="shared" si="15"/>
        <v>52.49</v>
      </c>
      <c r="AD7" s="201">
        <v>3803</v>
      </c>
      <c r="AE7" s="201">
        <v>0.0016</v>
      </c>
      <c r="AF7" s="201">
        <f t="shared" si="6"/>
        <v>6.08</v>
      </c>
      <c r="AG7" s="201"/>
      <c r="AH7" s="201"/>
      <c r="AI7" s="201"/>
      <c r="AJ7" s="201"/>
      <c r="AK7" s="201"/>
      <c r="AL7" s="233"/>
      <c r="AM7" s="201"/>
      <c r="AN7" s="201"/>
      <c r="AO7" s="201"/>
      <c r="AP7" s="171"/>
      <c r="AQ7" s="238">
        <v>26.76</v>
      </c>
      <c r="AR7" s="201"/>
      <c r="AS7" s="239">
        <f t="shared" si="7"/>
        <v>969.55</v>
      </c>
      <c r="AT7" s="239">
        <f t="shared" si="8"/>
        <v>435.35</v>
      </c>
      <c r="AU7" s="239">
        <f t="shared" si="9"/>
        <v>0</v>
      </c>
      <c r="AV7" s="239">
        <f t="shared" si="10"/>
        <v>0</v>
      </c>
      <c r="AW7" s="239">
        <f t="shared" si="11"/>
        <v>1404.9</v>
      </c>
      <c r="AX7" s="248">
        <f t="shared" si="12"/>
        <v>1404.9</v>
      </c>
      <c r="AY7" s="248"/>
      <c r="AZ7" s="248">
        <f t="shared" si="13"/>
        <v>0</v>
      </c>
      <c r="BA7" s="248"/>
      <c r="BB7" s="249">
        <v>80</v>
      </c>
      <c r="BC7" s="248">
        <f t="shared" si="14"/>
        <v>1484.9</v>
      </c>
      <c r="BD7" s="254"/>
      <c r="BE7" s="272"/>
      <c r="BF7" s="272"/>
      <c r="BG7" s="272"/>
      <c r="BH7" s="272"/>
    </row>
    <row r="8" s="190" customFormat="1" ht="18" customHeight="1" spans="1:60">
      <c r="A8" s="201"/>
      <c r="B8" s="171" t="s">
        <v>71</v>
      </c>
      <c r="C8" s="160" t="s">
        <v>82</v>
      </c>
      <c r="D8" s="170" t="s">
        <v>73</v>
      </c>
      <c r="E8" s="171" t="s">
        <v>83</v>
      </c>
      <c r="F8" s="172" t="s">
        <v>84</v>
      </c>
      <c r="G8" s="394" t="s">
        <v>85</v>
      </c>
      <c r="H8" s="170" t="s">
        <v>77</v>
      </c>
      <c r="I8" s="170" t="s">
        <v>86</v>
      </c>
      <c r="J8" s="170" t="s">
        <v>81</v>
      </c>
      <c r="K8" s="170" t="s">
        <v>86</v>
      </c>
      <c r="L8" s="201">
        <v>3803</v>
      </c>
      <c r="M8" s="201">
        <v>0.14</v>
      </c>
      <c r="N8" s="201">
        <f t="shared" si="0"/>
        <v>532.42</v>
      </c>
      <c r="O8" s="201">
        <v>0.08</v>
      </c>
      <c r="P8" s="201">
        <f t="shared" si="1"/>
        <v>304.24</v>
      </c>
      <c r="Q8" s="201">
        <v>6175</v>
      </c>
      <c r="R8" s="201">
        <v>0.055</v>
      </c>
      <c r="S8" s="201">
        <f t="shared" si="2"/>
        <v>339.63</v>
      </c>
      <c r="T8" s="201">
        <v>0.02</v>
      </c>
      <c r="U8" s="201">
        <f t="shared" si="3"/>
        <v>123.5</v>
      </c>
      <c r="V8" s="201">
        <v>3803</v>
      </c>
      <c r="W8" s="201">
        <v>0.0032</v>
      </c>
      <c r="X8" s="201">
        <f t="shared" si="4"/>
        <v>12.17</v>
      </c>
      <c r="Y8" s="201">
        <v>0.002</v>
      </c>
      <c r="Z8" s="201">
        <f t="shared" si="5"/>
        <v>7.61</v>
      </c>
      <c r="AA8" s="201">
        <v>6175</v>
      </c>
      <c r="AB8" s="201">
        <v>0.0085</v>
      </c>
      <c r="AC8" s="201">
        <f t="shared" si="15"/>
        <v>52.49</v>
      </c>
      <c r="AD8" s="201">
        <v>3803</v>
      </c>
      <c r="AE8" s="201">
        <v>0.0016</v>
      </c>
      <c r="AF8" s="201">
        <f t="shared" si="6"/>
        <v>6.08</v>
      </c>
      <c r="AG8" s="201"/>
      <c r="AH8" s="201"/>
      <c r="AI8" s="201"/>
      <c r="AJ8" s="201"/>
      <c r="AK8" s="201"/>
      <c r="AL8" s="233"/>
      <c r="AM8" s="201"/>
      <c r="AN8" s="201"/>
      <c r="AO8" s="201"/>
      <c r="AP8" s="171"/>
      <c r="AQ8" s="238">
        <v>26.76</v>
      </c>
      <c r="AR8" s="201"/>
      <c r="AS8" s="239">
        <f t="shared" si="7"/>
        <v>969.55</v>
      </c>
      <c r="AT8" s="239">
        <f t="shared" si="8"/>
        <v>435.35</v>
      </c>
      <c r="AU8" s="239">
        <f t="shared" si="9"/>
        <v>0</v>
      </c>
      <c r="AV8" s="239">
        <f t="shared" si="10"/>
        <v>0</v>
      </c>
      <c r="AW8" s="239">
        <f t="shared" si="11"/>
        <v>1404.9</v>
      </c>
      <c r="AX8" s="248">
        <f t="shared" si="12"/>
        <v>1404.9</v>
      </c>
      <c r="AY8" s="248"/>
      <c r="AZ8" s="248">
        <f t="shared" si="13"/>
        <v>0</v>
      </c>
      <c r="BA8" s="248"/>
      <c r="BB8" s="249">
        <v>80</v>
      </c>
      <c r="BC8" s="248">
        <f t="shared" si="14"/>
        <v>1484.9</v>
      </c>
      <c r="BD8" s="254"/>
      <c r="BE8" s="272"/>
      <c r="BF8" s="272"/>
      <c r="BG8" s="272"/>
      <c r="BH8" s="272"/>
    </row>
    <row r="9" s="276" customFormat="1" ht="18" customHeight="1" spans="1:60">
      <c r="A9" s="277" t="s">
        <v>87</v>
      </c>
      <c r="B9" s="278" t="s">
        <v>71</v>
      </c>
      <c r="C9" s="155" t="s">
        <v>82</v>
      </c>
      <c r="D9" s="279" t="s">
        <v>73</v>
      </c>
      <c r="E9" s="278" t="s">
        <v>83</v>
      </c>
      <c r="F9" s="280" t="s">
        <v>84</v>
      </c>
      <c r="G9" s="395" t="s">
        <v>85</v>
      </c>
      <c r="H9" s="279" t="s">
        <v>77</v>
      </c>
      <c r="I9" s="279" t="s">
        <v>86</v>
      </c>
      <c r="J9" s="279" t="s">
        <v>88</v>
      </c>
      <c r="K9" s="279" t="s">
        <v>86</v>
      </c>
      <c r="L9" s="277"/>
      <c r="M9" s="277"/>
      <c r="N9" s="277"/>
      <c r="O9" s="277"/>
      <c r="P9" s="277"/>
      <c r="Q9" s="277"/>
      <c r="R9" s="277"/>
      <c r="S9" s="277"/>
      <c r="T9" s="277"/>
      <c r="U9" s="277"/>
      <c r="V9" s="277"/>
      <c r="W9" s="277"/>
      <c r="X9" s="277"/>
      <c r="Y9" s="277"/>
      <c r="Z9" s="277"/>
      <c r="AA9" s="277"/>
      <c r="AB9" s="277"/>
      <c r="AC9" s="277"/>
      <c r="AD9" s="282">
        <f t="shared" ref="AD9:AD11" si="16">3803-3000</f>
        <v>803</v>
      </c>
      <c r="AE9" s="282">
        <v>0.0016</v>
      </c>
      <c r="AF9" s="282">
        <f t="shared" si="6"/>
        <v>1.28</v>
      </c>
      <c r="AG9" s="277"/>
      <c r="AH9" s="277"/>
      <c r="AI9" s="277"/>
      <c r="AJ9" s="277"/>
      <c r="AK9" s="277"/>
      <c r="AL9" s="283"/>
      <c r="AM9" s="277"/>
      <c r="AN9" s="277"/>
      <c r="AO9" s="277"/>
      <c r="AP9" s="278"/>
      <c r="AQ9" s="284"/>
      <c r="AR9" s="277"/>
      <c r="AS9" s="285">
        <f t="shared" si="7"/>
        <v>1.28</v>
      </c>
      <c r="AT9" s="285">
        <f t="shared" si="8"/>
        <v>0</v>
      </c>
      <c r="AU9" s="285">
        <f t="shared" si="9"/>
        <v>0</v>
      </c>
      <c r="AV9" s="285">
        <f t="shared" si="10"/>
        <v>0</v>
      </c>
      <c r="AW9" s="285">
        <f t="shared" si="11"/>
        <v>1.28</v>
      </c>
      <c r="AX9" s="286">
        <f t="shared" si="12"/>
        <v>1.28</v>
      </c>
      <c r="AY9" s="286"/>
      <c r="AZ9" s="286"/>
      <c r="BA9" s="286"/>
      <c r="BB9" s="287"/>
      <c r="BC9" s="286">
        <f t="shared" si="14"/>
        <v>1.28</v>
      </c>
      <c r="BD9" s="288" t="s">
        <v>89</v>
      </c>
      <c r="BE9" s="290"/>
      <c r="BF9" s="290"/>
      <c r="BG9" s="290"/>
      <c r="BH9" s="290"/>
    </row>
    <row r="10" s="276" customFormat="1" ht="18" customHeight="1" spans="1:60">
      <c r="A10" s="277" t="s">
        <v>87</v>
      </c>
      <c r="B10" s="278" t="s">
        <v>71</v>
      </c>
      <c r="C10" s="155" t="s">
        <v>82</v>
      </c>
      <c r="D10" s="279" t="s">
        <v>73</v>
      </c>
      <c r="E10" s="278" t="s">
        <v>83</v>
      </c>
      <c r="F10" s="280" t="s">
        <v>84</v>
      </c>
      <c r="G10" s="395" t="s">
        <v>85</v>
      </c>
      <c r="H10" s="279" t="s">
        <v>77</v>
      </c>
      <c r="I10" s="279" t="s">
        <v>86</v>
      </c>
      <c r="J10" s="279" t="s">
        <v>90</v>
      </c>
      <c r="K10" s="279" t="s">
        <v>86</v>
      </c>
      <c r="L10" s="277"/>
      <c r="M10" s="277"/>
      <c r="N10" s="277"/>
      <c r="O10" s="277"/>
      <c r="P10" s="277"/>
      <c r="Q10" s="277"/>
      <c r="R10" s="277"/>
      <c r="S10" s="277"/>
      <c r="T10" s="277"/>
      <c r="U10" s="277"/>
      <c r="V10" s="277"/>
      <c r="W10" s="277"/>
      <c r="X10" s="277"/>
      <c r="Y10" s="277"/>
      <c r="Z10" s="277"/>
      <c r="AA10" s="277"/>
      <c r="AB10" s="277"/>
      <c r="AC10" s="277"/>
      <c r="AD10" s="282">
        <f t="shared" si="16"/>
        <v>803</v>
      </c>
      <c r="AE10" s="282">
        <v>0.0016</v>
      </c>
      <c r="AF10" s="282">
        <f t="shared" si="6"/>
        <v>1.28</v>
      </c>
      <c r="AG10" s="277"/>
      <c r="AH10" s="277"/>
      <c r="AI10" s="277"/>
      <c r="AJ10" s="277"/>
      <c r="AK10" s="277"/>
      <c r="AL10" s="283"/>
      <c r="AM10" s="277"/>
      <c r="AN10" s="277"/>
      <c r="AO10" s="277"/>
      <c r="AP10" s="278"/>
      <c r="AQ10" s="284"/>
      <c r="AR10" s="277"/>
      <c r="AS10" s="285">
        <f t="shared" si="7"/>
        <v>1.28</v>
      </c>
      <c r="AT10" s="285">
        <f t="shared" si="8"/>
        <v>0</v>
      </c>
      <c r="AU10" s="285">
        <f t="shared" si="9"/>
        <v>0</v>
      </c>
      <c r="AV10" s="285">
        <f t="shared" si="10"/>
        <v>0</v>
      </c>
      <c r="AW10" s="285">
        <f t="shared" si="11"/>
        <v>1.28</v>
      </c>
      <c r="AX10" s="286">
        <f t="shared" si="12"/>
        <v>1.28</v>
      </c>
      <c r="AY10" s="286"/>
      <c r="AZ10" s="286"/>
      <c r="BA10" s="286"/>
      <c r="BB10" s="287"/>
      <c r="BC10" s="286">
        <f t="shared" si="14"/>
        <v>1.28</v>
      </c>
      <c r="BD10" s="288" t="s">
        <v>89</v>
      </c>
      <c r="BE10" s="290"/>
      <c r="BF10" s="290"/>
      <c r="BG10" s="290"/>
      <c r="BH10" s="290"/>
    </row>
    <row r="11" s="276" customFormat="1" ht="18" customHeight="1" spans="1:60">
      <c r="A11" s="277" t="s">
        <v>87</v>
      </c>
      <c r="B11" s="278" t="s">
        <v>71</v>
      </c>
      <c r="C11" s="155" t="s">
        <v>82</v>
      </c>
      <c r="D11" s="279" t="s">
        <v>73</v>
      </c>
      <c r="E11" s="278" t="s">
        <v>83</v>
      </c>
      <c r="F11" s="280" t="s">
        <v>84</v>
      </c>
      <c r="G11" s="395" t="s">
        <v>85</v>
      </c>
      <c r="H11" s="279" t="s">
        <v>77</v>
      </c>
      <c r="I11" s="279" t="s">
        <v>86</v>
      </c>
      <c r="J11" s="279" t="s">
        <v>91</v>
      </c>
      <c r="K11" s="279" t="s">
        <v>86</v>
      </c>
      <c r="L11" s="277"/>
      <c r="M11" s="277"/>
      <c r="N11" s="277"/>
      <c r="O11" s="277"/>
      <c r="P11" s="277"/>
      <c r="Q11" s="277"/>
      <c r="R11" s="277"/>
      <c r="S11" s="277"/>
      <c r="T11" s="277"/>
      <c r="U11" s="277"/>
      <c r="V11" s="277"/>
      <c r="W11" s="277"/>
      <c r="X11" s="277"/>
      <c r="Y11" s="277"/>
      <c r="Z11" s="277"/>
      <c r="AA11" s="277"/>
      <c r="AB11" s="277"/>
      <c r="AC11" s="277"/>
      <c r="AD11" s="282">
        <f t="shared" si="16"/>
        <v>803</v>
      </c>
      <c r="AE11" s="282">
        <v>0.0016</v>
      </c>
      <c r="AF11" s="282">
        <f t="shared" si="6"/>
        <v>1.28</v>
      </c>
      <c r="AG11" s="277"/>
      <c r="AH11" s="277"/>
      <c r="AI11" s="277"/>
      <c r="AJ11" s="277"/>
      <c r="AK11" s="277"/>
      <c r="AL11" s="283"/>
      <c r="AM11" s="277"/>
      <c r="AN11" s="277"/>
      <c r="AO11" s="277"/>
      <c r="AP11" s="278"/>
      <c r="AQ11" s="284"/>
      <c r="AR11" s="277"/>
      <c r="AS11" s="285">
        <f t="shared" si="7"/>
        <v>1.28</v>
      </c>
      <c r="AT11" s="285">
        <f t="shared" si="8"/>
        <v>0</v>
      </c>
      <c r="AU11" s="285">
        <f t="shared" si="9"/>
        <v>0</v>
      </c>
      <c r="AV11" s="285">
        <f t="shared" si="10"/>
        <v>0</v>
      </c>
      <c r="AW11" s="285">
        <f t="shared" si="11"/>
        <v>1.28</v>
      </c>
      <c r="AX11" s="286">
        <f t="shared" si="12"/>
        <v>1.28</v>
      </c>
      <c r="AY11" s="286"/>
      <c r="AZ11" s="286"/>
      <c r="BA11" s="286"/>
      <c r="BB11" s="287"/>
      <c r="BC11" s="286">
        <f t="shared" si="14"/>
        <v>1.28</v>
      </c>
      <c r="BD11" s="288" t="s">
        <v>89</v>
      </c>
      <c r="BE11" s="290"/>
      <c r="BF11" s="290"/>
      <c r="BG11" s="290"/>
      <c r="BH11" s="290"/>
    </row>
    <row r="12" s="190" customFormat="1" ht="18" customHeight="1" spans="1:60">
      <c r="A12" s="201">
        <v>3</v>
      </c>
      <c r="B12" s="171" t="s">
        <v>71</v>
      </c>
      <c r="C12" s="160" t="s">
        <v>92</v>
      </c>
      <c r="D12" s="170" t="s">
        <v>73</v>
      </c>
      <c r="E12" s="171" t="s">
        <v>83</v>
      </c>
      <c r="F12" s="172" t="s">
        <v>93</v>
      </c>
      <c r="G12" s="173" t="s">
        <v>94</v>
      </c>
      <c r="H12" s="170" t="s">
        <v>95</v>
      </c>
      <c r="I12" s="170" t="s">
        <v>95</v>
      </c>
      <c r="J12" s="170" t="s">
        <v>80</v>
      </c>
      <c r="K12" s="170" t="s">
        <v>80</v>
      </c>
      <c r="L12" s="201">
        <v>3053.05</v>
      </c>
      <c r="M12" s="201">
        <v>0.16</v>
      </c>
      <c r="N12" s="201">
        <f t="shared" ref="N12:N15" si="17">ROUND(L12*M12,2)</f>
        <v>488.49</v>
      </c>
      <c r="O12" s="201">
        <v>0.08</v>
      </c>
      <c r="P12" s="201">
        <f t="shared" ref="P12:P15" si="18">ROUND(L12*O12,2)</f>
        <v>244.24</v>
      </c>
      <c r="Q12" s="201">
        <v>3053.05</v>
      </c>
      <c r="R12" s="201">
        <v>0.06</v>
      </c>
      <c r="S12" s="201">
        <f t="shared" ref="S12:S15" si="19">ROUND(Q12*R12,2)</f>
        <v>183.18</v>
      </c>
      <c r="T12" s="201">
        <v>0.02</v>
      </c>
      <c r="U12" s="201">
        <f t="shared" ref="U12:U15" si="20">ROUND(Q12*T12,2)</f>
        <v>61.06</v>
      </c>
      <c r="V12" s="201">
        <v>3053.05</v>
      </c>
      <c r="W12" s="201">
        <v>0.007</v>
      </c>
      <c r="X12" s="201">
        <f t="shared" ref="X12:X15" si="21">ROUND(V12*W12,2)</f>
        <v>21.37</v>
      </c>
      <c r="Y12" s="201">
        <v>0.003</v>
      </c>
      <c r="Z12" s="201">
        <f t="shared" ref="Z12:Z15" si="22">ROUND(V12*Y12,2)</f>
        <v>9.16</v>
      </c>
      <c r="AA12" s="201">
        <v>3053.05</v>
      </c>
      <c r="AB12" s="201">
        <v>0.007</v>
      </c>
      <c r="AC12" s="201">
        <f t="shared" ref="AC12:AC15" si="23">ROUND(AA12*AB12,2)</f>
        <v>21.37</v>
      </c>
      <c r="AD12" s="201">
        <v>3053.05</v>
      </c>
      <c r="AE12" s="201">
        <v>0.002</v>
      </c>
      <c r="AF12" s="201">
        <f t="shared" si="6"/>
        <v>6.11</v>
      </c>
      <c r="AG12" s="201" t="s">
        <v>96</v>
      </c>
      <c r="AH12" s="201">
        <v>0.05</v>
      </c>
      <c r="AI12" s="201">
        <f t="shared" ref="AI12:AI15" si="24">ROUND(AG12*AH12,2)</f>
        <v>79</v>
      </c>
      <c r="AJ12" s="201">
        <v>0.05</v>
      </c>
      <c r="AK12" s="201">
        <f t="shared" ref="AK12:AK15" si="25">ROUND(AG12*AJ12,2)</f>
        <v>79</v>
      </c>
      <c r="AL12" s="233"/>
      <c r="AM12" s="201"/>
      <c r="AN12" s="201"/>
      <c r="AO12" s="201"/>
      <c r="AP12" s="171"/>
      <c r="AQ12" s="238"/>
      <c r="AR12" s="201">
        <v>96</v>
      </c>
      <c r="AS12" s="239">
        <f t="shared" si="7"/>
        <v>720.52</v>
      </c>
      <c r="AT12" s="239">
        <f t="shared" si="8"/>
        <v>314.46</v>
      </c>
      <c r="AU12" s="239">
        <f t="shared" si="9"/>
        <v>79</v>
      </c>
      <c r="AV12" s="239">
        <f t="shared" si="10"/>
        <v>79</v>
      </c>
      <c r="AW12" s="239">
        <f t="shared" si="11"/>
        <v>1192.98</v>
      </c>
      <c r="AX12" s="248">
        <f t="shared" si="12"/>
        <v>1034.98</v>
      </c>
      <c r="AY12" s="248"/>
      <c r="AZ12" s="248">
        <f t="shared" ref="AZ12:AZ15" si="26">AU12+AV12</f>
        <v>158</v>
      </c>
      <c r="BA12" s="248"/>
      <c r="BB12" s="249">
        <v>80</v>
      </c>
      <c r="BC12" s="248">
        <f t="shared" si="14"/>
        <v>1272.98</v>
      </c>
      <c r="BD12" s="254"/>
      <c r="BE12" s="272"/>
      <c r="BF12" s="272"/>
      <c r="BG12" s="272"/>
      <c r="BH12" s="272"/>
    </row>
    <row r="13" s="190" customFormat="1" ht="18" customHeight="1" spans="1:60">
      <c r="A13" s="201"/>
      <c r="B13" s="171" t="s">
        <v>71</v>
      </c>
      <c r="C13" s="160" t="s">
        <v>92</v>
      </c>
      <c r="D13" s="170" t="s">
        <v>73</v>
      </c>
      <c r="E13" s="171" t="s">
        <v>83</v>
      </c>
      <c r="F13" s="172" t="s">
        <v>93</v>
      </c>
      <c r="G13" s="173" t="s">
        <v>94</v>
      </c>
      <c r="H13" s="170" t="s">
        <v>95</v>
      </c>
      <c r="I13" s="170" t="s">
        <v>95</v>
      </c>
      <c r="J13" s="170" t="s">
        <v>81</v>
      </c>
      <c r="K13" s="170" t="s">
        <v>81</v>
      </c>
      <c r="L13" s="201">
        <v>3053.05</v>
      </c>
      <c r="M13" s="201">
        <v>0.16</v>
      </c>
      <c r="N13" s="201">
        <f t="shared" si="17"/>
        <v>488.49</v>
      </c>
      <c r="O13" s="201">
        <v>0.08</v>
      </c>
      <c r="P13" s="201">
        <f t="shared" si="18"/>
        <v>244.24</v>
      </c>
      <c r="Q13" s="201">
        <v>3053.05</v>
      </c>
      <c r="R13" s="201">
        <v>0.06</v>
      </c>
      <c r="S13" s="201">
        <f t="shared" si="19"/>
        <v>183.18</v>
      </c>
      <c r="T13" s="201">
        <v>0.02</v>
      </c>
      <c r="U13" s="201">
        <f t="shared" si="20"/>
        <v>61.06</v>
      </c>
      <c r="V13" s="201">
        <v>3053.05</v>
      </c>
      <c r="W13" s="201">
        <v>0.007</v>
      </c>
      <c r="X13" s="201">
        <f t="shared" si="21"/>
        <v>21.37</v>
      </c>
      <c r="Y13" s="201">
        <v>0.003</v>
      </c>
      <c r="Z13" s="201">
        <f t="shared" si="22"/>
        <v>9.16</v>
      </c>
      <c r="AA13" s="201">
        <v>3053.05</v>
      </c>
      <c r="AB13" s="201">
        <v>0.007</v>
      </c>
      <c r="AC13" s="201">
        <f t="shared" si="23"/>
        <v>21.37</v>
      </c>
      <c r="AD13" s="201">
        <v>3053.05</v>
      </c>
      <c r="AE13" s="201">
        <v>0.002</v>
      </c>
      <c r="AF13" s="201">
        <f t="shared" si="6"/>
        <v>6.11</v>
      </c>
      <c r="AG13" s="201" t="s">
        <v>96</v>
      </c>
      <c r="AH13" s="201">
        <v>0.05</v>
      </c>
      <c r="AI13" s="201">
        <f t="shared" si="24"/>
        <v>79</v>
      </c>
      <c r="AJ13" s="201">
        <v>0.05</v>
      </c>
      <c r="AK13" s="201">
        <f t="shared" si="25"/>
        <v>79</v>
      </c>
      <c r="AL13" s="233"/>
      <c r="AM13" s="201"/>
      <c r="AN13" s="201"/>
      <c r="AO13" s="201"/>
      <c r="AP13" s="171"/>
      <c r="AQ13" s="238"/>
      <c r="AR13" s="238"/>
      <c r="AS13" s="239">
        <f t="shared" si="7"/>
        <v>720.52</v>
      </c>
      <c r="AT13" s="239">
        <f t="shared" si="8"/>
        <v>314.46</v>
      </c>
      <c r="AU13" s="239">
        <f t="shared" si="9"/>
        <v>79</v>
      </c>
      <c r="AV13" s="239">
        <f t="shared" si="10"/>
        <v>79</v>
      </c>
      <c r="AW13" s="239">
        <f t="shared" si="11"/>
        <v>1192.98</v>
      </c>
      <c r="AX13" s="248">
        <f t="shared" si="12"/>
        <v>1034.98</v>
      </c>
      <c r="AY13" s="248"/>
      <c r="AZ13" s="248">
        <f t="shared" si="26"/>
        <v>158</v>
      </c>
      <c r="BA13" s="248"/>
      <c r="BB13" s="249">
        <v>80</v>
      </c>
      <c r="BC13" s="248">
        <f t="shared" si="14"/>
        <v>1272.98</v>
      </c>
      <c r="BD13" s="254"/>
      <c r="BE13" s="272"/>
      <c r="BF13" s="272"/>
      <c r="BG13" s="272"/>
      <c r="BH13" s="272"/>
    </row>
    <row r="14" s="190" customFormat="1" ht="18" customHeight="1" spans="1:60">
      <c r="A14" s="201"/>
      <c r="B14" s="171" t="s">
        <v>71</v>
      </c>
      <c r="C14" s="160" t="s">
        <v>92</v>
      </c>
      <c r="D14" s="170" t="s">
        <v>73</v>
      </c>
      <c r="E14" s="171" t="s">
        <v>83</v>
      </c>
      <c r="F14" s="172" t="s">
        <v>93</v>
      </c>
      <c r="G14" s="173" t="s">
        <v>94</v>
      </c>
      <c r="H14" s="170" t="s">
        <v>95</v>
      </c>
      <c r="I14" s="170" t="s">
        <v>95</v>
      </c>
      <c r="J14" s="170" t="s">
        <v>97</v>
      </c>
      <c r="K14" s="170" t="s">
        <v>97</v>
      </c>
      <c r="L14" s="201">
        <v>3053.05</v>
      </c>
      <c r="M14" s="201">
        <v>0.16</v>
      </c>
      <c r="N14" s="201">
        <f t="shared" si="17"/>
        <v>488.49</v>
      </c>
      <c r="O14" s="201">
        <v>0.08</v>
      </c>
      <c r="P14" s="201">
        <f t="shared" si="18"/>
        <v>244.24</v>
      </c>
      <c r="Q14" s="201">
        <v>3053.05</v>
      </c>
      <c r="R14" s="201">
        <v>0.06</v>
      </c>
      <c r="S14" s="201">
        <f t="shared" si="19"/>
        <v>183.18</v>
      </c>
      <c r="T14" s="201">
        <v>0.02</v>
      </c>
      <c r="U14" s="201">
        <f t="shared" si="20"/>
        <v>61.06</v>
      </c>
      <c r="V14" s="201">
        <v>3053.05</v>
      </c>
      <c r="W14" s="201">
        <v>0.007</v>
      </c>
      <c r="X14" s="201">
        <f t="shared" si="21"/>
        <v>21.37</v>
      </c>
      <c r="Y14" s="201">
        <v>0.003</v>
      </c>
      <c r="Z14" s="201">
        <f t="shared" si="22"/>
        <v>9.16</v>
      </c>
      <c r="AA14" s="201">
        <v>3053.05</v>
      </c>
      <c r="AB14" s="201">
        <v>0.007</v>
      </c>
      <c r="AC14" s="201">
        <f t="shared" si="23"/>
        <v>21.37</v>
      </c>
      <c r="AD14" s="201">
        <v>3053.05</v>
      </c>
      <c r="AE14" s="201">
        <v>0.002</v>
      </c>
      <c r="AF14" s="201">
        <f t="shared" si="6"/>
        <v>6.11</v>
      </c>
      <c r="AG14" s="201" t="s">
        <v>96</v>
      </c>
      <c r="AH14" s="201">
        <v>0.05</v>
      </c>
      <c r="AI14" s="201">
        <f t="shared" si="24"/>
        <v>79</v>
      </c>
      <c r="AJ14" s="201">
        <v>0.05</v>
      </c>
      <c r="AK14" s="201">
        <f t="shared" si="25"/>
        <v>79</v>
      </c>
      <c r="AL14" s="233"/>
      <c r="AM14" s="201"/>
      <c r="AN14" s="201"/>
      <c r="AO14" s="201"/>
      <c r="AP14" s="171"/>
      <c r="AQ14" s="238"/>
      <c r="AR14" s="238"/>
      <c r="AS14" s="239">
        <f t="shared" si="7"/>
        <v>720.52</v>
      </c>
      <c r="AT14" s="239">
        <f t="shared" si="8"/>
        <v>314.46</v>
      </c>
      <c r="AU14" s="239">
        <f t="shared" si="9"/>
        <v>79</v>
      </c>
      <c r="AV14" s="239">
        <f t="shared" si="10"/>
        <v>79</v>
      </c>
      <c r="AW14" s="239">
        <f t="shared" si="11"/>
        <v>1192.98</v>
      </c>
      <c r="AX14" s="248">
        <f t="shared" si="12"/>
        <v>1034.98</v>
      </c>
      <c r="AY14" s="248"/>
      <c r="AZ14" s="248">
        <f t="shared" si="26"/>
        <v>158</v>
      </c>
      <c r="BA14" s="248"/>
      <c r="BB14" s="249">
        <v>80</v>
      </c>
      <c r="BC14" s="248">
        <f t="shared" si="14"/>
        <v>1272.98</v>
      </c>
      <c r="BD14" s="254"/>
      <c r="BE14" s="272"/>
      <c r="BF14" s="272"/>
      <c r="BG14" s="272"/>
      <c r="BH14" s="272"/>
    </row>
    <row r="15" s="276" customFormat="1" ht="18" customHeight="1" spans="1:60">
      <c r="A15" s="277" t="s">
        <v>87</v>
      </c>
      <c r="B15" s="278" t="s">
        <v>71</v>
      </c>
      <c r="C15" s="155" t="s">
        <v>92</v>
      </c>
      <c r="D15" s="279" t="s">
        <v>73</v>
      </c>
      <c r="E15" s="278" t="s">
        <v>83</v>
      </c>
      <c r="F15" s="280" t="s">
        <v>93</v>
      </c>
      <c r="G15" s="281" t="s">
        <v>94</v>
      </c>
      <c r="H15" s="279" t="s">
        <v>95</v>
      </c>
      <c r="I15" s="279" t="s">
        <v>95</v>
      </c>
      <c r="J15" s="279" t="s">
        <v>95</v>
      </c>
      <c r="K15" s="279" t="s">
        <v>95</v>
      </c>
      <c r="L15" s="277">
        <v>3053.05</v>
      </c>
      <c r="M15" s="277">
        <v>0.16</v>
      </c>
      <c r="N15" s="277">
        <f t="shared" si="17"/>
        <v>488.49</v>
      </c>
      <c r="O15" s="277">
        <v>0.08</v>
      </c>
      <c r="P15" s="277">
        <f t="shared" si="18"/>
        <v>244.24</v>
      </c>
      <c r="Q15" s="277">
        <v>3053.05</v>
      </c>
      <c r="R15" s="277">
        <v>0.06</v>
      </c>
      <c r="S15" s="277">
        <f t="shared" si="19"/>
        <v>183.18</v>
      </c>
      <c r="T15" s="277">
        <v>0.02</v>
      </c>
      <c r="U15" s="277">
        <f t="shared" si="20"/>
        <v>61.06</v>
      </c>
      <c r="V15" s="277">
        <v>3053.05</v>
      </c>
      <c r="W15" s="277">
        <v>0.007</v>
      </c>
      <c r="X15" s="277">
        <f t="shared" si="21"/>
        <v>21.37</v>
      </c>
      <c r="Y15" s="277">
        <v>0.003</v>
      </c>
      <c r="Z15" s="277">
        <f t="shared" si="22"/>
        <v>9.16</v>
      </c>
      <c r="AA15" s="277">
        <v>3053.05</v>
      </c>
      <c r="AB15" s="277">
        <v>0.007</v>
      </c>
      <c r="AC15" s="277">
        <f t="shared" si="23"/>
        <v>21.37</v>
      </c>
      <c r="AD15" s="277">
        <v>3053.05</v>
      </c>
      <c r="AE15" s="277">
        <v>0.002</v>
      </c>
      <c r="AF15" s="277">
        <f t="shared" si="6"/>
        <v>6.11</v>
      </c>
      <c r="AG15" s="277" t="s">
        <v>96</v>
      </c>
      <c r="AH15" s="277">
        <v>0.05</v>
      </c>
      <c r="AI15" s="277">
        <f t="shared" si="24"/>
        <v>79</v>
      </c>
      <c r="AJ15" s="277">
        <v>0.05</v>
      </c>
      <c r="AK15" s="277">
        <f t="shared" si="25"/>
        <v>79</v>
      </c>
      <c r="AL15" s="283"/>
      <c r="AM15" s="277"/>
      <c r="AN15" s="277"/>
      <c r="AO15" s="277"/>
      <c r="AP15" s="278"/>
      <c r="AQ15" s="284"/>
      <c r="AR15" s="284"/>
      <c r="AS15" s="285">
        <f t="shared" si="7"/>
        <v>720.52</v>
      </c>
      <c r="AT15" s="285">
        <f t="shared" si="8"/>
        <v>314.46</v>
      </c>
      <c r="AU15" s="285">
        <f t="shared" si="9"/>
        <v>79</v>
      </c>
      <c r="AV15" s="285">
        <f t="shared" si="10"/>
        <v>79</v>
      </c>
      <c r="AW15" s="285">
        <f t="shared" si="11"/>
        <v>1192.98</v>
      </c>
      <c r="AX15" s="286">
        <f t="shared" si="12"/>
        <v>1034.98</v>
      </c>
      <c r="AY15" s="286"/>
      <c r="AZ15" s="286">
        <f t="shared" si="26"/>
        <v>158</v>
      </c>
      <c r="BA15" s="286"/>
      <c r="BB15" s="287">
        <v>80</v>
      </c>
      <c r="BC15" s="286">
        <f t="shared" si="14"/>
        <v>1272.98</v>
      </c>
      <c r="BD15" s="288"/>
      <c r="BE15" s="290"/>
      <c r="BF15" s="290"/>
      <c r="BG15" s="290"/>
      <c r="BH15" s="290"/>
    </row>
    <row r="16" s="192" customFormat="1" ht="18" customHeight="1" spans="1:60">
      <c r="A16" s="208"/>
      <c r="B16" s="209"/>
      <c r="C16" s="210"/>
      <c r="D16" s="211"/>
      <c r="E16" s="212"/>
      <c r="F16" s="213"/>
      <c r="G16" s="214"/>
      <c r="H16" s="215"/>
      <c r="I16" s="211"/>
      <c r="J16" s="215"/>
      <c r="K16" s="215"/>
      <c r="L16" s="228"/>
      <c r="M16" s="228"/>
      <c r="N16" s="229"/>
      <c r="O16" s="228"/>
      <c r="P16" s="228"/>
      <c r="Q16" s="228"/>
      <c r="R16" s="228"/>
      <c r="S16" s="228"/>
      <c r="T16" s="228"/>
      <c r="U16" s="228"/>
      <c r="V16" s="231"/>
      <c r="W16" s="231"/>
      <c r="X16" s="232"/>
      <c r="Y16" s="231"/>
      <c r="Z16" s="228"/>
      <c r="AA16" s="228"/>
      <c r="AB16" s="228"/>
      <c r="AC16" s="228"/>
      <c r="AD16" s="228"/>
      <c r="AE16" s="228"/>
      <c r="AF16" s="229"/>
      <c r="AG16" s="228"/>
      <c r="AH16" s="228"/>
      <c r="AI16" s="228"/>
      <c r="AJ16" s="228"/>
      <c r="AK16" s="228"/>
      <c r="AL16" s="235"/>
      <c r="AM16" s="228"/>
      <c r="AN16" s="228"/>
      <c r="AO16" s="228"/>
      <c r="AP16" s="242"/>
      <c r="AQ16" s="243"/>
      <c r="AR16" s="228"/>
      <c r="AS16" s="244"/>
      <c r="AT16" s="244"/>
      <c r="AU16" s="244"/>
      <c r="AV16" s="244"/>
      <c r="AW16" s="244"/>
      <c r="AX16" s="257"/>
      <c r="AY16" s="258"/>
      <c r="AZ16" s="257"/>
      <c r="BA16" s="258"/>
      <c r="BB16" s="259"/>
      <c r="BC16" s="257"/>
      <c r="BD16" s="261"/>
      <c r="BE16" s="189"/>
      <c r="BF16" s="189"/>
      <c r="BG16" s="189"/>
      <c r="BH16" s="189"/>
    </row>
    <row r="17" s="189" customFormat="1" ht="14.25" spans="1:56">
      <c r="A17" s="216" t="s">
        <v>98</v>
      </c>
      <c r="B17" s="217"/>
      <c r="C17" s="218"/>
      <c r="D17" s="218"/>
      <c r="E17" s="219"/>
      <c r="F17" s="218"/>
      <c r="G17" s="218"/>
      <c r="H17" s="218"/>
      <c r="I17" s="218"/>
      <c r="J17" s="218"/>
      <c r="K17" s="218"/>
      <c r="L17" s="219">
        <f t="shared" ref="L17:BC17" si="27">SUM(L3:L15)</f>
        <v>33521.2</v>
      </c>
      <c r="M17" s="219">
        <f t="shared" si="27"/>
        <v>1.54</v>
      </c>
      <c r="N17" s="219">
        <f t="shared" si="27"/>
        <v>5135.22</v>
      </c>
      <c r="O17" s="219">
        <f t="shared" si="27"/>
        <v>0.8</v>
      </c>
      <c r="P17" s="219">
        <f t="shared" si="27"/>
        <v>2681.68</v>
      </c>
      <c r="Q17" s="219">
        <f t="shared" si="27"/>
        <v>40637.2</v>
      </c>
      <c r="R17" s="219">
        <f t="shared" si="27"/>
        <v>0.645</v>
      </c>
      <c r="S17" s="219">
        <f t="shared" si="27"/>
        <v>2543.61</v>
      </c>
      <c r="T17" s="219">
        <f t="shared" si="27"/>
        <v>0.2</v>
      </c>
      <c r="U17" s="219">
        <f t="shared" si="27"/>
        <v>812.74</v>
      </c>
      <c r="V17" s="219">
        <f t="shared" si="27"/>
        <v>33521.2</v>
      </c>
      <c r="W17" s="219">
        <f t="shared" si="27"/>
        <v>0.0586</v>
      </c>
      <c r="X17" s="219">
        <f t="shared" si="27"/>
        <v>191.29</v>
      </c>
      <c r="Y17" s="219">
        <f t="shared" si="27"/>
        <v>0.027</v>
      </c>
      <c r="Z17" s="219">
        <f t="shared" si="27"/>
        <v>89.17</v>
      </c>
      <c r="AA17" s="219">
        <f t="shared" si="27"/>
        <v>30737.2</v>
      </c>
      <c r="AB17" s="219">
        <f t="shared" si="27"/>
        <v>0.0535</v>
      </c>
      <c r="AC17" s="219">
        <f t="shared" si="27"/>
        <v>242.95</v>
      </c>
      <c r="AD17" s="219">
        <f t="shared" si="27"/>
        <v>35930.2</v>
      </c>
      <c r="AE17" s="219">
        <f t="shared" si="27"/>
        <v>0.0236</v>
      </c>
      <c r="AF17" s="219">
        <f t="shared" si="27"/>
        <v>66.32</v>
      </c>
      <c r="AG17" s="219">
        <f t="shared" si="27"/>
        <v>9000</v>
      </c>
      <c r="AH17" s="219">
        <f t="shared" si="27"/>
        <v>0.5</v>
      </c>
      <c r="AI17" s="219">
        <f t="shared" si="27"/>
        <v>1216</v>
      </c>
      <c r="AJ17" s="219">
        <f t="shared" si="27"/>
        <v>0.38</v>
      </c>
      <c r="AK17" s="219">
        <f t="shared" si="27"/>
        <v>856</v>
      </c>
      <c r="AL17" s="219">
        <f t="shared" si="27"/>
        <v>0</v>
      </c>
      <c r="AM17" s="219">
        <f t="shared" si="27"/>
        <v>0</v>
      </c>
      <c r="AN17" s="219">
        <f t="shared" si="27"/>
        <v>0</v>
      </c>
      <c r="AO17" s="219">
        <f t="shared" si="27"/>
        <v>0</v>
      </c>
      <c r="AP17" s="219">
        <f t="shared" si="27"/>
        <v>0</v>
      </c>
      <c r="AQ17" s="219">
        <f t="shared" si="27"/>
        <v>95.28</v>
      </c>
      <c r="AR17" s="219">
        <f t="shared" si="27"/>
        <v>96</v>
      </c>
      <c r="AS17" s="219">
        <f t="shared" si="27"/>
        <v>8274.67</v>
      </c>
      <c r="AT17" s="219">
        <f t="shared" si="27"/>
        <v>3583.59</v>
      </c>
      <c r="AU17" s="219">
        <f t="shared" si="27"/>
        <v>1216</v>
      </c>
      <c r="AV17" s="219">
        <f t="shared" si="27"/>
        <v>856</v>
      </c>
      <c r="AW17" s="219">
        <f t="shared" si="27"/>
        <v>13930.26</v>
      </c>
      <c r="AX17" s="219">
        <f t="shared" si="27"/>
        <v>11858.26</v>
      </c>
      <c r="AY17" s="219">
        <f t="shared" si="27"/>
        <v>0</v>
      </c>
      <c r="AZ17" s="219">
        <f t="shared" si="27"/>
        <v>2072</v>
      </c>
      <c r="BA17" s="219">
        <f t="shared" si="27"/>
        <v>0</v>
      </c>
      <c r="BB17" s="219">
        <f t="shared" si="27"/>
        <v>800</v>
      </c>
      <c r="BC17" s="219">
        <f t="shared" si="27"/>
        <v>14730.26</v>
      </c>
      <c r="BD17" s="262"/>
    </row>
    <row r="18" s="189" customFormat="1" ht="15" spans="1:56">
      <c r="A18" s="220" t="s">
        <v>58</v>
      </c>
      <c r="B18" s="221"/>
      <c r="C18" s="222"/>
      <c r="D18" s="222"/>
      <c r="E18" s="223"/>
      <c r="F18" s="223"/>
      <c r="G18" s="223"/>
      <c r="H18" s="223"/>
      <c r="I18" s="223"/>
      <c r="J18" s="223"/>
      <c r="K18" s="223"/>
      <c r="L18" s="230">
        <f t="shared" ref="L18:AX18" si="28">SUM(L17:L17)</f>
        <v>33521.2</v>
      </c>
      <c r="M18" s="230">
        <f t="shared" si="28"/>
        <v>1.54</v>
      </c>
      <c r="N18" s="230">
        <f t="shared" si="28"/>
        <v>5135.22</v>
      </c>
      <c r="O18" s="230">
        <f t="shared" si="28"/>
        <v>0.8</v>
      </c>
      <c r="P18" s="230">
        <f t="shared" si="28"/>
        <v>2681.68</v>
      </c>
      <c r="Q18" s="230">
        <f t="shared" si="28"/>
        <v>40637.2</v>
      </c>
      <c r="R18" s="230">
        <f t="shared" si="28"/>
        <v>0.645</v>
      </c>
      <c r="S18" s="230">
        <f t="shared" si="28"/>
        <v>2543.61</v>
      </c>
      <c r="T18" s="230">
        <f t="shared" si="28"/>
        <v>0.2</v>
      </c>
      <c r="U18" s="230">
        <f t="shared" si="28"/>
        <v>812.74</v>
      </c>
      <c r="V18" s="230">
        <f t="shared" si="28"/>
        <v>33521.2</v>
      </c>
      <c r="W18" s="230">
        <f t="shared" si="28"/>
        <v>0.0586</v>
      </c>
      <c r="X18" s="230">
        <f t="shared" si="28"/>
        <v>191.29</v>
      </c>
      <c r="Y18" s="230">
        <f t="shared" si="28"/>
        <v>0.027</v>
      </c>
      <c r="Z18" s="230">
        <f t="shared" si="28"/>
        <v>89.17</v>
      </c>
      <c r="AA18" s="230">
        <f t="shared" si="28"/>
        <v>30737.2</v>
      </c>
      <c r="AB18" s="230">
        <f t="shared" si="28"/>
        <v>0.0535</v>
      </c>
      <c r="AC18" s="230">
        <f t="shared" si="28"/>
        <v>242.95</v>
      </c>
      <c r="AD18" s="230">
        <f t="shared" si="28"/>
        <v>35930.2</v>
      </c>
      <c r="AE18" s="230">
        <f t="shared" si="28"/>
        <v>0.0236</v>
      </c>
      <c r="AF18" s="230">
        <f t="shared" si="28"/>
        <v>66.32</v>
      </c>
      <c r="AG18" s="230">
        <f t="shared" si="28"/>
        <v>9000</v>
      </c>
      <c r="AH18" s="230">
        <f t="shared" si="28"/>
        <v>0.5</v>
      </c>
      <c r="AI18" s="230">
        <f t="shared" si="28"/>
        <v>1216</v>
      </c>
      <c r="AJ18" s="230">
        <f t="shared" si="28"/>
        <v>0.38</v>
      </c>
      <c r="AK18" s="230">
        <f t="shared" si="28"/>
        <v>856</v>
      </c>
      <c r="AL18" s="230">
        <f t="shared" si="28"/>
        <v>0</v>
      </c>
      <c r="AM18" s="230">
        <f t="shared" si="28"/>
        <v>0</v>
      </c>
      <c r="AN18" s="230">
        <f t="shared" si="28"/>
        <v>0</v>
      </c>
      <c r="AO18" s="230">
        <f t="shared" si="28"/>
        <v>0</v>
      </c>
      <c r="AP18" s="230">
        <f t="shared" si="28"/>
        <v>0</v>
      </c>
      <c r="AQ18" s="230">
        <f t="shared" si="28"/>
        <v>95.28</v>
      </c>
      <c r="AR18" s="230">
        <f t="shared" si="28"/>
        <v>96</v>
      </c>
      <c r="AS18" s="245">
        <f t="shared" si="28"/>
        <v>8274.67</v>
      </c>
      <c r="AT18" s="245">
        <f t="shared" si="28"/>
        <v>3583.59</v>
      </c>
      <c r="AU18" s="245">
        <f t="shared" si="28"/>
        <v>1216</v>
      </c>
      <c r="AV18" s="245">
        <f t="shared" si="28"/>
        <v>856</v>
      </c>
      <c r="AW18" s="245">
        <f t="shared" si="28"/>
        <v>13930.26</v>
      </c>
      <c r="AX18" s="263">
        <f t="shared" si="28"/>
        <v>11858.26</v>
      </c>
      <c r="AY18" s="263"/>
      <c r="AZ18" s="263">
        <f t="shared" ref="AZ18:BC18" si="29">SUM(AZ17:AZ17)</f>
        <v>2072</v>
      </c>
      <c r="BA18" s="263"/>
      <c r="BB18" s="230">
        <f t="shared" si="29"/>
        <v>800</v>
      </c>
      <c r="BC18" s="230">
        <f t="shared" si="29"/>
        <v>14730.26</v>
      </c>
      <c r="BD18" s="264"/>
    </row>
    <row r="19" s="193" customFormat="1" spans="1:56">
      <c r="A19" s="224"/>
      <c r="B19" s="224"/>
      <c r="C19" s="224"/>
      <c r="D19" s="224"/>
      <c r="E19" s="224"/>
      <c r="F19" s="225"/>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46"/>
      <c r="AT19" s="246"/>
      <c r="AU19" s="246"/>
      <c r="AV19" s="246"/>
      <c r="AW19" s="246"/>
      <c r="AX19" s="224"/>
      <c r="AY19" s="224"/>
      <c r="AZ19" s="224"/>
      <c r="BA19" s="224"/>
      <c r="BB19" s="224"/>
      <c r="BC19" s="224"/>
      <c r="BD19" s="265"/>
    </row>
    <row r="20" s="194" customFormat="1" spans="1:56">
      <c r="A20" s="189"/>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224"/>
      <c r="AA20" s="224"/>
      <c r="AB20" s="224"/>
      <c r="AC20" s="224"/>
      <c r="AD20" s="224"/>
      <c r="AE20" s="224"/>
      <c r="AF20" s="224"/>
      <c r="AG20" s="224"/>
      <c r="AH20" s="224"/>
      <c r="AI20" s="224"/>
      <c r="AJ20" s="189"/>
      <c r="AK20" s="189"/>
      <c r="AL20" s="189"/>
      <c r="AM20" s="189"/>
      <c r="AN20" s="189"/>
      <c r="AO20" s="189"/>
      <c r="AP20" s="189"/>
      <c r="AQ20" s="189"/>
      <c r="AR20" s="189"/>
      <c r="AS20" s="195"/>
      <c r="AT20" s="195"/>
      <c r="AU20" s="195"/>
      <c r="AV20" s="195"/>
      <c r="AW20" s="195"/>
      <c r="AX20" s="189"/>
      <c r="AY20" s="189"/>
      <c r="AZ20" s="189"/>
      <c r="BA20" s="189"/>
      <c r="BB20" s="189"/>
      <c r="BC20" s="189"/>
      <c r="BD20" s="196"/>
    </row>
    <row r="21" s="189" customFormat="1" spans="45:56">
      <c r="AS21" s="195"/>
      <c r="AT21" s="195"/>
      <c r="AU21" s="195"/>
      <c r="AV21" s="195"/>
      <c r="AW21" s="195"/>
      <c r="BD21" s="196"/>
    </row>
    <row r="22" spans="50:55">
      <c r="AX22" s="266"/>
      <c r="AY22" s="266"/>
      <c r="BC22" s="267"/>
    </row>
    <row r="23" s="189" customFormat="1" spans="45:56">
      <c r="AS23" s="195"/>
      <c r="AT23" s="195"/>
      <c r="AU23" s="195"/>
      <c r="AV23" s="195"/>
      <c r="AW23" s="195"/>
      <c r="BD23" s="196"/>
    </row>
  </sheetData>
  <mergeCells count="54">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8:AY18"/>
    <mergeCell ref="AZ18:BA18"/>
    <mergeCell ref="AX22:AY22"/>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2" priority="1" stopIfTrue="1">
      <formula>AND(COUNTIF($J$1:$J$1,H1)&gt;1,NOT(ISBLANK(H1)))</formula>
    </cfRule>
  </conditionalFormatting>
  <conditionalFormatting sqref="J1">
    <cfRule type="duplicateValues" dxfId="2" priority="2" stopIfTrue="1"/>
  </conditionalFormatting>
  <conditionalFormatting sqref="K1:L1">
    <cfRule type="duplicateValues" dxfId="2" priority="3" stopIfTrue="1"/>
  </conditionalFormatting>
  <conditionalFormatting sqref="Q1">
    <cfRule type="duplicateValues" dxfId="2" priority="4" stopIfTrue="1"/>
  </conditionalFormatting>
  <conditionalFormatting sqref="V1">
    <cfRule type="duplicateValues" dxfId="2" priority="5" stopIfTrue="1"/>
  </conditionalFormatting>
  <conditionalFormatting sqref="AG1">
    <cfRule type="duplicateValues" dxfId="2" priority="6" stopIfTrue="1"/>
  </conditionalFormatting>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4"/>
  <sheetViews>
    <sheetView workbookViewId="0">
      <pane xSplit="6" ySplit="3" topLeftCell="G4" activePane="bottomRight" state="frozen"/>
      <selection/>
      <selection pane="topRight"/>
      <selection pane="bottomLeft"/>
      <selection pane="bottomRight" activeCell="N19" sqref="N19"/>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9.75" style="36" customWidth="1" outlineLevel="1"/>
    <col min="14" max="15" width="9" style="36" customWidth="1" outlineLevel="1"/>
    <col min="16" max="16" width="11.125" style="36" customWidth="1" outlineLevel="1"/>
    <col min="17" max="17" width="9.75" style="36" customWidth="1"/>
    <col min="18" max="18" width="9.5" style="36" customWidth="1"/>
    <col min="19" max="19" width="14.12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275" t="s">
        <v>75</v>
      </c>
      <c r="D4" s="58" t="s">
        <v>147</v>
      </c>
      <c r="E4" s="137" t="s">
        <v>76</v>
      </c>
      <c r="F4" s="59" t="str">
        <f t="shared" ref="F4:F7" si="0">IF(MOD(MID(E4,17,1),2)=1,"男","女")</f>
        <v>男</v>
      </c>
      <c r="G4" s="60">
        <v>18035163638</v>
      </c>
      <c r="H4" s="138"/>
      <c r="I4" s="138"/>
      <c r="J4" s="139"/>
      <c r="K4" s="138"/>
      <c r="L4" s="92">
        <v>7700</v>
      </c>
      <c r="M4" s="92">
        <v>264</v>
      </c>
      <c r="N4" s="92">
        <v>66</v>
      </c>
      <c r="O4" s="92">
        <v>9.9</v>
      </c>
      <c r="P4" s="92">
        <v>180</v>
      </c>
      <c r="Q4" s="112">
        <f t="shared" ref="Q4:Q7" si="1">ROUND(SUM(M4:P4),2)</f>
        <v>519.9</v>
      </c>
      <c r="R4" s="94">
        <v>0</v>
      </c>
      <c r="S4" s="113">
        <f>L4+IFERROR(VLOOKUP($E:$E,'（居民）工资表-4月'!$E:$S,15,0),0)</f>
        <v>44480</v>
      </c>
      <c r="T4" s="114">
        <f>5000+IFERROR(VLOOKUP($E:$E,'（居民）工资表-4月'!$E:$T,16,0),0)</f>
        <v>25000</v>
      </c>
      <c r="U4" s="114">
        <f>Q4+IFERROR(VLOOKUP($E:$E,'（居民）工资表-4月'!$E:$U,17,0),0)</f>
        <v>2599.5</v>
      </c>
      <c r="V4" s="94"/>
      <c r="W4" s="94"/>
      <c r="X4" s="94">
        <v>5000</v>
      </c>
      <c r="Y4" s="94"/>
      <c r="Z4" s="94"/>
      <c r="AA4" s="94"/>
      <c r="AB4" s="113">
        <f t="shared" ref="AB4:AB7" si="2">ROUND(SUM(V4:AA4),2)</f>
        <v>5000</v>
      </c>
      <c r="AC4" s="113">
        <f>R4+IFERROR(VLOOKUP($E:$E,'（居民）工资表-4月'!$E:$AC,25,0),0)</f>
        <v>0</v>
      </c>
      <c r="AD4" s="116">
        <f t="shared" ref="AD4:AD7" si="3">ROUND(S4-T4-U4-AB4-AC4,2)</f>
        <v>11880.5</v>
      </c>
      <c r="AE4" s="117">
        <f>ROUND(MAX((AD4)*{0.03;0.1;0.2;0.25;0.3;0.35;0.45}-{0;2520;16920;31920;52920;85920;181920},0),2)</f>
        <v>356.42</v>
      </c>
      <c r="AF4" s="118">
        <f>IFERROR(VLOOKUP(E:E,'（居民）工资表-4月'!E:AF,28,0)+VLOOKUP(E:E,'（居民）工资表-4月'!E:AG,29,0),0)</f>
        <v>201.01</v>
      </c>
      <c r="AG4" s="118">
        <f t="shared" ref="AG4:AG7" si="4">IF((AE4-AF4)&lt;0,0,AE4-AF4)</f>
        <v>155.41</v>
      </c>
      <c r="AH4" s="125">
        <f t="shared" ref="AH4:AH7" si="5">ROUND(IF((L4-Q4-AG4)&lt;0,0,(L4-Q4-AG4)),2)</f>
        <v>7024.69</v>
      </c>
      <c r="AI4" s="126"/>
      <c r="AJ4" s="125">
        <f t="shared" ref="AJ4:AJ7" si="6">AH4+AI4</f>
        <v>7024.69</v>
      </c>
      <c r="AK4" s="127"/>
      <c r="AL4" s="125">
        <f t="shared" ref="AL4:AL7" si="7">AJ4+AG4+AK4</f>
        <v>7180.1</v>
      </c>
      <c r="AM4" s="127"/>
      <c r="AN4" s="127"/>
      <c r="AO4" s="127"/>
      <c r="AP4" s="127"/>
      <c r="AQ4" s="127"/>
      <c r="AR4" s="134" t="str">
        <f t="shared" ref="AR4:AR7" si="8">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IF(SUMPRODUCT(N(E$1:E$7=E4))&gt;1,"重复","不")</f>
        <v>不</v>
      </c>
      <c r="AT4" s="134" t="str">
        <f>IF(SUMPRODUCT(N(AO$1:AO$7=AO4))&gt;1,"重复","不")</f>
        <v>重复</v>
      </c>
    </row>
    <row r="5" s="33" customFormat="1" ht="18" customHeight="1" spans="1:46">
      <c r="A5" s="57">
        <v>2</v>
      </c>
      <c r="B5" s="58" t="s">
        <v>146</v>
      </c>
      <c r="C5" s="136" t="s">
        <v>84</v>
      </c>
      <c r="D5" s="58" t="s">
        <v>147</v>
      </c>
      <c r="E5" s="396" t="s">
        <v>85</v>
      </c>
      <c r="F5" s="59" t="str">
        <f t="shared" si="0"/>
        <v>女</v>
      </c>
      <c r="G5" s="60">
        <v>13926009696</v>
      </c>
      <c r="H5" s="138"/>
      <c r="I5" s="138"/>
      <c r="J5" s="139"/>
      <c r="K5" s="138"/>
      <c r="L5" s="92">
        <v>5800</v>
      </c>
      <c r="M5" s="92">
        <v>304.24</v>
      </c>
      <c r="N5" s="92">
        <v>123.5</v>
      </c>
      <c r="O5" s="92">
        <v>7.61</v>
      </c>
      <c r="P5" s="92">
        <v>0</v>
      </c>
      <c r="Q5" s="112">
        <f t="shared" si="1"/>
        <v>435.35</v>
      </c>
      <c r="R5" s="94">
        <v>0</v>
      </c>
      <c r="S5" s="113">
        <f>L5+IFERROR(VLOOKUP($E:$E,'（居民）工资表-4月'!$E:$S,15,0),0)</f>
        <v>5800</v>
      </c>
      <c r="T5" s="114">
        <f>5000+IFERROR(VLOOKUP($E:$E,'（居民）工资表-4月'!$E:$T,16,0),0)</f>
        <v>5000</v>
      </c>
      <c r="U5" s="114">
        <f>Q5+IFERROR(VLOOKUP($E:$E,'（居民）工资表-4月'!$E:$U,17,0),0)</f>
        <v>435.35</v>
      </c>
      <c r="V5" s="94"/>
      <c r="W5" s="94"/>
      <c r="X5" s="94"/>
      <c r="Y5" s="94"/>
      <c r="Z5" s="94"/>
      <c r="AA5" s="94"/>
      <c r="AB5" s="113">
        <f t="shared" si="2"/>
        <v>0</v>
      </c>
      <c r="AC5" s="113">
        <f>R5+IFERROR(VLOOKUP($E:$E,'（居民）工资表-4月'!$E:$AC,25,0),0)</f>
        <v>0</v>
      </c>
      <c r="AD5" s="116">
        <f t="shared" si="3"/>
        <v>364.65</v>
      </c>
      <c r="AE5" s="117">
        <f>ROUND(MAX((AD5)*{0.03;0.1;0.2;0.25;0.3;0.35;0.45}-{0;2520;16920;31920;52920;85920;181920},0),2)</f>
        <v>10.94</v>
      </c>
      <c r="AF5" s="118">
        <f>IFERROR(VLOOKUP(E:E,'（居民）工资表-4月'!E:AF,28,0)+VLOOKUP(E:E,'（居民）工资表-4月'!E:AG,29,0),0)</f>
        <v>0</v>
      </c>
      <c r="AG5" s="118">
        <f t="shared" si="4"/>
        <v>10.94</v>
      </c>
      <c r="AH5" s="125">
        <f t="shared" si="5"/>
        <v>5353.71</v>
      </c>
      <c r="AI5" s="126"/>
      <c r="AJ5" s="125">
        <f t="shared" si="6"/>
        <v>5353.71</v>
      </c>
      <c r="AK5" s="127"/>
      <c r="AL5" s="125">
        <f t="shared" si="7"/>
        <v>5364.65</v>
      </c>
      <c r="AM5" s="127"/>
      <c r="AN5" s="127"/>
      <c r="AO5" s="127"/>
      <c r="AP5" s="127"/>
      <c r="AQ5" s="127"/>
      <c r="AR5" s="134" t="str">
        <f t="shared" si="8"/>
        <v>正确</v>
      </c>
      <c r="AS5" s="134" t="str">
        <f>IF(SUMPRODUCT(N(E$1:E$7=E5))&gt;1,"重复","不")</f>
        <v>不</v>
      </c>
      <c r="AT5" s="134" t="str">
        <f>IF(SUMPRODUCT(N(AO$1:AO$7=AO5))&gt;1,"重复","不")</f>
        <v>重复</v>
      </c>
    </row>
    <row r="6" s="33" customFormat="1" ht="18" customHeight="1" spans="1:46">
      <c r="A6" s="57">
        <v>3</v>
      </c>
      <c r="B6" s="58" t="s">
        <v>146</v>
      </c>
      <c r="C6" s="58" t="s">
        <v>93</v>
      </c>
      <c r="D6" s="58" t="s">
        <v>147</v>
      </c>
      <c r="E6" s="58" t="s">
        <v>94</v>
      </c>
      <c r="F6" s="59" t="str">
        <f t="shared" si="0"/>
        <v>男</v>
      </c>
      <c r="G6" s="62">
        <v>13944441728</v>
      </c>
      <c r="H6" s="61"/>
      <c r="I6" s="61"/>
      <c r="J6" s="91"/>
      <c r="K6" s="61"/>
      <c r="L6" s="94">
        <v>8120</v>
      </c>
      <c r="M6" s="93">
        <f>244.24*2</f>
        <v>488.48</v>
      </c>
      <c r="N6" s="93">
        <f>61.06*2</f>
        <v>122.12</v>
      </c>
      <c r="O6" s="93">
        <f>9.16*2</f>
        <v>18.32</v>
      </c>
      <c r="P6" s="93">
        <f>79*2</f>
        <v>158</v>
      </c>
      <c r="Q6" s="112">
        <f t="shared" si="1"/>
        <v>786.92</v>
      </c>
      <c r="R6" s="94">
        <v>0</v>
      </c>
      <c r="S6" s="113">
        <f>L6+IFERROR(VLOOKUP($E:$E,'（居民）工资表-4月'!$E:$S,15,0),0)</f>
        <v>36120</v>
      </c>
      <c r="T6" s="114">
        <f>5000+IFERROR(VLOOKUP($E:$E,'（居民）工资表-4月'!$E:$T,16,0),0)</f>
        <v>25000</v>
      </c>
      <c r="U6" s="114">
        <f>Q6+IFERROR(VLOOKUP($E:$E,'（居民）工资表-4月'!$E:$U,17,0),0)</f>
        <v>2518.72</v>
      </c>
      <c r="V6" s="94"/>
      <c r="W6" s="94"/>
      <c r="X6" s="94"/>
      <c r="Y6" s="94"/>
      <c r="Z6" s="94"/>
      <c r="AA6" s="94"/>
      <c r="AB6" s="113">
        <f t="shared" si="2"/>
        <v>0</v>
      </c>
      <c r="AC6" s="113">
        <f>R6+IFERROR(VLOOKUP($E:$E,'（居民）工资表-4月'!$E:$AC,25,0),0)</f>
        <v>0</v>
      </c>
      <c r="AD6" s="116">
        <f t="shared" si="3"/>
        <v>8601.28</v>
      </c>
      <c r="AE6" s="117">
        <f>ROUND(MAX((AD6)*{0.03;0.1;0.2;0.25;0.3;0.35;0.45}-{0;2520;16920;31920;52920;85920;181920},0),2)</f>
        <v>258.04</v>
      </c>
      <c r="AF6" s="118">
        <f>IFERROR(VLOOKUP(E:E,'（居民）工资表-4月'!E:AF,28,0)+VLOOKUP(E:E,'（居民）工资表-4月'!E:AG,29,0),0)</f>
        <v>68.05</v>
      </c>
      <c r="AG6" s="118">
        <f t="shared" si="4"/>
        <v>189.99</v>
      </c>
      <c r="AH6" s="125">
        <f t="shared" si="5"/>
        <v>7143.09</v>
      </c>
      <c r="AI6" s="126"/>
      <c r="AJ6" s="125">
        <f t="shared" si="6"/>
        <v>7143.09</v>
      </c>
      <c r="AK6" s="127"/>
      <c r="AL6" s="125">
        <f t="shared" si="7"/>
        <v>7333.08</v>
      </c>
      <c r="AM6" s="127"/>
      <c r="AN6" s="127"/>
      <c r="AO6" s="127"/>
      <c r="AP6" s="127"/>
      <c r="AQ6" s="127"/>
      <c r="AR6" s="134" t="str">
        <f t="shared" si="8"/>
        <v>正确</v>
      </c>
      <c r="AS6" s="134" t="str">
        <f>IF(SUMPRODUCT(N(E$1:E$7=E6))&gt;1,"重复","不")</f>
        <v>不</v>
      </c>
      <c r="AT6" s="134" t="str">
        <f>IF(SUMPRODUCT(N(AO$1:AO$7=AO6))&gt;1,"重复","不")</f>
        <v>重复</v>
      </c>
    </row>
    <row r="7" s="33" customFormat="1" ht="18" customHeight="1" spans="1:46">
      <c r="A7" s="57">
        <v>4</v>
      </c>
      <c r="B7" s="58" t="s">
        <v>146</v>
      </c>
      <c r="C7" s="58" t="s">
        <v>148</v>
      </c>
      <c r="D7" s="58" t="s">
        <v>147</v>
      </c>
      <c r="E7" s="397" t="s">
        <v>149</v>
      </c>
      <c r="F7" s="59" t="str">
        <f t="shared" si="0"/>
        <v>男</v>
      </c>
      <c r="G7" s="62"/>
      <c r="H7" s="61"/>
      <c r="I7" s="61"/>
      <c r="J7" s="91"/>
      <c r="K7" s="61"/>
      <c r="L7" s="94">
        <v>11904.76</v>
      </c>
      <c r="M7" s="93"/>
      <c r="N7" s="93"/>
      <c r="O7" s="93"/>
      <c r="P7" s="93"/>
      <c r="Q7" s="112">
        <f t="shared" si="1"/>
        <v>0</v>
      </c>
      <c r="R7" s="94">
        <v>0</v>
      </c>
      <c r="S7" s="113">
        <f>L7+IFERROR(VLOOKUP($E:$E,'（居民）工资表-4月'!$E:$S,15,0),0)</f>
        <v>121904.76</v>
      </c>
      <c r="T7" s="114">
        <f>5000+IFERROR(VLOOKUP($E:$E,'（居民）工资表-4月'!$E:$T,16,0),0)</f>
        <v>25000</v>
      </c>
      <c r="U7" s="114">
        <f>Q7+IFERROR(VLOOKUP($E:$E,'（居民）工资表-4月'!$E:$U,17,0),0)</f>
        <v>2578</v>
      </c>
      <c r="V7" s="94"/>
      <c r="W7" s="94"/>
      <c r="X7" s="94"/>
      <c r="Y7" s="94"/>
      <c r="Z7" s="94"/>
      <c r="AA7" s="94"/>
      <c r="AB7" s="113">
        <f t="shared" si="2"/>
        <v>0</v>
      </c>
      <c r="AC7" s="113">
        <f>R7+IFERROR(VLOOKUP($E:$E,'（居民）工资表-4月'!$E:$AC,25,0),0)</f>
        <v>0</v>
      </c>
      <c r="AD7" s="116">
        <f t="shared" si="3"/>
        <v>94326.76</v>
      </c>
      <c r="AE7" s="117">
        <f>ROUND(MAX((AD7)*{0.03;0.1;0.2;0.25;0.3;0.35;0.45}-{0;2520;16920;31920;52920;85920;181920},0),2)</f>
        <v>6912.68</v>
      </c>
      <c r="AF7" s="118">
        <f>IFERROR(VLOOKUP(E:E,'（居民）工资表-4月'!E:AF,28,0)+VLOOKUP(E:E,'（居民）工资表-4月'!E:AG,29,0),0)</f>
        <v>5022.2</v>
      </c>
      <c r="AG7" s="118">
        <f t="shared" si="4"/>
        <v>1890.48</v>
      </c>
      <c r="AH7" s="125">
        <f t="shared" si="5"/>
        <v>10014.28</v>
      </c>
      <c r="AI7" s="126"/>
      <c r="AJ7" s="125">
        <f t="shared" si="6"/>
        <v>10014.28</v>
      </c>
      <c r="AK7" s="127"/>
      <c r="AL7" s="125">
        <f t="shared" si="7"/>
        <v>11904.76</v>
      </c>
      <c r="AM7" s="127"/>
      <c r="AN7" s="127"/>
      <c r="AO7" s="127"/>
      <c r="AP7" s="127"/>
      <c r="AQ7" s="127"/>
      <c r="AR7" s="134" t="str">
        <f t="shared" si="8"/>
        <v>正确</v>
      </c>
      <c r="AS7" s="134" t="str">
        <f>IF(SUMPRODUCT(N(E$1:E$7=E7))&gt;1,"重复","不")</f>
        <v>不</v>
      </c>
      <c r="AT7" s="134" t="str">
        <f>IF(SUMPRODUCT(N(AO$1:AO$7=AO7))&gt;1,"重复","不")</f>
        <v>重复</v>
      </c>
    </row>
    <row r="8" s="34" customFormat="1" ht="18" customHeight="1" spans="1:46">
      <c r="A8" s="63"/>
      <c r="B8" s="64" t="s">
        <v>150</v>
      </c>
      <c r="C8" s="64"/>
      <c r="D8" s="65"/>
      <c r="E8" s="66"/>
      <c r="F8" s="67"/>
      <c r="G8" s="68"/>
      <c r="H8" s="67"/>
      <c r="I8" s="95"/>
      <c r="J8" s="96"/>
      <c r="K8" s="95"/>
      <c r="L8" s="97">
        <f t="shared" ref="L8:AL8" si="9">SUM(L4:L7)</f>
        <v>33524.76</v>
      </c>
      <c r="M8" s="97">
        <f t="shared" si="9"/>
        <v>1056.72</v>
      </c>
      <c r="N8" s="97">
        <f t="shared" si="9"/>
        <v>311.62</v>
      </c>
      <c r="O8" s="97">
        <f t="shared" si="9"/>
        <v>35.83</v>
      </c>
      <c r="P8" s="97">
        <f t="shared" si="9"/>
        <v>338</v>
      </c>
      <c r="Q8" s="97">
        <f t="shared" si="9"/>
        <v>1742.17</v>
      </c>
      <c r="R8" s="97">
        <f t="shared" si="9"/>
        <v>0</v>
      </c>
      <c r="S8" s="97">
        <f t="shared" si="9"/>
        <v>208304.76</v>
      </c>
      <c r="T8" s="97">
        <f t="shared" si="9"/>
        <v>80000</v>
      </c>
      <c r="U8" s="97">
        <f t="shared" si="9"/>
        <v>8131.57</v>
      </c>
      <c r="V8" s="97">
        <f t="shared" si="9"/>
        <v>0</v>
      </c>
      <c r="W8" s="97">
        <f t="shared" si="9"/>
        <v>0</v>
      </c>
      <c r="X8" s="97">
        <f t="shared" si="9"/>
        <v>5000</v>
      </c>
      <c r="Y8" s="97">
        <f t="shared" si="9"/>
        <v>0</v>
      </c>
      <c r="Z8" s="97">
        <f t="shared" si="9"/>
        <v>0</v>
      </c>
      <c r="AA8" s="97">
        <f t="shared" si="9"/>
        <v>0</v>
      </c>
      <c r="AB8" s="97">
        <f t="shared" si="9"/>
        <v>5000</v>
      </c>
      <c r="AC8" s="97">
        <f t="shared" si="9"/>
        <v>0</v>
      </c>
      <c r="AD8" s="97">
        <f t="shared" si="9"/>
        <v>115173.19</v>
      </c>
      <c r="AE8" s="97">
        <f t="shared" si="9"/>
        <v>7538.08</v>
      </c>
      <c r="AF8" s="97">
        <f t="shared" si="9"/>
        <v>5291.26</v>
      </c>
      <c r="AG8" s="97">
        <f t="shared" si="9"/>
        <v>2246.82</v>
      </c>
      <c r="AH8" s="97">
        <f t="shared" si="9"/>
        <v>29535.77</v>
      </c>
      <c r="AI8" s="141">
        <f t="shared" si="9"/>
        <v>0</v>
      </c>
      <c r="AJ8" s="97">
        <f t="shared" si="9"/>
        <v>29535.77</v>
      </c>
      <c r="AK8" s="97">
        <f t="shared" si="9"/>
        <v>0</v>
      </c>
      <c r="AL8" s="97">
        <f t="shared" si="9"/>
        <v>31782.59</v>
      </c>
      <c r="AM8" s="128"/>
      <c r="AN8" s="128"/>
      <c r="AO8" s="128"/>
      <c r="AP8" s="128"/>
      <c r="AQ8" s="128"/>
      <c r="AR8" s="67"/>
      <c r="AS8" s="67"/>
      <c r="AT8" s="135"/>
    </row>
    <row r="11" spans="30:30">
      <c r="AD11" s="119"/>
    </row>
    <row r="12" ht="18.75" customHeight="1" spans="2:33">
      <c r="B12" s="69" t="s">
        <v>127</v>
      </c>
      <c r="C12" s="69" t="s">
        <v>151</v>
      </c>
      <c r="D12" s="69" t="s">
        <v>57</v>
      </c>
      <c r="E12" s="69" t="s">
        <v>58</v>
      </c>
      <c r="AD12" s="31"/>
      <c r="AG12" s="40"/>
    </row>
    <row r="13" ht="18.75" customHeight="1" spans="2:5">
      <c r="B13" s="70">
        <f>AJ8</f>
        <v>29535.77</v>
      </c>
      <c r="C13" s="70">
        <f>AG8</f>
        <v>2246.82</v>
      </c>
      <c r="D13" s="70">
        <f>AK8</f>
        <v>0</v>
      </c>
      <c r="E13" s="70">
        <f>B13+C13+D13</f>
        <v>31782.59</v>
      </c>
    </row>
    <row r="14" spans="2:5">
      <c r="B14" s="71"/>
      <c r="C14" s="71"/>
      <c r="D14" s="71"/>
      <c r="E14" s="71"/>
    </row>
    <row r="15" s="35" customFormat="1" spans="1:35">
      <c r="A15" s="72" t="s">
        <v>152</v>
      </c>
      <c r="B15" s="73" t="s">
        <v>153</v>
      </c>
      <c r="C15" s="74"/>
      <c r="D15" s="74"/>
      <c r="E15" s="74"/>
      <c r="G15" s="75"/>
      <c r="J15" s="98"/>
      <c r="M15" s="99"/>
      <c r="AI15" s="130"/>
    </row>
    <row r="16" s="35" customFormat="1" spans="1:35">
      <c r="A16" s="76"/>
      <c r="B16" s="77" t="s">
        <v>154</v>
      </c>
      <c r="C16" s="74"/>
      <c r="D16" s="74"/>
      <c r="E16" s="74"/>
      <c r="G16" s="75"/>
      <c r="J16" s="98"/>
      <c r="M16" s="99"/>
      <c r="AI16" s="130"/>
    </row>
    <row r="17" s="35" customFormat="1" spans="1:35">
      <c r="A17" s="73"/>
      <c r="B17" s="77" t="s">
        <v>155</v>
      </c>
      <c r="C17" s="78"/>
      <c r="D17" s="78"/>
      <c r="E17" s="78"/>
      <c r="F17" s="78"/>
      <c r="G17" s="78"/>
      <c r="H17" s="78"/>
      <c r="I17" s="78"/>
      <c r="J17" s="100"/>
      <c r="K17" s="78"/>
      <c r="L17" s="78"/>
      <c r="M17" s="101"/>
      <c r="N17" s="78"/>
      <c r="O17" s="78"/>
      <c r="P17" s="78"/>
      <c r="AI17" s="130"/>
    </row>
    <row r="18" s="35" customFormat="1" customHeight="1" spans="1:35">
      <c r="A18" s="77"/>
      <c r="B18" s="77" t="s">
        <v>156</v>
      </c>
      <c r="C18" s="79"/>
      <c r="D18" s="79"/>
      <c r="E18" s="79"/>
      <c r="F18" s="79"/>
      <c r="G18" s="79"/>
      <c r="H18" s="79"/>
      <c r="I18" s="102"/>
      <c r="J18" s="103"/>
      <c r="K18" s="102"/>
      <c r="L18" s="102"/>
      <c r="M18" s="104"/>
      <c r="N18" s="102"/>
      <c r="O18" s="102"/>
      <c r="P18" s="102"/>
      <c r="AI18" s="130"/>
    </row>
    <row r="19" s="35" customFormat="1" customHeight="1" spans="1:35">
      <c r="A19" s="77"/>
      <c r="B19" s="77" t="s">
        <v>157</v>
      </c>
      <c r="C19" s="79"/>
      <c r="D19" s="79"/>
      <c r="E19" s="79"/>
      <c r="F19" s="79"/>
      <c r="G19" s="79"/>
      <c r="H19" s="79"/>
      <c r="I19" s="79"/>
      <c r="J19" s="105"/>
      <c r="K19" s="79"/>
      <c r="L19" s="102"/>
      <c r="M19" s="104"/>
      <c r="N19" s="102"/>
      <c r="O19" s="102"/>
      <c r="P19" s="102"/>
      <c r="AI19" s="130"/>
    </row>
    <row r="20" s="35" customFormat="1" customHeight="1" spans="1:35">
      <c r="A20" s="77"/>
      <c r="B20" s="77" t="s">
        <v>158</v>
      </c>
      <c r="C20" s="79"/>
      <c r="D20" s="79"/>
      <c r="E20" s="79"/>
      <c r="F20" s="79"/>
      <c r="G20" s="79"/>
      <c r="H20" s="79"/>
      <c r="I20" s="102"/>
      <c r="J20" s="103"/>
      <c r="K20" s="102"/>
      <c r="L20" s="102"/>
      <c r="M20" s="104"/>
      <c r="N20" s="102"/>
      <c r="O20" s="102"/>
      <c r="P20" s="102"/>
      <c r="AI20" s="130"/>
    </row>
    <row r="22" ht="11.25" customHeight="1" spans="2:2">
      <c r="B22" s="80" t="s">
        <v>159</v>
      </c>
    </row>
    <row r="23" spans="2:2">
      <c r="B23" s="81" t="s">
        <v>160</v>
      </c>
    </row>
    <row r="24" spans="2:2">
      <c r="B24" s="81" t="s">
        <v>161</v>
      </c>
    </row>
  </sheetData>
  <autoFilter ref="A3:AT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0">
    <cfRule type="duplicateValues" dxfId="3" priority="2" stopIfTrue="1"/>
  </conditionalFormatting>
  <conditionalFormatting sqref="B15:B19">
    <cfRule type="duplicateValues" dxfId="3" priority="3" stopIfTrue="1"/>
  </conditionalFormatting>
  <conditionalFormatting sqref="B23:B24">
    <cfRule type="duplicateValues" dxfId="3" priority="1" stopIfTrue="1"/>
  </conditionalFormatting>
  <conditionalFormatting sqref="C12:C14">
    <cfRule type="duplicateValues" dxfId="3" priority="4" stopIfTrue="1"/>
    <cfRule type="expression" dxfId="4" priority="5" stopIfTrue="1">
      <formula>AND(COUNTIF($B$8:$B$65444,C12)+COUNTIF($B$1:$B$3,C12)&gt;1,NOT(ISBLANK(C12)))</formula>
    </cfRule>
    <cfRule type="expression" dxfId="4" priority="6" stopIfTrue="1">
      <formula>AND(COUNTIF($B$19:$B$65395,C12)+COUNTIF($B$1:$B$18,C12)&gt;1,NOT(ISBLANK(C12)))</formula>
    </cfRule>
    <cfRule type="expression" dxfId="4" priority="7" stopIfTrue="1">
      <formula>AND(COUNTIF($B$8:$B$65433,C12)+COUNTIF($B$1:$B$3,C12)&gt;1,NOT(ISBLANK(C12)))</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28"/>
  <sheetViews>
    <sheetView workbookViewId="0">
      <pane xSplit="11" ySplit="2" topLeftCell="L3" activePane="bottomRight" state="frozen"/>
      <selection/>
      <selection pane="topRight"/>
      <selection pane="bottomLeft"/>
      <selection pane="bottomRight" activeCell="H19" sqref="H19"/>
    </sheetView>
  </sheetViews>
  <sheetFormatPr defaultColWidth="9" defaultRowHeight="16.5"/>
  <cols>
    <col min="1" max="1" width="3.25" style="189" customWidth="1"/>
    <col min="2" max="2" width="19.25" style="189" customWidth="1"/>
    <col min="3" max="3" width="6" style="189" customWidth="1"/>
    <col min="4" max="4" width="8.5" style="189" hidden="1" customWidth="1"/>
    <col min="5" max="5" width="8.25" style="189" hidden="1" customWidth="1"/>
    <col min="6" max="6" width="11.875" style="189" customWidth="1"/>
    <col min="7" max="7" width="16.375" style="189" customWidth="1"/>
    <col min="8" max="11" width="8.5" style="189" customWidth="1"/>
    <col min="12" max="12" width="9.125" style="189" customWidth="1"/>
    <col min="13" max="14" width="9.25" style="189" customWidth="1"/>
    <col min="15" max="15" width="7.5" style="189" customWidth="1"/>
    <col min="16" max="16" width="11.25" style="189" customWidth="1"/>
    <col min="17" max="17" width="9.125" style="189" customWidth="1"/>
    <col min="18" max="21" width="9.25" style="189" customWidth="1"/>
    <col min="22" max="22" width="9.125" style="189" customWidth="1"/>
    <col min="23" max="26" width="9.25" style="189" customWidth="1"/>
    <col min="27" max="28" width="9.125" style="189" customWidth="1"/>
    <col min="29" max="29" width="9" style="189" customWidth="1"/>
    <col min="30" max="30" width="9.125" style="189" customWidth="1"/>
    <col min="31" max="31" width="9.25" style="189" customWidth="1"/>
    <col min="32" max="32" width="8.875" style="189" customWidth="1"/>
    <col min="33" max="33" width="9.125" style="189" customWidth="1"/>
    <col min="34" max="34" width="9.25" style="189" customWidth="1"/>
    <col min="35" max="35" width="11.125" style="189" customWidth="1"/>
    <col min="36" max="36" width="9.25" style="189" customWidth="1"/>
    <col min="37" max="37" width="8.25" style="189" customWidth="1"/>
    <col min="38" max="38" width="9.125" style="189" hidden="1" customWidth="1"/>
    <col min="39" max="39" width="9.25" style="189" hidden="1" customWidth="1"/>
    <col min="40" max="40" width="9.25" style="189" customWidth="1"/>
    <col min="41" max="42" width="9.25" style="189" hidden="1" customWidth="1"/>
    <col min="43" max="43" width="9.875" style="189" customWidth="1"/>
    <col min="44" max="44" width="9.375" style="189" customWidth="1"/>
    <col min="45" max="45" width="10.25" style="195" customWidth="1"/>
    <col min="46" max="46" width="10" style="195" customWidth="1"/>
    <col min="47" max="49" width="9.25" style="195" customWidth="1"/>
    <col min="50" max="50" width="9.25" style="189" customWidth="1"/>
    <col min="51" max="51" width="5.875" style="189" customWidth="1"/>
    <col min="52" max="52" width="8.375" style="189" customWidth="1"/>
    <col min="53" max="53" width="5.875" style="189" customWidth="1"/>
    <col min="54" max="54" width="8.875" style="189" customWidth="1"/>
    <col min="55" max="55" width="10.875" style="189" customWidth="1"/>
    <col min="56" max="56" width="40.25" style="196" customWidth="1"/>
    <col min="57" max="57" width="10.625" style="189" customWidth="1"/>
    <col min="58" max="16384" width="9" style="189"/>
  </cols>
  <sheetData>
    <row r="1" s="188" customFormat="1" ht="22.5" customHeight="1" spans="1:56">
      <c r="A1" s="197" t="s">
        <v>18</v>
      </c>
      <c r="B1" s="198" t="s">
        <v>36</v>
      </c>
      <c r="C1" s="198" t="s">
        <v>37</v>
      </c>
      <c r="D1" s="197" t="s">
        <v>38</v>
      </c>
      <c r="E1" s="198" t="s">
        <v>39</v>
      </c>
      <c r="F1" s="198" t="s">
        <v>40</v>
      </c>
      <c r="G1" s="198" t="s">
        <v>41</v>
      </c>
      <c r="H1" s="198" t="s">
        <v>42</v>
      </c>
      <c r="I1" s="198" t="s">
        <v>43</v>
      </c>
      <c r="J1" s="198" t="s">
        <v>44</v>
      </c>
      <c r="K1" s="198" t="s">
        <v>45</v>
      </c>
      <c r="L1" s="226" t="s">
        <v>46</v>
      </c>
      <c r="M1" s="226"/>
      <c r="N1" s="226"/>
      <c r="O1" s="226"/>
      <c r="P1" s="226"/>
      <c r="Q1" s="226" t="s">
        <v>47</v>
      </c>
      <c r="R1" s="226"/>
      <c r="S1" s="226"/>
      <c r="T1" s="226"/>
      <c r="U1" s="226"/>
      <c r="V1" s="226" t="s">
        <v>48</v>
      </c>
      <c r="W1" s="226"/>
      <c r="X1" s="226"/>
      <c r="Y1" s="226"/>
      <c r="Z1" s="226"/>
      <c r="AA1" s="197" t="s">
        <v>49</v>
      </c>
      <c r="AB1" s="197"/>
      <c r="AC1" s="197"/>
      <c r="AD1" s="197" t="s">
        <v>50</v>
      </c>
      <c r="AE1" s="197"/>
      <c r="AF1" s="197"/>
      <c r="AG1" s="226" t="s">
        <v>51</v>
      </c>
      <c r="AH1" s="226"/>
      <c r="AI1" s="226"/>
      <c r="AJ1" s="226"/>
      <c r="AK1" s="226"/>
      <c r="AL1" s="197" t="s">
        <v>52</v>
      </c>
      <c r="AM1" s="197"/>
      <c r="AN1" s="197"/>
      <c r="AO1" s="197"/>
      <c r="AP1" s="197"/>
      <c r="AQ1" s="197" t="s">
        <v>53</v>
      </c>
      <c r="AR1" s="197"/>
      <c r="AS1" s="236" t="s">
        <v>54</v>
      </c>
      <c r="AT1" s="236"/>
      <c r="AU1" s="236"/>
      <c r="AV1" s="236"/>
      <c r="AW1" s="236"/>
      <c r="AX1" s="197" t="s">
        <v>55</v>
      </c>
      <c r="AY1" s="197"/>
      <c r="AZ1" s="197" t="s">
        <v>56</v>
      </c>
      <c r="BA1" s="197"/>
      <c r="BB1" s="197" t="s">
        <v>57</v>
      </c>
      <c r="BC1" s="197" t="s">
        <v>58</v>
      </c>
      <c r="BD1" s="247" t="s">
        <v>23</v>
      </c>
    </row>
    <row r="2" s="189" customFormat="1" ht="22.5" customHeight="1" spans="1:56">
      <c r="A2" s="197"/>
      <c r="B2" s="199"/>
      <c r="C2" s="198"/>
      <c r="D2" s="197"/>
      <c r="E2" s="198"/>
      <c r="F2" s="200"/>
      <c r="G2" s="200"/>
      <c r="H2" s="198"/>
      <c r="I2" s="198"/>
      <c r="J2" s="198"/>
      <c r="K2" s="198"/>
      <c r="L2" s="227" t="s">
        <v>59</v>
      </c>
      <c r="M2" s="227" t="s">
        <v>60</v>
      </c>
      <c r="N2" s="227" t="s">
        <v>61</v>
      </c>
      <c r="O2" s="227" t="s">
        <v>62</v>
      </c>
      <c r="P2" s="227" t="s">
        <v>63</v>
      </c>
      <c r="Q2" s="227" t="s">
        <v>59</v>
      </c>
      <c r="R2" s="227" t="s">
        <v>60</v>
      </c>
      <c r="S2" s="227" t="s">
        <v>61</v>
      </c>
      <c r="T2" s="227" t="s">
        <v>62</v>
      </c>
      <c r="U2" s="227" t="s">
        <v>63</v>
      </c>
      <c r="V2" s="227" t="s">
        <v>59</v>
      </c>
      <c r="W2" s="227" t="s">
        <v>60</v>
      </c>
      <c r="X2" s="227" t="s">
        <v>61</v>
      </c>
      <c r="Y2" s="227" t="s">
        <v>62</v>
      </c>
      <c r="Z2" s="227" t="s">
        <v>63</v>
      </c>
      <c r="AA2" s="227" t="s">
        <v>59</v>
      </c>
      <c r="AB2" s="227" t="s">
        <v>64</v>
      </c>
      <c r="AC2" s="227" t="s">
        <v>22</v>
      </c>
      <c r="AD2" s="227" t="s">
        <v>59</v>
      </c>
      <c r="AE2" s="227" t="s">
        <v>64</v>
      </c>
      <c r="AF2" s="227" t="s">
        <v>22</v>
      </c>
      <c r="AG2" s="227" t="s">
        <v>59</v>
      </c>
      <c r="AH2" s="227" t="s">
        <v>60</v>
      </c>
      <c r="AI2" s="227" t="s">
        <v>61</v>
      </c>
      <c r="AJ2" s="227" t="s">
        <v>62</v>
      </c>
      <c r="AK2" s="227" t="s">
        <v>63</v>
      </c>
      <c r="AL2" s="227" t="s">
        <v>59</v>
      </c>
      <c r="AM2" s="227" t="s">
        <v>60</v>
      </c>
      <c r="AN2" s="227" t="s">
        <v>61</v>
      </c>
      <c r="AO2" s="227" t="s">
        <v>62</v>
      </c>
      <c r="AP2" s="227" t="s">
        <v>63</v>
      </c>
      <c r="AQ2" s="227" t="s">
        <v>65</v>
      </c>
      <c r="AR2" s="227" t="s">
        <v>66</v>
      </c>
      <c r="AS2" s="237" t="s">
        <v>67</v>
      </c>
      <c r="AT2" s="237" t="s">
        <v>68</v>
      </c>
      <c r="AU2" s="237" t="s">
        <v>69</v>
      </c>
      <c r="AV2" s="237" t="s">
        <v>70</v>
      </c>
      <c r="AW2" s="237" t="s">
        <v>30</v>
      </c>
      <c r="AX2" s="197"/>
      <c r="AY2" s="197"/>
      <c r="AZ2" s="197"/>
      <c r="BA2" s="197"/>
      <c r="BB2" s="197"/>
      <c r="BC2" s="197"/>
      <c r="BD2" s="247"/>
    </row>
    <row r="3" s="190" customFormat="1" ht="18" customHeight="1" spans="1:60">
      <c r="A3" s="201">
        <v>1</v>
      </c>
      <c r="B3" s="171" t="s">
        <v>71</v>
      </c>
      <c r="C3" s="160" t="s">
        <v>72</v>
      </c>
      <c r="D3" s="170" t="s">
        <v>73</v>
      </c>
      <c r="E3" s="171" t="s">
        <v>74</v>
      </c>
      <c r="F3" s="172" t="s">
        <v>75</v>
      </c>
      <c r="G3" s="173" t="s">
        <v>76</v>
      </c>
      <c r="H3" s="170" t="s">
        <v>77</v>
      </c>
      <c r="I3" s="170" t="s">
        <v>77</v>
      </c>
      <c r="J3" s="170" t="s">
        <v>162</v>
      </c>
      <c r="K3" s="170" t="s">
        <v>162</v>
      </c>
      <c r="L3" s="201">
        <v>3300</v>
      </c>
      <c r="M3" s="201">
        <v>0.16</v>
      </c>
      <c r="N3" s="201">
        <f>ROUND(L3*M3,2)</f>
        <v>528</v>
      </c>
      <c r="O3" s="201">
        <v>0.08</v>
      </c>
      <c r="P3" s="201">
        <f>ROUND(L3*O3,2)</f>
        <v>264</v>
      </c>
      <c r="Q3" s="201">
        <v>3300</v>
      </c>
      <c r="R3" s="201">
        <v>0.08</v>
      </c>
      <c r="S3" s="201">
        <f t="shared" ref="S3:S20" si="0">ROUND(Q3*R3,2)</f>
        <v>264</v>
      </c>
      <c r="T3" s="201">
        <v>0.02</v>
      </c>
      <c r="U3" s="201">
        <f t="shared" ref="U3:U20" si="1">ROUND(Q3*T3,2)</f>
        <v>66</v>
      </c>
      <c r="V3" s="201">
        <v>3300</v>
      </c>
      <c r="W3" s="201">
        <v>0.007</v>
      </c>
      <c r="X3" s="201">
        <f>ROUND(V3*W3,2)</f>
        <v>23.1</v>
      </c>
      <c r="Y3" s="201">
        <v>0.003</v>
      </c>
      <c r="Z3" s="201">
        <f>ROUND(V3*Y3,2)</f>
        <v>9.9</v>
      </c>
      <c r="AA3" s="201"/>
      <c r="AB3" s="201"/>
      <c r="AC3" s="201"/>
      <c r="AD3" s="201">
        <v>3300</v>
      </c>
      <c r="AE3" s="201">
        <v>0.004</v>
      </c>
      <c r="AF3" s="201">
        <f t="shared" ref="AF3:AF20" si="2">ROUND(AD3*AE3,2)</f>
        <v>13.2</v>
      </c>
      <c r="AG3" s="201">
        <v>3000</v>
      </c>
      <c r="AH3" s="201">
        <v>0.1</v>
      </c>
      <c r="AI3" s="201">
        <f t="shared" ref="AI3:AI20" si="3">ROUND(AG3*AH3,2)</f>
        <v>300</v>
      </c>
      <c r="AJ3" s="201">
        <v>0.06</v>
      </c>
      <c r="AK3" s="201">
        <f t="shared" ref="AK3:AK20" si="4">ROUND(AG3*AJ3,2)</f>
        <v>180</v>
      </c>
      <c r="AL3" s="233"/>
      <c r="AM3" s="201"/>
      <c r="AN3" s="201"/>
      <c r="AO3" s="201"/>
      <c r="AP3" s="171" t="s">
        <v>79</v>
      </c>
      <c r="AQ3" s="238">
        <v>9</v>
      </c>
      <c r="AR3" s="201"/>
      <c r="AS3" s="239">
        <f t="shared" ref="AS3:AS20" si="5">N3+S3+X3+AC3+AF3+AN3+AQ3</f>
        <v>837.3</v>
      </c>
      <c r="AT3" s="239">
        <f t="shared" ref="AT3:AT20" si="6">P3+U3+Z3</f>
        <v>339.9</v>
      </c>
      <c r="AU3" s="239">
        <f t="shared" ref="AU3:AU20" si="7">AI3</f>
        <v>300</v>
      </c>
      <c r="AV3" s="239">
        <f t="shared" ref="AV3:AV20" si="8">AK3</f>
        <v>180</v>
      </c>
      <c r="AW3" s="239">
        <f t="shared" ref="AW3:AW20" si="9">AV3+AS3+AT3+AU3</f>
        <v>1657.2</v>
      </c>
      <c r="AX3" s="248">
        <f t="shared" ref="AX3:AX20" si="10">AS3+AT3</f>
        <v>1177.2</v>
      </c>
      <c r="AY3" s="248"/>
      <c r="AZ3" s="248">
        <f t="shared" ref="AZ3:AZ20" si="11">AU3+AV3</f>
        <v>480</v>
      </c>
      <c r="BA3" s="248"/>
      <c r="BB3" s="249">
        <v>80</v>
      </c>
      <c r="BC3" s="248">
        <f t="shared" ref="BC3:BC20" si="12">AX3+AZ3+BB3</f>
        <v>1737.2</v>
      </c>
      <c r="BD3" s="250"/>
      <c r="BE3" s="268"/>
      <c r="BF3" s="269"/>
      <c r="BG3" s="270"/>
      <c r="BH3" s="271" t="s">
        <v>79</v>
      </c>
    </row>
    <row r="4" s="190" customFormat="1" ht="18" customHeight="1" spans="1:60">
      <c r="A4" s="201">
        <v>2</v>
      </c>
      <c r="B4" s="171" t="s">
        <v>71</v>
      </c>
      <c r="C4" s="160" t="s">
        <v>92</v>
      </c>
      <c r="D4" s="170" t="s">
        <v>73</v>
      </c>
      <c r="E4" s="171" t="s">
        <v>83</v>
      </c>
      <c r="F4" s="172" t="s">
        <v>93</v>
      </c>
      <c r="G4" s="173" t="s">
        <v>94</v>
      </c>
      <c r="H4" s="170" t="s">
        <v>95</v>
      </c>
      <c r="I4" s="170" t="s">
        <v>95</v>
      </c>
      <c r="J4" s="170" t="s">
        <v>162</v>
      </c>
      <c r="K4" s="170" t="s">
        <v>162</v>
      </c>
      <c r="L4" s="201">
        <v>3360.15</v>
      </c>
      <c r="M4" s="201">
        <v>0.16</v>
      </c>
      <c r="N4" s="201">
        <f>ROUND(L4*M4,2)</f>
        <v>537.62</v>
      </c>
      <c r="O4" s="201">
        <v>0.08</v>
      </c>
      <c r="P4" s="201">
        <f>ROUND(L4*O4,2)</f>
        <v>268.81</v>
      </c>
      <c r="Q4" s="201">
        <v>3602.85</v>
      </c>
      <c r="R4" s="201">
        <v>0.06</v>
      </c>
      <c r="S4" s="201">
        <f t="shared" si="0"/>
        <v>216.17</v>
      </c>
      <c r="T4" s="201">
        <v>0.02</v>
      </c>
      <c r="U4" s="201">
        <f t="shared" si="1"/>
        <v>72.06</v>
      </c>
      <c r="V4" s="201">
        <v>3360.15</v>
      </c>
      <c r="W4" s="201">
        <v>0.007</v>
      </c>
      <c r="X4" s="201">
        <f>ROUND(V4*W4,2)</f>
        <v>23.52</v>
      </c>
      <c r="Y4" s="201">
        <v>0.003</v>
      </c>
      <c r="Z4" s="201">
        <f>ROUND(V4*Y4,2)</f>
        <v>10.08</v>
      </c>
      <c r="AA4" s="201">
        <v>3602.85</v>
      </c>
      <c r="AB4" s="201">
        <v>0.007</v>
      </c>
      <c r="AC4" s="201">
        <f>ROUND(AA4*AB4,2)</f>
        <v>25.22</v>
      </c>
      <c r="AD4" s="201">
        <v>3602.85</v>
      </c>
      <c r="AE4" s="201">
        <v>0.002</v>
      </c>
      <c r="AF4" s="201">
        <f t="shared" si="2"/>
        <v>7.21</v>
      </c>
      <c r="AG4" s="201">
        <v>1640</v>
      </c>
      <c r="AH4" s="201">
        <v>0.05</v>
      </c>
      <c r="AI4" s="201">
        <f t="shared" si="3"/>
        <v>82</v>
      </c>
      <c r="AJ4" s="201">
        <v>0.05</v>
      </c>
      <c r="AK4" s="201">
        <f t="shared" si="4"/>
        <v>82</v>
      </c>
      <c r="AL4" s="233"/>
      <c r="AM4" s="201"/>
      <c r="AN4" s="201"/>
      <c r="AO4" s="201"/>
      <c r="AP4" s="171"/>
      <c r="AQ4" s="238"/>
      <c r="AR4" s="201"/>
      <c r="AS4" s="239">
        <f t="shared" si="5"/>
        <v>809.74</v>
      </c>
      <c r="AT4" s="239">
        <f t="shared" si="6"/>
        <v>350.95</v>
      </c>
      <c r="AU4" s="239">
        <f t="shared" si="7"/>
        <v>82</v>
      </c>
      <c r="AV4" s="239">
        <f t="shared" si="8"/>
        <v>82</v>
      </c>
      <c r="AW4" s="239">
        <f t="shared" si="9"/>
        <v>1324.69</v>
      </c>
      <c r="AX4" s="248">
        <f t="shared" si="10"/>
        <v>1160.69</v>
      </c>
      <c r="AY4" s="248"/>
      <c r="AZ4" s="248">
        <f t="shared" si="11"/>
        <v>164</v>
      </c>
      <c r="BA4" s="248"/>
      <c r="BB4" s="249">
        <v>80</v>
      </c>
      <c r="BC4" s="248">
        <f t="shared" si="12"/>
        <v>1404.69</v>
      </c>
      <c r="BD4" s="250" t="s">
        <v>163</v>
      </c>
      <c r="BE4" s="268" t="s">
        <v>164</v>
      </c>
      <c r="BF4" s="272"/>
      <c r="BG4" s="272"/>
      <c r="BH4" s="272"/>
    </row>
    <row r="5" s="191" customFormat="1" ht="18" customHeight="1" spans="1:60">
      <c r="A5" s="202" t="s">
        <v>87</v>
      </c>
      <c r="B5" s="203" t="s">
        <v>71</v>
      </c>
      <c r="C5" s="204" t="s">
        <v>92</v>
      </c>
      <c r="D5" s="205" t="s">
        <v>73</v>
      </c>
      <c r="E5" s="203" t="s">
        <v>83</v>
      </c>
      <c r="F5" s="206" t="s">
        <v>93</v>
      </c>
      <c r="G5" s="207" t="s">
        <v>94</v>
      </c>
      <c r="H5" s="205" t="s">
        <v>95</v>
      </c>
      <c r="I5" s="205" t="s">
        <v>95</v>
      </c>
      <c r="J5" s="205" t="s">
        <v>165</v>
      </c>
      <c r="K5" s="205" t="s">
        <v>165</v>
      </c>
      <c r="L5" s="202"/>
      <c r="M5" s="202"/>
      <c r="N5" s="202"/>
      <c r="O5" s="202"/>
      <c r="P5" s="202"/>
      <c r="Q5" s="202">
        <f>3602.85-3053.05</f>
        <v>549.8</v>
      </c>
      <c r="R5" s="202">
        <v>0.06</v>
      </c>
      <c r="S5" s="202">
        <f t="shared" si="0"/>
        <v>32.99</v>
      </c>
      <c r="T5" s="202">
        <v>0.02</v>
      </c>
      <c r="U5" s="202">
        <f t="shared" si="1"/>
        <v>11</v>
      </c>
      <c r="V5" s="202"/>
      <c r="W5" s="202"/>
      <c r="X5" s="202"/>
      <c r="Y5" s="202"/>
      <c r="Z5" s="202"/>
      <c r="AA5" s="202">
        <f>3602.85-3053.05</f>
        <v>549.8</v>
      </c>
      <c r="AB5" s="202">
        <v>0.007</v>
      </c>
      <c r="AC5" s="202">
        <f>ROUND(AA5*AB5,2)</f>
        <v>3.85</v>
      </c>
      <c r="AD5" s="202">
        <f>3602.85-3053.05</f>
        <v>549.8</v>
      </c>
      <c r="AE5" s="202">
        <v>0.002</v>
      </c>
      <c r="AF5" s="202">
        <f t="shared" si="2"/>
        <v>1.1</v>
      </c>
      <c r="AG5" s="202">
        <f>1640-1580</f>
        <v>60</v>
      </c>
      <c r="AH5" s="202">
        <v>0.05</v>
      </c>
      <c r="AI5" s="202">
        <f t="shared" si="3"/>
        <v>3</v>
      </c>
      <c r="AJ5" s="202">
        <v>0.05</v>
      </c>
      <c r="AK5" s="202">
        <f t="shared" si="4"/>
        <v>3</v>
      </c>
      <c r="AL5" s="234"/>
      <c r="AM5" s="202"/>
      <c r="AN5" s="202"/>
      <c r="AO5" s="202"/>
      <c r="AP5" s="203"/>
      <c r="AQ5" s="240"/>
      <c r="AR5" s="202"/>
      <c r="AS5" s="241">
        <f t="shared" si="5"/>
        <v>37.94</v>
      </c>
      <c r="AT5" s="241">
        <f t="shared" si="6"/>
        <v>11</v>
      </c>
      <c r="AU5" s="241">
        <f t="shared" si="7"/>
        <v>3</v>
      </c>
      <c r="AV5" s="241">
        <f t="shared" si="8"/>
        <v>3</v>
      </c>
      <c r="AW5" s="241">
        <f t="shared" si="9"/>
        <v>54.94</v>
      </c>
      <c r="AX5" s="251">
        <f t="shared" si="10"/>
        <v>48.94</v>
      </c>
      <c r="AY5" s="251"/>
      <c r="AZ5" s="251">
        <f t="shared" si="11"/>
        <v>6</v>
      </c>
      <c r="BA5" s="251"/>
      <c r="BB5" s="252"/>
      <c r="BC5" s="251">
        <f t="shared" si="12"/>
        <v>54.94</v>
      </c>
      <c r="BD5" s="253" t="s">
        <v>163</v>
      </c>
      <c r="BE5" s="273" t="s">
        <v>164</v>
      </c>
      <c r="BF5" s="274"/>
      <c r="BG5" s="274"/>
      <c r="BH5" s="274"/>
    </row>
    <row r="6" s="191" customFormat="1" ht="18" customHeight="1" spans="1:60">
      <c r="A6" s="202" t="s">
        <v>87</v>
      </c>
      <c r="B6" s="203" t="s">
        <v>71</v>
      </c>
      <c r="C6" s="204" t="s">
        <v>92</v>
      </c>
      <c r="D6" s="205" t="s">
        <v>73</v>
      </c>
      <c r="E6" s="203" t="s">
        <v>83</v>
      </c>
      <c r="F6" s="206" t="s">
        <v>93</v>
      </c>
      <c r="G6" s="207" t="s">
        <v>94</v>
      </c>
      <c r="H6" s="205" t="s">
        <v>95</v>
      </c>
      <c r="I6" s="205" t="s">
        <v>95</v>
      </c>
      <c r="J6" s="205" t="s">
        <v>166</v>
      </c>
      <c r="K6" s="205" t="s">
        <v>166</v>
      </c>
      <c r="L6" s="202"/>
      <c r="M6" s="202"/>
      <c r="N6" s="202"/>
      <c r="O6" s="202"/>
      <c r="P6" s="202"/>
      <c r="Q6" s="202">
        <f>3602.85-3053.05</f>
        <v>549.8</v>
      </c>
      <c r="R6" s="202">
        <v>0.06</v>
      </c>
      <c r="S6" s="202">
        <f t="shared" si="0"/>
        <v>32.99</v>
      </c>
      <c r="T6" s="202">
        <v>0.02</v>
      </c>
      <c r="U6" s="202">
        <f t="shared" si="1"/>
        <v>11</v>
      </c>
      <c r="V6" s="202"/>
      <c r="W6" s="202"/>
      <c r="X6" s="202"/>
      <c r="Y6" s="202"/>
      <c r="Z6" s="202"/>
      <c r="AA6" s="202">
        <f>3602.85-3053.05</f>
        <v>549.8</v>
      </c>
      <c r="AB6" s="202">
        <v>0.007</v>
      </c>
      <c r="AC6" s="202">
        <f>ROUND(AA6*AB6,2)</f>
        <v>3.85</v>
      </c>
      <c r="AD6" s="202">
        <f>3602.85-3053.05</f>
        <v>549.8</v>
      </c>
      <c r="AE6" s="202">
        <v>0.002</v>
      </c>
      <c r="AF6" s="202">
        <f t="shared" si="2"/>
        <v>1.1</v>
      </c>
      <c r="AG6" s="202">
        <f>1640-1580</f>
        <v>60</v>
      </c>
      <c r="AH6" s="202">
        <v>0.05</v>
      </c>
      <c r="AI6" s="202">
        <f t="shared" si="3"/>
        <v>3</v>
      </c>
      <c r="AJ6" s="202">
        <v>0.05</v>
      </c>
      <c r="AK6" s="202">
        <f t="shared" si="4"/>
        <v>3</v>
      </c>
      <c r="AL6" s="234"/>
      <c r="AM6" s="202"/>
      <c r="AN6" s="202"/>
      <c r="AO6" s="202"/>
      <c r="AP6" s="203"/>
      <c r="AQ6" s="240"/>
      <c r="AR6" s="202"/>
      <c r="AS6" s="241">
        <f t="shared" si="5"/>
        <v>37.94</v>
      </c>
      <c r="AT6" s="241">
        <f t="shared" si="6"/>
        <v>11</v>
      </c>
      <c r="AU6" s="241">
        <f t="shared" si="7"/>
        <v>3</v>
      </c>
      <c r="AV6" s="241">
        <f t="shared" si="8"/>
        <v>3</v>
      </c>
      <c r="AW6" s="241">
        <f t="shared" si="9"/>
        <v>54.94</v>
      </c>
      <c r="AX6" s="251">
        <f t="shared" si="10"/>
        <v>48.94</v>
      </c>
      <c r="AY6" s="251"/>
      <c r="AZ6" s="251">
        <f t="shared" si="11"/>
        <v>6</v>
      </c>
      <c r="BA6" s="251"/>
      <c r="BB6" s="252"/>
      <c r="BC6" s="251">
        <f t="shared" si="12"/>
        <v>54.94</v>
      </c>
      <c r="BD6" s="253" t="s">
        <v>163</v>
      </c>
      <c r="BE6" s="273" t="s">
        <v>164</v>
      </c>
      <c r="BF6" s="274"/>
      <c r="BG6" s="274"/>
      <c r="BH6" s="274"/>
    </row>
    <row r="7" s="191" customFormat="1" ht="18" customHeight="1" spans="1:60">
      <c r="A7" s="202" t="s">
        <v>87</v>
      </c>
      <c r="B7" s="203" t="s">
        <v>71</v>
      </c>
      <c r="C7" s="204" t="s">
        <v>92</v>
      </c>
      <c r="D7" s="205" t="s">
        <v>73</v>
      </c>
      <c r="E7" s="203" t="s">
        <v>83</v>
      </c>
      <c r="F7" s="206" t="s">
        <v>93</v>
      </c>
      <c r="G7" s="207" t="s">
        <v>94</v>
      </c>
      <c r="H7" s="205" t="s">
        <v>95</v>
      </c>
      <c r="I7" s="205" t="s">
        <v>95</v>
      </c>
      <c r="J7" s="205" t="s">
        <v>167</v>
      </c>
      <c r="K7" s="205" t="s">
        <v>167</v>
      </c>
      <c r="L7" s="202"/>
      <c r="M7" s="202"/>
      <c r="N7" s="202"/>
      <c r="O7" s="202"/>
      <c r="P7" s="202"/>
      <c r="Q7" s="202">
        <f>3602.85-3053.05</f>
        <v>549.8</v>
      </c>
      <c r="R7" s="202">
        <v>0.06</v>
      </c>
      <c r="S7" s="202">
        <f t="shared" si="0"/>
        <v>32.99</v>
      </c>
      <c r="T7" s="202">
        <v>0.02</v>
      </c>
      <c r="U7" s="202">
        <f t="shared" si="1"/>
        <v>11</v>
      </c>
      <c r="V7" s="202"/>
      <c r="W7" s="202"/>
      <c r="X7" s="202"/>
      <c r="Y7" s="202"/>
      <c r="Z7" s="202"/>
      <c r="AA7" s="202">
        <f>3602.85-3053.05</f>
        <v>549.8</v>
      </c>
      <c r="AB7" s="202">
        <v>0.007</v>
      </c>
      <c r="AC7" s="202">
        <f>ROUND(AA7*AB7,2)</f>
        <v>3.85</v>
      </c>
      <c r="AD7" s="202">
        <f>3602.85-3053.05</f>
        <v>549.8</v>
      </c>
      <c r="AE7" s="202">
        <v>0.002</v>
      </c>
      <c r="AF7" s="202">
        <f t="shared" si="2"/>
        <v>1.1</v>
      </c>
      <c r="AG7" s="202">
        <f>1640-1580</f>
        <v>60</v>
      </c>
      <c r="AH7" s="202">
        <v>0.05</v>
      </c>
      <c r="AI7" s="202">
        <f t="shared" si="3"/>
        <v>3</v>
      </c>
      <c r="AJ7" s="202">
        <v>0.05</v>
      </c>
      <c r="AK7" s="202">
        <f t="shared" si="4"/>
        <v>3</v>
      </c>
      <c r="AL7" s="234"/>
      <c r="AM7" s="202"/>
      <c r="AN7" s="202"/>
      <c r="AO7" s="202"/>
      <c r="AP7" s="203"/>
      <c r="AQ7" s="240"/>
      <c r="AR7" s="202"/>
      <c r="AS7" s="241">
        <f t="shared" si="5"/>
        <v>37.94</v>
      </c>
      <c r="AT7" s="241">
        <f t="shared" si="6"/>
        <v>11</v>
      </c>
      <c r="AU7" s="241">
        <f t="shared" si="7"/>
        <v>3</v>
      </c>
      <c r="AV7" s="241">
        <f t="shared" si="8"/>
        <v>3</v>
      </c>
      <c r="AW7" s="241">
        <f t="shared" si="9"/>
        <v>54.94</v>
      </c>
      <c r="AX7" s="251">
        <f t="shared" si="10"/>
        <v>48.94</v>
      </c>
      <c r="AY7" s="251"/>
      <c r="AZ7" s="251">
        <f t="shared" si="11"/>
        <v>6</v>
      </c>
      <c r="BA7" s="251"/>
      <c r="BB7" s="252"/>
      <c r="BC7" s="251">
        <f t="shared" si="12"/>
        <v>54.94</v>
      </c>
      <c r="BD7" s="253" t="s">
        <v>163</v>
      </c>
      <c r="BE7" s="273" t="s">
        <v>164</v>
      </c>
      <c r="BF7" s="274"/>
      <c r="BG7" s="274"/>
      <c r="BH7" s="274"/>
    </row>
    <row r="8" s="190" customFormat="1" ht="18" customHeight="1" spans="1:60">
      <c r="A8" s="201">
        <v>3</v>
      </c>
      <c r="B8" s="171" t="s">
        <v>71</v>
      </c>
      <c r="C8" s="160" t="s">
        <v>168</v>
      </c>
      <c r="D8" s="170" t="s">
        <v>73</v>
      </c>
      <c r="E8" s="171" t="s">
        <v>83</v>
      </c>
      <c r="F8" s="172" t="s">
        <v>148</v>
      </c>
      <c r="G8" s="173" t="s">
        <v>149</v>
      </c>
      <c r="H8" s="170" t="s">
        <v>169</v>
      </c>
      <c r="I8" s="170" t="s">
        <v>169</v>
      </c>
      <c r="J8" s="170" t="s">
        <v>162</v>
      </c>
      <c r="K8" s="170" t="s">
        <v>162</v>
      </c>
      <c r="L8" s="201">
        <v>4000</v>
      </c>
      <c r="M8" s="201">
        <v>0.16</v>
      </c>
      <c r="N8" s="201">
        <f t="shared" ref="N8:N20" si="13">ROUND(L8*M8,2)</f>
        <v>640</v>
      </c>
      <c r="O8" s="201">
        <v>0.08</v>
      </c>
      <c r="P8" s="201">
        <f t="shared" ref="P8:P20" si="14">ROUND(L8*O8,2)</f>
        <v>320</v>
      </c>
      <c r="Q8" s="201">
        <v>4000</v>
      </c>
      <c r="R8" s="201">
        <v>0.087</v>
      </c>
      <c r="S8" s="201">
        <f t="shared" si="0"/>
        <v>348</v>
      </c>
      <c r="T8" s="201">
        <v>0.02</v>
      </c>
      <c r="U8" s="201">
        <f t="shared" si="1"/>
        <v>80</v>
      </c>
      <c r="V8" s="201">
        <v>4000</v>
      </c>
      <c r="W8" s="201">
        <v>0.007</v>
      </c>
      <c r="X8" s="201">
        <f t="shared" ref="X8:X20" si="15">ROUND(V8*W8,2)</f>
        <v>28</v>
      </c>
      <c r="Y8" s="201">
        <v>0.003</v>
      </c>
      <c r="Z8" s="201">
        <f t="shared" ref="Z8:Z20" si="16">ROUND(V8*Y8,2)</f>
        <v>12</v>
      </c>
      <c r="AA8" s="201"/>
      <c r="AB8" s="201"/>
      <c r="AC8" s="201"/>
      <c r="AD8" s="201">
        <v>4000</v>
      </c>
      <c r="AE8" s="201">
        <v>0.0056</v>
      </c>
      <c r="AF8" s="201">
        <f t="shared" si="2"/>
        <v>22.4</v>
      </c>
      <c r="AG8" s="201">
        <v>4000</v>
      </c>
      <c r="AH8" s="201">
        <v>0.05</v>
      </c>
      <c r="AI8" s="201">
        <f t="shared" si="3"/>
        <v>200</v>
      </c>
      <c r="AJ8" s="201">
        <v>0.05</v>
      </c>
      <c r="AK8" s="201">
        <f t="shared" si="4"/>
        <v>200</v>
      </c>
      <c r="AL8" s="233"/>
      <c r="AM8" s="201"/>
      <c r="AN8" s="201"/>
      <c r="AO8" s="201"/>
      <c r="AP8" s="171"/>
      <c r="AQ8" s="238"/>
      <c r="AR8" s="238"/>
      <c r="AS8" s="239">
        <f t="shared" si="5"/>
        <v>1038.4</v>
      </c>
      <c r="AT8" s="239">
        <f t="shared" si="6"/>
        <v>412</v>
      </c>
      <c r="AU8" s="239">
        <f t="shared" si="7"/>
        <v>200</v>
      </c>
      <c r="AV8" s="239">
        <f t="shared" si="8"/>
        <v>200</v>
      </c>
      <c r="AW8" s="239">
        <f t="shared" si="9"/>
        <v>1850.4</v>
      </c>
      <c r="AX8" s="248">
        <f t="shared" si="10"/>
        <v>1450.4</v>
      </c>
      <c r="AY8" s="248"/>
      <c r="AZ8" s="248">
        <f t="shared" si="11"/>
        <v>400</v>
      </c>
      <c r="BA8" s="248"/>
      <c r="BB8" s="249">
        <v>80</v>
      </c>
      <c r="BC8" s="248">
        <f t="shared" si="12"/>
        <v>1930.4</v>
      </c>
      <c r="BD8" s="254"/>
      <c r="BE8" s="272"/>
      <c r="BF8" s="272"/>
      <c r="BG8" s="272"/>
      <c r="BH8" s="272"/>
    </row>
    <row r="9" s="190" customFormat="1" ht="18" customHeight="1" spans="1:60">
      <c r="A9" s="201">
        <v>4</v>
      </c>
      <c r="B9" s="171" t="s">
        <v>71</v>
      </c>
      <c r="C9" s="160" t="s">
        <v>168</v>
      </c>
      <c r="D9" s="170" t="s">
        <v>73</v>
      </c>
      <c r="E9" s="171" t="s">
        <v>83</v>
      </c>
      <c r="F9" s="172" t="s">
        <v>170</v>
      </c>
      <c r="G9" s="173" t="s">
        <v>171</v>
      </c>
      <c r="H9" s="170" t="s">
        <v>172</v>
      </c>
      <c r="I9" s="170" t="s">
        <v>172</v>
      </c>
      <c r="J9" s="170" t="s">
        <v>162</v>
      </c>
      <c r="K9" s="170" t="s">
        <v>162</v>
      </c>
      <c r="L9" s="201">
        <v>3700</v>
      </c>
      <c r="M9" s="201">
        <v>0.16</v>
      </c>
      <c r="N9" s="201">
        <f t="shared" si="13"/>
        <v>592</v>
      </c>
      <c r="O9" s="201">
        <v>0.08</v>
      </c>
      <c r="P9" s="201">
        <f t="shared" si="14"/>
        <v>296</v>
      </c>
      <c r="Q9" s="201">
        <v>3700</v>
      </c>
      <c r="R9" s="201">
        <v>0.087</v>
      </c>
      <c r="S9" s="201">
        <f t="shared" si="0"/>
        <v>321.9</v>
      </c>
      <c r="T9" s="201">
        <v>0.02</v>
      </c>
      <c r="U9" s="201">
        <f t="shared" si="1"/>
        <v>74</v>
      </c>
      <c r="V9" s="201">
        <v>3700</v>
      </c>
      <c r="W9" s="201">
        <v>0.007</v>
      </c>
      <c r="X9" s="201">
        <f t="shared" si="15"/>
        <v>25.9</v>
      </c>
      <c r="Y9" s="201">
        <v>0.003</v>
      </c>
      <c r="Z9" s="201">
        <f t="shared" si="16"/>
        <v>11.1</v>
      </c>
      <c r="AA9" s="201"/>
      <c r="AB9" s="201"/>
      <c r="AC9" s="201"/>
      <c r="AD9" s="201">
        <v>3700</v>
      </c>
      <c r="AE9" s="201">
        <v>0.0056</v>
      </c>
      <c r="AF9" s="201">
        <f t="shared" si="2"/>
        <v>20.72</v>
      </c>
      <c r="AG9" s="201">
        <v>1700</v>
      </c>
      <c r="AH9" s="201">
        <v>0.05</v>
      </c>
      <c r="AI9" s="201">
        <f t="shared" si="3"/>
        <v>85</v>
      </c>
      <c r="AJ9" s="201">
        <v>0.05</v>
      </c>
      <c r="AK9" s="201">
        <f t="shared" si="4"/>
        <v>85</v>
      </c>
      <c r="AL9" s="233"/>
      <c r="AM9" s="201"/>
      <c r="AN9" s="201"/>
      <c r="AO9" s="201"/>
      <c r="AP9" s="171"/>
      <c r="AQ9" s="238"/>
      <c r="AR9" s="238"/>
      <c r="AS9" s="239">
        <f t="shared" si="5"/>
        <v>960.52</v>
      </c>
      <c r="AT9" s="239">
        <f t="shared" si="6"/>
        <v>381.1</v>
      </c>
      <c r="AU9" s="239">
        <f t="shared" si="7"/>
        <v>85</v>
      </c>
      <c r="AV9" s="239">
        <f t="shared" si="8"/>
        <v>85</v>
      </c>
      <c r="AW9" s="239">
        <f t="shared" si="9"/>
        <v>1511.62</v>
      </c>
      <c r="AX9" s="248">
        <f t="shared" si="10"/>
        <v>1341.62</v>
      </c>
      <c r="AY9" s="248"/>
      <c r="AZ9" s="248">
        <f t="shared" si="11"/>
        <v>170</v>
      </c>
      <c r="BA9" s="248"/>
      <c r="BB9" s="249">
        <v>80</v>
      </c>
      <c r="BC9" s="248">
        <f t="shared" si="12"/>
        <v>1591.62</v>
      </c>
      <c r="BD9" s="254" t="s">
        <v>173</v>
      </c>
      <c r="BE9" s="272"/>
      <c r="BF9" s="272"/>
      <c r="BG9" s="272"/>
      <c r="BH9" s="272"/>
    </row>
    <row r="10" s="190" customFormat="1" ht="18" customHeight="1" spans="1:60">
      <c r="A10" s="201">
        <v>5</v>
      </c>
      <c r="B10" s="171" t="s">
        <v>71</v>
      </c>
      <c r="C10" s="160" t="s">
        <v>82</v>
      </c>
      <c r="D10" s="170" t="s">
        <v>73</v>
      </c>
      <c r="E10" s="171" t="s">
        <v>83</v>
      </c>
      <c r="F10" s="172" t="s">
        <v>174</v>
      </c>
      <c r="G10" s="173" t="s">
        <v>175</v>
      </c>
      <c r="H10" s="170" t="s">
        <v>172</v>
      </c>
      <c r="I10" s="170" t="s">
        <v>172</v>
      </c>
      <c r="J10" s="170" t="s">
        <v>162</v>
      </c>
      <c r="K10" s="170" t="s">
        <v>162</v>
      </c>
      <c r="L10" s="201">
        <v>4588</v>
      </c>
      <c r="M10" s="201">
        <v>0.15</v>
      </c>
      <c r="N10" s="201">
        <f t="shared" si="13"/>
        <v>688.2</v>
      </c>
      <c r="O10" s="201">
        <v>0.08</v>
      </c>
      <c r="P10" s="201">
        <f t="shared" si="14"/>
        <v>367.04</v>
      </c>
      <c r="Q10" s="201">
        <v>6757</v>
      </c>
      <c r="R10" s="201">
        <v>0.0545</v>
      </c>
      <c r="S10" s="201">
        <f t="shared" si="0"/>
        <v>368.26</v>
      </c>
      <c r="T10" s="201">
        <v>0.02</v>
      </c>
      <c r="U10" s="201">
        <f t="shared" si="1"/>
        <v>135.14</v>
      </c>
      <c r="V10" s="201">
        <v>2300</v>
      </c>
      <c r="W10" s="201">
        <v>0.0048</v>
      </c>
      <c r="X10" s="201">
        <f t="shared" si="15"/>
        <v>11.04</v>
      </c>
      <c r="Y10" s="201">
        <v>0.002</v>
      </c>
      <c r="Z10" s="201">
        <f t="shared" si="16"/>
        <v>4.6</v>
      </c>
      <c r="AA10" s="201"/>
      <c r="AB10" s="201"/>
      <c r="AC10" s="201"/>
      <c r="AD10" s="201">
        <v>2300</v>
      </c>
      <c r="AE10" s="201">
        <v>0.0016</v>
      </c>
      <c r="AF10" s="201">
        <f t="shared" si="2"/>
        <v>3.68</v>
      </c>
      <c r="AG10" s="201">
        <v>2300</v>
      </c>
      <c r="AH10" s="201">
        <v>0.05</v>
      </c>
      <c r="AI10" s="201">
        <f t="shared" si="3"/>
        <v>115</v>
      </c>
      <c r="AJ10" s="201">
        <v>0.05</v>
      </c>
      <c r="AK10" s="201">
        <f t="shared" si="4"/>
        <v>115</v>
      </c>
      <c r="AL10" s="233"/>
      <c r="AM10" s="201"/>
      <c r="AN10" s="201"/>
      <c r="AO10" s="201"/>
      <c r="AP10" s="171"/>
      <c r="AQ10" s="238">
        <v>29.28</v>
      </c>
      <c r="AR10" s="238"/>
      <c r="AS10" s="239">
        <f t="shared" si="5"/>
        <v>1100.46</v>
      </c>
      <c r="AT10" s="239">
        <f t="shared" si="6"/>
        <v>506.78</v>
      </c>
      <c r="AU10" s="239">
        <f t="shared" si="7"/>
        <v>115</v>
      </c>
      <c r="AV10" s="239">
        <f t="shared" si="8"/>
        <v>115</v>
      </c>
      <c r="AW10" s="239">
        <f t="shared" si="9"/>
        <v>1837.24</v>
      </c>
      <c r="AX10" s="248">
        <f t="shared" si="10"/>
        <v>1607.24</v>
      </c>
      <c r="AY10" s="248"/>
      <c r="AZ10" s="248">
        <f t="shared" si="11"/>
        <v>230</v>
      </c>
      <c r="BA10" s="248"/>
      <c r="BB10" s="249">
        <v>80</v>
      </c>
      <c r="BC10" s="248">
        <f t="shared" si="12"/>
        <v>1917.24</v>
      </c>
      <c r="BD10" s="255" t="s">
        <v>176</v>
      </c>
      <c r="BE10" s="272"/>
      <c r="BF10" s="272"/>
      <c r="BG10" s="272"/>
      <c r="BH10" s="272"/>
    </row>
    <row r="11" s="190" customFormat="1" ht="18" customHeight="1" spans="1:60">
      <c r="A11" s="201">
        <v>6</v>
      </c>
      <c r="B11" s="171" t="s">
        <v>71</v>
      </c>
      <c r="C11" s="160" t="s">
        <v>177</v>
      </c>
      <c r="D11" s="170" t="s">
        <v>73</v>
      </c>
      <c r="E11" s="171" t="s">
        <v>83</v>
      </c>
      <c r="F11" s="172" t="s">
        <v>178</v>
      </c>
      <c r="G11" s="173" t="s">
        <v>179</v>
      </c>
      <c r="H11" s="170" t="s">
        <v>165</v>
      </c>
      <c r="I11" s="170" t="s">
        <v>165</v>
      </c>
      <c r="J11" s="170" t="s">
        <v>180</v>
      </c>
      <c r="K11" s="170" t="s">
        <v>180</v>
      </c>
      <c r="L11" s="201">
        <v>3179</v>
      </c>
      <c r="M11" s="201">
        <v>0.16</v>
      </c>
      <c r="N11" s="201">
        <f t="shared" si="13"/>
        <v>508.64</v>
      </c>
      <c r="O11" s="201">
        <v>0.08</v>
      </c>
      <c r="P11" s="201">
        <f t="shared" si="14"/>
        <v>254.32</v>
      </c>
      <c r="Q11" s="201">
        <v>3197</v>
      </c>
      <c r="R11" s="201">
        <v>0.08</v>
      </c>
      <c r="S11" s="201">
        <f t="shared" si="0"/>
        <v>255.76</v>
      </c>
      <c r="T11" s="201">
        <v>0.02</v>
      </c>
      <c r="U11" s="201">
        <f t="shared" si="1"/>
        <v>63.94</v>
      </c>
      <c r="V11" s="201">
        <v>3179</v>
      </c>
      <c r="W11" s="201">
        <v>0.007</v>
      </c>
      <c r="X11" s="201">
        <f t="shared" si="15"/>
        <v>22.25</v>
      </c>
      <c r="Y11" s="201">
        <v>0.003</v>
      </c>
      <c r="Z11" s="201">
        <f t="shared" si="16"/>
        <v>9.54</v>
      </c>
      <c r="AA11" s="201">
        <v>3197</v>
      </c>
      <c r="AB11" s="201">
        <v>0.01</v>
      </c>
      <c r="AC11" s="201">
        <f t="shared" ref="AC11:AC20" si="17">ROUND(AA11*AB11,2)</f>
        <v>31.97</v>
      </c>
      <c r="AD11" s="201">
        <v>3179</v>
      </c>
      <c r="AE11" s="201">
        <v>0.0035</v>
      </c>
      <c r="AF11" s="201">
        <f t="shared" si="2"/>
        <v>11.13</v>
      </c>
      <c r="AG11" s="201">
        <v>3179</v>
      </c>
      <c r="AH11" s="201">
        <v>0.08</v>
      </c>
      <c r="AI11" s="201">
        <f t="shared" si="3"/>
        <v>254.32</v>
      </c>
      <c r="AJ11" s="201">
        <v>0.08</v>
      </c>
      <c r="AK11" s="201">
        <f t="shared" si="4"/>
        <v>254.32</v>
      </c>
      <c r="AL11" s="233"/>
      <c r="AM11" s="201"/>
      <c r="AN11" s="201"/>
      <c r="AO11" s="201"/>
      <c r="AP11" s="171"/>
      <c r="AQ11" s="238"/>
      <c r="AR11" s="238"/>
      <c r="AS11" s="239">
        <f t="shared" si="5"/>
        <v>829.75</v>
      </c>
      <c r="AT11" s="239">
        <f t="shared" si="6"/>
        <v>327.8</v>
      </c>
      <c r="AU11" s="239">
        <f t="shared" si="7"/>
        <v>254.32</v>
      </c>
      <c r="AV11" s="239">
        <f t="shared" si="8"/>
        <v>254.32</v>
      </c>
      <c r="AW11" s="239">
        <f t="shared" si="9"/>
        <v>1666.19</v>
      </c>
      <c r="AX11" s="248">
        <f t="shared" si="10"/>
        <v>1157.55</v>
      </c>
      <c r="AY11" s="248"/>
      <c r="AZ11" s="248">
        <f t="shared" si="11"/>
        <v>508.64</v>
      </c>
      <c r="BA11" s="248"/>
      <c r="BB11" s="249">
        <v>80</v>
      </c>
      <c r="BC11" s="248">
        <f t="shared" si="12"/>
        <v>1746.19</v>
      </c>
      <c r="BD11" s="254"/>
      <c r="BE11" s="272"/>
      <c r="BF11" s="272"/>
      <c r="BG11" s="272"/>
      <c r="BH11" s="272"/>
    </row>
    <row r="12" s="190" customFormat="1" ht="18" customHeight="1" spans="1:60">
      <c r="A12" s="201">
        <v>7</v>
      </c>
      <c r="B12" s="171" t="s">
        <v>71</v>
      </c>
      <c r="C12" s="160" t="s">
        <v>177</v>
      </c>
      <c r="D12" s="170" t="s">
        <v>73</v>
      </c>
      <c r="E12" s="171" t="s">
        <v>83</v>
      </c>
      <c r="F12" s="172" t="s">
        <v>181</v>
      </c>
      <c r="G12" s="173" t="s">
        <v>182</v>
      </c>
      <c r="H12" s="170" t="s">
        <v>165</v>
      </c>
      <c r="I12" s="170" t="s">
        <v>165</v>
      </c>
      <c r="J12" s="170" t="s">
        <v>180</v>
      </c>
      <c r="K12" s="170" t="s">
        <v>180</v>
      </c>
      <c r="L12" s="201">
        <v>3179</v>
      </c>
      <c r="M12" s="201">
        <v>0.16</v>
      </c>
      <c r="N12" s="201">
        <f t="shared" si="13"/>
        <v>508.64</v>
      </c>
      <c r="O12" s="201">
        <v>0.08</v>
      </c>
      <c r="P12" s="201">
        <f t="shared" si="14"/>
        <v>254.32</v>
      </c>
      <c r="Q12" s="201">
        <v>3197</v>
      </c>
      <c r="R12" s="201">
        <v>0.08</v>
      </c>
      <c r="S12" s="201">
        <f t="shared" si="0"/>
        <v>255.76</v>
      </c>
      <c r="T12" s="201">
        <v>0.02</v>
      </c>
      <c r="U12" s="201">
        <f t="shared" si="1"/>
        <v>63.94</v>
      </c>
      <c r="V12" s="201">
        <v>3179</v>
      </c>
      <c r="W12" s="201">
        <v>0.007</v>
      </c>
      <c r="X12" s="201">
        <f t="shared" si="15"/>
        <v>22.25</v>
      </c>
      <c r="Y12" s="201">
        <v>0.003</v>
      </c>
      <c r="Z12" s="201">
        <f t="shared" si="16"/>
        <v>9.54</v>
      </c>
      <c r="AA12" s="201">
        <v>3197</v>
      </c>
      <c r="AB12" s="201">
        <v>0.01</v>
      </c>
      <c r="AC12" s="201">
        <f t="shared" si="17"/>
        <v>31.97</v>
      </c>
      <c r="AD12" s="201">
        <v>3179</v>
      </c>
      <c r="AE12" s="201">
        <v>0.0035</v>
      </c>
      <c r="AF12" s="201">
        <f t="shared" si="2"/>
        <v>11.13</v>
      </c>
      <c r="AG12" s="201">
        <v>3179</v>
      </c>
      <c r="AH12" s="201">
        <v>0.08</v>
      </c>
      <c r="AI12" s="201">
        <f t="shared" si="3"/>
        <v>254.32</v>
      </c>
      <c r="AJ12" s="201">
        <v>0.08</v>
      </c>
      <c r="AK12" s="201">
        <f t="shared" si="4"/>
        <v>254.32</v>
      </c>
      <c r="AL12" s="233"/>
      <c r="AM12" s="201"/>
      <c r="AN12" s="201"/>
      <c r="AO12" s="201"/>
      <c r="AP12" s="171"/>
      <c r="AQ12" s="238"/>
      <c r="AR12" s="238"/>
      <c r="AS12" s="239">
        <f t="shared" si="5"/>
        <v>829.75</v>
      </c>
      <c r="AT12" s="239">
        <f t="shared" si="6"/>
        <v>327.8</v>
      </c>
      <c r="AU12" s="239">
        <f t="shared" si="7"/>
        <v>254.32</v>
      </c>
      <c r="AV12" s="239">
        <f t="shared" si="8"/>
        <v>254.32</v>
      </c>
      <c r="AW12" s="239">
        <f t="shared" si="9"/>
        <v>1666.19</v>
      </c>
      <c r="AX12" s="248">
        <f t="shared" si="10"/>
        <v>1157.55</v>
      </c>
      <c r="AY12" s="248"/>
      <c r="AZ12" s="248">
        <f t="shared" si="11"/>
        <v>508.64</v>
      </c>
      <c r="BA12" s="248"/>
      <c r="BB12" s="249">
        <v>80</v>
      </c>
      <c r="BC12" s="248">
        <f t="shared" si="12"/>
        <v>1746.19</v>
      </c>
      <c r="BD12" s="254"/>
      <c r="BE12" s="272"/>
      <c r="BF12" s="272"/>
      <c r="BG12" s="272"/>
      <c r="BH12" s="272"/>
    </row>
    <row r="13" s="190" customFormat="1" ht="18" customHeight="1" spans="1:60">
      <c r="A13" s="201">
        <v>8</v>
      </c>
      <c r="B13" s="171" t="s">
        <v>71</v>
      </c>
      <c r="C13" s="160" t="s">
        <v>177</v>
      </c>
      <c r="D13" s="170" t="s">
        <v>73</v>
      </c>
      <c r="E13" s="171" t="s">
        <v>83</v>
      </c>
      <c r="F13" s="172" t="s">
        <v>183</v>
      </c>
      <c r="G13" s="173" t="s">
        <v>184</v>
      </c>
      <c r="H13" s="170">
        <v>202202</v>
      </c>
      <c r="I13" s="170">
        <v>202202</v>
      </c>
      <c r="J13" s="170" t="s">
        <v>180</v>
      </c>
      <c r="K13" s="170" t="s">
        <v>180</v>
      </c>
      <c r="L13" s="201">
        <v>3179</v>
      </c>
      <c r="M13" s="201">
        <v>0.16</v>
      </c>
      <c r="N13" s="201">
        <f t="shared" si="13"/>
        <v>508.64</v>
      </c>
      <c r="O13" s="201">
        <v>0.08</v>
      </c>
      <c r="P13" s="201">
        <f t="shared" si="14"/>
        <v>254.32</v>
      </c>
      <c r="Q13" s="201">
        <v>3197</v>
      </c>
      <c r="R13" s="201">
        <v>0.08</v>
      </c>
      <c r="S13" s="201">
        <f t="shared" si="0"/>
        <v>255.76</v>
      </c>
      <c r="T13" s="201">
        <v>0.02</v>
      </c>
      <c r="U13" s="201">
        <f t="shared" si="1"/>
        <v>63.94</v>
      </c>
      <c r="V13" s="201">
        <v>3179</v>
      </c>
      <c r="W13" s="201">
        <v>0.007</v>
      </c>
      <c r="X13" s="201">
        <f t="shared" si="15"/>
        <v>22.25</v>
      </c>
      <c r="Y13" s="201">
        <v>0.003</v>
      </c>
      <c r="Z13" s="201">
        <f t="shared" si="16"/>
        <v>9.54</v>
      </c>
      <c r="AA13" s="201">
        <v>3197</v>
      </c>
      <c r="AB13" s="201">
        <v>0.01</v>
      </c>
      <c r="AC13" s="201">
        <f t="shared" si="17"/>
        <v>31.97</v>
      </c>
      <c r="AD13" s="201">
        <v>3179</v>
      </c>
      <c r="AE13" s="201">
        <v>0.0035</v>
      </c>
      <c r="AF13" s="201">
        <f t="shared" si="2"/>
        <v>11.13</v>
      </c>
      <c r="AG13" s="201">
        <v>3179</v>
      </c>
      <c r="AH13" s="201">
        <v>0.08</v>
      </c>
      <c r="AI13" s="201">
        <f t="shared" si="3"/>
        <v>254.32</v>
      </c>
      <c r="AJ13" s="201">
        <v>0.08</v>
      </c>
      <c r="AK13" s="201">
        <f t="shared" si="4"/>
        <v>254.32</v>
      </c>
      <c r="AL13" s="233"/>
      <c r="AM13" s="201"/>
      <c r="AN13" s="201"/>
      <c r="AO13" s="201"/>
      <c r="AP13" s="171"/>
      <c r="AQ13" s="238"/>
      <c r="AR13" s="238"/>
      <c r="AS13" s="239">
        <f t="shared" si="5"/>
        <v>829.75</v>
      </c>
      <c r="AT13" s="239">
        <f t="shared" si="6"/>
        <v>327.8</v>
      </c>
      <c r="AU13" s="239">
        <f t="shared" si="7"/>
        <v>254.32</v>
      </c>
      <c r="AV13" s="239">
        <f t="shared" si="8"/>
        <v>254.32</v>
      </c>
      <c r="AW13" s="239">
        <f t="shared" si="9"/>
        <v>1666.19</v>
      </c>
      <c r="AX13" s="248">
        <f t="shared" si="10"/>
        <v>1157.55</v>
      </c>
      <c r="AY13" s="248"/>
      <c r="AZ13" s="248">
        <f t="shared" si="11"/>
        <v>508.64</v>
      </c>
      <c r="BA13" s="248"/>
      <c r="BB13" s="249">
        <v>80</v>
      </c>
      <c r="BC13" s="248">
        <f t="shared" si="12"/>
        <v>1746.19</v>
      </c>
      <c r="BD13" s="254"/>
      <c r="BE13" s="272"/>
      <c r="BF13" s="272"/>
      <c r="BG13" s="272"/>
      <c r="BH13" s="272"/>
    </row>
    <row r="14" s="190" customFormat="1" ht="18" customHeight="1" spans="1:60">
      <c r="A14" s="201">
        <v>9</v>
      </c>
      <c r="B14" s="171" t="s">
        <v>71</v>
      </c>
      <c r="C14" s="160" t="s">
        <v>177</v>
      </c>
      <c r="D14" s="170" t="s">
        <v>73</v>
      </c>
      <c r="E14" s="171" t="s">
        <v>83</v>
      </c>
      <c r="F14" s="172" t="s">
        <v>185</v>
      </c>
      <c r="G14" s="394" t="s">
        <v>186</v>
      </c>
      <c r="H14" s="170">
        <v>202202</v>
      </c>
      <c r="I14" s="170">
        <v>202202</v>
      </c>
      <c r="J14" s="170" t="s">
        <v>180</v>
      </c>
      <c r="K14" s="170" t="s">
        <v>180</v>
      </c>
      <c r="L14" s="201">
        <v>3179</v>
      </c>
      <c r="M14" s="201">
        <v>0.16</v>
      </c>
      <c r="N14" s="201">
        <f t="shared" si="13"/>
        <v>508.64</v>
      </c>
      <c r="O14" s="201">
        <v>0.08</v>
      </c>
      <c r="P14" s="201">
        <f t="shared" si="14"/>
        <v>254.32</v>
      </c>
      <c r="Q14" s="201">
        <v>3197</v>
      </c>
      <c r="R14" s="201">
        <v>0.08</v>
      </c>
      <c r="S14" s="201">
        <f t="shared" si="0"/>
        <v>255.76</v>
      </c>
      <c r="T14" s="201">
        <v>0.02</v>
      </c>
      <c r="U14" s="201">
        <f t="shared" si="1"/>
        <v>63.94</v>
      </c>
      <c r="V14" s="201">
        <v>3179</v>
      </c>
      <c r="W14" s="201">
        <v>0.007</v>
      </c>
      <c r="X14" s="201">
        <f t="shared" si="15"/>
        <v>22.25</v>
      </c>
      <c r="Y14" s="201">
        <v>0.003</v>
      </c>
      <c r="Z14" s="201">
        <f t="shared" si="16"/>
        <v>9.54</v>
      </c>
      <c r="AA14" s="201">
        <v>3197</v>
      </c>
      <c r="AB14" s="201">
        <v>0.01</v>
      </c>
      <c r="AC14" s="201">
        <f t="shared" si="17"/>
        <v>31.97</v>
      </c>
      <c r="AD14" s="201">
        <v>3179</v>
      </c>
      <c r="AE14" s="201">
        <v>0.0035</v>
      </c>
      <c r="AF14" s="201">
        <f t="shared" si="2"/>
        <v>11.13</v>
      </c>
      <c r="AG14" s="201">
        <v>3179</v>
      </c>
      <c r="AH14" s="201">
        <v>0.08</v>
      </c>
      <c r="AI14" s="201">
        <f t="shared" si="3"/>
        <v>254.32</v>
      </c>
      <c r="AJ14" s="201">
        <v>0.08</v>
      </c>
      <c r="AK14" s="201">
        <f t="shared" si="4"/>
        <v>254.32</v>
      </c>
      <c r="AL14" s="233"/>
      <c r="AM14" s="201"/>
      <c r="AN14" s="201"/>
      <c r="AO14" s="201"/>
      <c r="AP14" s="171"/>
      <c r="AQ14" s="238"/>
      <c r="AR14" s="238"/>
      <c r="AS14" s="239">
        <f t="shared" si="5"/>
        <v>829.75</v>
      </c>
      <c r="AT14" s="239">
        <f t="shared" si="6"/>
        <v>327.8</v>
      </c>
      <c r="AU14" s="239">
        <f t="shared" si="7"/>
        <v>254.32</v>
      </c>
      <c r="AV14" s="239">
        <f t="shared" si="8"/>
        <v>254.32</v>
      </c>
      <c r="AW14" s="239">
        <f t="shared" si="9"/>
        <v>1666.19</v>
      </c>
      <c r="AX14" s="248">
        <f t="shared" si="10"/>
        <v>1157.55</v>
      </c>
      <c r="AY14" s="248"/>
      <c r="AZ14" s="248">
        <f t="shared" si="11"/>
        <v>508.64</v>
      </c>
      <c r="BA14" s="248"/>
      <c r="BB14" s="249">
        <v>80</v>
      </c>
      <c r="BC14" s="248">
        <f t="shared" si="12"/>
        <v>1746.19</v>
      </c>
      <c r="BD14" s="254"/>
      <c r="BE14" s="272"/>
      <c r="BF14" s="272"/>
      <c r="BG14" s="272"/>
      <c r="BH14" s="272"/>
    </row>
    <row r="15" s="191" customFormat="1" ht="18" customHeight="1" spans="1:60">
      <c r="A15" s="202">
        <v>10</v>
      </c>
      <c r="B15" s="203" t="s">
        <v>71</v>
      </c>
      <c r="C15" s="204" t="s">
        <v>177</v>
      </c>
      <c r="D15" s="205" t="s">
        <v>73</v>
      </c>
      <c r="E15" s="203" t="s">
        <v>83</v>
      </c>
      <c r="F15" s="206" t="s">
        <v>187</v>
      </c>
      <c r="G15" s="207" t="s">
        <v>188</v>
      </c>
      <c r="H15" s="205" t="s">
        <v>162</v>
      </c>
      <c r="I15" s="205" t="s">
        <v>162</v>
      </c>
      <c r="J15" s="205" t="s">
        <v>180</v>
      </c>
      <c r="K15" s="205" t="s">
        <v>180</v>
      </c>
      <c r="L15" s="202">
        <v>3179</v>
      </c>
      <c r="M15" s="202">
        <v>0.16</v>
      </c>
      <c r="N15" s="202">
        <f t="shared" si="13"/>
        <v>508.64</v>
      </c>
      <c r="O15" s="202">
        <v>0.08</v>
      </c>
      <c r="P15" s="202">
        <f t="shared" si="14"/>
        <v>254.32</v>
      </c>
      <c r="Q15" s="202">
        <v>3197</v>
      </c>
      <c r="R15" s="202">
        <v>0.08</v>
      </c>
      <c r="S15" s="202">
        <f t="shared" si="0"/>
        <v>255.76</v>
      </c>
      <c r="T15" s="202">
        <v>0.02</v>
      </c>
      <c r="U15" s="202">
        <f t="shared" si="1"/>
        <v>63.94</v>
      </c>
      <c r="V15" s="202">
        <v>3179</v>
      </c>
      <c r="W15" s="202">
        <v>0.007</v>
      </c>
      <c r="X15" s="202">
        <f t="shared" si="15"/>
        <v>22.25</v>
      </c>
      <c r="Y15" s="202">
        <v>0.003</v>
      </c>
      <c r="Z15" s="202">
        <f t="shared" si="16"/>
        <v>9.54</v>
      </c>
      <c r="AA15" s="202">
        <v>3197</v>
      </c>
      <c r="AB15" s="202">
        <v>0.01</v>
      </c>
      <c r="AC15" s="202">
        <f t="shared" si="17"/>
        <v>31.97</v>
      </c>
      <c r="AD15" s="202">
        <v>3179</v>
      </c>
      <c r="AE15" s="202">
        <v>0.0035</v>
      </c>
      <c r="AF15" s="202">
        <f t="shared" si="2"/>
        <v>11.13</v>
      </c>
      <c r="AG15" s="202">
        <v>3179</v>
      </c>
      <c r="AH15" s="202">
        <v>0.08</v>
      </c>
      <c r="AI15" s="202">
        <f t="shared" si="3"/>
        <v>254.32</v>
      </c>
      <c r="AJ15" s="202">
        <v>0.08</v>
      </c>
      <c r="AK15" s="202">
        <f t="shared" si="4"/>
        <v>254.32</v>
      </c>
      <c r="AL15" s="234"/>
      <c r="AM15" s="202"/>
      <c r="AN15" s="202"/>
      <c r="AO15" s="202"/>
      <c r="AP15" s="203"/>
      <c r="AQ15" s="240"/>
      <c r="AR15" s="240"/>
      <c r="AS15" s="241">
        <f t="shared" si="5"/>
        <v>829.75</v>
      </c>
      <c r="AT15" s="241">
        <f t="shared" si="6"/>
        <v>327.8</v>
      </c>
      <c r="AU15" s="241">
        <f t="shared" si="7"/>
        <v>254.32</v>
      </c>
      <c r="AV15" s="241">
        <f t="shared" si="8"/>
        <v>254.32</v>
      </c>
      <c r="AW15" s="241">
        <f t="shared" si="9"/>
        <v>1666.19</v>
      </c>
      <c r="AX15" s="251">
        <f t="shared" si="10"/>
        <v>1157.55</v>
      </c>
      <c r="AY15" s="251"/>
      <c r="AZ15" s="251">
        <f t="shared" si="11"/>
        <v>508.64</v>
      </c>
      <c r="BA15" s="251"/>
      <c r="BB15" s="252">
        <v>80</v>
      </c>
      <c r="BC15" s="251">
        <f t="shared" si="12"/>
        <v>1746.19</v>
      </c>
      <c r="BD15" s="256"/>
      <c r="BE15" s="274"/>
      <c r="BF15" s="274"/>
      <c r="BG15" s="274"/>
      <c r="BH15" s="274"/>
    </row>
    <row r="16" s="191" customFormat="1" ht="18" customHeight="1" spans="1:60">
      <c r="A16" s="202">
        <v>11</v>
      </c>
      <c r="B16" s="203" t="s">
        <v>71</v>
      </c>
      <c r="C16" s="204" t="s">
        <v>177</v>
      </c>
      <c r="D16" s="205" t="s">
        <v>73</v>
      </c>
      <c r="E16" s="203" t="s">
        <v>83</v>
      </c>
      <c r="F16" s="206" t="s">
        <v>189</v>
      </c>
      <c r="G16" s="207" t="s">
        <v>190</v>
      </c>
      <c r="H16" s="205" t="s">
        <v>162</v>
      </c>
      <c r="I16" s="205" t="s">
        <v>162</v>
      </c>
      <c r="J16" s="205" t="s">
        <v>180</v>
      </c>
      <c r="K16" s="205" t="s">
        <v>180</v>
      </c>
      <c r="L16" s="202">
        <v>3179</v>
      </c>
      <c r="M16" s="202">
        <v>0.16</v>
      </c>
      <c r="N16" s="202">
        <f t="shared" si="13"/>
        <v>508.64</v>
      </c>
      <c r="O16" s="202">
        <v>0.08</v>
      </c>
      <c r="P16" s="202">
        <f t="shared" si="14"/>
        <v>254.32</v>
      </c>
      <c r="Q16" s="202">
        <v>3197</v>
      </c>
      <c r="R16" s="202">
        <v>0.08</v>
      </c>
      <c r="S16" s="202">
        <f t="shared" si="0"/>
        <v>255.76</v>
      </c>
      <c r="T16" s="202">
        <v>0.02</v>
      </c>
      <c r="U16" s="202">
        <f t="shared" si="1"/>
        <v>63.94</v>
      </c>
      <c r="V16" s="202">
        <v>3179</v>
      </c>
      <c r="W16" s="202">
        <v>0.007</v>
      </c>
      <c r="X16" s="202">
        <f t="shared" si="15"/>
        <v>22.25</v>
      </c>
      <c r="Y16" s="202">
        <v>0.003</v>
      </c>
      <c r="Z16" s="202">
        <f t="shared" si="16"/>
        <v>9.54</v>
      </c>
      <c r="AA16" s="202">
        <v>3197</v>
      </c>
      <c r="AB16" s="202">
        <v>0.01</v>
      </c>
      <c r="AC16" s="202">
        <f t="shared" si="17"/>
        <v>31.97</v>
      </c>
      <c r="AD16" s="202">
        <v>3179</v>
      </c>
      <c r="AE16" s="202">
        <v>0.0035</v>
      </c>
      <c r="AF16" s="202">
        <f t="shared" si="2"/>
        <v>11.13</v>
      </c>
      <c r="AG16" s="202">
        <v>3179</v>
      </c>
      <c r="AH16" s="202">
        <v>0.08</v>
      </c>
      <c r="AI16" s="202">
        <f t="shared" si="3"/>
        <v>254.32</v>
      </c>
      <c r="AJ16" s="202">
        <v>0.08</v>
      </c>
      <c r="AK16" s="202">
        <f t="shared" si="4"/>
        <v>254.32</v>
      </c>
      <c r="AL16" s="234"/>
      <c r="AM16" s="202"/>
      <c r="AN16" s="202"/>
      <c r="AO16" s="202"/>
      <c r="AP16" s="203"/>
      <c r="AQ16" s="240"/>
      <c r="AR16" s="240"/>
      <c r="AS16" s="241">
        <f t="shared" si="5"/>
        <v>829.75</v>
      </c>
      <c r="AT16" s="241">
        <f t="shared" si="6"/>
        <v>327.8</v>
      </c>
      <c r="AU16" s="241">
        <f t="shared" si="7"/>
        <v>254.32</v>
      </c>
      <c r="AV16" s="241">
        <f t="shared" si="8"/>
        <v>254.32</v>
      </c>
      <c r="AW16" s="241">
        <f t="shared" si="9"/>
        <v>1666.19</v>
      </c>
      <c r="AX16" s="251">
        <f t="shared" si="10"/>
        <v>1157.55</v>
      </c>
      <c r="AY16" s="251"/>
      <c r="AZ16" s="251">
        <f t="shared" si="11"/>
        <v>508.64</v>
      </c>
      <c r="BA16" s="251"/>
      <c r="BB16" s="252">
        <v>80</v>
      </c>
      <c r="BC16" s="251">
        <f t="shared" si="12"/>
        <v>1746.19</v>
      </c>
      <c r="BD16" s="256"/>
      <c r="BE16" s="274"/>
      <c r="BF16" s="274"/>
      <c r="BG16" s="274"/>
      <c r="BH16" s="274"/>
    </row>
    <row r="17" s="191" customFormat="1" ht="18" customHeight="1" spans="1:60">
      <c r="A17" s="202">
        <v>12</v>
      </c>
      <c r="B17" s="203" t="s">
        <v>71</v>
      </c>
      <c r="C17" s="204" t="s">
        <v>177</v>
      </c>
      <c r="D17" s="205" t="s">
        <v>73</v>
      </c>
      <c r="E17" s="203" t="s">
        <v>83</v>
      </c>
      <c r="F17" s="206" t="s">
        <v>191</v>
      </c>
      <c r="G17" s="207" t="s">
        <v>192</v>
      </c>
      <c r="H17" s="205" t="s">
        <v>162</v>
      </c>
      <c r="I17" s="205" t="s">
        <v>162</v>
      </c>
      <c r="J17" s="205" t="s">
        <v>180</v>
      </c>
      <c r="K17" s="205" t="s">
        <v>180</v>
      </c>
      <c r="L17" s="202">
        <v>3179</v>
      </c>
      <c r="M17" s="202">
        <v>0.16</v>
      </c>
      <c r="N17" s="202">
        <f t="shared" si="13"/>
        <v>508.64</v>
      </c>
      <c r="O17" s="202">
        <v>0.08</v>
      </c>
      <c r="P17" s="202">
        <f t="shared" si="14"/>
        <v>254.32</v>
      </c>
      <c r="Q17" s="202">
        <v>3197</v>
      </c>
      <c r="R17" s="202">
        <v>0.08</v>
      </c>
      <c r="S17" s="202">
        <f t="shared" si="0"/>
        <v>255.76</v>
      </c>
      <c r="T17" s="202">
        <v>0.02</v>
      </c>
      <c r="U17" s="202">
        <f t="shared" si="1"/>
        <v>63.94</v>
      </c>
      <c r="V17" s="202">
        <v>3179</v>
      </c>
      <c r="W17" s="202">
        <v>0.007</v>
      </c>
      <c r="X17" s="202">
        <f t="shared" si="15"/>
        <v>22.25</v>
      </c>
      <c r="Y17" s="202">
        <v>0.003</v>
      </c>
      <c r="Z17" s="202">
        <f t="shared" si="16"/>
        <v>9.54</v>
      </c>
      <c r="AA17" s="202">
        <v>3197</v>
      </c>
      <c r="AB17" s="202">
        <v>0.01</v>
      </c>
      <c r="AC17" s="202">
        <f t="shared" si="17"/>
        <v>31.97</v>
      </c>
      <c r="AD17" s="202">
        <v>3179</v>
      </c>
      <c r="AE17" s="202">
        <v>0.0035</v>
      </c>
      <c r="AF17" s="202">
        <f t="shared" si="2"/>
        <v>11.13</v>
      </c>
      <c r="AG17" s="202">
        <v>3179</v>
      </c>
      <c r="AH17" s="202">
        <v>0.08</v>
      </c>
      <c r="AI17" s="202">
        <f t="shared" si="3"/>
        <v>254.32</v>
      </c>
      <c r="AJ17" s="202">
        <v>0.08</v>
      </c>
      <c r="AK17" s="202">
        <f t="shared" si="4"/>
        <v>254.32</v>
      </c>
      <c r="AL17" s="234"/>
      <c r="AM17" s="202"/>
      <c r="AN17" s="202"/>
      <c r="AO17" s="202"/>
      <c r="AP17" s="203"/>
      <c r="AQ17" s="240"/>
      <c r="AR17" s="240"/>
      <c r="AS17" s="241">
        <f t="shared" si="5"/>
        <v>829.75</v>
      </c>
      <c r="AT17" s="241">
        <f t="shared" si="6"/>
        <v>327.8</v>
      </c>
      <c r="AU17" s="241">
        <f t="shared" si="7"/>
        <v>254.32</v>
      </c>
      <c r="AV17" s="241">
        <f t="shared" si="8"/>
        <v>254.32</v>
      </c>
      <c r="AW17" s="241">
        <f t="shared" si="9"/>
        <v>1666.19</v>
      </c>
      <c r="AX17" s="251">
        <f t="shared" si="10"/>
        <v>1157.55</v>
      </c>
      <c r="AY17" s="251"/>
      <c r="AZ17" s="251">
        <f t="shared" si="11"/>
        <v>508.64</v>
      </c>
      <c r="BA17" s="251"/>
      <c r="BB17" s="252">
        <v>80</v>
      </c>
      <c r="BC17" s="251">
        <f t="shared" si="12"/>
        <v>1746.19</v>
      </c>
      <c r="BD17" s="256"/>
      <c r="BE17" s="274"/>
      <c r="BF17" s="274"/>
      <c r="BG17" s="274"/>
      <c r="BH17" s="274"/>
    </row>
    <row r="18" s="191" customFormat="1" ht="18" customHeight="1" spans="1:60">
      <c r="A18" s="202" t="s">
        <v>87</v>
      </c>
      <c r="B18" s="203" t="s">
        <v>71</v>
      </c>
      <c r="C18" s="204" t="s">
        <v>177</v>
      </c>
      <c r="D18" s="205" t="s">
        <v>73</v>
      </c>
      <c r="E18" s="203" t="s">
        <v>83</v>
      </c>
      <c r="F18" s="206" t="s">
        <v>187</v>
      </c>
      <c r="G18" s="207" t="s">
        <v>188</v>
      </c>
      <c r="H18" s="205" t="s">
        <v>162</v>
      </c>
      <c r="I18" s="205" t="s">
        <v>162</v>
      </c>
      <c r="J18" s="205" t="s">
        <v>162</v>
      </c>
      <c r="K18" s="205" t="s">
        <v>162</v>
      </c>
      <c r="L18" s="202">
        <v>3179</v>
      </c>
      <c r="M18" s="202">
        <v>0.16</v>
      </c>
      <c r="N18" s="202">
        <f t="shared" si="13"/>
        <v>508.64</v>
      </c>
      <c r="O18" s="202">
        <v>0.08</v>
      </c>
      <c r="P18" s="202">
        <f t="shared" si="14"/>
        <v>254.32</v>
      </c>
      <c r="Q18" s="202">
        <v>3197</v>
      </c>
      <c r="R18" s="202">
        <v>0.08</v>
      </c>
      <c r="S18" s="202">
        <f t="shared" si="0"/>
        <v>255.76</v>
      </c>
      <c r="T18" s="202">
        <v>0.02</v>
      </c>
      <c r="U18" s="202">
        <f t="shared" si="1"/>
        <v>63.94</v>
      </c>
      <c r="V18" s="202">
        <v>3179</v>
      </c>
      <c r="W18" s="202">
        <v>0.007</v>
      </c>
      <c r="X18" s="202">
        <f t="shared" si="15"/>
        <v>22.25</v>
      </c>
      <c r="Y18" s="202">
        <v>0.003</v>
      </c>
      <c r="Z18" s="202">
        <f t="shared" si="16"/>
        <v>9.54</v>
      </c>
      <c r="AA18" s="202">
        <v>3197</v>
      </c>
      <c r="AB18" s="202">
        <v>0.01</v>
      </c>
      <c r="AC18" s="202">
        <f t="shared" si="17"/>
        <v>31.97</v>
      </c>
      <c r="AD18" s="202">
        <v>3179</v>
      </c>
      <c r="AE18" s="202">
        <v>0.0035</v>
      </c>
      <c r="AF18" s="202">
        <f t="shared" si="2"/>
        <v>11.13</v>
      </c>
      <c r="AG18" s="202">
        <v>3179</v>
      </c>
      <c r="AH18" s="202">
        <v>0.08</v>
      </c>
      <c r="AI18" s="202">
        <f t="shared" si="3"/>
        <v>254.32</v>
      </c>
      <c r="AJ18" s="202">
        <v>0.08</v>
      </c>
      <c r="AK18" s="202">
        <f t="shared" si="4"/>
        <v>254.32</v>
      </c>
      <c r="AL18" s="234"/>
      <c r="AM18" s="202"/>
      <c r="AN18" s="202"/>
      <c r="AO18" s="202"/>
      <c r="AP18" s="203"/>
      <c r="AQ18" s="240"/>
      <c r="AR18" s="240"/>
      <c r="AS18" s="241">
        <f t="shared" si="5"/>
        <v>829.75</v>
      </c>
      <c r="AT18" s="241">
        <f t="shared" si="6"/>
        <v>327.8</v>
      </c>
      <c r="AU18" s="241">
        <f t="shared" si="7"/>
        <v>254.32</v>
      </c>
      <c r="AV18" s="241">
        <f t="shared" si="8"/>
        <v>254.32</v>
      </c>
      <c r="AW18" s="241">
        <f t="shared" si="9"/>
        <v>1666.19</v>
      </c>
      <c r="AX18" s="251">
        <f t="shared" si="10"/>
        <v>1157.55</v>
      </c>
      <c r="AY18" s="251"/>
      <c r="AZ18" s="251">
        <f t="shared" si="11"/>
        <v>508.64</v>
      </c>
      <c r="BA18" s="251"/>
      <c r="BB18" s="252">
        <v>80</v>
      </c>
      <c r="BC18" s="251">
        <f t="shared" si="12"/>
        <v>1746.19</v>
      </c>
      <c r="BD18" s="256"/>
      <c r="BE18" s="274"/>
      <c r="BF18" s="274"/>
      <c r="BG18" s="274"/>
      <c r="BH18" s="274"/>
    </row>
    <row r="19" s="191" customFormat="1" ht="18" customHeight="1" spans="1:60">
      <c r="A19" s="202" t="s">
        <v>87</v>
      </c>
      <c r="B19" s="203" t="s">
        <v>71</v>
      </c>
      <c r="C19" s="204" t="s">
        <v>177</v>
      </c>
      <c r="D19" s="205" t="s">
        <v>73</v>
      </c>
      <c r="E19" s="203" t="s">
        <v>83</v>
      </c>
      <c r="F19" s="206" t="s">
        <v>189</v>
      </c>
      <c r="G19" s="207" t="s">
        <v>190</v>
      </c>
      <c r="H19" s="205" t="s">
        <v>162</v>
      </c>
      <c r="I19" s="205" t="s">
        <v>162</v>
      </c>
      <c r="J19" s="205" t="s">
        <v>162</v>
      </c>
      <c r="K19" s="205" t="s">
        <v>162</v>
      </c>
      <c r="L19" s="202">
        <v>3179</v>
      </c>
      <c r="M19" s="202">
        <v>0.16</v>
      </c>
      <c r="N19" s="202">
        <f t="shared" si="13"/>
        <v>508.64</v>
      </c>
      <c r="O19" s="202">
        <v>0.08</v>
      </c>
      <c r="P19" s="202">
        <f t="shared" si="14"/>
        <v>254.32</v>
      </c>
      <c r="Q19" s="202">
        <v>3197</v>
      </c>
      <c r="R19" s="202">
        <v>0.08</v>
      </c>
      <c r="S19" s="202">
        <f t="shared" si="0"/>
        <v>255.76</v>
      </c>
      <c r="T19" s="202">
        <v>0.02</v>
      </c>
      <c r="U19" s="202">
        <f t="shared" si="1"/>
        <v>63.94</v>
      </c>
      <c r="V19" s="202">
        <v>3179</v>
      </c>
      <c r="W19" s="202">
        <v>0.007</v>
      </c>
      <c r="X19" s="202">
        <f t="shared" si="15"/>
        <v>22.25</v>
      </c>
      <c r="Y19" s="202">
        <v>0.003</v>
      </c>
      <c r="Z19" s="202">
        <f t="shared" si="16"/>
        <v>9.54</v>
      </c>
      <c r="AA19" s="202">
        <v>3197</v>
      </c>
      <c r="AB19" s="202">
        <v>0.01</v>
      </c>
      <c r="AC19" s="202">
        <f t="shared" si="17"/>
        <v>31.97</v>
      </c>
      <c r="AD19" s="202">
        <v>3179</v>
      </c>
      <c r="AE19" s="202">
        <v>0.0035</v>
      </c>
      <c r="AF19" s="202">
        <f t="shared" si="2"/>
        <v>11.13</v>
      </c>
      <c r="AG19" s="202">
        <v>3179</v>
      </c>
      <c r="AH19" s="202">
        <v>0.08</v>
      </c>
      <c r="AI19" s="202">
        <f t="shared" si="3"/>
        <v>254.32</v>
      </c>
      <c r="AJ19" s="202">
        <v>0.08</v>
      </c>
      <c r="AK19" s="202">
        <f t="shared" si="4"/>
        <v>254.32</v>
      </c>
      <c r="AL19" s="234"/>
      <c r="AM19" s="202"/>
      <c r="AN19" s="202"/>
      <c r="AO19" s="202"/>
      <c r="AP19" s="203"/>
      <c r="AQ19" s="240"/>
      <c r="AR19" s="240"/>
      <c r="AS19" s="241">
        <f t="shared" si="5"/>
        <v>829.75</v>
      </c>
      <c r="AT19" s="241">
        <f t="shared" si="6"/>
        <v>327.8</v>
      </c>
      <c r="AU19" s="241">
        <f t="shared" si="7"/>
        <v>254.32</v>
      </c>
      <c r="AV19" s="241">
        <f t="shared" si="8"/>
        <v>254.32</v>
      </c>
      <c r="AW19" s="241">
        <f t="shared" si="9"/>
        <v>1666.19</v>
      </c>
      <c r="AX19" s="251">
        <f t="shared" si="10"/>
        <v>1157.55</v>
      </c>
      <c r="AY19" s="251"/>
      <c r="AZ19" s="251">
        <f t="shared" si="11"/>
        <v>508.64</v>
      </c>
      <c r="BA19" s="251"/>
      <c r="BB19" s="252">
        <v>80</v>
      </c>
      <c r="BC19" s="251">
        <f t="shared" si="12"/>
        <v>1746.19</v>
      </c>
      <c r="BD19" s="256"/>
      <c r="BE19" s="274"/>
      <c r="BF19" s="274"/>
      <c r="BG19" s="274"/>
      <c r="BH19" s="274"/>
    </row>
    <row r="20" s="191" customFormat="1" ht="18" customHeight="1" spans="1:60">
      <c r="A20" s="202" t="s">
        <v>87</v>
      </c>
      <c r="B20" s="203" t="s">
        <v>71</v>
      </c>
      <c r="C20" s="204" t="s">
        <v>177</v>
      </c>
      <c r="D20" s="205" t="s">
        <v>73</v>
      </c>
      <c r="E20" s="203" t="s">
        <v>83</v>
      </c>
      <c r="F20" s="206" t="s">
        <v>191</v>
      </c>
      <c r="G20" s="207" t="s">
        <v>192</v>
      </c>
      <c r="H20" s="205" t="s">
        <v>162</v>
      </c>
      <c r="I20" s="205" t="s">
        <v>162</v>
      </c>
      <c r="J20" s="205" t="s">
        <v>162</v>
      </c>
      <c r="K20" s="205" t="s">
        <v>162</v>
      </c>
      <c r="L20" s="202">
        <v>3179</v>
      </c>
      <c r="M20" s="202">
        <v>0.16</v>
      </c>
      <c r="N20" s="202">
        <f t="shared" si="13"/>
        <v>508.64</v>
      </c>
      <c r="O20" s="202">
        <v>0.08</v>
      </c>
      <c r="P20" s="202">
        <f t="shared" si="14"/>
        <v>254.32</v>
      </c>
      <c r="Q20" s="202">
        <v>3197</v>
      </c>
      <c r="R20" s="202">
        <v>0.08</v>
      </c>
      <c r="S20" s="202">
        <f t="shared" si="0"/>
        <v>255.76</v>
      </c>
      <c r="T20" s="202">
        <v>0.02</v>
      </c>
      <c r="U20" s="202">
        <f t="shared" si="1"/>
        <v>63.94</v>
      </c>
      <c r="V20" s="202">
        <v>3179</v>
      </c>
      <c r="W20" s="202">
        <v>0.007</v>
      </c>
      <c r="X20" s="202">
        <f t="shared" si="15"/>
        <v>22.25</v>
      </c>
      <c r="Y20" s="202">
        <v>0.003</v>
      </c>
      <c r="Z20" s="202">
        <f t="shared" si="16"/>
        <v>9.54</v>
      </c>
      <c r="AA20" s="202">
        <v>3197</v>
      </c>
      <c r="AB20" s="202">
        <v>0.01</v>
      </c>
      <c r="AC20" s="202">
        <f t="shared" si="17"/>
        <v>31.97</v>
      </c>
      <c r="AD20" s="202">
        <v>3179</v>
      </c>
      <c r="AE20" s="202">
        <v>0.0035</v>
      </c>
      <c r="AF20" s="202">
        <f t="shared" si="2"/>
        <v>11.13</v>
      </c>
      <c r="AG20" s="202">
        <v>3179</v>
      </c>
      <c r="AH20" s="202">
        <v>0.08</v>
      </c>
      <c r="AI20" s="202">
        <f t="shared" si="3"/>
        <v>254.32</v>
      </c>
      <c r="AJ20" s="202">
        <v>0.08</v>
      </c>
      <c r="AK20" s="202">
        <f t="shared" si="4"/>
        <v>254.32</v>
      </c>
      <c r="AL20" s="234"/>
      <c r="AM20" s="202"/>
      <c r="AN20" s="202"/>
      <c r="AO20" s="202"/>
      <c r="AP20" s="203"/>
      <c r="AQ20" s="240"/>
      <c r="AR20" s="240"/>
      <c r="AS20" s="241">
        <f t="shared" si="5"/>
        <v>829.75</v>
      </c>
      <c r="AT20" s="241">
        <f t="shared" si="6"/>
        <v>327.8</v>
      </c>
      <c r="AU20" s="241">
        <f t="shared" si="7"/>
        <v>254.32</v>
      </c>
      <c r="AV20" s="241">
        <f t="shared" si="8"/>
        <v>254.32</v>
      </c>
      <c r="AW20" s="241">
        <f t="shared" si="9"/>
        <v>1666.19</v>
      </c>
      <c r="AX20" s="251">
        <f t="shared" si="10"/>
        <v>1157.55</v>
      </c>
      <c r="AY20" s="251"/>
      <c r="AZ20" s="251">
        <f t="shared" si="11"/>
        <v>508.64</v>
      </c>
      <c r="BA20" s="251"/>
      <c r="BB20" s="252">
        <v>80</v>
      </c>
      <c r="BC20" s="251">
        <f t="shared" si="12"/>
        <v>1746.19</v>
      </c>
      <c r="BD20" s="256"/>
      <c r="BE20" s="274"/>
      <c r="BF20" s="274"/>
      <c r="BG20" s="274"/>
      <c r="BH20" s="274"/>
    </row>
    <row r="21" s="192" customFormat="1" ht="18" customHeight="1" spans="1:60">
      <c r="A21" s="208"/>
      <c r="B21" s="209"/>
      <c r="C21" s="210"/>
      <c r="D21" s="211"/>
      <c r="E21" s="212"/>
      <c r="F21" s="213"/>
      <c r="G21" s="214"/>
      <c r="H21" s="215"/>
      <c r="I21" s="211"/>
      <c r="J21" s="215"/>
      <c r="K21" s="215"/>
      <c r="L21" s="228"/>
      <c r="M21" s="228"/>
      <c r="N21" s="229"/>
      <c r="O21" s="228"/>
      <c r="P21" s="228"/>
      <c r="Q21" s="228"/>
      <c r="R21" s="228"/>
      <c r="S21" s="228"/>
      <c r="T21" s="228"/>
      <c r="U21" s="228"/>
      <c r="V21" s="231"/>
      <c r="W21" s="231"/>
      <c r="X21" s="232"/>
      <c r="Y21" s="231"/>
      <c r="Z21" s="228"/>
      <c r="AA21" s="228"/>
      <c r="AB21" s="228"/>
      <c r="AC21" s="228"/>
      <c r="AD21" s="228"/>
      <c r="AE21" s="228"/>
      <c r="AF21" s="229"/>
      <c r="AG21" s="228"/>
      <c r="AH21" s="228"/>
      <c r="AI21" s="228"/>
      <c r="AJ21" s="228"/>
      <c r="AK21" s="228"/>
      <c r="AL21" s="235"/>
      <c r="AM21" s="228"/>
      <c r="AN21" s="228"/>
      <c r="AO21" s="228"/>
      <c r="AP21" s="242"/>
      <c r="AQ21" s="243"/>
      <c r="AR21" s="228"/>
      <c r="AS21" s="244"/>
      <c r="AT21" s="244"/>
      <c r="AU21" s="244"/>
      <c r="AV21" s="244"/>
      <c r="AW21" s="244"/>
      <c r="AX21" s="257"/>
      <c r="AY21" s="258"/>
      <c r="AZ21" s="257"/>
      <c r="BA21" s="258"/>
      <c r="BB21" s="259"/>
      <c r="BC21" s="260"/>
      <c r="BD21" s="261"/>
      <c r="BE21" s="189"/>
      <c r="BF21" s="189"/>
      <c r="BG21" s="189"/>
      <c r="BH21" s="189"/>
    </row>
    <row r="22" s="189" customFormat="1" ht="14.25" spans="1:56">
      <c r="A22" s="216" t="s">
        <v>98</v>
      </c>
      <c r="B22" s="217"/>
      <c r="C22" s="218"/>
      <c r="D22" s="218"/>
      <c r="E22" s="219"/>
      <c r="F22" s="218"/>
      <c r="G22" s="218"/>
      <c r="H22" s="218"/>
      <c r="I22" s="218"/>
      <c r="J22" s="218"/>
      <c r="K22" s="218"/>
      <c r="L22" s="219">
        <f t="shared" ref="L22:BC22" si="18">SUM(L3:L21)</f>
        <v>50738.15</v>
      </c>
      <c r="M22" s="219">
        <f t="shared" si="18"/>
        <v>2.39</v>
      </c>
      <c r="N22" s="219">
        <f t="shared" si="18"/>
        <v>8072.22</v>
      </c>
      <c r="O22" s="219">
        <f t="shared" si="18"/>
        <v>1.2</v>
      </c>
      <c r="P22" s="219">
        <f t="shared" si="18"/>
        <v>4059.05</v>
      </c>
      <c r="Q22" s="219">
        <f t="shared" si="18"/>
        <v>54979.25</v>
      </c>
      <c r="R22" s="219">
        <f t="shared" si="18"/>
        <v>1.3485</v>
      </c>
      <c r="S22" s="219">
        <f t="shared" si="18"/>
        <v>4174.9</v>
      </c>
      <c r="T22" s="219">
        <f t="shared" si="18"/>
        <v>0.36</v>
      </c>
      <c r="U22" s="219">
        <f t="shared" si="18"/>
        <v>1099.6</v>
      </c>
      <c r="V22" s="219">
        <f t="shared" si="18"/>
        <v>48450.15</v>
      </c>
      <c r="W22" s="219">
        <f t="shared" si="18"/>
        <v>0.1028</v>
      </c>
      <c r="X22" s="219">
        <f t="shared" si="18"/>
        <v>334.06</v>
      </c>
      <c r="Y22" s="219">
        <f t="shared" si="18"/>
        <v>0.044</v>
      </c>
      <c r="Z22" s="219">
        <f t="shared" si="18"/>
        <v>143.08</v>
      </c>
      <c r="AA22" s="219">
        <f t="shared" si="18"/>
        <v>37222.25</v>
      </c>
      <c r="AB22" s="219">
        <f t="shared" si="18"/>
        <v>0.128</v>
      </c>
      <c r="AC22" s="219">
        <f t="shared" si="18"/>
        <v>356.47</v>
      </c>
      <c r="AD22" s="219">
        <f t="shared" si="18"/>
        <v>50342.25</v>
      </c>
      <c r="AE22" s="219">
        <f t="shared" si="18"/>
        <v>0.0598</v>
      </c>
      <c r="AF22" s="219">
        <f t="shared" si="18"/>
        <v>181.81</v>
      </c>
      <c r="AG22" s="219">
        <f t="shared" si="18"/>
        <v>44610</v>
      </c>
      <c r="AH22" s="219">
        <f t="shared" si="18"/>
        <v>1.25</v>
      </c>
      <c r="AI22" s="219">
        <f t="shared" si="18"/>
        <v>3334.2</v>
      </c>
      <c r="AJ22" s="219">
        <f t="shared" si="18"/>
        <v>1.21</v>
      </c>
      <c r="AK22" s="219">
        <f t="shared" si="18"/>
        <v>3214.2</v>
      </c>
      <c r="AL22" s="219">
        <f t="shared" si="18"/>
        <v>0</v>
      </c>
      <c r="AM22" s="219">
        <f t="shared" si="18"/>
        <v>0</v>
      </c>
      <c r="AN22" s="219">
        <f t="shared" si="18"/>
        <v>0</v>
      </c>
      <c r="AO22" s="219">
        <f t="shared" si="18"/>
        <v>0</v>
      </c>
      <c r="AP22" s="219">
        <f t="shared" si="18"/>
        <v>0</v>
      </c>
      <c r="AQ22" s="219">
        <f t="shared" si="18"/>
        <v>38.28</v>
      </c>
      <c r="AR22" s="219">
        <f t="shared" si="18"/>
        <v>0</v>
      </c>
      <c r="AS22" s="219">
        <f t="shared" si="18"/>
        <v>13157.74</v>
      </c>
      <c r="AT22" s="219">
        <f t="shared" si="18"/>
        <v>5301.73</v>
      </c>
      <c r="AU22" s="219">
        <f t="shared" si="18"/>
        <v>3334.2</v>
      </c>
      <c r="AV22" s="219">
        <f t="shared" si="18"/>
        <v>3214.2</v>
      </c>
      <c r="AW22" s="219">
        <f t="shared" si="18"/>
        <v>25007.87</v>
      </c>
      <c r="AX22" s="219">
        <f t="shared" si="18"/>
        <v>18459.47</v>
      </c>
      <c r="AY22" s="219">
        <f t="shared" si="18"/>
        <v>0</v>
      </c>
      <c r="AZ22" s="219">
        <f t="shared" si="18"/>
        <v>6548.4</v>
      </c>
      <c r="BA22" s="219">
        <f t="shared" si="18"/>
        <v>0</v>
      </c>
      <c r="BB22" s="219">
        <f t="shared" si="18"/>
        <v>1200</v>
      </c>
      <c r="BC22" s="219">
        <f t="shared" si="18"/>
        <v>26207.87</v>
      </c>
      <c r="BD22" s="262"/>
    </row>
    <row r="23" s="189" customFormat="1" ht="15" spans="1:56">
      <c r="A23" s="220" t="s">
        <v>58</v>
      </c>
      <c r="B23" s="221"/>
      <c r="C23" s="222"/>
      <c r="D23" s="222"/>
      <c r="E23" s="223"/>
      <c r="F23" s="223"/>
      <c r="G23" s="223"/>
      <c r="H23" s="223"/>
      <c r="I23" s="223"/>
      <c r="J23" s="223"/>
      <c r="K23" s="223"/>
      <c r="L23" s="230">
        <f t="shared" ref="L23:AX23" si="19">SUM(L22:L22)</f>
        <v>50738.15</v>
      </c>
      <c r="M23" s="230">
        <f t="shared" si="19"/>
        <v>2.39</v>
      </c>
      <c r="N23" s="230">
        <f t="shared" si="19"/>
        <v>8072.22</v>
      </c>
      <c r="O23" s="230">
        <f t="shared" si="19"/>
        <v>1.2</v>
      </c>
      <c r="P23" s="230">
        <f t="shared" si="19"/>
        <v>4059.05</v>
      </c>
      <c r="Q23" s="230">
        <f t="shared" si="19"/>
        <v>54979.25</v>
      </c>
      <c r="R23" s="230">
        <f t="shared" si="19"/>
        <v>1.3485</v>
      </c>
      <c r="S23" s="230">
        <f t="shared" si="19"/>
        <v>4174.9</v>
      </c>
      <c r="T23" s="230">
        <f t="shared" si="19"/>
        <v>0.36</v>
      </c>
      <c r="U23" s="230">
        <f t="shared" si="19"/>
        <v>1099.6</v>
      </c>
      <c r="V23" s="230">
        <f t="shared" si="19"/>
        <v>48450.15</v>
      </c>
      <c r="W23" s="230">
        <f t="shared" si="19"/>
        <v>0.1028</v>
      </c>
      <c r="X23" s="230">
        <f t="shared" si="19"/>
        <v>334.06</v>
      </c>
      <c r="Y23" s="230">
        <f t="shared" si="19"/>
        <v>0.044</v>
      </c>
      <c r="Z23" s="230">
        <f t="shared" si="19"/>
        <v>143.08</v>
      </c>
      <c r="AA23" s="230">
        <f t="shared" si="19"/>
        <v>37222.25</v>
      </c>
      <c r="AB23" s="230">
        <f t="shared" si="19"/>
        <v>0.128</v>
      </c>
      <c r="AC23" s="230">
        <f t="shared" si="19"/>
        <v>356.47</v>
      </c>
      <c r="AD23" s="230">
        <f t="shared" si="19"/>
        <v>50342.25</v>
      </c>
      <c r="AE23" s="230">
        <f t="shared" si="19"/>
        <v>0.0598</v>
      </c>
      <c r="AF23" s="230">
        <f t="shared" si="19"/>
        <v>181.81</v>
      </c>
      <c r="AG23" s="230">
        <f t="shared" si="19"/>
        <v>44610</v>
      </c>
      <c r="AH23" s="230">
        <f t="shared" si="19"/>
        <v>1.25</v>
      </c>
      <c r="AI23" s="230">
        <f t="shared" si="19"/>
        <v>3334.2</v>
      </c>
      <c r="AJ23" s="230">
        <f t="shared" si="19"/>
        <v>1.21</v>
      </c>
      <c r="AK23" s="230">
        <f t="shared" si="19"/>
        <v>3214.2</v>
      </c>
      <c r="AL23" s="230">
        <f t="shared" si="19"/>
        <v>0</v>
      </c>
      <c r="AM23" s="230">
        <f t="shared" si="19"/>
        <v>0</v>
      </c>
      <c r="AN23" s="230">
        <f t="shared" si="19"/>
        <v>0</v>
      </c>
      <c r="AO23" s="230">
        <f t="shared" si="19"/>
        <v>0</v>
      </c>
      <c r="AP23" s="230">
        <f t="shared" si="19"/>
        <v>0</v>
      </c>
      <c r="AQ23" s="230">
        <f t="shared" si="19"/>
        <v>38.28</v>
      </c>
      <c r="AR23" s="230">
        <f t="shared" si="19"/>
        <v>0</v>
      </c>
      <c r="AS23" s="245">
        <f t="shared" si="19"/>
        <v>13157.74</v>
      </c>
      <c r="AT23" s="245">
        <f t="shared" si="19"/>
        <v>5301.73</v>
      </c>
      <c r="AU23" s="245">
        <f t="shared" si="19"/>
        <v>3334.2</v>
      </c>
      <c r="AV23" s="245">
        <f t="shared" si="19"/>
        <v>3214.2</v>
      </c>
      <c r="AW23" s="245">
        <f t="shared" si="19"/>
        <v>25007.87</v>
      </c>
      <c r="AX23" s="263">
        <f t="shared" si="19"/>
        <v>18459.47</v>
      </c>
      <c r="AY23" s="263"/>
      <c r="AZ23" s="263">
        <f t="shared" ref="AZ23:BC23" si="20">SUM(AZ22:AZ22)</f>
        <v>6548.4</v>
      </c>
      <c r="BA23" s="263"/>
      <c r="BB23" s="230">
        <f t="shared" si="20"/>
        <v>1200</v>
      </c>
      <c r="BC23" s="230">
        <f t="shared" si="20"/>
        <v>26207.87</v>
      </c>
      <c r="BD23" s="264"/>
    </row>
    <row r="24" s="193" customFormat="1" spans="1:56">
      <c r="A24" s="224"/>
      <c r="B24" s="224"/>
      <c r="C24" s="224"/>
      <c r="D24" s="224"/>
      <c r="E24" s="224"/>
      <c r="F24" s="225"/>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46"/>
      <c r="AT24" s="246"/>
      <c r="AU24" s="246"/>
      <c r="AV24" s="246"/>
      <c r="AW24" s="246"/>
      <c r="AX24" s="224"/>
      <c r="AY24" s="224"/>
      <c r="AZ24" s="224"/>
      <c r="BA24" s="224"/>
      <c r="BB24" s="224"/>
      <c r="BC24" s="224">
        <f>'（居民）工资表-2月'!E18</f>
        <v>124775.78</v>
      </c>
      <c r="BD24" s="265"/>
    </row>
    <row r="25" s="194" customFormat="1" spans="1:56">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224"/>
      <c r="AA25" s="224"/>
      <c r="AB25" s="224"/>
      <c r="AC25" s="224"/>
      <c r="AD25" s="224"/>
      <c r="AE25" s="224"/>
      <c r="AF25" s="224"/>
      <c r="AG25" s="224"/>
      <c r="AH25" s="224"/>
      <c r="AI25" s="224"/>
      <c r="AJ25" s="189"/>
      <c r="AK25" s="189"/>
      <c r="AL25" s="189"/>
      <c r="AM25" s="189"/>
      <c r="AN25" s="189"/>
      <c r="AO25" s="189"/>
      <c r="AP25" s="189"/>
      <c r="AQ25" s="189"/>
      <c r="AR25" s="189"/>
      <c r="AS25" s="195"/>
      <c r="AT25" s="195"/>
      <c r="AU25" s="195"/>
      <c r="AV25" s="195"/>
      <c r="AW25" s="195"/>
      <c r="AX25" s="189"/>
      <c r="AY25" s="189"/>
      <c r="AZ25" s="189"/>
      <c r="BA25" s="189"/>
      <c r="BB25" s="189"/>
      <c r="BC25" s="189"/>
      <c r="BD25" s="196"/>
    </row>
    <row r="26" s="189" customFormat="1" spans="45:56">
      <c r="AS26" s="195"/>
      <c r="AT26" s="195"/>
      <c r="AU26" s="195"/>
      <c r="AV26" s="195"/>
      <c r="AW26" s="195"/>
      <c r="BD26" s="196"/>
    </row>
    <row r="27" s="189" customFormat="1" spans="45:56">
      <c r="AS27" s="195"/>
      <c r="AT27" s="195"/>
      <c r="AU27" s="195"/>
      <c r="AV27" s="195"/>
      <c r="AW27" s="195"/>
      <c r="AX27" s="266"/>
      <c r="AY27" s="266"/>
      <c r="BC27" s="267"/>
      <c r="BD27" s="196"/>
    </row>
    <row r="28" s="189" customFormat="1" spans="45:56">
      <c r="AS28" s="195"/>
      <c r="AT28" s="195"/>
      <c r="AU28" s="195"/>
      <c r="AV28" s="195"/>
      <c r="AW28" s="195"/>
      <c r="BD28" s="196"/>
    </row>
  </sheetData>
  <mergeCells count="64">
    <mergeCell ref="L1:P1"/>
    <mergeCell ref="Q1:U1"/>
    <mergeCell ref="V1:Z1"/>
    <mergeCell ref="AA1:AC1"/>
    <mergeCell ref="AD1:AF1"/>
    <mergeCell ref="AG1:AK1"/>
    <mergeCell ref="AL1:AP1"/>
    <mergeCell ref="AQ1:AR1"/>
    <mergeCell ref="AS1:AW1"/>
    <mergeCell ref="AX3:AY3"/>
    <mergeCell ref="AZ3:BA3"/>
    <mergeCell ref="AX4:AY4"/>
    <mergeCell ref="AZ4:BA4"/>
    <mergeCell ref="AX5:AY5"/>
    <mergeCell ref="AZ5:BA5"/>
    <mergeCell ref="AX6:AY6"/>
    <mergeCell ref="AZ6:BA6"/>
    <mergeCell ref="AX7:AY7"/>
    <mergeCell ref="AZ7:BA7"/>
    <mergeCell ref="AX8:AY8"/>
    <mergeCell ref="AZ8:BA8"/>
    <mergeCell ref="AX9:AY9"/>
    <mergeCell ref="AZ9:BA9"/>
    <mergeCell ref="AX10:AY10"/>
    <mergeCell ref="AZ10:BA10"/>
    <mergeCell ref="AX11:AY11"/>
    <mergeCell ref="AZ11:BA11"/>
    <mergeCell ref="AX12:AY12"/>
    <mergeCell ref="AZ12:BA12"/>
    <mergeCell ref="AX13:AY13"/>
    <mergeCell ref="AZ13:BA13"/>
    <mergeCell ref="AX14:AY14"/>
    <mergeCell ref="AZ14:BA14"/>
    <mergeCell ref="AX15:AY15"/>
    <mergeCell ref="AZ15:BA15"/>
    <mergeCell ref="AX16:AY16"/>
    <mergeCell ref="AZ16:BA16"/>
    <mergeCell ref="AX17:AY17"/>
    <mergeCell ref="AZ17:BA17"/>
    <mergeCell ref="AX18:AY18"/>
    <mergeCell ref="AZ18:BA18"/>
    <mergeCell ref="AX19:AY19"/>
    <mergeCell ref="AZ19:BA19"/>
    <mergeCell ref="AX20:AY20"/>
    <mergeCell ref="AZ20:BA20"/>
    <mergeCell ref="AX23:AY23"/>
    <mergeCell ref="AZ23:BA23"/>
    <mergeCell ref="AX27:AY27"/>
    <mergeCell ref="A1:A2"/>
    <mergeCell ref="B1:B2"/>
    <mergeCell ref="C1:C2"/>
    <mergeCell ref="D1:D2"/>
    <mergeCell ref="E1:E2"/>
    <mergeCell ref="F1:F2"/>
    <mergeCell ref="G1:G2"/>
    <mergeCell ref="H1:H2"/>
    <mergeCell ref="I1:I2"/>
    <mergeCell ref="J1:J2"/>
    <mergeCell ref="K1:K2"/>
    <mergeCell ref="BB1:BB2"/>
    <mergeCell ref="BC1:BC2"/>
    <mergeCell ref="BD1:BD2"/>
    <mergeCell ref="AX1:AY2"/>
    <mergeCell ref="AZ1:BA2"/>
  </mergeCells>
  <conditionalFormatting sqref="H1:I1">
    <cfRule type="expression" dxfId="2" priority="1" stopIfTrue="1">
      <formula>AND(COUNTIF($J$1:$J$1,H1)&gt;1,NOT(ISBLANK(H1)))</formula>
    </cfRule>
  </conditionalFormatting>
  <conditionalFormatting sqref="J1">
    <cfRule type="duplicateValues" dxfId="2" priority="2" stopIfTrue="1"/>
  </conditionalFormatting>
  <conditionalFormatting sqref="K1:L1">
    <cfRule type="duplicateValues" dxfId="2" priority="3" stopIfTrue="1"/>
  </conditionalFormatting>
  <conditionalFormatting sqref="Q1">
    <cfRule type="duplicateValues" dxfId="2" priority="4" stopIfTrue="1"/>
  </conditionalFormatting>
  <conditionalFormatting sqref="V1">
    <cfRule type="duplicateValues" dxfId="2" priority="5" stopIfTrue="1"/>
  </conditionalFormatting>
  <conditionalFormatting sqref="AG1">
    <cfRule type="duplicateValues" dxfId="2" priority="6" stopIfTrue="1"/>
  </conditionalFormatting>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4"/>
  <sheetViews>
    <sheetView workbookViewId="0">
      <pane xSplit="6" ySplit="3" topLeftCell="T4" activePane="bottomRight" state="frozen"/>
      <selection/>
      <selection pane="topRight"/>
      <selection pane="bottomLeft"/>
      <selection pane="bottomRight" activeCell="M7" sqref="M7"/>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8980</v>
      </c>
      <c r="M4" s="93">
        <v>264</v>
      </c>
      <c r="N4" s="93">
        <v>66</v>
      </c>
      <c r="O4" s="93">
        <v>9.9</v>
      </c>
      <c r="P4" s="93">
        <v>180</v>
      </c>
      <c r="Q4" s="112">
        <f>ROUND(SUM(M4:P4),2)</f>
        <v>519.9</v>
      </c>
      <c r="R4" s="94">
        <v>0</v>
      </c>
      <c r="S4" s="113">
        <f>L4+IFERROR(VLOOKUP($E:$E,'（居民）工资表-5月'!$E:$S,15,0),0)</f>
        <v>53460</v>
      </c>
      <c r="T4" s="114">
        <f>5000+IFERROR(VLOOKUP($E:$E,'（居民）工资表-5月'!$E:$T,16,0),0)</f>
        <v>30000</v>
      </c>
      <c r="U4" s="114">
        <f>Q4+IFERROR(VLOOKUP($E:$E,'（居民）工资表-5月'!$E:$U,17,0),0)</f>
        <v>3119.4</v>
      </c>
      <c r="V4" s="94"/>
      <c r="W4" s="94"/>
      <c r="X4" s="94">
        <v>6000</v>
      </c>
      <c r="Y4" s="94"/>
      <c r="Z4" s="94"/>
      <c r="AA4" s="94"/>
      <c r="AB4" s="113">
        <f>ROUND(SUM(V4:AA4),2)</f>
        <v>6000</v>
      </c>
      <c r="AC4" s="113">
        <f>R4+IFERROR(VLOOKUP($E:$E,'（居民）工资表-5月'!$E:$AC,25,0),0)</f>
        <v>0</v>
      </c>
      <c r="AD4" s="116">
        <f>ROUND(S4-T4-U4-AB4-AC4,2)</f>
        <v>14340.6</v>
      </c>
      <c r="AE4" s="117">
        <f>ROUND(MAX((AD4)*{0.03;0.1;0.2;0.25;0.3;0.35;0.45}-{0;2520;16920;31920;52920;85920;181920},0),2)</f>
        <v>430.22</v>
      </c>
      <c r="AF4" s="118">
        <f>IFERROR(VLOOKUP(E:E,'（居民）工资表-5月'!E:AF,28,0)+VLOOKUP(E:E,'（居民）工资表-5月'!E:AG,29,0),0)</f>
        <v>356.42</v>
      </c>
      <c r="AG4" s="118">
        <f>IF((AE4-AF4)&lt;0,0,AE4-AF4)</f>
        <v>73.8</v>
      </c>
      <c r="AH4" s="125">
        <f>ROUND(IF((L4-Q4-AG4)&lt;0,0,(L4-Q4-AG4)),2)</f>
        <v>8386.3</v>
      </c>
      <c r="AI4" s="126"/>
      <c r="AJ4" s="125">
        <f>AH4+AI4</f>
        <v>8386.3</v>
      </c>
      <c r="AK4" s="127"/>
      <c r="AL4" s="125">
        <f>AJ4+AG4+AK4</f>
        <v>8460.1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IF(SUMPRODUCT(N(E$1:E$7=E4))&gt;1,"重复","不")</f>
        <v>不</v>
      </c>
      <c r="AT4" s="134" t="str">
        <f>IF(SUMPRODUCT(N(AO$1:AO$7=AO4))&gt;1,"重复","不")</f>
        <v>重复</v>
      </c>
    </row>
    <row r="5" s="33" customFormat="1" ht="18" customHeight="1" spans="1:46">
      <c r="A5" s="57">
        <v>2</v>
      </c>
      <c r="B5" s="58" t="s">
        <v>146</v>
      </c>
      <c r="C5" s="58" t="s">
        <v>84</v>
      </c>
      <c r="D5" s="58" t="s">
        <v>147</v>
      </c>
      <c r="E5" s="397" t="s">
        <v>85</v>
      </c>
      <c r="F5" s="59" t="s">
        <v>194</v>
      </c>
      <c r="G5" s="62">
        <v>13926009696</v>
      </c>
      <c r="H5" s="61"/>
      <c r="I5" s="61"/>
      <c r="J5" s="91"/>
      <c r="K5" s="61"/>
      <c r="L5" s="94">
        <v>5800</v>
      </c>
      <c r="M5" s="93">
        <v>304.24</v>
      </c>
      <c r="N5" s="93">
        <v>123.5</v>
      </c>
      <c r="O5" s="93">
        <v>7.61</v>
      </c>
      <c r="P5" s="93">
        <v>0</v>
      </c>
      <c r="Q5" s="112">
        <f>ROUND(SUM(M5:P5),2)</f>
        <v>435.35</v>
      </c>
      <c r="R5" s="94">
        <v>0</v>
      </c>
      <c r="S5" s="113">
        <f>L5+IFERROR(VLOOKUP($E:$E,'（居民）工资表-5月'!$E:$S,15,0),0)</f>
        <v>11600</v>
      </c>
      <c r="T5" s="114">
        <f>5000+IFERROR(VLOOKUP($E:$E,'（居民）工资表-5月'!$E:$T,16,0),0)</f>
        <v>10000</v>
      </c>
      <c r="U5" s="114">
        <f>Q5+IFERROR(VLOOKUP($E:$E,'（居民）工资表-5月'!$E:$U,17,0),0)</f>
        <v>870.7</v>
      </c>
      <c r="V5" s="94"/>
      <c r="W5" s="94"/>
      <c r="X5" s="94"/>
      <c r="Y5" s="94"/>
      <c r="Z5" s="94"/>
      <c r="AA5" s="94"/>
      <c r="AB5" s="113">
        <f>ROUND(SUM(V5:AA5),2)</f>
        <v>0</v>
      </c>
      <c r="AC5" s="113">
        <f>R5+IFERROR(VLOOKUP($E:$E,'（居民）工资表-5月'!$E:$AC,25,0),0)</f>
        <v>0</v>
      </c>
      <c r="AD5" s="116">
        <f>ROUND(S5-T5-U5-AB5-AC5,2)</f>
        <v>729.3</v>
      </c>
      <c r="AE5" s="117">
        <f>ROUND(MAX((AD5)*{0.03;0.1;0.2;0.25;0.3;0.35;0.45}-{0;2520;16920;31920;52920;85920;181920},0),2)</f>
        <v>21.88</v>
      </c>
      <c r="AF5" s="118">
        <f>IFERROR(VLOOKUP(E:E,'（居民）工资表-5月'!E:AF,28,0)+VLOOKUP(E:E,'（居民）工资表-5月'!E:AG,29,0),0)</f>
        <v>10.94</v>
      </c>
      <c r="AG5" s="118">
        <f>IF((AE5-AF5)&lt;0,0,AE5-AF5)</f>
        <v>10.94</v>
      </c>
      <c r="AH5" s="125">
        <f>ROUND(IF((L5-Q5-AG5)&lt;0,0,(L5-Q5-AG5)),2)</f>
        <v>5353.71</v>
      </c>
      <c r="AI5" s="126"/>
      <c r="AJ5" s="125">
        <f>AH5+AI5</f>
        <v>5353.71</v>
      </c>
      <c r="AK5" s="127"/>
      <c r="AL5" s="125">
        <f>AJ5+AG5+AK5</f>
        <v>5364.65</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IF(SUMPRODUCT(N(E$1:E$7=E5))&gt;1,"重复","不")</f>
        <v>不</v>
      </c>
      <c r="AT5" s="134" t="str">
        <f>IF(SUMPRODUCT(N(AO$1:AO$7=AO5))&gt;1,"重复","不")</f>
        <v>重复</v>
      </c>
    </row>
    <row r="6" s="33" customFormat="1" ht="18" customHeight="1" spans="1:46">
      <c r="A6" s="57">
        <v>3</v>
      </c>
      <c r="B6" s="58" t="s">
        <v>146</v>
      </c>
      <c r="C6" s="58" t="s">
        <v>93</v>
      </c>
      <c r="D6" s="58" t="s">
        <v>147</v>
      </c>
      <c r="E6" s="58" t="s">
        <v>94</v>
      </c>
      <c r="F6" s="59" t="s">
        <v>193</v>
      </c>
      <c r="G6" s="62">
        <v>13944441728</v>
      </c>
      <c r="H6" s="61"/>
      <c r="I6" s="61"/>
      <c r="J6" s="91"/>
      <c r="K6" s="61"/>
      <c r="L6" s="94">
        <v>8120</v>
      </c>
      <c r="M6" s="93">
        <v>488.48</v>
      </c>
      <c r="N6" s="93">
        <v>122.12</v>
      </c>
      <c r="O6" s="93">
        <v>18.32</v>
      </c>
      <c r="P6" s="93">
        <v>158</v>
      </c>
      <c r="Q6" s="112">
        <f>ROUND(SUM(M6:P6),2)</f>
        <v>786.92</v>
      </c>
      <c r="R6" s="94">
        <v>0</v>
      </c>
      <c r="S6" s="113">
        <f>L6+IFERROR(VLOOKUP($E:$E,'（居民）工资表-5月'!$E:$S,15,0),0)</f>
        <v>44240</v>
      </c>
      <c r="T6" s="114">
        <f>5000+IFERROR(VLOOKUP($E:$E,'（居民）工资表-5月'!$E:$T,16,0),0)</f>
        <v>30000</v>
      </c>
      <c r="U6" s="114">
        <f>Q6+IFERROR(VLOOKUP($E:$E,'（居民）工资表-5月'!$E:$U,17,0),0)</f>
        <v>3305.64</v>
      </c>
      <c r="V6" s="94"/>
      <c r="W6" s="94"/>
      <c r="X6" s="94"/>
      <c r="Y6" s="94"/>
      <c r="Z6" s="94"/>
      <c r="AA6" s="94"/>
      <c r="AB6" s="113">
        <f>ROUND(SUM(V6:AA6),2)</f>
        <v>0</v>
      </c>
      <c r="AC6" s="113">
        <f>R6+IFERROR(VLOOKUP($E:$E,'（居民）工资表-5月'!$E:$AC,25,0),0)</f>
        <v>0</v>
      </c>
      <c r="AD6" s="116">
        <f>ROUND(S6-T6-U6-AB6-AC6,2)</f>
        <v>10934.36</v>
      </c>
      <c r="AE6" s="117">
        <f>ROUND(MAX((AD6)*{0.03;0.1;0.2;0.25;0.3;0.35;0.45}-{0;2520;16920;31920;52920;85920;181920},0),2)</f>
        <v>328.03</v>
      </c>
      <c r="AF6" s="118">
        <f>IFERROR(VLOOKUP(E:E,'（居民）工资表-5月'!E:AF,28,0)+VLOOKUP(E:E,'（居民）工资表-5月'!E:AG,29,0),0)</f>
        <v>258.04</v>
      </c>
      <c r="AG6" s="118">
        <f>IF((AE6-AF6)&lt;0,0,AE6-AF6)</f>
        <v>69.99</v>
      </c>
      <c r="AH6" s="125">
        <f>ROUND(IF((L6-Q6-AG6)&lt;0,0,(L6-Q6-AG6)),2)</f>
        <v>7263.09</v>
      </c>
      <c r="AI6" s="126"/>
      <c r="AJ6" s="125">
        <f>AH6+AI6</f>
        <v>7263.09</v>
      </c>
      <c r="AK6" s="127"/>
      <c r="AL6" s="125">
        <f>AJ6+AG6+AK6</f>
        <v>7333.08</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IF(SUMPRODUCT(N(E$1:E$7=E6))&gt;1,"重复","不")</f>
        <v>不</v>
      </c>
      <c r="AT6" s="134" t="str">
        <f>IF(SUMPRODUCT(N(AO$1:AO$7=AO6))&gt;1,"重复","不")</f>
        <v>重复</v>
      </c>
    </row>
    <row r="7" s="33" customFormat="1" ht="18" customHeight="1" spans="1:46">
      <c r="A7" s="57">
        <v>4</v>
      </c>
      <c r="B7" s="58" t="s">
        <v>146</v>
      </c>
      <c r="C7" s="58" t="s">
        <v>148</v>
      </c>
      <c r="D7" s="58" t="s">
        <v>147</v>
      </c>
      <c r="E7" s="397" t="s">
        <v>149</v>
      </c>
      <c r="F7" s="59" t="s">
        <v>193</v>
      </c>
      <c r="G7" s="62"/>
      <c r="H7" s="61"/>
      <c r="I7" s="61"/>
      <c r="J7" s="91"/>
      <c r="K7" s="61"/>
      <c r="L7" s="94">
        <v>25000</v>
      </c>
      <c r="M7" s="93">
        <f>320*2</f>
        <v>640</v>
      </c>
      <c r="N7" s="93">
        <f>80*2+86.67</f>
        <v>246.67</v>
      </c>
      <c r="O7" s="93">
        <f>12*2</f>
        <v>24</v>
      </c>
      <c r="P7" s="93">
        <v>400</v>
      </c>
      <c r="Q7" s="112">
        <f>ROUND(SUM(M7:P7),2)</f>
        <v>1310.67</v>
      </c>
      <c r="R7" s="94">
        <v>0</v>
      </c>
      <c r="S7" s="113">
        <f>L7+IFERROR(VLOOKUP($E:$E,'（居民）工资表-5月'!$E:$S,15,0),0)</f>
        <v>146904.76</v>
      </c>
      <c r="T7" s="114">
        <f>5000+IFERROR(VLOOKUP($E:$E,'（居民）工资表-5月'!$E:$T,16,0),0)</f>
        <v>30000</v>
      </c>
      <c r="U7" s="114">
        <f>Q7+IFERROR(VLOOKUP($E:$E,'（居民）工资表-5月'!$E:$U,17,0),0)</f>
        <v>3888.67</v>
      </c>
      <c r="V7" s="94"/>
      <c r="W7" s="94"/>
      <c r="X7" s="94"/>
      <c r="Y7" s="94"/>
      <c r="Z7" s="94"/>
      <c r="AA7" s="94"/>
      <c r="AB7" s="113">
        <f>ROUND(SUM(V7:AA7),2)</f>
        <v>0</v>
      </c>
      <c r="AC7" s="113">
        <f>R7+IFERROR(VLOOKUP($E:$E,'（居民）工资表-5月'!$E:$AC,25,0),0)</f>
        <v>0</v>
      </c>
      <c r="AD7" s="116">
        <f>ROUND(S7-T7-U7-AB7-AC7,2)</f>
        <v>113016.09</v>
      </c>
      <c r="AE7" s="117">
        <f>ROUND(MAX((AD7)*{0.03;0.1;0.2;0.25;0.3;0.35;0.45}-{0;2520;16920;31920;52920;85920;181920},0),2)</f>
        <v>8781.61</v>
      </c>
      <c r="AF7" s="118">
        <f>IFERROR(VLOOKUP(E:E,'（居民）工资表-5月'!E:AF,28,0)+VLOOKUP(E:E,'（居民）工资表-5月'!E:AG,29,0),0)</f>
        <v>6912.68</v>
      </c>
      <c r="AG7" s="118">
        <f>IF((AE7-AF7)&lt;0,0,AE7-AF7)</f>
        <v>1868.93</v>
      </c>
      <c r="AH7" s="125">
        <f>ROUND(IF((L7-Q7-AG7)&lt;0,0,(L7-Q7-AG7)),2)</f>
        <v>21820.4</v>
      </c>
      <c r="AI7" s="126"/>
      <c r="AJ7" s="125">
        <f>AH7+AI7</f>
        <v>21820.4</v>
      </c>
      <c r="AK7" s="127"/>
      <c r="AL7" s="125">
        <f>AJ7+AG7+AK7</f>
        <v>23689.33</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IF(SUMPRODUCT(N(E$1:E$7=E7))&gt;1,"重复","不")</f>
        <v>不</v>
      </c>
      <c r="AT7" s="134" t="str">
        <f>IF(SUMPRODUCT(N(AO$1:AO$7=AO7))&gt;1,"重复","不")</f>
        <v>重复</v>
      </c>
    </row>
    <row r="8" s="34" customFormat="1" ht="18" customHeight="1" spans="1:46">
      <c r="A8" s="63"/>
      <c r="B8" s="64" t="s">
        <v>150</v>
      </c>
      <c r="C8" s="64"/>
      <c r="D8" s="65"/>
      <c r="E8" s="66"/>
      <c r="F8" s="67"/>
      <c r="G8" s="68"/>
      <c r="H8" s="67"/>
      <c r="I8" s="95"/>
      <c r="J8" s="96"/>
      <c r="K8" s="95"/>
      <c r="L8" s="97">
        <f t="shared" ref="L8:AL8" si="0">SUM(L4:L7)</f>
        <v>47900</v>
      </c>
      <c r="M8" s="97">
        <f t="shared" si="0"/>
        <v>1696.72</v>
      </c>
      <c r="N8" s="97">
        <f t="shared" si="0"/>
        <v>558.29</v>
      </c>
      <c r="O8" s="97">
        <f t="shared" si="0"/>
        <v>59.83</v>
      </c>
      <c r="P8" s="97">
        <f t="shared" si="0"/>
        <v>738</v>
      </c>
      <c r="Q8" s="97">
        <f t="shared" si="0"/>
        <v>3052.84</v>
      </c>
      <c r="R8" s="97">
        <f t="shared" si="0"/>
        <v>0</v>
      </c>
      <c r="S8" s="97">
        <f t="shared" si="0"/>
        <v>256204.76</v>
      </c>
      <c r="T8" s="97">
        <f t="shared" si="0"/>
        <v>100000</v>
      </c>
      <c r="U8" s="97">
        <f t="shared" si="0"/>
        <v>11184.41</v>
      </c>
      <c r="V8" s="97">
        <f t="shared" si="0"/>
        <v>0</v>
      </c>
      <c r="W8" s="97">
        <f t="shared" si="0"/>
        <v>0</v>
      </c>
      <c r="X8" s="97">
        <f t="shared" si="0"/>
        <v>6000</v>
      </c>
      <c r="Y8" s="97">
        <f t="shared" si="0"/>
        <v>0</v>
      </c>
      <c r="Z8" s="97">
        <f t="shared" si="0"/>
        <v>0</v>
      </c>
      <c r="AA8" s="97">
        <f t="shared" si="0"/>
        <v>0</v>
      </c>
      <c r="AB8" s="97">
        <f t="shared" si="0"/>
        <v>6000</v>
      </c>
      <c r="AC8" s="97">
        <f t="shared" si="0"/>
        <v>0</v>
      </c>
      <c r="AD8" s="97">
        <f t="shared" si="0"/>
        <v>139020.35</v>
      </c>
      <c r="AE8" s="97">
        <f t="shared" si="0"/>
        <v>9561.74</v>
      </c>
      <c r="AF8" s="97">
        <f t="shared" si="0"/>
        <v>7538.08</v>
      </c>
      <c r="AG8" s="97">
        <f t="shared" si="0"/>
        <v>2023.66</v>
      </c>
      <c r="AH8" s="97">
        <f t="shared" si="0"/>
        <v>42823.5</v>
      </c>
      <c r="AI8" s="141">
        <f t="shared" si="0"/>
        <v>0</v>
      </c>
      <c r="AJ8" s="97">
        <f t="shared" si="0"/>
        <v>42823.5</v>
      </c>
      <c r="AK8" s="97">
        <f t="shared" si="0"/>
        <v>0</v>
      </c>
      <c r="AL8" s="97">
        <f t="shared" si="0"/>
        <v>44847.16</v>
      </c>
      <c r="AM8" s="128"/>
      <c r="AN8" s="128"/>
      <c r="AO8" s="128"/>
      <c r="AP8" s="128"/>
      <c r="AQ8" s="128"/>
      <c r="AR8" s="67"/>
      <c r="AS8" s="67"/>
      <c r="AT8" s="135"/>
    </row>
    <row r="11" spans="30:30">
      <c r="AD11" s="119"/>
    </row>
    <row r="12" ht="18.75" customHeight="1" spans="2:30">
      <c r="B12" s="69" t="s">
        <v>127</v>
      </c>
      <c r="C12" s="69" t="s">
        <v>151</v>
      </c>
      <c r="D12" s="69" t="s">
        <v>57</v>
      </c>
      <c r="E12" s="69" t="s">
        <v>58</v>
      </c>
      <c r="AD12" s="31"/>
    </row>
    <row r="13" ht="18.75" customHeight="1" spans="2:5">
      <c r="B13" s="70">
        <f>AJ8</f>
        <v>42823.5</v>
      </c>
      <c r="C13" s="70">
        <f>AG8</f>
        <v>2023.66</v>
      </c>
      <c r="D13" s="70">
        <f>AK8</f>
        <v>0</v>
      </c>
      <c r="E13" s="70">
        <f>B13+C13+D13</f>
        <v>44847.16</v>
      </c>
    </row>
    <row r="14" spans="2:5">
      <c r="B14" s="71"/>
      <c r="C14" s="71"/>
      <c r="D14" s="71"/>
      <c r="E14" s="71"/>
    </row>
    <row r="15" s="35" customFormat="1" spans="1:35">
      <c r="A15" s="72" t="s">
        <v>152</v>
      </c>
      <c r="B15" s="73" t="s">
        <v>153</v>
      </c>
      <c r="C15" s="74"/>
      <c r="D15" s="74"/>
      <c r="E15" s="74"/>
      <c r="G15" s="75"/>
      <c r="J15" s="98"/>
      <c r="M15" s="99"/>
      <c r="AI15" s="130"/>
    </row>
    <row r="16" s="35" customFormat="1" spans="1:35">
      <c r="A16" s="76"/>
      <c r="B16" s="77" t="s">
        <v>154</v>
      </c>
      <c r="C16" s="74"/>
      <c r="D16" s="74"/>
      <c r="E16" s="74"/>
      <c r="G16" s="75"/>
      <c r="J16" s="98"/>
      <c r="M16" s="99"/>
      <c r="AI16" s="130"/>
    </row>
    <row r="17" s="35" customFormat="1" spans="1:35">
      <c r="A17" s="73"/>
      <c r="B17" s="77" t="s">
        <v>155</v>
      </c>
      <c r="C17" s="78"/>
      <c r="D17" s="78"/>
      <c r="E17" s="78"/>
      <c r="F17" s="78"/>
      <c r="G17" s="78"/>
      <c r="H17" s="78"/>
      <c r="I17" s="78"/>
      <c r="J17" s="100"/>
      <c r="K17" s="78"/>
      <c r="L17" s="78"/>
      <c r="M17" s="101"/>
      <c r="N17" s="78"/>
      <c r="O17" s="78"/>
      <c r="P17" s="78"/>
      <c r="AI17" s="130"/>
    </row>
    <row r="18" s="35" customFormat="1" customHeight="1" spans="1:35">
      <c r="A18" s="77"/>
      <c r="B18" s="77" t="s">
        <v>156</v>
      </c>
      <c r="C18" s="79"/>
      <c r="D18" s="79"/>
      <c r="E18" s="79"/>
      <c r="F18" s="79"/>
      <c r="G18" s="79"/>
      <c r="H18" s="79"/>
      <c r="I18" s="102"/>
      <c r="J18" s="103"/>
      <c r="K18" s="102"/>
      <c r="L18" s="102"/>
      <c r="M18" s="104"/>
      <c r="N18" s="102"/>
      <c r="O18" s="102"/>
      <c r="P18" s="102"/>
      <c r="AI18" s="130"/>
    </row>
    <row r="19" s="35" customFormat="1" customHeight="1" spans="1:35">
      <c r="A19" s="77"/>
      <c r="B19" s="77" t="s">
        <v>157</v>
      </c>
      <c r="C19" s="79"/>
      <c r="D19" s="79"/>
      <c r="E19" s="79"/>
      <c r="F19" s="79"/>
      <c r="G19" s="79"/>
      <c r="H19" s="79"/>
      <c r="I19" s="79"/>
      <c r="J19" s="105"/>
      <c r="K19" s="79"/>
      <c r="L19" s="102"/>
      <c r="M19" s="104"/>
      <c r="N19" s="102"/>
      <c r="O19" s="102"/>
      <c r="P19" s="102"/>
      <c r="AI19" s="130"/>
    </row>
    <row r="20" s="35" customFormat="1" customHeight="1" spans="1:35">
      <c r="A20" s="77"/>
      <c r="B20" s="77" t="s">
        <v>158</v>
      </c>
      <c r="C20" s="79"/>
      <c r="D20" s="79"/>
      <c r="E20" s="79"/>
      <c r="F20" s="79"/>
      <c r="G20" s="79"/>
      <c r="H20" s="79"/>
      <c r="I20" s="102"/>
      <c r="J20" s="103"/>
      <c r="K20" s="102"/>
      <c r="L20" s="102"/>
      <c r="M20" s="104"/>
      <c r="N20" s="102"/>
      <c r="O20" s="102"/>
      <c r="P20" s="102"/>
      <c r="AI20" s="130"/>
    </row>
    <row r="22" ht="11.25" customHeight="1" spans="2:2">
      <c r="B22" s="80" t="s">
        <v>159</v>
      </c>
    </row>
    <row r="23" spans="2:2">
      <c r="B23" s="81" t="s">
        <v>160</v>
      </c>
    </row>
    <row r="24" spans="2:2">
      <c r="B24" s="81" t="s">
        <v>161</v>
      </c>
    </row>
  </sheetData>
  <autoFilter ref="A3:AT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0">
    <cfRule type="duplicateValues" dxfId="3" priority="2" stopIfTrue="1"/>
  </conditionalFormatting>
  <conditionalFormatting sqref="B15:B19">
    <cfRule type="duplicateValues" dxfId="3" priority="3" stopIfTrue="1"/>
  </conditionalFormatting>
  <conditionalFormatting sqref="B23:B24">
    <cfRule type="duplicateValues" dxfId="3" priority="1" stopIfTrue="1"/>
  </conditionalFormatting>
  <conditionalFormatting sqref="C12:C14">
    <cfRule type="duplicateValues" dxfId="3" priority="4" stopIfTrue="1"/>
    <cfRule type="expression" dxfId="4" priority="5" stopIfTrue="1">
      <formula>AND(COUNTIF($B$8:$B$65444,C12)+COUNTIF($B$1:$B$3,C12)&gt;1,NOT(ISBLANK(C12)))</formula>
    </cfRule>
    <cfRule type="expression" dxfId="4" priority="6" stopIfTrue="1">
      <formula>AND(COUNTIF($B$19:$B$65395,C12)+COUNTIF($B$1:$B$18,C12)&gt;1,NOT(ISBLANK(C12)))</formula>
    </cfRule>
    <cfRule type="expression" dxfId="4" priority="7" stopIfTrue="1">
      <formula>AND(COUNTIF($B$8:$B$65433,C12)+COUNTIF($B$1:$B$3,C12)&gt;1,NOT(ISBLANK(C12)))</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5"/>
  <sheetViews>
    <sheetView workbookViewId="0">
      <pane xSplit="6" ySplit="3" topLeftCell="S4" activePane="bottomRight" state="frozen"/>
      <selection/>
      <selection pane="topRight"/>
      <selection pane="bottomLeft"/>
      <selection pane="bottomRight" activeCell="B4" sqref="B4:P8"/>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7700</v>
      </c>
      <c r="M4" s="93">
        <v>264</v>
      </c>
      <c r="N4" s="93">
        <v>66</v>
      </c>
      <c r="O4" s="93">
        <v>9.9</v>
      </c>
      <c r="P4" s="93">
        <v>180</v>
      </c>
      <c r="Q4" s="112">
        <f>ROUND(SUM(M4:P4),2)</f>
        <v>519.9</v>
      </c>
      <c r="R4" s="94">
        <v>0</v>
      </c>
      <c r="S4" s="113">
        <f>L4+IFERROR(VLOOKUP($E:$E,'（居民）工资表-6月'!$E:$S,15,0),0)</f>
        <v>61160</v>
      </c>
      <c r="T4" s="114">
        <f>5000+IFERROR(VLOOKUP($E:$E,'（居民）工资表-6月'!$E:$T,16,0),0)</f>
        <v>35000</v>
      </c>
      <c r="U4" s="114">
        <f>Q4+IFERROR(VLOOKUP($E:$E,'（居民）工资表-6月'!$E:$U,17,0),0)</f>
        <v>3639.3</v>
      </c>
      <c r="V4" s="94"/>
      <c r="W4" s="94"/>
      <c r="X4" s="94">
        <v>7000</v>
      </c>
      <c r="Y4" s="94"/>
      <c r="Z4" s="94"/>
      <c r="AA4" s="94"/>
      <c r="AB4" s="113">
        <f>ROUND(SUM(V4:AA4),2)</f>
        <v>7000</v>
      </c>
      <c r="AC4" s="113">
        <f>R4+IFERROR(VLOOKUP($E:$E,'（居民）工资表-6月'!$E:$AC,25,0),0)</f>
        <v>0</v>
      </c>
      <c r="AD4" s="116">
        <f>ROUND(S4-T4-U4-AB4-AC4,2)</f>
        <v>15520.7</v>
      </c>
      <c r="AE4" s="117">
        <f>ROUND(MAX((AD4)*{0.03;0.1;0.2;0.25;0.3;0.35;0.45}-{0;2520;16920;31920;52920;85920;181920},0),2)</f>
        <v>465.62</v>
      </c>
      <c r="AF4" s="118">
        <f>IFERROR(VLOOKUP(E:E,'（居民）工资表-6月'!E:AF,28,0)+VLOOKUP(E:E,'（居民）工资表-6月'!E:AG,29,0),0)</f>
        <v>430.22</v>
      </c>
      <c r="AG4" s="118">
        <f>IF((AE4-AF4)&lt;0,0,AE4-AF4)</f>
        <v>35.4</v>
      </c>
      <c r="AH4" s="125">
        <f>ROUND(IF((L4-Q4-AG4)&lt;0,0,(L4-Q4-AG4)),2)</f>
        <v>7144.7</v>
      </c>
      <c r="AI4" s="126"/>
      <c r="AJ4" s="125">
        <f>AH4+AI4</f>
        <v>7144.7</v>
      </c>
      <c r="AK4" s="127"/>
      <c r="AL4" s="125">
        <f>AJ4+AG4+AK4</f>
        <v>7180.1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IF(SUMPRODUCT(N(E$1:E$8=E4))&gt;1,"重复","不")</f>
        <v>不</v>
      </c>
      <c r="AT4" s="134" t="str">
        <f>IF(SUMPRODUCT(N(AO$1:AO$8=AO4))&gt;1,"重复","不")</f>
        <v>重复</v>
      </c>
    </row>
    <row r="5" s="33" customFormat="1" ht="18" customHeight="1" spans="1:46">
      <c r="A5" s="57">
        <v>2</v>
      </c>
      <c r="B5" s="58" t="s">
        <v>146</v>
      </c>
      <c r="C5" s="58" t="s">
        <v>84</v>
      </c>
      <c r="D5" s="58" t="s">
        <v>147</v>
      </c>
      <c r="E5" s="397" t="s">
        <v>85</v>
      </c>
      <c r="F5" s="59" t="s">
        <v>194</v>
      </c>
      <c r="G5" s="62">
        <v>13926009696</v>
      </c>
      <c r="H5" s="61"/>
      <c r="I5" s="61"/>
      <c r="J5" s="91"/>
      <c r="K5" s="61"/>
      <c r="L5" s="94">
        <v>4745.45454545455</v>
      </c>
      <c r="M5" s="93">
        <v>304.24</v>
      </c>
      <c r="N5" s="93">
        <v>123.5</v>
      </c>
      <c r="O5" s="93">
        <v>7.61</v>
      </c>
      <c r="P5" s="93">
        <v>0</v>
      </c>
      <c r="Q5" s="112">
        <f>ROUND(SUM(M5:P5),2)</f>
        <v>435.35</v>
      </c>
      <c r="R5" s="94">
        <v>0</v>
      </c>
      <c r="S5" s="113">
        <f>L5+IFERROR(VLOOKUP($E:$E,'（居民）工资表-6月'!$E:$S,15,0),0)</f>
        <v>16345.4545454545</v>
      </c>
      <c r="T5" s="114">
        <f>5000+IFERROR(VLOOKUP($E:$E,'（居民）工资表-6月'!$E:$T,16,0),0)</f>
        <v>15000</v>
      </c>
      <c r="U5" s="114">
        <f>Q5+IFERROR(VLOOKUP($E:$E,'（居民）工资表-6月'!$E:$U,17,0),0)</f>
        <v>1306.05</v>
      </c>
      <c r="V5" s="94"/>
      <c r="W5" s="94"/>
      <c r="X5" s="94"/>
      <c r="Y5" s="94"/>
      <c r="Z5" s="94"/>
      <c r="AA5" s="94"/>
      <c r="AB5" s="113">
        <f>ROUND(SUM(V5:AA5),2)</f>
        <v>0</v>
      </c>
      <c r="AC5" s="113">
        <f>R5+IFERROR(VLOOKUP($E:$E,'（居民）工资表-6月'!$E:$AC,25,0),0)</f>
        <v>0</v>
      </c>
      <c r="AD5" s="116">
        <f>ROUND(S5-T5-U5-AB5-AC5,2)</f>
        <v>39.4</v>
      </c>
      <c r="AE5" s="117">
        <f>ROUND(MAX((AD5)*{0.03;0.1;0.2;0.25;0.3;0.35;0.45}-{0;2520;16920;31920;52920;85920;181920},0),2)</f>
        <v>1.18</v>
      </c>
      <c r="AF5" s="118">
        <f>IFERROR(VLOOKUP(E:E,'（居民）工资表-6月'!E:AF,28,0)+VLOOKUP(E:E,'（居民）工资表-6月'!E:AG,29,0),0)</f>
        <v>21.88</v>
      </c>
      <c r="AG5" s="118">
        <f>IF((AE5-AF5)&lt;0,0,AE5-AF5)</f>
        <v>0</v>
      </c>
      <c r="AH5" s="125">
        <f>ROUND(IF((L5-Q5-AG5)&lt;0,0,(L5-Q5-AG5)),2)</f>
        <v>4310.1</v>
      </c>
      <c r="AI5" s="126"/>
      <c r="AJ5" s="125">
        <f>AH5+AI5</f>
        <v>4310.1</v>
      </c>
      <c r="AK5" s="127"/>
      <c r="AL5" s="125">
        <f>AJ5+AG5+AK5</f>
        <v>4310.1</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IF(SUMPRODUCT(N(E$1:E$8=E5))&gt;1,"重复","不")</f>
        <v>不</v>
      </c>
      <c r="AT5" s="134" t="str">
        <f>IF(SUMPRODUCT(N(AO$1:AO$8=AO5))&gt;1,"重复","不")</f>
        <v>重复</v>
      </c>
    </row>
    <row r="6" s="33" customFormat="1" ht="18" customHeight="1" spans="1:46">
      <c r="A6" s="57">
        <v>3</v>
      </c>
      <c r="B6" s="58" t="s">
        <v>146</v>
      </c>
      <c r="C6" s="58" t="s">
        <v>93</v>
      </c>
      <c r="D6" s="58" t="s">
        <v>147</v>
      </c>
      <c r="E6" s="58" t="s">
        <v>94</v>
      </c>
      <c r="F6" s="59" t="s">
        <v>193</v>
      </c>
      <c r="G6" s="62">
        <v>13944441728</v>
      </c>
      <c r="H6" s="61"/>
      <c r="I6" s="61"/>
      <c r="J6" s="91"/>
      <c r="K6" s="61"/>
      <c r="L6" s="94">
        <v>7000</v>
      </c>
      <c r="M6" s="93">
        <v>244.24</v>
      </c>
      <c r="N6" s="93">
        <v>61.06</v>
      </c>
      <c r="O6" s="93">
        <v>9.16</v>
      </c>
      <c r="P6" s="93">
        <v>79</v>
      </c>
      <c r="Q6" s="112">
        <f>ROUND(SUM(M6:P6),2)</f>
        <v>393.46</v>
      </c>
      <c r="R6" s="94">
        <v>0</v>
      </c>
      <c r="S6" s="113">
        <f>L6+IFERROR(VLOOKUP($E:$E,'（居民）工资表-6月'!$E:$S,15,0),0)</f>
        <v>51240</v>
      </c>
      <c r="T6" s="114">
        <f>5000+IFERROR(VLOOKUP($E:$E,'（居民）工资表-6月'!$E:$T,16,0),0)</f>
        <v>35000</v>
      </c>
      <c r="U6" s="114">
        <f>Q6+IFERROR(VLOOKUP($E:$E,'（居民）工资表-6月'!$E:$U,17,0),0)</f>
        <v>3699.1</v>
      </c>
      <c r="V6" s="94"/>
      <c r="W6" s="94"/>
      <c r="X6" s="94"/>
      <c r="Y6" s="94"/>
      <c r="Z6" s="94"/>
      <c r="AA6" s="94"/>
      <c r="AB6" s="113">
        <f>ROUND(SUM(V6:AA6),2)</f>
        <v>0</v>
      </c>
      <c r="AC6" s="113">
        <f>R6+IFERROR(VLOOKUP($E:$E,'（居民）工资表-6月'!$E:$AC,25,0),0)</f>
        <v>0</v>
      </c>
      <c r="AD6" s="116">
        <f>ROUND(S6-T6-U6-AB6-AC6,2)</f>
        <v>12540.9</v>
      </c>
      <c r="AE6" s="117">
        <f>ROUND(MAX((AD6)*{0.03;0.1;0.2;0.25;0.3;0.35;0.45}-{0;2520;16920;31920;52920;85920;181920},0),2)</f>
        <v>376.23</v>
      </c>
      <c r="AF6" s="118">
        <f>IFERROR(VLOOKUP(E:E,'（居民）工资表-6月'!E:AF,28,0)+VLOOKUP(E:E,'（居民）工资表-6月'!E:AG,29,0),0)</f>
        <v>328.03</v>
      </c>
      <c r="AG6" s="118">
        <f>IF((AE6-AF6)&lt;0,0,AE6-AF6)</f>
        <v>48.2</v>
      </c>
      <c r="AH6" s="125">
        <f>ROUND(IF((L6-Q6-AG6)&lt;0,0,(L6-Q6-AG6)),2)</f>
        <v>6558.34</v>
      </c>
      <c r="AI6" s="126"/>
      <c r="AJ6" s="125">
        <f>AH6+AI6</f>
        <v>6558.34</v>
      </c>
      <c r="AK6" s="127"/>
      <c r="AL6" s="125">
        <f>AJ6+AG6+AK6</f>
        <v>6606.54</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IF(SUMPRODUCT(N(E$1:E$8=E6))&gt;1,"重复","不")</f>
        <v>不</v>
      </c>
      <c r="AT6" s="134" t="str">
        <f>IF(SUMPRODUCT(N(AO$1:AO$8=AO6))&gt;1,"重复","不")</f>
        <v>重复</v>
      </c>
    </row>
    <row r="7" s="33" customFormat="1" ht="18" customHeight="1" spans="1:46">
      <c r="A7" s="57">
        <v>4</v>
      </c>
      <c r="B7" s="58" t="s">
        <v>146</v>
      </c>
      <c r="C7" s="58" t="s">
        <v>148</v>
      </c>
      <c r="D7" s="58" t="s">
        <v>147</v>
      </c>
      <c r="E7" s="397" t="s">
        <v>149</v>
      </c>
      <c r="F7" s="59" t="s">
        <v>193</v>
      </c>
      <c r="G7" s="62">
        <v>18607383005</v>
      </c>
      <c r="H7" s="61"/>
      <c r="I7" s="61"/>
      <c r="J7" s="91"/>
      <c r="K7" s="61"/>
      <c r="L7" s="94">
        <v>24800</v>
      </c>
      <c r="M7" s="93">
        <f>320</f>
        <v>320</v>
      </c>
      <c r="N7" s="93">
        <f>80</f>
        <v>80</v>
      </c>
      <c r="O7" s="93">
        <f>12</f>
        <v>12</v>
      </c>
      <c r="P7" s="93">
        <v>200</v>
      </c>
      <c r="Q7" s="112">
        <f>ROUND(SUM(M7:P7),2)</f>
        <v>612</v>
      </c>
      <c r="R7" s="94">
        <v>0</v>
      </c>
      <c r="S7" s="113">
        <f>L7+IFERROR(VLOOKUP($E:$E,'（居民）工资表-6月'!$E:$S,15,0),0)</f>
        <v>171704.76</v>
      </c>
      <c r="T7" s="114">
        <f>5000+IFERROR(VLOOKUP($E:$E,'（居民）工资表-6月'!$E:$T,16,0),0)</f>
        <v>35000</v>
      </c>
      <c r="U7" s="114">
        <f>Q7+IFERROR(VLOOKUP($E:$E,'（居民）工资表-6月'!$E:$U,17,0),0)</f>
        <v>4500.67</v>
      </c>
      <c r="V7" s="94"/>
      <c r="W7" s="94"/>
      <c r="X7" s="94"/>
      <c r="Y7" s="94"/>
      <c r="Z7" s="94"/>
      <c r="AA7" s="94"/>
      <c r="AB7" s="113">
        <f>ROUND(SUM(V7:AA7),2)</f>
        <v>0</v>
      </c>
      <c r="AC7" s="113">
        <f>R7+IFERROR(VLOOKUP($E:$E,'（居民）工资表-6月'!$E:$AC,25,0),0)</f>
        <v>0</v>
      </c>
      <c r="AD7" s="116">
        <f>ROUND(S7-T7-U7-AB7-AC7,2)</f>
        <v>132204.09</v>
      </c>
      <c r="AE7" s="117">
        <f>ROUND(MAX((AD7)*{0.03;0.1;0.2;0.25;0.3;0.35;0.45}-{0;2520;16920;31920;52920;85920;181920},0),2)</f>
        <v>10700.41</v>
      </c>
      <c r="AF7" s="118">
        <f>IFERROR(VLOOKUP(E:E,'（居民）工资表-6月'!E:AF,28,0)+VLOOKUP(E:E,'（居民）工资表-6月'!E:AG,29,0),0)</f>
        <v>8781.61</v>
      </c>
      <c r="AG7" s="118">
        <f>IF((AE7-AF7)&lt;0,0,AE7-AF7)</f>
        <v>1918.8</v>
      </c>
      <c r="AH7" s="125">
        <f>ROUND(IF((L7-Q7-AG7)&lt;0,0,(L7-Q7-AG7)),2)</f>
        <v>22269.2</v>
      </c>
      <c r="AI7" s="126"/>
      <c r="AJ7" s="125">
        <f>AH7+AI7</f>
        <v>22269.2</v>
      </c>
      <c r="AK7" s="127"/>
      <c r="AL7" s="125">
        <f>AJ7+AG7+AK7</f>
        <v>24188</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IF(SUMPRODUCT(N(E$1:E$8=E7))&gt;1,"重复","不")</f>
        <v>不</v>
      </c>
      <c r="AT7" s="134" t="str">
        <f>IF(SUMPRODUCT(N(AO$1:AO$8=AO7))&gt;1,"重复","不")</f>
        <v>重复</v>
      </c>
    </row>
    <row r="8" s="33" customFormat="1" ht="18" customHeight="1" spans="1:46">
      <c r="A8" s="57">
        <v>5</v>
      </c>
      <c r="B8" s="58" t="s">
        <v>146</v>
      </c>
      <c r="C8" s="58" t="s">
        <v>174</v>
      </c>
      <c r="D8" s="58" t="s">
        <v>147</v>
      </c>
      <c r="E8" s="397" t="s">
        <v>175</v>
      </c>
      <c r="F8" s="59" t="str">
        <f>IF(MOD(MID(E8,17,1),2)=1,"男","女")</f>
        <v>女</v>
      </c>
      <c r="G8" s="62">
        <v>15360550807</v>
      </c>
      <c r="H8" s="61"/>
      <c r="I8" s="61"/>
      <c r="J8" s="91"/>
      <c r="K8" s="61"/>
      <c r="L8" s="94">
        <v>3523.63636363636</v>
      </c>
      <c r="M8" s="93"/>
      <c r="N8" s="93"/>
      <c r="O8" s="93"/>
      <c r="P8" s="93"/>
      <c r="Q8" s="112">
        <f>ROUND(SUM(M8:P8),2)</f>
        <v>0</v>
      </c>
      <c r="R8" s="94">
        <v>0</v>
      </c>
      <c r="S8" s="113">
        <f>L8+IFERROR(VLOOKUP($E:$E,'（居民）工资表-6月'!$E:$S,15,0),0)</f>
        <v>3523.63636363636</v>
      </c>
      <c r="T8" s="114">
        <f>5000+IFERROR(VLOOKUP($E:$E,'（居民）工资表-6月'!$E:$T,16,0),0)</f>
        <v>5000</v>
      </c>
      <c r="U8" s="114">
        <f>Q8+IFERROR(VLOOKUP($E:$E,'（居民）工资表-6月'!$E:$U,17,0),0)</f>
        <v>0</v>
      </c>
      <c r="V8" s="94"/>
      <c r="W8" s="94"/>
      <c r="X8" s="94"/>
      <c r="Y8" s="94"/>
      <c r="Z8" s="94"/>
      <c r="AA8" s="94"/>
      <c r="AB8" s="113">
        <f>ROUND(SUM(V8:AA8),2)</f>
        <v>0</v>
      </c>
      <c r="AC8" s="113">
        <f>R8+IFERROR(VLOOKUP($E:$E,'（居民）工资表-6月'!$E:$AC,25,0),0)</f>
        <v>0</v>
      </c>
      <c r="AD8" s="116">
        <f>ROUND(S8-T8-U8-AB8-AC8,2)</f>
        <v>-1476.36</v>
      </c>
      <c r="AE8" s="117">
        <f>ROUND(MAX((AD8)*{0.03;0.1;0.2;0.25;0.3;0.35;0.45}-{0;2520;16920;31920;52920;85920;181920},0),2)</f>
        <v>0</v>
      </c>
      <c r="AF8" s="118">
        <f>IFERROR(VLOOKUP(E:E,'（居民）工资表-6月'!E:AF,28,0)+VLOOKUP(E:E,'（居民）工资表-6月'!E:AG,29,0),0)</f>
        <v>0</v>
      </c>
      <c r="AG8" s="118">
        <f>IF((AE8-AF8)&lt;0,0,AE8-AF8)</f>
        <v>0</v>
      </c>
      <c r="AH8" s="125">
        <f>ROUND(IF((L8-Q8-AG8)&lt;0,0,(L8-Q8-AG8)),2)</f>
        <v>3523.64</v>
      </c>
      <c r="AI8" s="126"/>
      <c r="AJ8" s="125">
        <f>AH8+AI8</f>
        <v>3523.64</v>
      </c>
      <c r="AK8" s="127"/>
      <c r="AL8" s="125">
        <f>AJ8+AG8+AK8</f>
        <v>3523.64</v>
      </c>
      <c r="AM8" s="127"/>
      <c r="AN8" s="127"/>
      <c r="AO8" s="127"/>
      <c r="AP8" s="127"/>
      <c r="AQ8" s="127"/>
      <c r="AR8" s="134"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34" t="str">
        <f>IF(SUMPRODUCT(N(E$1:E$8=E8))&gt;1,"重复","不")</f>
        <v>不</v>
      </c>
      <c r="AT8" s="134" t="str">
        <f>IF(SUMPRODUCT(N(AO$1:AO$8=AO8))&gt;1,"重复","不")</f>
        <v>重复</v>
      </c>
    </row>
    <row r="9" s="34" customFormat="1" ht="18" customHeight="1" spans="1:46">
      <c r="A9" s="63"/>
      <c r="B9" s="64" t="s">
        <v>150</v>
      </c>
      <c r="C9" s="64"/>
      <c r="D9" s="65"/>
      <c r="E9" s="66"/>
      <c r="F9" s="67"/>
      <c r="G9" s="68"/>
      <c r="H9" s="67"/>
      <c r="I9" s="95"/>
      <c r="J9" s="96"/>
      <c r="K9" s="95"/>
      <c r="L9" s="97">
        <f t="shared" ref="L9:AL9" si="0">SUM(L4:L8)</f>
        <v>47769.0909090909</v>
      </c>
      <c r="M9" s="97">
        <f t="shared" si="0"/>
        <v>1132.48</v>
      </c>
      <c r="N9" s="97">
        <f t="shared" si="0"/>
        <v>330.56</v>
      </c>
      <c r="O9" s="97">
        <f t="shared" si="0"/>
        <v>38.67</v>
      </c>
      <c r="P9" s="97">
        <f t="shared" si="0"/>
        <v>459</v>
      </c>
      <c r="Q9" s="97">
        <f t="shared" si="0"/>
        <v>1960.71</v>
      </c>
      <c r="R9" s="97">
        <f t="shared" si="0"/>
        <v>0</v>
      </c>
      <c r="S9" s="97">
        <f t="shared" si="0"/>
        <v>303973.850909091</v>
      </c>
      <c r="T9" s="97">
        <f t="shared" si="0"/>
        <v>125000</v>
      </c>
      <c r="U9" s="97">
        <f t="shared" si="0"/>
        <v>13145.12</v>
      </c>
      <c r="V9" s="97">
        <f t="shared" si="0"/>
        <v>0</v>
      </c>
      <c r="W9" s="97">
        <f t="shared" si="0"/>
        <v>0</v>
      </c>
      <c r="X9" s="97">
        <f t="shared" si="0"/>
        <v>7000</v>
      </c>
      <c r="Y9" s="97">
        <f t="shared" si="0"/>
        <v>0</v>
      </c>
      <c r="Z9" s="97">
        <f t="shared" si="0"/>
        <v>0</v>
      </c>
      <c r="AA9" s="97">
        <f t="shared" si="0"/>
        <v>0</v>
      </c>
      <c r="AB9" s="97">
        <f t="shared" si="0"/>
        <v>7000</v>
      </c>
      <c r="AC9" s="97">
        <f t="shared" si="0"/>
        <v>0</v>
      </c>
      <c r="AD9" s="97">
        <f t="shared" si="0"/>
        <v>158828.73</v>
      </c>
      <c r="AE9" s="97">
        <f t="shared" si="0"/>
        <v>11543.44</v>
      </c>
      <c r="AF9" s="97">
        <f t="shared" si="0"/>
        <v>9561.74</v>
      </c>
      <c r="AG9" s="97">
        <f t="shared" si="0"/>
        <v>2002.4</v>
      </c>
      <c r="AH9" s="97">
        <f t="shared" si="0"/>
        <v>43805.98</v>
      </c>
      <c r="AI9" s="141">
        <f t="shared" si="0"/>
        <v>0</v>
      </c>
      <c r="AJ9" s="97">
        <f t="shared" si="0"/>
        <v>43805.98</v>
      </c>
      <c r="AK9" s="97">
        <f t="shared" si="0"/>
        <v>0</v>
      </c>
      <c r="AL9" s="97">
        <f t="shared" si="0"/>
        <v>45808.38</v>
      </c>
      <c r="AM9" s="128"/>
      <c r="AN9" s="128"/>
      <c r="AO9" s="128"/>
      <c r="AP9" s="128"/>
      <c r="AQ9" s="128"/>
      <c r="AR9" s="67"/>
      <c r="AS9" s="67"/>
      <c r="AT9" s="135"/>
    </row>
    <row r="12" spans="30:30">
      <c r="AD12" s="119"/>
    </row>
    <row r="13" ht="18.75" customHeight="1" spans="2:30">
      <c r="B13" s="69" t="s">
        <v>127</v>
      </c>
      <c r="C13" s="69" t="s">
        <v>151</v>
      </c>
      <c r="D13" s="69" t="s">
        <v>57</v>
      </c>
      <c r="E13" s="69" t="s">
        <v>58</v>
      </c>
      <c r="AD13" s="31"/>
    </row>
    <row r="14" ht="18.75" customHeight="1" spans="2:5">
      <c r="B14" s="70">
        <f>AJ9</f>
        <v>43805.98</v>
      </c>
      <c r="C14" s="70">
        <f>AG9</f>
        <v>2002.4</v>
      </c>
      <c r="D14" s="70">
        <f>AK9</f>
        <v>0</v>
      </c>
      <c r="E14" s="70">
        <f>B14+C14+D14</f>
        <v>45808.38</v>
      </c>
    </row>
    <row r="15" spans="2:5">
      <c r="B15" s="71"/>
      <c r="C15" s="71"/>
      <c r="D15" s="71"/>
      <c r="E15" s="71">
        <f>社保1!BC23</f>
        <v>26207.87</v>
      </c>
    </row>
    <row r="16" s="35" customFormat="1" spans="1:35">
      <c r="A16" s="72" t="s">
        <v>152</v>
      </c>
      <c r="B16" s="73" t="s">
        <v>153</v>
      </c>
      <c r="C16" s="74"/>
      <c r="D16" s="74"/>
      <c r="E16" s="74"/>
      <c r="G16" s="75"/>
      <c r="J16" s="98"/>
      <c r="M16" s="99"/>
      <c r="AI16" s="130"/>
    </row>
    <row r="17" s="35" customFormat="1" spans="1:35">
      <c r="A17" s="76"/>
      <c r="B17" s="77" t="s">
        <v>154</v>
      </c>
      <c r="C17" s="74"/>
      <c r="D17" s="74"/>
      <c r="E17" s="74"/>
      <c r="G17" s="75"/>
      <c r="J17" s="98"/>
      <c r="M17" s="99"/>
      <c r="AI17" s="130"/>
    </row>
    <row r="18" s="35" customFormat="1" spans="1:35">
      <c r="A18" s="73"/>
      <c r="B18" s="77" t="s">
        <v>155</v>
      </c>
      <c r="C18" s="78"/>
      <c r="D18" s="78"/>
      <c r="E18" s="78"/>
      <c r="F18" s="78"/>
      <c r="G18" s="78"/>
      <c r="H18" s="78"/>
      <c r="I18" s="78"/>
      <c r="J18" s="100"/>
      <c r="K18" s="78"/>
      <c r="L18" s="78"/>
      <c r="M18" s="101"/>
      <c r="N18" s="78"/>
      <c r="O18" s="78"/>
      <c r="P18" s="78"/>
      <c r="AI18" s="130"/>
    </row>
    <row r="19" s="35" customFormat="1" customHeight="1" spans="1:35">
      <c r="A19" s="77"/>
      <c r="B19" s="77" t="s">
        <v>156</v>
      </c>
      <c r="C19" s="79"/>
      <c r="D19" s="79"/>
      <c r="E19" s="79"/>
      <c r="F19" s="79"/>
      <c r="G19" s="79"/>
      <c r="H19" s="79"/>
      <c r="I19" s="102"/>
      <c r="J19" s="103"/>
      <c r="K19" s="102"/>
      <c r="L19" s="102"/>
      <c r="M19" s="104"/>
      <c r="N19" s="102"/>
      <c r="O19" s="102"/>
      <c r="P19" s="102"/>
      <c r="AI19" s="130"/>
    </row>
    <row r="20" s="35" customFormat="1" customHeight="1" spans="1:35">
      <c r="A20" s="77"/>
      <c r="B20" s="77" t="s">
        <v>157</v>
      </c>
      <c r="C20" s="79"/>
      <c r="D20" s="79"/>
      <c r="E20" s="79"/>
      <c r="F20" s="79"/>
      <c r="G20" s="79"/>
      <c r="H20" s="79"/>
      <c r="I20" s="79"/>
      <c r="J20" s="105"/>
      <c r="K20" s="79"/>
      <c r="L20" s="102"/>
      <c r="M20" s="104"/>
      <c r="N20" s="102"/>
      <c r="O20" s="102"/>
      <c r="P20" s="102"/>
      <c r="AI20" s="130"/>
    </row>
    <row r="21" s="35" customFormat="1" customHeight="1" spans="1:35">
      <c r="A21" s="77"/>
      <c r="B21" s="77" t="s">
        <v>158</v>
      </c>
      <c r="C21" s="79"/>
      <c r="D21" s="79"/>
      <c r="E21" s="79"/>
      <c r="F21" s="79"/>
      <c r="G21" s="79"/>
      <c r="H21" s="79"/>
      <c r="I21" s="102"/>
      <c r="J21" s="103"/>
      <c r="K21" s="102"/>
      <c r="L21" s="102"/>
      <c r="M21" s="104"/>
      <c r="N21" s="102"/>
      <c r="O21" s="102"/>
      <c r="P21" s="102"/>
      <c r="AI21" s="130"/>
    </row>
    <row r="23" ht="11.25" customHeight="1" spans="2:2">
      <c r="B23" s="80" t="s">
        <v>159</v>
      </c>
    </row>
    <row r="24" spans="2:2">
      <c r="B24" s="81" t="s">
        <v>160</v>
      </c>
    </row>
    <row r="25" spans="2:2">
      <c r="B25" s="81" t="s">
        <v>161</v>
      </c>
    </row>
  </sheetData>
  <autoFilter ref="A3:AT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1">
    <cfRule type="duplicateValues" dxfId="3" priority="2" stopIfTrue="1"/>
  </conditionalFormatting>
  <conditionalFormatting sqref="B16:B20">
    <cfRule type="duplicateValues" dxfId="3" priority="3" stopIfTrue="1"/>
  </conditionalFormatting>
  <conditionalFormatting sqref="B24:B25">
    <cfRule type="duplicateValues" dxfId="3" priority="1" stopIfTrue="1"/>
  </conditionalFormatting>
  <conditionalFormatting sqref="C13:C15">
    <cfRule type="duplicateValues" dxfId="3" priority="4" stopIfTrue="1"/>
    <cfRule type="expression" dxfId="4" priority="5" stopIfTrue="1">
      <formula>AND(COUNTIF($B$9:$B$65445,C13)+COUNTIF($B$1:$B$3,C13)&gt;1,NOT(ISBLANK(C13)))</formula>
    </cfRule>
    <cfRule type="expression" dxfId="4" priority="6" stopIfTrue="1">
      <formula>AND(COUNTIF($B$20:$B$65396,C13)+COUNTIF($B$1:$B$19,C13)&gt;1,NOT(ISBLANK(C13)))</formula>
    </cfRule>
    <cfRule type="expression" dxfId="4" priority="7" stopIfTrue="1">
      <formula>AND(COUNTIF($B$9:$B$65434,C13)+COUNTIF($B$1:$B$3,C13)&gt;1,NOT(ISBLANK(C13)))</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4"/>
  <sheetViews>
    <sheetView topLeftCell="J1" workbookViewId="0">
      <selection activeCell="K37" sqref="K37"/>
    </sheetView>
  </sheetViews>
  <sheetFormatPr defaultColWidth="9" defaultRowHeight="12"/>
  <cols>
    <col min="1" max="1" width="5" style="147" hidden="1" customWidth="1"/>
    <col min="2" max="2" width="9.375" style="148" hidden="1" customWidth="1"/>
    <col min="3" max="3" width="9.625" style="148" hidden="1" customWidth="1"/>
    <col min="4" max="4" width="13.125" style="148" hidden="1" customWidth="1"/>
    <col min="5" max="5" width="25.75" style="147" hidden="1" customWidth="1"/>
    <col min="6" max="6" width="29.375" style="147" hidden="1" customWidth="1"/>
    <col min="7" max="7" width="10.25" style="149" hidden="1" customWidth="1"/>
    <col min="8" max="9" width="8.5" style="147" hidden="1" customWidth="1"/>
    <col min="10" max="10" width="8.5" style="147" customWidth="1"/>
    <col min="11" max="11" width="18" style="147" customWidth="1"/>
    <col min="12" max="12" width="11.25" style="147" customWidth="1"/>
    <col min="13" max="13" width="12.25" style="147" customWidth="1"/>
    <col min="14" max="14" width="8.5" style="147" customWidth="1"/>
    <col min="15" max="15" width="10.25" style="147" customWidth="1"/>
    <col min="16" max="16" width="8.5" style="147" customWidth="1"/>
    <col min="17" max="17" width="8.5" style="150" customWidth="1"/>
    <col min="18" max="18" width="10.25" style="148" customWidth="1"/>
    <col min="19" max="19" width="12.25" style="147" customWidth="1"/>
    <col min="20" max="23" width="12.5" style="147" customWidth="1"/>
    <col min="24" max="24" width="10.75" style="147" customWidth="1"/>
    <col min="25" max="25" width="12.5" style="147" customWidth="1"/>
    <col min="26" max="26" width="14.125" style="147" customWidth="1"/>
    <col min="27" max="27" width="12.5" style="147" customWidth="1"/>
    <col min="28" max="28" width="16.25" style="147" customWidth="1"/>
    <col min="29" max="29" width="12.5" style="147" customWidth="1"/>
    <col min="30" max="30" width="16.125" style="147" customWidth="1"/>
    <col min="31" max="31" width="12.25" style="147" customWidth="1"/>
    <col min="32" max="33" width="16.125" style="147" customWidth="1"/>
    <col min="34" max="34" width="20.5" style="147" customWidth="1"/>
    <col min="35" max="35" width="8.5" style="147" customWidth="1"/>
    <col min="36" max="36" width="5" style="147" customWidth="1"/>
    <col min="37" max="37" width="10.25" style="147" customWidth="1"/>
    <col min="38" max="38" width="14.25" style="151" customWidth="1"/>
    <col min="39" max="39" width="11.5" style="151" customWidth="1"/>
    <col min="40" max="40" width="13.875" style="151" customWidth="1"/>
    <col min="41" max="41" width="13.625" style="151" customWidth="1"/>
    <col min="42" max="16384" width="9" style="147"/>
  </cols>
  <sheetData>
    <row r="1" s="142" customFormat="1" ht="16.5" spans="1:41">
      <c r="A1" s="152" t="s">
        <v>18</v>
      </c>
      <c r="B1" s="153" t="s">
        <v>195</v>
      </c>
      <c r="C1" s="152" t="s">
        <v>39</v>
      </c>
      <c r="D1" s="152" t="s">
        <v>196</v>
      </c>
      <c r="E1" s="152" t="s">
        <v>197</v>
      </c>
      <c r="F1" s="153" t="s">
        <v>36</v>
      </c>
      <c r="G1" s="154" t="s">
        <v>198</v>
      </c>
      <c r="H1" s="152" t="s">
        <v>38</v>
      </c>
      <c r="I1" s="152" t="s">
        <v>199</v>
      </c>
      <c r="J1" s="153" t="s">
        <v>40</v>
      </c>
      <c r="K1" s="153" t="s">
        <v>200</v>
      </c>
      <c r="L1" s="153" t="s">
        <v>201</v>
      </c>
      <c r="M1" s="153" t="s">
        <v>202</v>
      </c>
      <c r="N1" s="153" t="s">
        <v>203</v>
      </c>
      <c r="O1" s="153" t="s">
        <v>204</v>
      </c>
      <c r="P1" s="153" t="s">
        <v>205</v>
      </c>
      <c r="Q1" s="175" t="s">
        <v>206</v>
      </c>
      <c r="R1" s="153" t="s">
        <v>207</v>
      </c>
      <c r="S1" s="176" t="s">
        <v>208</v>
      </c>
      <c r="T1" s="177" t="s">
        <v>209</v>
      </c>
      <c r="U1" s="177"/>
      <c r="V1" s="177"/>
      <c r="W1" s="177"/>
      <c r="X1" s="177"/>
      <c r="Y1" s="177"/>
      <c r="Z1" s="176" t="s">
        <v>210</v>
      </c>
      <c r="AA1" s="153" t="s">
        <v>211</v>
      </c>
      <c r="AB1" s="153"/>
      <c r="AC1" s="153"/>
      <c r="AD1" s="152" t="s">
        <v>212</v>
      </c>
      <c r="AE1" s="152" t="s">
        <v>213</v>
      </c>
      <c r="AF1" s="152" t="s">
        <v>214</v>
      </c>
      <c r="AG1" s="152" t="s">
        <v>215</v>
      </c>
      <c r="AH1" s="152" t="s">
        <v>216</v>
      </c>
      <c r="AI1" s="152" t="s">
        <v>217</v>
      </c>
      <c r="AJ1" s="152" t="s">
        <v>23</v>
      </c>
      <c r="AK1" s="184" t="s">
        <v>218</v>
      </c>
      <c r="AL1" s="185" t="s">
        <v>219</v>
      </c>
      <c r="AM1" s="185" t="s">
        <v>220</v>
      </c>
      <c r="AN1" s="186" t="s">
        <v>221</v>
      </c>
      <c r="AO1" s="186" t="s">
        <v>222</v>
      </c>
    </row>
    <row r="2" s="143" customFormat="1" ht="24" spans="1:41">
      <c r="A2" s="152"/>
      <c r="B2" s="153"/>
      <c r="C2" s="152"/>
      <c r="D2" s="152"/>
      <c r="E2" s="152"/>
      <c r="F2" s="153"/>
      <c r="G2" s="154"/>
      <c r="H2" s="152"/>
      <c r="I2" s="152"/>
      <c r="J2" s="153"/>
      <c r="K2" s="153"/>
      <c r="L2" s="153"/>
      <c r="M2" s="153"/>
      <c r="N2" s="153"/>
      <c r="O2" s="153"/>
      <c r="P2" s="153"/>
      <c r="Q2" s="175"/>
      <c r="R2" s="153"/>
      <c r="S2" s="176"/>
      <c r="T2" s="177" t="s">
        <v>223</v>
      </c>
      <c r="U2" s="177" t="s">
        <v>224</v>
      </c>
      <c r="V2" s="177" t="s">
        <v>225</v>
      </c>
      <c r="W2" s="177" t="s">
        <v>226</v>
      </c>
      <c r="X2" s="177" t="s">
        <v>227</v>
      </c>
      <c r="Y2" s="177" t="s">
        <v>228</v>
      </c>
      <c r="Z2" s="176"/>
      <c r="AA2" s="177" t="s">
        <v>229</v>
      </c>
      <c r="AB2" s="177" t="s">
        <v>230</v>
      </c>
      <c r="AC2" s="177" t="s">
        <v>231</v>
      </c>
      <c r="AD2" s="152"/>
      <c r="AE2" s="152"/>
      <c r="AF2" s="152"/>
      <c r="AG2" s="152"/>
      <c r="AH2" s="152"/>
      <c r="AI2" s="152"/>
      <c r="AJ2" s="152"/>
      <c r="AK2" s="184"/>
      <c r="AL2" s="185"/>
      <c r="AM2" s="185"/>
      <c r="AN2" s="186"/>
      <c r="AO2" s="187"/>
    </row>
    <row r="3" s="144" customFormat="1" ht="14.25" spans="1:37">
      <c r="A3" s="155">
        <v>1</v>
      </c>
      <c r="B3" s="156">
        <v>44306</v>
      </c>
      <c r="C3" s="157"/>
      <c r="D3" s="157" t="s">
        <v>232</v>
      </c>
      <c r="E3" s="155"/>
      <c r="F3" s="158" t="s">
        <v>71</v>
      </c>
      <c r="G3" s="158"/>
      <c r="H3" s="155" t="s">
        <v>73</v>
      </c>
      <c r="I3" s="155"/>
      <c r="J3" s="166" t="s">
        <v>148</v>
      </c>
      <c r="K3" s="398" t="s">
        <v>149</v>
      </c>
      <c r="L3" s="155">
        <v>18607383005</v>
      </c>
      <c r="M3" s="158"/>
      <c r="N3" s="155" t="s">
        <v>233</v>
      </c>
      <c r="O3" s="155" t="s">
        <v>168</v>
      </c>
      <c r="P3" s="155" t="s">
        <v>234</v>
      </c>
      <c r="Q3" s="156">
        <v>44296</v>
      </c>
      <c r="R3" s="155" t="s">
        <v>235</v>
      </c>
      <c r="S3" s="158" t="s">
        <v>236</v>
      </c>
      <c r="T3" s="178">
        <v>2021.05</v>
      </c>
      <c r="U3" s="155">
        <v>4000</v>
      </c>
      <c r="V3" s="155">
        <v>4000</v>
      </c>
      <c r="W3" s="155">
        <v>4000</v>
      </c>
      <c r="X3" s="155">
        <v>4000</v>
      </c>
      <c r="Y3" s="155">
        <v>4000</v>
      </c>
      <c r="Z3" s="158" t="s">
        <v>236</v>
      </c>
      <c r="AA3" s="181" t="s">
        <v>237</v>
      </c>
      <c r="AB3" s="181" t="s">
        <v>238</v>
      </c>
      <c r="AC3" s="181" t="s">
        <v>239</v>
      </c>
      <c r="AD3" s="155" t="s">
        <v>240</v>
      </c>
      <c r="AE3" s="155"/>
      <c r="AF3" s="155"/>
      <c r="AG3" s="155"/>
      <c r="AH3" s="155"/>
      <c r="AI3" s="155"/>
      <c r="AJ3" s="155"/>
      <c r="AK3" s="158" t="str">
        <f>IF(LEN(K3)=18,IF(RIGHT(K3,1)="X",IF(CHOOSE(MOD(SUM(LEFT(RIGHT(K3,18))*7+LEFT(RIGHT(K3,17))*9+LEFT(RIGHT(K3,16))*10+LEFT(RIGHT(K3,15))*5+LEFT(RIGHT(K3,14))*8+LEFT(RIGHT(K3,13))*4+LEFT(RIGHT(K3,12))*2+LEFT(RIGHT(K3,11))*1+LEFT(RIGHT(K3,10))*6+LEFT(RIGHT(K3,9))*3+LEFT(RIGHT(K3,8))*7+LEFT(RIGHT(K3,7))*9+LEFT(RIGHT(K3,6))*10+LEFT(RIGHT(K3,5))*5+LEFT(RIGHT(K3,4))*8+LEFT(RIGHT(K3,3))*4+LEFT(RIGHT(K3,2))*2),11)+1,1,0,"X",9,8,7,6,5,4,3,2)=LEFT(RIGHT(K3,1)),"正确","错误"),IF(CHOOSE(MOD(SUM(LEFT(RIGHT(K3,18))*7+LEFT(RIGHT(K3,17))*9+LEFT(RIGHT(K3,16))*10+LEFT(RIGHT(K3,15))*5+LEFT(RIGHT(K3,14))*8+LEFT(RIGHT(K3,13))*4+LEFT(RIGHT(K3,12))*2+LEFT(RIGHT(K3,11))*1+LEFT(RIGHT(K3,10))*6+LEFT(RIGHT(K3,9))*3+LEFT(RIGHT(K3,8))*7+LEFT(RIGHT(K3,7))*9+LEFT(RIGHT(K3,6))*10+LEFT(RIGHT(K3,5))*5+LEFT(RIGHT(K3,4))*8+LEFT(RIGHT(K3,3))*4+LEFT(RIGHT(K3,2))*2),11)+1,1,0,"X",9,8,7,6,5,4,3,2)=LEFT(RIGHT(K3,1))*1,"正确","错误")),IF(LEN(K3)=15,"老号，请注意！",IF(LEN(K3)=0,"未填写身份证号码","位数不对！")))</f>
        <v>正确</v>
      </c>
    </row>
    <row r="4" s="145" customFormat="1" spans="1:37">
      <c r="A4" s="155"/>
      <c r="B4" s="156"/>
      <c r="C4" s="159"/>
      <c r="D4" s="157"/>
      <c r="E4" s="160"/>
      <c r="F4" s="158"/>
      <c r="G4" s="161"/>
      <c r="H4" s="160"/>
      <c r="I4" s="160"/>
      <c r="J4" s="168"/>
      <c r="K4" s="168"/>
      <c r="L4" s="160"/>
      <c r="M4" s="161"/>
      <c r="N4" s="160"/>
      <c r="O4" s="160"/>
      <c r="P4" s="155"/>
      <c r="Q4" s="162"/>
      <c r="R4" s="155"/>
      <c r="S4" s="158"/>
      <c r="T4" s="179"/>
      <c r="U4" s="160"/>
      <c r="V4" s="160"/>
      <c r="W4" s="160"/>
      <c r="X4" s="160"/>
      <c r="Y4" s="160"/>
      <c r="Z4" s="158"/>
      <c r="AA4" s="182"/>
      <c r="AB4" s="182"/>
      <c r="AC4" s="182"/>
      <c r="AD4" s="160"/>
      <c r="AE4" s="160"/>
      <c r="AF4" s="160"/>
      <c r="AG4" s="160"/>
      <c r="AH4" s="160"/>
      <c r="AI4" s="160"/>
      <c r="AJ4" s="160"/>
      <c r="AK4" s="158" t="str">
        <f>IF(LEN(K4)=18,IF(RIGHT(K4,1)="X",IF(CHOOSE(MOD(SUM(LEFT(RIGHT(K4,18))*7+LEFT(RIGHT(K4,17))*9+LEFT(RIGHT(K4,16))*10+LEFT(RIGHT(K4,15))*5+LEFT(RIGHT(K4,14))*8+LEFT(RIGHT(K4,13))*4+LEFT(RIGHT(K4,12))*2+LEFT(RIGHT(K4,11))*1+LEFT(RIGHT(K4,10))*6+LEFT(RIGHT(K4,9))*3+LEFT(RIGHT(K4,8))*7+LEFT(RIGHT(K4,7))*9+LEFT(RIGHT(K4,6))*10+LEFT(RIGHT(K4,5))*5+LEFT(RIGHT(K4,4))*8+LEFT(RIGHT(K4,3))*4+LEFT(RIGHT(K4,2))*2),11)+1,1,0,"X",9,8,7,6,5,4,3,2)=LEFT(RIGHT(K4,1)),"正确","错误"),IF(CHOOSE(MOD(SUM(LEFT(RIGHT(K4,18))*7+LEFT(RIGHT(K4,17))*9+LEFT(RIGHT(K4,16))*10+LEFT(RIGHT(K4,15))*5+LEFT(RIGHT(K4,14))*8+LEFT(RIGHT(K4,13))*4+LEFT(RIGHT(K4,12))*2+LEFT(RIGHT(K4,11))*1+LEFT(RIGHT(K4,10))*6+LEFT(RIGHT(K4,9))*3+LEFT(RIGHT(K4,8))*7+LEFT(RIGHT(K4,7))*9+LEFT(RIGHT(K4,6))*10+LEFT(RIGHT(K4,5))*5+LEFT(RIGHT(K4,4))*8+LEFT(RIGHT(K4,3))*4+LEFT(RIGHT(K4,2))*2),11)+1,1,0,"X",9,8,7,6,5,4,3,2)=LEFT(RIGHT(K4,1))*1,"正确","错误")),IF(LEN(K4)=15,"老号，请注意！",IF(LEN(K4)=0,"未填写身份证号码","位数不对！")))</f>
        <v>未填写身份证号码</v>
      </c>
    </row>
    <row r="5" s="145" customFormat="1" spans="1:37">
      <c r="A5" s="160"/>
      <c r="B5" s="162"/>
      <c r="C5" s="159"/>
      <c r="D5" s="159"/>
      <c r="E5" s="160"/>
      <c r="F5" s="161"/>
      <c r="G5" s="161"/>
      <c r="H5" s="160"/>
      <c r="I5" s="160"/>
      <c r="J5" s="169"/>
      <c r="K5" s="169"/>
      <c r="L5" s="160"/>
      <c r="M5" s="161"/>
      <c r="N5" s="160"/>
      <c r="O5" s="160"/>
      <c r="P5" s="160"/>
      <c r="Q5" s="162"/>
      <c r="R5" s="160"/>
      <c r="S5" s="161"/>
      <c r="T5" s="160"/>
      <c r="U5" s="160"/>
      <c r="V5" s="160"/>
      <c r="W5" s="160"/>
      <c r="X5" s="160"/>
      <c r="Y5" s="160"/>
      <c r="Z5" s="161"/>
      <c r="AA5" s="182"/>
      <c r="AB5" s="182"/>
      <c r="AC5" s="182"/>
      <c r="AD5" s="160"/>
      <c r="AE5" s="160"/>
      <c r="AF5" s="160"/>
      <c r="AG5" s="160"/>
      <c r="AH5" s="160"/>
      <c r="AI5" s="160"/>
      <c r="AJ5" s="160"/>
      <c r="AK5" s="161"/>
    </row>
    <row r="6" s="145" customFormat="1" spans="1:37">
      <c r="A6" s="160"/>
      <c r="B6" s="162"/>
      <c r="C6" s="159"/>
      <c r="D6" s="159"/>
      <c r="E6" s="160"/>
      <c r="F6" s="161"/>
      <c r="G6" s="161"/>
      <c r="H6" s="160"/>
      <c r="I6" s="160"/>
      <c r="J6" s="169"/>
      <c r="K6" s="169"/>
      <c r="L6" s="160"/>
      <c r="M6" s="161"/>
      <c r="N6" s="160"/>
      <c r="O6" s="160"/>
      <c r="P6" s="160"/>
      <c r="Q6" s="162"/>
      <c r="R6" s="160"/>
      <c r="S6" s="161"/>
      <c r="T6" s="160"/>
      <c r="U6" s="160"/>
      <c r="V6" s="160"/>
      <c r="W6" s="160"/>
      <c r="X6" s="160"/>
      <c r="Y6" s="160"/>
      <c r="Z6" s="161"/>
      <c r="AA6" s="182"/>
      <c r="AB6" s="182"/>
      <c r="AC6" s="182"/>
      <c r="AD6" s="160"/>
      <c r="AE6" s="160"/>
      <c r="AF6" s="160"/>
      <c r="AG6" s="160"/>
      <c r="AH6" s="160"/>
      <c r="AI6" s="160"/>
      <c r="AJ6" s="160"/>
      <c r="AK6" s="161"/>
    </row>
    <row r="7" s="145" customFormat="1" spans="1:37">
      <c r="A7" s="160"/>
      <c r="B7" s="162"/>
      <c r="C7" s="159"/>
      <c r="D7" s="159"/>
      <c r="E7" s="160"/>
      <c r="F7" s="161"/>
      <c r="G7" s="161"/>
      <c r="H7" s="160"/>
      <c r="I7" s="160"/>
      <c r="J7" s="169"/>
      <c r="K7" s="169"/>
      <c r="L7" s="160"/>
      <c r="M7" s="161"/>
      <c r="N7" s="160"/>
      <c r="O7" s="160"/>
      <c r="P7" s="160"/>
      <c r="Q7" s="162"/>
      <c r="R7" s="160"/>
      <c r="S7" s="161"/>
      <c r="T7" s="160"/>
      <c r="U7" s="160"/>
      <c r="V7" s="160"/>
      <c r="W7" s="160"/>
      <c r="X7" s="160"/>
      <c r="Y7" s="160"/>
      <c r="Z7" s="161"/>
      <c r="AA7" s="182"/>
      <c r="AB7" s="182"/>
      <c r="AC7" s="182"/>
      <c r="AD7" s="160"/>
      <c r="AE7" s="160"/>
      <c r="AF7" s="160"/>
      <c r="AG7" s="160"/>
      <c r="AH7" s="160"/>
      <c r="AI7" s="160"/>
      <c r="AJ7" s="160"/>
      <c r="AK7" s="161"/>
    </row>
    <row r="8" s="145" customFormat="1" spans="1:37">
      <c r="A8" s="160"/>
      <c r="B8" s="162"/>
      <c r="C8" s="159"/>
      <c r="D8" s="159"/>
      <c r="E8" s="160"/>
      <c r="F8" s="161"/>
      <c r="G8" s="161"/>
      <c r="H8" s="160"/>
      <c r="I8" s="160"/>
      <c r="J8" s="169" t="s">
        <v>241</v>
      </c>
      <c r="K8" s="169"/>
      <c r="L8" s="160"/>
      <c r="M8" s="161"/>
      <c r="N8" s="160"/>
      <c r="O8" s="160"/>
      <c r="P8" s="160"/>
      <c r="Q8" s="162"/>
      <c r="R8" s="160"/>
      <c r="S8" s="161"/>
      <c r="T8" s="160"/>
      <c r="U8" s="160"/>
      <c r="V8" s="160"/>
      <c r="W8" s="160"/>
      <c r="X8" s="160"/>
      <c r="Y8" s="160"/>
      <c r="Z8" s="161"/>
      <c r="AA8" s="182"/>
      <c r="AB8" s="182"/>
      <c r="AC8" s="182"/>
      <c r="AD8" s="160"/>
      <c r="AE8" s="160"/>
      <c r="AF8" s="160"/>
      <c r="AG8" s="160"/>
      <c r="AH8" s="160"/>
      <c r="AI8" s="160"/>
      <c r="AJ8" s="160"/>
      <c r="AK8" s="161"/>
    </row>
    <row r="9" s="145" customFormat="1" ht="12.75" spans="1:37">
      <c r="A9" s="160"/>
      <c r="B9" s="162"/>
      <c r="C9" s="159"/>
      <c r="D9" s="159"/>
      <c r="E9" s="160"/>
      <c r="F9" s="161"/>
      <c r="G9" s="161"/>
      <c r="H9" s="160"/>
      <c r="I9" s="160"/>
      <c r="J9" s="160" t="s">
        <v>82</v>
      </c>
      <c r="K9" s="170" t="s">
        <v>73</v>
      </c>
      <c r="L9" s="171" t="s">
        <v>83</v>
      </c>
      <c r="M9" s="172" t="s">
        <v>84</v>
      </c>
      <c r="N9" s="394" t="s">
        <v>85</v>
      </c>
      <c r="O9" s="160"/>
      <c r="P9" s="160"/>
      <c r="Q9" s="180">
        <v>202106</v>
      </c>
      <c r="R9" s="160"/>
      <c r="S9" s="161"/>
      <c r="T9" s="160"/>
      <c r="U9" s="160"/>
      <c r="V9" s="160"/>
      <c r="W9" s="160"/>
      <c r="X9" s="160"/>
      <c r="Y9" s="160"/>
      <c r="Z9" s="161"/>
      <c r="AA9" s="182"/>
      <c r="AB9" s="182"/>
      <c r="AC9" s="182"/>
      <c r="AD9" s="160"/>
      <c r="AE9" s="160"/>
      <c r="AF9" s="160"/>
      <c r="AG9" s="160"/>
      <c r="AH9" s="160"/>
      <c r="AI9" s="160"/>
      <c r="AJ9" s="160"/>
      <c r="AK9" s="161"/>
    </row>
    <row r="10" s="145" customFormat="1" spans="1:37">
      <c r="A10" s="160"/>
      <c r="B10" s="162"/>
      <c r="C10" s="159"/>
      <c r="D10" s="159"/>
      <c r="E10" s="160"/>
      <c r="F10" s="161"/>
      <c r="G10" s="161"/>
      <c r="H10" s="160"/>
      <c r="I10" s="160"/>
      <c r="J10" s="169"/>
      <c r="K10" s="169"/>
      <c r="L10" s="160"/>
      <c r="M10" s="161"/>
      <c r="N10" s="160"/>
      <c r="O10" s="160"/>
      <c r="P10" s="160"/>
      <c r="Q10" s="162"/>
      <c r="R10" s="160"/>
      <c r="S10" s="161"/>
      <c r="T10" s="160"/>
      <c r="U10" s="160"/>
      <c r="V10" s="160"/>
      <c r="W10" s="160"/>
      <c r="X10" s="160"/>
      <c r="Y10" s="160"/>
      <c r="Z10" s="161"/>
      <c r="AA10" s="182"/>
      <c r="AB10" s="182"/>
      <c r="AC10" s="182"/>
      <c r="AD10" s="160"/>
      <c r="AE10" s="160"/>
      <c r="AF10" s="160"/>
      <c r="AG10" s="160"/>
      <c r="AH10" s="160"/>
      <c r="AI10" s="160"/>
      <c r="AJ10" s="160"/>
      <c r="AK10" s="161"/>
    </row>
    <row r="11" s="145" customFormat="1" spans="1:37">
      <c r="A11" s="160"/>
      <c r="B11" s="162"/>
      <c r="C11" s="159"/>
      <c r="D11" s="159"/>
      <c r="E11" s="160"/>
      <c r="F11" s="161"/>
      <c r="G11" s="161"/>
      <c r="H11" s="160"/>
      <c r="I11" s="160"/>
      <c r="J11" s="169"/>
      <c r="K11" s="169"/>
      <c r="L11" s="160"/>
      <c r="M11" s="161"/>
      <c r="N11" s="160"/>
      <c r="O11" s="160"/>
      <c r="P11" s="160"/>
      <c r="Q11" s="162"/>
      <c r="R11" s="160"/>
      <c r="S11" s="161"/>
      <c r="T11" s="160"/>
      <c r="U11" s="160"/>
      <c r="V11" s="160"/>
      <c r="W11" s="160"/>
      <c r="X11" s="160"/>
      <c r="Y11" s="160"/>
      <c r="Z11" s="161"/>
      <c r="AA11" s="182"/>
      <c r="AB11" s="182"/>
      <c r="AC11" s="182"/>
      <c r="AD11" s="160"/>
      <c r="AE11" s="160"/>
      <c r="AF11" s="160"/>
      <c r="AG11" s="160"/>
      <c r="AH11" s="160"/>
      <c r="AI11" s="160"/>
      <c r="AJ11" s="160"/>
      <c r="AK11" s="161"/>
    </row>
    <row r="12" s="146" customFormat="1" spans="1:41">
      <c r="A12" s="163"/>
      <c r="B12" s="164"/>
      <c r="C12" s="159"/>
      <c r="D12" s="159"/>
      <c r="E12" s="160"/>
      <c r="F12" s="161"/>
      <c r="G12" s="165"/>
      <c r="H12" s="163"/>
      <c r="I12" s="160"/>
      <c r="J12" s="169"/>
      <c r="K12" s="169"/>
      <c r="L12" s="160"/>
      <c r="M12" s="161"/>
      <c r="N12" s="163"/>
      <c r="O12" s="163"/>
      <c r="P12" s="163"/>
      <c r="Q12" s="163"/>
      <c r="R12" s="163"/>
      <c r="S12" s="161"/>
      <c r="T12" s="163"/>
      <c r="U12" s="163"/>
      <c r="V12" s="163"/>
      <c r="W12" s="163"/>
      <c r="X12" s="163"/>
      <c r="Y12" s="163"/>
      <c r="Z12" s="161"/>
      <c r="AA12" s="183"/>
      <c r="AB12" s="183"/>
      <c r="AC12" s="183"/>
      <c r="AD12" s="163"/>
      <c r="AE12" s="163"/>
      <c r="AF12" s="163"/>
      <c r="AG12" s="163"/>
      <c r="AH12" s="163"/>
      <c r="AI12" s="163"/>
      <c r="AJ12" s="163"/>
      <c r="AK12" s="161"/>
      <c r="AL12" s="145"/>
      <c r="AM12" s="145"/>
      <c r="AN12" s="145"/>
      <c r="AO12" s="145"/>
    </row>
    <row r="13" s="146" customFormat="1" spans="1:41">
      <c r="A13" s="163"/>
      <c r="B13" s="164"/>
      <c r="C13" s="159"/>
      <c r="D13" s="159"/>
      <c r="E13" s="160"/>
      <c r="F13" s="161"/>
      <c r="G13" s="165"/>
      <c r="H13" s="163"/>
      <c r="I13" s="163"/>
      <c r="J13" s="174"/>
      <c r="K13" s="174"/>
      <c r="L13" s="163"/>
      <c r="M13" s="161"/>
      <c r="N13" s="163"/>
      <c r="O13" s="163"/>
      <c r="P13" s="163"/>
      <c r="Q13" s="163"/>
      <c r="R13" s="163"/>
      <c r="S13" s="161"/>
      <c r="T13" s="163"/>
      <c r="U13" s="163"/>
      <c r="V13" s="163"/>
      <c r="W13" s="163"/>
      <c r="X13" s="163"/>
      <c r="Y13" s="163"/>
      <c r="Z13" s="161"/>
      <c r="AA13" s="183"/>
      <c r="AB13" s="183"/>
      <c r="AC13" s="183"/>
      <c r="AD13" s="163"/>
      <c r="AE13" s="163"/>
      <c r="AF13" s="163"/>
      <c r="AG13" s="163"/>
      <c r="AH13" s="163"/>
      <c r="AI13" s="163"/>
      <c r="AJ13" s="163"/>
      <c r="AK13" s="161"/>
      <c r="AL13" s="145"/>
      <c r="AM13" s="145"/>
      <c r="AN13" s="145"/>
      <c r="AO13" s="145"/>
    </row>
    <row r="14" s="146" customFormat="1" spans="1:41">
      <c r="A14" s="163"/>
      <c r="B14" s="164"/>
      <c r="C14" s="159"/>
      <c r="D14" s="159"/>
      <c r="E14" s="160"/>
      <c r="F14" s="161"/>
      <c r="G14" s="165"/>
      <c r="H14" s="163"/>
      <c r="I14" s="163"/>
      <c r="J14" s="174"/>
      <c r="K14" s="174"/>
      <c r="L14" s="163"/>
      <c r="M14" s="161"/>
      <c r="N14" s="163"/>
      <c r="O14" s="163"/>
      <c r="P14" s="163"/>
      <c r="Q14" s="163"/>
      <c r="R14" s="163"/>
      <c r="S14" s="161"/>
      <c r="T14" s="163"/>
      <c r="U14" s="163"/>
      <c r="V14" s="163"/>
      <c r="W14" s="163"/>
      <c r="X14" s="163"/>
      <c r="Y14" s="163"/>
      <c r="Z14" s="161"/>
      <c r="AA14" s="183"/>
      <c r="AB14" s="183"/>
      <c r="AC14" s="183"/>
      <c r="AD14" s="163"/>
      <c r="AE14" s="163"/>
      <c r="AF14" s="163"/>
      <c r="AG14" s="163"/>
      <c r="AH14" s="163"/>
      <c r="AI14" s="163"/>
      <c r="AJ14" s="163"/>
      <c r="AK14" s="161"/>
      <c r="AL14" s="145"/>
      <c r="AM14" s="145"/>
      <c r="AN14" s="145"/>
      <c r="AO14" s="145"/>
    </row>
  </sheetData>
  <mergeCells count="34">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Z1:Z2"/>
    <mergeCell ref="AD1:AD2"/>
    <mergeCell ref="AE1:AE2"/>
    <mergeCell ref="AF1:AF2"/>
    <mergeCell ref="AG1:AG2"/>
    <mergeCell ref="AH1:AH2"/>
    <mergeCell ref="AI1:AI2"/>
    <mergeCell ref="AJ1:AJ2"/>
    <mergeCell ref="AK1:AK2"/>
    <mergeCell ref="AL1:AL2"/>
    <mergeCell ref="AM1:AM2"/>
    <mergeCell ref="AN1:AN2"/>
    <mergeCell ref="AO1:AO2"/>
  </mergeCells>
  <conditionalFormatting sqref="J12:J14">
    <cfRule type="duplicateValues" dxfId="3" priority="3"/>
  </conditionalFormatting>
  <conditionalFormatting sqref="J5:J8 J10:J11">
    <cfRule type="duplicateValues" dxfId="3" priority="2"/>
    <cfRule type="duplicateValues" dxfId="3" priority="1"/>
  </conditionalFormatting>
  <dataValidations count="7">
    <dataValidation type="list" allowBlank="1" showInputMessage="1" showErrorMessage="1" sqref="D3:D4 D5:D14">
      <formula1>"北京易才博普奥,上海易铭天,杭州易才凯捷,上海傲云,上海曙夕"</formula1>
    </dataValidation>
    <dataValidation type="list" allowBlank="1" showInputMessage="1" showErrorMessage="1" sqref="C3:C14">
      <formula1>"华北销售部,华东销售部,微蜂事业部,外包一体化事业部"</formula1>
    </dataValidation>
    <dataValidation type="list" allowBlank="1" showInputMessage="1" showErrorMessage="1" sqref="H3:H11">
      <formula1>"派遣,代理"</formula1>
    </dataValidation>
    <dataValidation type="list" allowBlank="1" showInputMessage="1" showErrorMessage="1" sqref="S3:S4 S5:S14 Z3:Z4 Z5:Z14">
      <formula1>"新参,调入"</formula1>
    </dataValidation>
    <dataValidation type="list" allowBlank="1" showInputMessage="1" showErrorMessage="1" sqref="P3:P4 P5:P11">
      <formula1>"本地城镇,本地农村,外地城镇,外地农村"</formula1>
    </dataValidation>
    <dataValidation type="list" allowBlank="1" showInputMessage="1" showErrorMessage="1" sqref="H15:H64411">
      <formula1>#REF!</formula1>
    </dataValidation>
    <dataValidation type="list" allowBlank="1" showInputMessage="1" showErrorMessage="1" sqref="M3:M8 M10:M14">
      <formula1>"是,否"</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4"/>
  <sheetViews>
    <sheetView workbookViewId="0">
      <pane xSplit="6" ySplit="3" topLeftCell="G4" activePane="bottomRight" state="frozen"/>
      <selection/>
      <selection pane="topRight"/>
      <selection pane="bottomLeft"/>
      <selection pane="bottomRight" activeCell="B4" sqref="B4:P7"/>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3.375"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8660</v>
      </c>
      <c r="M4" s="93">
        <v>264</v>
      </c>
      <c r="N4" s="93">
        <v>66</v>
      </c>
      <c r="O4" s="93">
        <v>9.9</v>
      </c>
      <c r="P4" s="93">
        <v>180</v>
      </c>
      <c r="Q4" s="112">
        <f>ROUND(SUM(M4:P4),2)</f>
        <v>519.9</v>
      </c>
      <c r="R4" s="94">
        <v>0</v>
      </c>
      <c r="S4" s="113">
        <f>L4+IFERROR(VLOOKUP($E:$E,'（居民）工资表-7月'!$E:$S,15,0),0)</f>
        <v>69820</v>
      </c>
      <c r="T4" s="114">
        <f>5000+IFERROR(VLOOKUP($E:$E,'（居民）工资表-7月'!$E:$T,16,0),0)</f>
        <v>40000</v>
      </c>
      <c r="U4" s="114">
        <f>Q4+IFERROR(VLOOKUP($E:$E,'（居民）工资表-7月'!$E:$U,17,0),0)</f>
        <v>4159.2</v>
      </c>
      <c r="V4" s="94"/>
      <c r="W4" s="94"/>
      <c r="X4" s="94">
        <v>8000</v>
      </c>
      <c r="Y4" s="94"/>
      <c r="Z4" s="94"/>
      <c r="AA4" s="94"/>
      <c r="AB4" s="113">
        <f>ROUND(SUM(V4:AA4),2)</f>
        <v>8000</v>
      </c>
      <c r="AC4" s="113">
        <f>R4+IFERROR(VLOOKUP($E:$E,'（居民）工资表-7月'!$E:$AC,25,0),0)</f>
        <v>0</v>
      </c>
      <c r="AD4" s="116">
        <f>ROUND(S4-T4-U4-AB4-AC4,2)</f>
        <v>17660.8</v>
      </c>
      <c r="AE4" s="117">
        <f>ROUND(MAX((AD4)*{0.03;0.1;0.2;0.25;0.3;0.35;0.45}-{0;2520;16920;31920;52920;85920;181920},0),2)</f>
        <v>529.82</v>
      </c>
      <c r="AF4" s="118">
        <f>IFERROR(VLOOKUP(E:E,'（居民）工资表-7月'!E:AF,28,0)+VLOOKUP(E:E,'（居民）工资表-7月'!E:AG,29,0),0)</f>
        <v>465.62</v>
      </c>
      <c r="AG4" s="118">
        <f>IF((AE4-AF4)&lt;0,0,AE4-AF4)</f>
        <v>64.2</v>
      </c>
      <c r="AH4" s="125">
        <f>ROUND(IF((L4-Q4-AG4)&lt;0,0,(L4-Q4-AG4)),2)</f>
        <v>8075.9</v>
      </c>
      <c r="AI4" s="126"/>
      <c r="AJ4" s="125">
        <f>AH4+AI4</f>
        <v>8075.9</v>
      </c>
      <c r="AK4" s="127"/>
      <c r="AL4" s="125">
        <f>AJ4+AG4+AK4</f>
        <v>8140.1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IF(SUMPRODUCT(N(E$1:E$7=E4))&gt;1,"重复","不")</f>
        <v>不</v>
      </c>
      <c r="AT4" s="134" t="str">
        <f>IF(SUMPRODUCT(N(AO$1:AO$7=AO4))&gt;1,"重复","不")</f>
        <v>重复</v>
      </c>
    </row>
    <row r="5" s="33" customFormat="1" ht="18" customHeight="1" spans="1:46">
      <c r="A5" s="57">
        <v>2</v>
      </c>
      <c r="B5" s="58" t="s">
        <v>146</v>
      </c>
      <c r="C5" s="58" t="s">
        <v>93</v>
      </c>
      <c r="D5" s="58" t="s">
        <v>147</v>
      </c>
      <c r="E5" s="58" t="s">
        <v>94</v>
      </c>
      <c r="F5" s="59" t="s">
        <v>193</v>
      </c>
      <c r="G5" s="62">
        <v>13944441728</v>
      </c>
      <c r="H5" s="61"/>
      <c r="I5" s="61"/>
      <c r="J5" s="91"/>
      <c r="K5" s="61"/>
      <c r="L5" s="94">
        <v>6921</v>
      </c>
      <c r="M5" s="93">
        <v>244.24</v>
      </c>
      <c r="N5" s="93">
        <v>61.06</v>
      </c>
      <c r="O5" s="93">
        <v>9.16</v>
      </c>
      <c r="P5" s="93">
        <v>79</v>
      </c>
      <c r="Q5" s="112">
        <f>ROUND(SUM(M5:P5),2)</f>
        <v>393.46</v>
      </c>
      <c r="R5" s="94">
        <v>0</v>
      </c>
      <c r="S5" s="113">
        <f>L5+IFERROR(VLOOKUP($E:$E,'（居民）工资表-7月'!$E:$S,15,0),0)</f>
        <v>58161</v>
      </c>
      <c r="T5" s="114">
        <f>5000+IFERROR(VLOOKUP($E:$E,'（居民）工资表-7月'!$E:$T,16,0),0)</f>
        <v>40000</v>
      </c>
      <c r="U5" s="114">
        <f>Q5+IFERROR(VLOOKUP($E:$E,'（居民）工资表-7月'!$E:$U,17,0),0)</f>
        <v>4092.56</v>
      </c>
      <c r="V5" s="94"/>
      <c r="W5" s="94"/>
      <c r="X5" s="94"/>
      <c r="Y5" s="94"/>
      <c r="Z5" s="94"/>
      <c r="AA5" s="94"/>
      <c r="AB5" s="113">
        <f>ROUND(SUM(V5:AA5),2)</f>
        <v>0</v>
      </c>
      <c r="AC5" s="113">
        <f>R5+IFERROR(VLOOKUP($E:$E,'（居民）工资表-7月'!$E:$AC,25,0),0)</f>
        <v>0</v>
      </c>
      <c r="AD5" s="116">
        <f>ROUND(S5-T5-U5-AB5-AC5,2)</f>
        <v>14068.44</v>
      </c>
      <c r="AE5" s="117">
        <f>ROUND(MAX((AD5)*{0.03;0.1;0.2;0.25;0.3;0.35;0.45}-{0;2520;16920;31920;52920;85920;181920},0),2)</f>
        <v>422.05</v>
      </c>
      <c r="AF5" s="118">
        <f>IFERROR(VLOOKUP(E:E,'（居民）工资表-7月'!E:AF,28,0)+VLOOKUP(E:E,'（居民）工资表-7月'!E:AG,29,0),0)</f>
        <v>376.23</v>
      </c>
      <c r="AG5" s="118">
        <f>IF((AE5-AF5)&lt;0,0,AE5-AF5)</f>
        <v>45.82</v>
      </c>
      <c r="AH5" s="125">
        <f>ROUND(IF((L5-Q5-AG5)&lt;0,0,(L5-Q5-AG5)),2)</f>
        <v>6481.72</v>
      </c>
      <c r="AI5" s="126"/>
      <c r="AJ5" s="125">
        <f>AH5+AI5</f>
        <v>6481.72</v>
      </c>
      <c r="AK5" s="127"/>
      <c r="AL5" s="125">
        <f>AJ5+AG5+AK5</f>
        <v>6527.54</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IF(SUMPRODUCT(N(E$1:E$7=E5))&gt;1,"重复","不")</f>
        <v>不</v>
      </c>
      <c r="AT5" s="134" t="str">
        <f>IF(SUMPRODUCT(N(AO$1:AO$7=AO5))&gt;1,"重复","不")</f>
        <v>重复</v>
      </c>
    </row>
    <row r="6" s="33" customFormat="1" ht="18" customHeight="1" spans="1:46">
      <c r="A6" s="57">
        <v>3</v>
      </c>
      <c r="B6" s="58" t="s">
        <v>146</v>
      </c>
      <c r="C6" s="58" t="s">
        <v>148</v>
      </c>
      <c r="D6" s="58" t="s">
        <v>147</v>
      </c>
      <c r="E6" s="397" t="s">
        <v>149</v>
      </c>
      <c r="F6" s="59" t="s">
        <v>193</v>
      </c>
      <c r="G6" s="62">
        <v>18607383005</v>
      </c>
      <c r="H6" s="61"/>
      <c r="I6" s="61"/>
      <c r="J6" s="91"/>
      <c r="K6" s="61"/>
      <c r="L6" s="94">
        <v>24800</v>
      </c>
      <c r="M6" s="93">
        <f>320</f>
        <v>320</v>
      </c>
      <c r="N6" s="93">
        <f>80</f>
        <v>80</v>
      </c>
      <c r="O6" s="93">
        <f>12</f>
        <v>12</v>
      </c>
      <c r="P6" s="93">
        <v>200</v>
      </c>
      <c r="Q6" s="112">
        <f>ROUND(SUM(M6:P6),2)</f>
        <v>612</v>
      </c>
      <c r="R6" s="94">
        <v>0</v>
      </c>
      <c r="S6" s="113">
        <f>L6+IFERROR(VLOOKUP($E:$E,'（居民）工资表-7月'!$E:$S,15,0),0)</f>
        <v>196504.76</v>
      </c>
      <c r="T6" s="114">
        <f>5000+IFERROR(VLOOKUP($E:$E,'（居民）工资表-7月'!$E:$T,16,0),0)</f>
        <v>40000</v>
      </c>
      <c r="U6" s="114">
        <f>Q6+IFERROR(VLOOKUP($E:$E,'（居民）工资表-7月'!$E:$U,17,0),0)</f>
        <v>5112.67</v>
      </c>
      <c r="V6" s="94"/>
      <c r="W6" s="94"/>
      <c r="X6" s="94"/>
      <c r="Y6" s="94"/>
      <c r="Z6" s="94"/>
      <c r="AA6" s="94"/>
      <c r="AB6" s="113">
        <f>ROUND(SUM(V6:AA6),2)</f>
        <v>0</v>
      </c>
      <c r="AC6" s="113">
        <f>R6+IFERROR(VLOOKUP($E:$E,'（居民）工资表-7月'!$E:$AC,25,0),0)</f>
        <v>0</v>
      </c>
      <c r="AD6" s="116">
        <f>ROUND(S6-T6-U6-AB6-AC6,2)</f>
        <v>151392.09</v>
      </c>
      <c r="AE6" s="117">
        <f>ROUND(MAX((AD6)*{0.03;0.1;0.2;0.25;0.3;0.35;0.45}-{0;2520;16920;31920;52920;85920;181920},0),2)</f>
        <v>13358.42</v>
      </c>
      <c r="AF6" s="118">
        <f>IFERROR(VLOOKUP(E:E,'（居民）工资表-7月'!E:AF,28,0)+VLOOKUP(E:E,'（居民）工资表-7月'!E:AG,29,0),0)</f>
        <v>10700.41</v>
      </c>
      <c r="AG6" s="118">
        <f>IF((AE6-AF6)&lt;0,0,AE6-AF6)</f>
        <v>2658.01</v>
      </c>
      <c r="AH6" s="125">
        <f>ROUND(IF((L6-Q6-AG6)&lt;0,0,(L6-Q6-AG6)),2)</f>
        <v>21529.99</v>
      </c>
      <c r="AI6" s="126"/>
      <c r="AJ6" s="125">
        <f>AH6+AI6</f>
        <v>21529.99</v>
      </c>
      <c r="AK6" s="127"/>
      <c r="AL6" s="125">
        <f>AJ6+AG6+AK6</f>
        <v>24188</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IF(SUMPRODUCT(N(E$1:E$7=E6))&gt;1,"重复","不")</f>
        <v>不</v>
      </c>
      <c r="AT6" s="134" t="str">
        <f>IF(SUMPRODUCT(N(AO$1:AO$7=AO6))&gt;1,"重复","不")</f>
        <v>重复</v>
      </c>
    </row>
    <row r="7" s="33" customFormat="1" ht="18" customHeight="1" spans="1:46">
      <c r="A7" s="57">
        <v>4</v>
      </c>
      <c r="B7" s="58" t="s">
        <v>146</v>
      </c>
      <c r="C7" s="58" t="s">
        <v>174</v>
      </c>
      <c r="D7" s="58" t="s">
        <v>147</v>
      </c>
      <c r="E7" s="397" t="s">
        <v>175</v>
      </c>
      <c r="F7" s="59" t="str">
        <f>IF(MOD(MID(E7,17,1),2)=1,"男","女")</f>
        <v>女</v>
      </c>
      <c r="G7" s="62">
        <v>15360550807</v>
      </c>
      <c r="H7" s="61"/>
      <c r="I7" s="61"/>
      <c r="J7" s="91"/>
      <c r="K7" s="61"/>
      <c r="L7" s="94">
        <v>4560</v>
      </c>
      <c r="M7" s="93"/>
      <c r="N7" s="93"/>
      <c r="O7" s="93"/>
      <c r="P7" s="93"/>
      <c r="Q7" s="112">
        <f>ROUND(SUM(M7:P7),2)</f>
        <v>0</v>
      </c>
      <c r="R7" s="94">
        <v>0</v>
      </c>
      <c r="S7" s="113">
        <f>L7+IFERROR(VLOOKUP($E:$E,'（居民）工资表-7月'!$E:$S,15,0),0)</f>
        <v>8083.63636363636</v>
      </c>
      <c r="T7" s="114">
        <f>5000+IFERROR(VLOOKUP($E:$E,'（居民）工资表-7月'!$E:$T,16,0),0)</f>
        <v>10000</v>
      </c>
      <c r="U7" s="114">
        <f>Q7+IFERROR(VLOOKUP($E:$E,'（居民）工资表-7月'!$E:$U,17,0),0)</f>
        <v>0</v>
      </c>
      <c r="V7" s="94"/>
      <c r="W7" s="94"/>
      <c r="X7" s="94"/>
      <c r="Y7" s="94"/>
      <c r="Z7" s="94"/>
      <c r="AA7" s="94"/>
      <c r="AB7" s="113">
        <f>ROUND(SUM(V7:AA7),2)</f>
        <v>0</v>
      </c>
      <c r="AC7" s="113">
        <f>R7+IFERROR(VLOOKUP($E:$E,'（居民）工资表-7月'!$E:$AC,25,0),0)</f>
        <v>0</v>
      </c>
      <c r="AD7" s="116">
        <f>ROUND(S7-T7-U7-AB7-AC7,2)</f>
        <v>-1916.36</v>
      </c>
      <c r="AE7" s="117">
        <f>ROUND(MAX((AD7)*{0.03;0.1;0.2;0.25;0.3;0.35;0.45}-{0;2520;16920;31920;52920;85920;181920},0),2)</f>
        <v>0</v>
      </c>
      <c r="AF7" s="118">
        <f>IFERROR(VLOOKUP(E:E,'（居民）工资表-7月'!E:AF,28,0)+VLOOKUP(E:E,'（居民）工资表-7月'!E:AG,29,0),0)</f>
        <v>0</v>
      </c>
      <c r="AG7" s="118">
        <f>IF((AE7-AF7)&lt;0,0,AE7-AF7)</f>
        <v>0</v>
      </c>
      <c r="AH7" s="125">
        <f>ROUND(IF((L7-Q7-AG7)&lt;0,0,(L7-Q7-AG7)),2)</f>
        <v>4560</v>
      </c>
      <c r="AI7" s="126"/>
      <c r="AJ7" s="125">
        <f>AH7+AI7</f>
        <v>4560</v>
      </c>
      <c r="AK7" s="127"/>
      <c r="AL7" s="125">
        <f>AJ7+AG7+AK7</f>
        <v>4560</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IF(SUMPRODUCT(N(E$1:E$7=E7))&gt;1,"重复","不")</f>
        <v>不</v>
      </c>
      <c r="AT7" s="134" t="str">
        <f>IF(SUMPRODUCT(N(AO$1:AO$7=AO7))&gt;1,"重复","不")</f>
        <v>重复</v>
      </c>
    </row>
    <row r="8" s="34" customFormat="1" ht="18" customHeight="1" spans="1:46">
      <c r="A8" s="63"/>
      <c r="B8" s="64" t="s">
        <v>150</v>
      </c>
      <c r="C8" s="64"/>
      <c r="D8" s="65"/>
      <c r="E8" s="66"/>
      <c r="F8" s="67"/>
      <c r="G8" s="68"/>
      <c r="H8" s="67"/>
      <c r="I8" s="95"/>
      <c r="J8" s="96"/>
      <c r="K8" s="95"/>
      <c r="L8" s="97">
        <f t="shared" ref="L8:AL8" si="0">SUM(L4:L7)</f>
        <v>44941</v>
      </c>
      <c r="M8" s="97">
        <f t="shared" si="0"/>
        <v>828.24</v>
      </c>
      <c r="N8" s="97">
        <f t="shared" si="0"/>
        <v>207.06</v>
      </c>
      <c r="O8" s="97">
        <f t="shared" si="0"/>
        <v>31.06</v>
      </c>
      <c r="P8" s="97">
        <f t="shared" si="0"/>
        <v>459</v>
      </c>
      <c r="Q8" s="97">
        <f t="shared" si="0"/>
        <v>1525.36</v>
      </c>
      <c r="R8" s="97">
        <f t="shared" si="0"/>
        <v>0</v>
      </c>
      <c r="S8" s="97">
        <f t="shared" si="0"/>
        <v>332569.396363636</v>
      </c>
      <c r="T8" s="97">
        <f t="shared" si="0"/>
        <v>130000</v>
      </c>
      <c r="U8" s="97">
        <f t="shared" si="0"/>
        <v>13364.43</v>
      </c>
      <c r="V8" s="97">
        <f t="shared" si="0"/>
        <v>0</v>
      </c>
      <c r="W8" s="97">
        <f t="shared" si="0"/>
        <v>0</v>
      </c>
      <c r="X8" s="97">
        <f t="shared" si="0"/>
        <v>8000</v>
      </c>
      <c r="Y8" s="97">
        <f t="shared" si="0"/>
        <v>0</v>
      </c>
      <c r="Z8" s="97">
        <f t="shared" si="0"/>
        <v>0</v>
      </c>
      <c r="AA8" s="97">
        <f t="shared" si="0"/>
        <v>0</v>
      </c>
      <c r="AB8" s="97">
        <f t="shared" si="0"/>
        <v>8000</v>
      </c>
      <c r="AC8" s="97">
        <f t="shared" si="0"/>
        <v>0</v>
      </c>
      <c r="AD8" s="97">
        <f t="shared" si="0"/>
        <v>181204.97</v>
      </c>
      <c r="AE8" s="97">
        <f t="shared" si="0"/>
        <v>14310.29</v>
      </c>
      <c r="AF8" s="97">
        <f t="shared" si="0"/>
        <v>11542.26</v>
      </c>
      <c r="AG8" s="97">
        <f t="shared" si="0"/>
        <v>2768.03</v>
      </c>
      <c r="AH8" s="97">
        <f t="shared" si="0"/>
        <v>40647.61</v>
      </c>
      <c r="AI8" s="141">
        <f t="shared" si="0"/>
        <v>0</v>
      </c>
      <c r="AJ8" s="97">
        <f t="shared" si="0"/>
        <v>40647.61</v>
      </c>
      <c r="AK8" s="97">
        <f t="shared" si="0"/>
        <v>0</v>
      </c>
      <c r="AL8" s="97">
        <f t="shared" si="0"/>
        <v>43415.64</v>
      </c>
      <c r="AM8" s="128"/>
      <c r="AN8" s="128"/>
      <c r="AO8" s="128"/>
      <c r="AP8" s="128"/>
      <c r="AQ8" s="128"/>
      <c r="AR8" s="67"/>
      <c r="AS8" s="67"/>
      <c r="AT8" s="135"/>
    </row>
    <row r="11" spans="30:30">
      <c r="AD11" s="119"/>
    </row>
    <row r="12" ht="18.75" customHeight="1" spans="2:30">
      <c r="B12" s="69" t="s">
        <v>127</v>
      </c>
      <c r="C12" s="69" t="s">
        <v>151</v>
      </c>
      <c r="D12" s="69" t="s">
        <v>57</v>
      </c>
      <c r="E12" s="69" t="s">
        <v>58</v>
      </c>
      <c r="AD12" s="31"/>
    </row>
    <row r="13" ht="18.75" customHeight="1" spans="2:5">
      <c r="B13" s="70">
        <f>AJ8</f>
        <v>40647.61</v>
      </c>
      <c r="C13" s="70">
        <f>AG8</f>
        <v>2768.03</v>
      </c>
      <c r="D13" s="70">
        <f>AK8</f>
        <v>0</v>
      </c>
      <c r="E13" s="70">
        <f>B13+C13+D13</f>
        <v>43415.64</v>
      </c>
    </row>
    <row r="14" spans="2:5">
      <c r="B14" s="71"/>
      <c r="C14" s="71"/>
      <c r="D14" s="71"/>
      <c r="E14" s="71"/>
    </row>
    <row r="15" s="35" customFormat="1" spans="1:35">
      <c r="A15" s="72" t="s">
        <v>152</v>
      </c>
      <c r="B15" s="73" t="s">
        <v>153</v>
      </c>
      <c r="C15" s="74"/>
      <c r="D15" s="74"/>
      <c r="E15" s="74"/>
      <c r="G15" s="75"/>
      <c r="J15" s="98"/>
      <c r="M15" s="99"/>
      <c r="AI15" s="130"/>
    </row>
    <row r="16" s="35" customFormat="1" spans="1:35">
      <c r="A16" s="76"/>
      <c r="B16" s="77" t="s">
        <v>154</v>
      </c>
      <c r="C16" s="74"/>
      <c r="D16" s="74"/>
      <c r="E16" s="74"/>
      <c r="G16" s="75"/>
      <c r="J16" s="98"/>
      <c r="M16" s="99"/>
      <c r="AI16" s="130"/>
    </row>
    <row r="17" s="35" customFormat="1" spans="1:35">
      <c r="A17" s="73"/>
      <c r="B17" s="77" t="s">
        <v>155</v>
      </c>
      <c r="C17" s="78"/>
      <c r="D17" s="78"/>
      <c r="E17" s="78"/>
      <c r="F17" s="78"/>
      <c r="G17" s="78"/>
      <c r="H17" s="78"/>
      <c r="I17" s="78"/>
      <c r="J17" s="100"/>
      <c r="K17" s="78"/>
      <c r="L17" s="78"/>
      <c r="M17" s="101"/>
      <c r="N17" s="78"/>
      <c r="O17" s="78"/>
      <c r="P17" s="78"/>
      <c r="AI17" s="130"/>
    </row>
    <row r="18" s="35" customFormat="1" customHeight="1" spans="1:35">
      <c r="A18" s="77"/>
      <c r="B18" s="77" t="s">
        <v>156</v>
      </c>
      <c r="C18" s="79"/>
      <c r="D18" s="79"/>
      <c r="E18" s="79"/>
      <c r="F18" s="79"/>
      <c r="G18" s="79"/>
      <c r="H18" s="79"/>
      <c r="I18" s="102"/>
      <c r="J18" s="103"/>
      <c r="K18" s="102"/>
      <c r="L18" s="102"/>
      <c r="M18" s="104"/>
      <c r="N18" s="102"/>
      <c r="O18" s="102"/>
      <c r="P18" s="102"/>
      <c r="AI18" s="130"/>
    </row>
    <row r="19" s="35" customFormat="1" customHeight="1" spans="1:35">
      <c r="A19" s="77"/>
      <c r="B19" s="77" t="s">
        <v>157</v>
      </c>
      <c r="C19" s="79"/>
      <c r="D19" s="79"/>
      <c r="E19" s="79"/>
      <c r="F19" s="79"/>
      <c r="G19" s="79"/>
      <c r="H19" s="79"/>
      <c r="I19" s="79"/>
      <c r="J19" s="105"/>
      <c r="K19" s="79"/>
      <c r="L19" s="102"/>
      <c r="M19" s="104"/>
      <c r="N19" s="102"/>
      <c r="O19" s="102"/>
      <c r="P19" s="102"/>
      <c r="AI19" s="130"/>
    </row>
    <row r="20" s="35" customFormat="1" customHeight="1" spans="1:35">
      <c r="A20" s="77"/>
      <c r="B20" s="77" t="s">
        <v>158</v>
      </c>
      <c r="C20" s="79"/>
      <c r="D20" s="79"/>
      <c r="E20" s="79"/>
      <c r="F20" s="79"/>
      <c r="G20" s="79"/>
      <c r="H20" s="79"/>
      <c r="I20" s="102"/>
      <c r="J20" s="103"/>
      <c r="K20" s="102"/>
      <c r="L20" s="102"/>
      <c r="M20" s="104"/>
      <c r="N20" s="102"/>
      <c r="O20" s="102"/>
      <c r="P20" s="102"/>
      <c r="AI20" s="130"/>
    </row>
    <row r="22" ht="11.25" customHeight="1" spans="2:2">
      <c r="B22" s="80" t="s">
        <v>159</v>
      </c>
    </row>
    <row r="23" spans="2:2">
      <c r="B23" s="81" t="s">
        <v>160</v>
      </c>
    </row>
    <row r="24" spans="2:2">
      <c r="B24" s="81" t="s">
        <v>161</v>
      </c>
    </row>
  </sheetData>
  <autoFilter ref="A3:AT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0">
    <cfRule type="duplicateValues" dxfId="3" priority="2" stopIfTrue="1"/>
  </conditionalFormatting>
  <conditionalFormatting sqref="B15:B19">
    <cfRule type="duplicateValues" dxfId="3" priority="3" stopIfTrue="1"/>
  </conditionalFormatting>
  <conditionalFormatting sqref="B23:B24">
    <cfRule type="duplicateValues" dxfId="3" priority="1" stopIfTrue="1"/>
  </conditionalFormatting>
  <conditionalFormatting sqref="C12:C14">
    <cfRule type="duplicateValues" dxfId="3" priority="4" stopIfTrue="1"/>
    <cfRule type="expression" dxfId="4" priority="5" stopIfTrue="1">
      <formula>AND(COUNTIF($B$8:$B$65444,C12)+COUNTIF($B$1:$B$3,C12)&gt;1,NOT(ISBLANK(C12)))</formula>
    </cfRule>
    <cfRule type="expression" dxfId="4" priority="6" stopIfTrue="1">
      <formula>AND(COUNTIF($B$19:$B$65395,C12)+COUNTIF($B$1:$B$18,C12)&gt;1,NOT(ISBLANK(C12)))</formula>
    </cfRule>
    <cfRule type="expression" dxfId="4" priority="7" stopIfTrue="1">
      <formula>AND(COUNTIF($B$8:$B$65433,C12)+COUNTIF($B$1:$B$3,C12)&gt;1,NOT(ISBLANK(C12)))</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4"/>
  <sheetViews>
    <sheetView workbookViewId="0">
      <pane xSplit="6" ySplit="3" topLeftCell="G4" activePane="bottomRight" state="frozen"/>
      <selection/>
      <selection pane="topRight"/>
      <selection pane="bottomLeft"/>
      <selection pane="bottomRight" activeCell="B4" sqref="B4:P7"/>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3.375"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9780</v>
      </c>
      <c r="M4" s="93">
        <v>264</v>
      </c>
      <c r="N4" s="93">
        <v>66</v>
      </c>
      <c r="O4" s="93">
        <v>9.9</v>
      </c>
      <c r="P4" s="93">
        <v>180</v>
      </c>
      <c r="Q4" s="112">
        <f>ROUND(SUM(M4:P4),2)</f>
        <v>519.9</v>
      </c>
      <c r="R4" s="94">
        <v>0</v>
      </c>
      <c r="S4" s="113">
        <f>L4+IFERROR(VLOOKUP($E:$E,'（居民）工资表-8月'!$E:$S,15,0),0)</f>
        <v>79600</v>
      </c>
      <c r="T4" s="114">
        <f>5000+IFERROR(VLOOKUP($E:$E,'（居民）工资表-8月'!$E:$T,16,0),0)</f>
        <v>45000</v>
      </c>
      <c r="U4" s="114">
        <f>Q4+IFERROR(VLOOKUP($E:$E,'（居民）工资表-8月'!$E:$U,17,0),0)</f>
        <v>4679.1</v>
      </c>
      <c r="V4" s="94"/>
      <c r="W4" s="94"/>
      <c r="X4" s="94">
        <v>9000</v>
      </c>
      <c r="Y4" s="94"/>
      <c r="Z4" s="94"/>
      <c r="AA4" s="94"/>
      <c r="AB4" s="113">
        <f>ROUND(SUM(V4:AA4),2)</f>
        <v>9000</v>
      </c>
      <c r="AC4" s="113">
        <f>R4+IFERROR(VLOOKUP($E:$E,'（居民）工资表-8月'!$E:$AC,25,0),0)</f>
        <v>0</v>
      </c>
      <c r="AD4" s="116">
        <f>ROUND(S4-T4-U4-AB4-AC4,2)</f>
        <v>20920.9</v>
      </c>
      <c r="AE4" s="117">
        <f>ROUND(MAX((AD4)*{0.03;0.1;0.2;0.25;0.3;0.35;0.45}-{0;2520;16920;31920;52920;85920;181920},0),2)</f>
        <v>627.63</v>
      </c>
      <c r="AF4" s="118">
        <f>IFERROR(VLOOKUP(E:E,'（居民）工资表-8月'!E:AF,28,0)+VLOOKUP(E:E,'（居民）工资表-8月'!E:AG,29,0),0)</f>
        <v>529.82</v>
      </c>
      <c r="AG4" s="118">
        <f>IF((AE4-AF4)&lt;0,0,AE4-AF4)</f>
        <v>97.8099999999999</v>
      </c>
      <c r="AH4" s="125">
        <f>ROUND(IF((L4-Q4-AG4)&lt;0,0,(L4-Q4-AG4)),2)</f>
        <v>9162.29</v>
      </c>
      <c r="AI4" s="126"/>
      <c r="AJ4" s="125">
        <f>AH4+AI4</f>
        <v>9162.29</v>
      </c>
      <c r="AK4" s="127"/>
      <c r="AL4" s="125">
        <f>AJ4+AG4+AK4</f>
        <v>9260.1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IF(SUMPRODUCT(N(E$1:E$7=E4))&gt;1,"重复","不")</f>
        <v>不</v>
      </c>
      <c r="AT4" s="134" t="str">
        <f>IF(SUMPRODUCT(N(AO$1:AO$7=AO4))&gt;1,"重复","不")</f>
        <v>重复</v>
      </c>
    </row>
    <row r="5" s="33" customFormat="1" ht="18" customHeight="1" spans="1:46">
      <c r="A5" s="57">
        <v>2</v>
      </c>
      <c r="B5" s="58" t="s">
        <v>146</v>
      </c>
      <c r="C5" s="58" t="s">
        <v>93</v>
      </c>
      <c r="D5" s="58" t="s">
        <v>147</v>
      </c>
      <c r="E5" s="58" t="s">
        <v>94</v>
      </c>
      <c r="F5" s="59" t="s">
        <v>193</v>
      </c>
      <c r="G5" s="62">
        <v>13944441728</v>
      </c>
      <c r="H5" s="61"/>
      <c r="I5" s="61"/>
      <c r="J5" s="91"/>
      <c r="K5" s="61"/>
      <c r="L5" s="94">
        <v>6921</v>
      </c>
      <c r="M5" s="93">
        <v>244.24</v>
      </c>
      <c r="N5" s="93">
        <v>61.06</v>
      </c>
      <c r="O5" s="93">
        <v>9.16</v>
      </c>
      <c r="P5" s="93">
        <v>79</v>
      </c>
      <c r="Q5" s="112">
        <f>ROUND(SUM(M5:P5),2)</f>
        <v>393.46</v>
      </c>
      <c r="R5" s="94">
        <v>0</v>
      </c>
      <c r="S5" s="113">
        <f>L5+IFERROR(VLOOKUP($E:$E,'（居民）工资表-8月'!$E:$S,15,0),0)</f>
        <v>65082</v>
      </c>
      <c r="T5" s="114">
        <f>5000+IFERROR(VLOOKUP($E:$E,'（居民）工资表-8月'!$E:$T,16,0),0)</f>
        <v>45000</v>
      </c>
      <c r="U5" s="114">
        <f>Q5+IFERROR(VLOOKUP($E:$E,'（居民）工资表-8月'!$E:$U,17,0),0)</f>
        <v>4486.02</v>
      </c>
      <c r="V5" s="94"/>
      <c r="W5" s="94"/>
      <c r="X5" s="94"/>
      <c r="Y5" s="94"/>
      <c r="Z5" s="94"/>
      <c r="AA5" s="94"/>
      <c r="AB5" s="113">
        <f>ROUND(SUM(V5:AA5),2)</f>
        <v>0</v>
      </c>
      <c r="AC5" s="113">
        <f>R5+IFERROR(VLOOKUP($E:$E,'（居民）工资表-8月'!$E:$AC,25,0),0)</f>
        <v>0</v>
      </c>
      <c r="AD5" s="116">
        <f>ROUND(S5-T5-U5-AB5-AC5,2)</f>
        <v>15595.98</v>
      </c>
      <c r="AE5" s="117">
        <f>ROUND(MAX((AD5)*{0.03;0.1;0.2;0.25;0.3;0.35;0.45}-{0;2520;16920;31920;52920;85920;181920},0),2)</f>
        <v>467.88</v>
      </c>
      <c r="AF5" s="118">
        <f>IFERROR(VLOOKUP(E:E,'（居民）工资表-8月'!E:AF,28,0)+VLOOKUP(E:E,'（居民）工资表-8月'!E:AG,29,0),0)</f>
        <v>422.05</v>
      </c>
      <c r="AG5" s="118">
        <f>IF((AE5-AF5)&lt;0,0,AE5-AF5)</f>
        <v>45.83</v>
      </c>
      <c r="AH5" s="125">
        <f>ROUND(IF((L5-Q5-AG5)&lt;0,0,(L5-Q5-AG5)),2)</f>
        <v>6481.71</v>
      </c>
      <c r="AI5" s="126"/>
      <c r="AJ5" s="125">
        <f>AH5+AI5</f>
        <v>6481.71</v>
      </c>
      <c r="AK5" s="127"/>
      <c r="AL5" s="125">
        <f>AJ5+AG5+AK5</f>
        <v>6527.54</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IF(SUMPRODUCT(N(E$1:E$7=E5))&gt;1,"重复","不")</f>
        <v>不</v>
      </c>
      <c r="AT5" s="134" t="str">
        <f>IF(SUMPRODUCT(N(AO$1:AO$7=AO5))&gt;1,"重复","不")</f>
        <v>重复</v>
      </c>
    </row>
    <row r="6" s="33" customFormat="1" ht="18" customHeight="1" spans="1:46">
      <c r="A6" s="57">
        <v>3</v>
      </c>
      <c r="B6" s="58" t="s">
        <v>146</v>
      </c>
      <c r="C6" s="58" t="s">
        <v>148</v>
      </c>
      <c r="D6" s="58" t="s">
        <v>147</v>
      </c>
      <c r="E6" s="397" t="s">
        <v>149</v>
      </c>
      <c r="F6" s="59" t="s">
        <v>193</v>
      </c>
      <c r="G6" s="62">
        <v>18607383005</v>
      </c>
      <c r="H6" s="61"/>
      <c r="I6" s="61"/>
      <c r="J6" s="91"/>
      <c r="K6" s="61"/>
      <c r="L6" s="94">
        <v>22800</v>
      </c>
      <c r="M6" s="93">
        <f>320</f>
        <v>320</v>
      </c>
      <c r="N6" s="93">
        <f>80</f>
        <v>80</v>
      </c>
      <c r="O6" s="93">
        <f>12</f>
        <v>12</v>
      </c>
      <c r="P6" s="93">
        <v>200</v>
      </c>
      <c r="Q6" s="112">
        <f>ROUND(SUM(M6:P6),2)</f>
        <v>612</v>
      </c>
      <c r="R6" s="94">
        <v>0</v>
      </c>
      <c r="S6" s="113">
        <f>L6+IFERROR(VLOOKUP($E:$E,'（居民）工资表-8月'!$E:$S,15,0),0)</f>
        <v>219304.76</v>
      </c>
      <c r="T6" s="114">
        <f>5000+IFERROR(VLOOKUP($E:$E,'（居民）工资表-8月'!$E:$T,16,0),0)</f>
        <v>45000</v>
      </c>
      <c r="U6" s="114">
        <f>Q6+IFERROR(VLOOKUP($E:$E,'（居民）工资表-8月'!$E:$U,17,0),0)</f>
        <v>5724.67</v>
      </c>
      <c r="V6" s="94"/>
      <c r="W6" s="94"/>
      <c r="X6" s="94"/>
      <c r="Y6" s="94"/>
      <c r="Z6" s="94"/>
      <c r="AA6" s="94"/>
      <c r="AB6" s="113">
        <f>ROUND(SUM(V6:AA6),2)</f>
        <v>0</v>
      </c>
      <c r="AC6" s="113">
        <f>R6+IFERROR(VLOOKUP($E:$E,'（居民）工资表-8月'!$E:$AC,25,0),0)</f>
        <v>0</v>
      </c>
      <c r="AD6" s="116">
        <f>ROUND(S6-T6-U6-AB6-AC6,2)</f>
        <v>168580.09</v>
      </c>
      <c r="AE6" s="117">
        <f>ROUND(MAX((AD6)*{0.03;0.1;0.2;0.25;0.3;0.35;0.45}-{0;2520;16920;31920;52920;85920;181920},0),2)</f>
        <v>16796.02</v>
      </c>
      <c r="AF6" s="118">
        <f>IFERROR(VLOOKUP(E:E,'（居民）工资表-8月'!E:AF,28,0)+VLOOKUP(E:E,'（居民）工资表-8月'!E:AG,29,0),0)</f>
        <v>13358.42</v>
      </c>
      <c r="AG6" s="118">
        <f>IF((AE6-AF6)&lt;0,0,AE6-AF6)</f>
        <v>3437.6</v>
      </c>
      <c r="AH6" s="125">
        <f>ROUND(IF((L6-Q6-AG6)&lt;0,0,(L6-Q6-AG6)),2)</f>
        <v>18750.4</v>
      </c>
      <c r="AI6" s="126"/>
      <c r="AJ6" s="125">
        <f>AH6+AI6</f>
        <v>18750.4</v>
      </c>
      <c r="AK6" s="127"/>
      <c r="AL6" s="125">
        <f>AJ6+AG6+AK6</f>
        <v>22188</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IF(SUMPRODUCT(N(E$1:E$7=E6))&gt;1,"重复","不")</f>
        <v>不</v>
      </c>
      <c r="AT6" s="134" t="str">
        <f>IF(SUMPRODUCT(N(AO$1:AO$7=AO6))&gt;1,"重复","不")</f>
        <v>重复</v>
      </c>
    </row>
    <row r="7" s="33" customFormat="1" ht="18" customHeight="1" spans="1:46">
      <c r="A7" s="57">
        <v>4</v>
      </c>
      <c r="B7" s="58" t="s">
        <v>146</v>
      </c>
      <c r="C7" s="58" t="s">
        <v>174</v>
      </c>
      <c r="D7" s="58" t="s">
        <v>147</v>
      </c>
      <c r="E7" s="397" t="s">
        <v>175</v>
      </c>
      <c r="F7" s="59" t="str">
        <f>IF(MOD(MID(E7,17,1),2)=1,"男","女")</f>
        <v>女</v>
      </c>
      <c r="G7" s="62">
        <v>15360550807</v>
      </c>
      <c r="H7" s="61"/>
      <c r="I7" s="61"/>
      <c r="J7" s="91"/>
      <c r="K7" s="61"/>
      <c r="L7" s="94">
        <v>4560</v>
      </c>
      <c r="M7" s="93"/>
      <c r="N7" s="93"/>
      <c r="O7" s="93"/>
      <c r="P7" s="93"/>
      <c r="Q7" s="112">
        <f>ROUND(SUM(M7:P7),2)</f>
        <v>0</v>
      </c>
      <c r="R7" s="94">
        <v>0</v>
      </c>
      <c r="S7" s="113">
        <f>L7+IFERROR(VLOOKUP($E:$E,'（居民）工资表-8月'!$E:$S,15,0),0)</f>
        <v>12643.6363636364</v>
      </c>
      <c r="T7" s="114">
        <f>5000+IFERROR(VLOOKUP($E:$E,'（居民）工资表-8月'!$E:$T,16,0),0)</f>
        <v>15000</v>
      </c>
      <c r="U7" s="114">
        <f>Q7+IFERROR(VLOOKUP($E:$E,'（居民）工资表-8月'!$E:$U,17,0),0)</f>
        <v>0</v>
      </c>
      <c r="V7" s="94"/>
      <c r="W7" s="94"/>
      <c r="X7" s="94"/>
      <c r="Y7" s="94"/>
      <c r="Z7" s="94"/>
      <c r="AA7" s="94"/>
      <c r="AB7" s="113">
        <f>ROUND(SUM(V7:AA7),2)</f>
        <v>0</v>
      </c>
      <c r="AC7" s="113">
        <f>R7+IFERROR(VLOOKUP($E:$E,'（居民）工资表-8月'!$E:$AC,25,0),0)</f>
        <v>0</v>
      </c>
      <c r="AD7" s="116">
        <f>ROUND(S7-T7-U7-AB7-AC7,2)</f>
        <v>-2356.36</v>
      </c>
      <c r="AE7" s="117">
        <f>ROUND(MAX((AD7)*{0.03;0.1;0.2;0.25;0.3;0.35;0.45}-{0;2520;16920;31920;52920;85920;181920},0),2)</f>
        <v>0</v>
      </c>
      <c r="AF7" s="118">
        <f>IFERROR(VLOOKUP(E:E,'（居民）工资表-8月'!E:AF,28,0)+VLOOKUP(E:E,'（居民）工资表-8月'!E:AG,29,0),0)</f>
        <v>0</v>
      </c>
      <c r="AG7" s="118">
        <f>IF((AE7-AF7)&lt;0,0,AE7-AF7)</f>
        <v>0</v>
      </c>
      <c r="AH7" s="125">
        <f>ROUND(IF((L7-Q7-AG7)&lt;0,0,(L7-Q7-AG7)),2)</f>
        <v>4560</v>
      </c>
      <c r="AI7" s="126"/>
      <c r="AJ7" s="125">
        <f>AH7+AI7</f>
        <v>4560</v>
      </c>
      <c r="AK7" s="127"/>
      <c r="AL7" s="125">
        <f>AJ7+AG7+AK7</f>
        <v>4560</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IF(SUMPRODUCT(N(E$1:E$7=E7))&gt;1,"重复","不")</f>
        <v>不</v>
      </c>
      <c r="AT7" s="134" t="str">
        <f>IF(SUMPRODUCT(N(AO$1:AO$7=AO7))&gt;1,"重复","不")</f>
        <v>重复</v>
      </c>
    </row>
    <row r="8" s="34" customFormat="1" ht="18" customHeight="1" spans="1:46">
      <c r="A8" s="63"/>
      <c r="B8" s="64" t="s">
        <v>150</v>
      </c>
      <c r="C8" s="64"/>
      <c r="D8" s="65"/>
      <c r="E8" s="66"/>
      <c r="F8" s="67"/>
      <c r="G8" s="68"/>
      <c r="H8" s="67"/>
      <c r="I8" s="95"/>
      <c r="J8" s="96"/>
      <c r="K8" s="95"/>
      <c r="L8" s="97">
        <f t="shared" ref="L8:AL8" si="0">SUM(L4:L7)</f>
        <v>44061</v>
      </c>
      <c r="M8" s="97">
        <f t="shared" si="0"/>
        <v>828.24</v>
      </c>
      <c r="N8" s="97">
        <f t="shared" si="0"/>
        <v>207.06</v>
      </c>
      <c r="O8" s="97">
        <f t="shared" si="0"/>
        <v>31.06</v>
      </c>
      <c r="P8" s="97">
        <f t="shared" si="0"/>
        <v>459</v>
      </c>
      <c r="Q8" s="97">
        <f t="shared" si="0"/>
        <v>1525.36</v>
      </c>
      <c r="R8" s="97">
        <f t="shared" si="0"/>
        <v>0</v>
      </c>
      <c r="S8" s="97">
        <f t="shared" si="0"/>
        <v>376630.396363636</v>
      </c>
      <c r="T8" s="97">
        <f t="shared" si="0"/>
        <v>150000</v>
      </c>
      <c r="U8" s="97">
        <f t="shared" si="0"/>
        <v>14889.79</v>
      </c>
      <c r="V8" s="97">
        <f t="shared" si="0"/>
        <v>0</v>
      </c>
      <c r="W8" s="97">
        <f t="shared" si="0"/>
        <v>0</v>
      </c>
      <c r="X8" s="97">
        <f t="shared" si="0"/>
        <v>9000</v>
      </c>
      <c r="Y8" s="97">
        <f t="shared" si="0"/>
        <v>0</v>
      </c>
      <c r="Z8" s="97">
        <f t="shared" si="0"/>
        <v>0</v>
      </c>
      <c r="AA8" s="97">
        <f t="shared" si="0"/>
        <v>0</v>
      </c>
      <c r="AB8" s="97">
        <f t="shared" si="0"/>
        <v>9000</v>
      </c>
      <c r="AC8" s="97">
        <f t="shared" si="0"/>
        <v>0</v>
      </c>
      <c r="AD8" s="97">
        <f t="shared" si="0"/>
        <v>202740.61</v>
      </c>
      <c r="AE8" s="97">
        <f t="shared" si="0"/>
        <v>17891.53</v>
      </c>
      <c r="AF8" s="97">
        <f t="shared" si="0"/>
        <v>14310.29</v>
      </c>
      <c r="AG8" s="97">
        <f t="shared" si="0"/>
        <v>3581.24</v>
      </c>
      <c r="AH8" s="97">
        <f t="shared" si="0"/>
        <v>38954.4</v>
      </c>
      <c r="AI8" s="141">
        <f t="shared" si="0"/>
        <v>0</v>
      </c>
      <c r="AJ8" s="97">
        <f t="shared" si="0"/>
        <v>38954.4</v>
      </c>
      <c r="AK8" s="97">
        <f t="shared" si="0"/>
        <v>0</v>
      </c>
      <c r="AL8" s="97">
        <f t="shared" si="0"/>
        <v>42535.64</v>
      </c>
      <c r="AM8" s="128"/>
      <c r="AN8" s="128"/>
      <c r="AO8" s="128"/>
      <c r="AP8" s="128"/>
      <c r="AQ8" s="128"/>
      <c r="AR8" s="67"/>
      <c r="AS8" s="67"/>
      <c r="AT8" s="135"/>
    </row>
    <row r="11" spans="30:30">
      <c r="AD11" s="119"/>
    </row>
    <row r="12" ht="18.75" customHeight="1" spans="2:30">
      <c r="B12" s="69" t="s">
        <v>127</v>
      </c>
      <c r="C12" s="69" t="s">
        <v>151</v>
      </c>
      <c r="D12" s="69" t="s">
        <v>57</v>
      </c>
      <c r="E12" s="69" t="s">
        <v>58</v>
      </c>
      <c r="AD12" s="31"/>
    </row>
    <row r="13" ht="18.75" customHeight="1" spans="2:5">
      <c r="B13" s="70">
        <f>AJ8</f>
        <v>38954.4</v>
      </c>
      <c r="C13" s="70">
        <f>AG8</f>
        <v>3581.24</v>
      </c>
      <c r="D13" s="70">
        <f>AK8</f>
        <v>0</v>
      </c>
      <c r="E13" s="70">
        <f>B13+C13+D13</f>
        <v>42535.64</v>
      </c>
    </row>
    <row r="14" spans="2:5">
      <c r="B14" s="71"/>
      <c r="C14" s="71"/>
      <c r="D14" s="71"/>
      <c r="E14" s="71"/>
    </row>
    <row r="15" s="35" customFormat="1" spans="1:35">
      <c r="A15" s="72" t="s">
        <v>152</v>
      </c>
      <c r="B15" s="73" t="s">
        <v>153</v>
      </c>
      <c r="C15" s="74"/>
      <c r="D15" s="74"/>
      <c r="E15" s="74"/>
      <c r="G15" s="75"/>
      <c r="J15" s="98"/>
      <c r="M15" s="99"/>
      <c r="AI15" s="130"/>
    </row>
    <row r="16" s="35" customFormat="1" spans="1:35">
      <c r="A16" s="76"/>
      <c r="B16" s="77" t="s">
        <v>154</v>
      </c>
      <c r="C16" s="74"/>
      <c r="D16" s="74"/>
      <c r="E16" s="74"/>
      <c r="G16" s="75"/>
      <c r="J16" s="98"/>
      <c r="M16" s="99"/>
      <c r="AI16" s="130"/>
    </row>
    <row r="17" s="35" customFormat="1" spans="1:35">
      <c r="A17" s="73"/>
      <c r="B17" s="77" t="s">
        <v>155</v>
      </c>
      <c r="C17" s="78"/>
      <c r="D17" s="78"/>
      <c r="E17" s="78"/>
      <c r="F17" s="78"/>
      <c r="G17" s="78"/>
      <c r="H17" s="78"/>
      <c r="I17" s="78"/>
      <c r="J17" s="100"/>
      <c r="K17" s="78"/>
      <c r="L17" s="78"/>
      <c r="M17" s="101"/>
      <c r="N17" s="78"/>
      <c r="O17" s="78"/>
      <c r="P17" s="78"/>
      <c r="AI17" s="130"/>
    </row>
    <row r="18" s="35" customFormat="1" customHeight="1" spans="1:35">
      <c r="A18" s="77"/>
      <c r="B18" s="77" t="s">
        <v>156</v>
      </c>
      <c r="C18" s="79"/>
      <c r="D18" s="79"/>
      <c r="E18" s="79"/>
      <c r="F18" s="79"/>
      <c r="G18" s="79"/>
      <c r="H18" s="79"/>
      <c r="I18" s="102"/>
      <c r="J18" s="103"/>
      <c r="K18" s="102"/>
      <c r="L18" s="102"/>
      <c r="M18" s="104"/>
      <c r="N18" s="102"/>
      <c r="O18" s="102"/>
      <c r="P18" s="102"/>
      <c r="AI18" s="130"/>
    </row>
    <row r="19" s="35" customFormat="1" customHeight="1" spans="1:35">
      <c r="A19" s="77"/>
      <c r="B19" s="77" t="s">
        <v>157</v>
      </c>
      <c r="C19" s="79"/>
      <c r="D19" s="79"/>
      <c r="E19" s="79"/>
      <c r="F19" s="79"/>
      <c r="G19" s="79"/>
      <c r="H19" s="79"/>
      <c r="I19" s="79"/>
      <c r="J19" s="105"/>
      <c r="K19" s="79"/>
      <c r="L19" s="102"/>
      <c r="M19" s="104"/>
      <c r="N19" s="102"/>
      <c r="O19" s="102"/>
      <c r="P19" s="102"/>
      <c r="AI19" s="130"/>
    </row>
    <row r="20" s="35" customFormat="1" customHeight="1" spans="1:35">
      <c r="A20" s="77"/>
      <c r="B20" s="77" t="s">
        <v>158</v>
      </c>
      <c r="C20" s="79"/>
      <c r="D20" s="79"/>
      <c r="E20" s="79"/>
      <c r="F20" s="79"/>
      <c r="G20" s="79"/>
      <c r="H20" s="79"/>
      <c r="I20" s="102"/>
      <c r="J20" s="103"/>
      <c r="K20" s="102"/>
      <c r="L20" s="102"/>
      <c r="M20" s="104"/>
      <c r="N20" s="102"/>
      <c r="O20" s="102"/>
      <c r="P20" s="102"/>
      <c r="AI20" s="130"/>
    </row>
    <row r="22" ht="11.25" customHeight="1" spans="2:2">
      <c r="B22" s="80" t="s">
        <v>159</v>
      </c>
    </row>
    <row r="23" spans="2:2">
      <c r="B23" s="81" t="s">
        <v>160</v>
      </c>
    </row>
    <row r="24" spans="2:2">
      <c r="B24" s="81" t="s">
        <v>161</v>
      </c>
    </row>
  </sheetData>
  <autoFilter ref="A3:AT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0">
    <cfRule type="duplicateValues" dxfId="3" priority="2" stopIfTrue="1"/>
  </conditionalFormatting>
  <conditionalFormatting sqref="B15:B19">
    <cfRule type="duplicateValues" dxfId="3" priority="3" stopIfTrue="1"/>
  </conditionalFormatting>
  <conditionalFormatting sqref="B23:B24">
    <cfRule type="duplicateValues" dxfId="3" priority="1" stopIfTrue="1"/>
  </conditionalFormatting>
  <conditionalFormatting sqref="C12:C14">
    <cfRule type="duplicateValues" dxfId="3" priority="4" stopIfTrue="1"/>
    <cfRule type="expression" dxfId="4" priority="5" stopIfTrue="1">
      <formula>AND(COUNTIF($B$8:$B$65444,C12)+COUNTIF($B$1:$B$3,C12)&gt;1,NOT(ISBLANK(C12)))</formula>
    </cfRule>
    <cfRule type="expression" dxfId="4" priority="6" stopIfTrue="1">
      <formula>AND(COUNTIF($B$19:$B$65395,C12)+COUNTIF($B$1:$B$18,C12)&gt;1,NOT(ISBLANK(C12)))</formula>
    </cfRule>
    <cfRule type="expression" dxfId="4" priority="7" stopIfTrue="1">
      <formula>AND(COUNTIF($B$8:$B$65433,C12)+COUNTIF($B$1:$B$3,C12)&gt;1,NOT(ISBLANK(C12)))</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4"/>
  <sheetViews>
    <sheetView workbookViewId="0">
      <pane xSplit="6" ySplit="3" topLeftCell="G4" activePane="bottomRight" state="frozen"/>
      <selection/>
      <selection pane="topRight"/>
      <selection pane="bottomLeft"/>
      <selection pane="bottomRight" activeCell="B4" sqref="B4:P7"/>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3.375"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9070</v>
      </c>
      <c r="M4" s="93">
        <v>264</v>
      </c>
      <c r="N4" s="93">
        <v>66</v>
      </c>
      <c r="O4" s="93">
        <v>9.9</v>
      </c>
      <c r="P4" s="93">
        <v>180</v>
      </c>
      <c r="Q4" s="112">
        <f>ROUND(SUM(M4:P4),2)</f>
        <v>519.9</v>
      </c>
      <c r="R4" s="94">
        <v>0</v>
      </c>
      <c r="S4" s="113">
        <f>L4+IFERROR(VLOOKUP($E:$E,'（居民）工资表-9月'!$E:$S,15,0),0)</f>
        <v>88670</v>
      </c>
      <c r="T4" s="114">
        <f>5000+IFERROR(VLOOKUP($E:$E,'（居民）工资表-9月'!$E:$T,16,0),0)</f>
        <v>50000</v>
      </c>
      <c r="U4" s="114">
        <f>Q4+IFERROR(VLOOKUP($E:$E,'（居民）工资表-9月'!$E:$U,17,0),0)</f>
        <v>5199</v>
      </c>
      <c r="V4" s="94"/>
      <c r="W4" s="94"/>
      <c r="X4" s="94">
        <v>10000</v>
      </c>
      <c r="Y4" s="94"/>
      <c r="Z4" s="94"/>
      <c r="AA4" s="94"/>
      <c r="AB4" s="113">
        <f>ROUND(SUM(V4:AA4),2)</f>
        <v>10000</v>
      </c>
      <c r="AC4" s="113">
        <f>R4+IFERROR(VLOOKUP($E:$E,'（居民）工资表-9月'!$E:$AC,25,0),0)</f>
        <v>0</v>
      </c>
      <c r="AD4" s="116">
        <f>ROUND(S4-T4-U4-AB4-AC4,2)</f>
        <v>23471</v>
      </c>
      <c r="AE4" s="117">
        <f>ROUND(MAX((AD4)*{0.03;0.1;0.2;0.25;0.3;0.35;0.45}-{0;2520;16920;31920;52920;85920;181920},0),2)</f>
        <v>704.13</v>
      </c>
      <c r="AF4" s="118">
        <f>IFERROR(VLOOKUP(E:E,'（居民）工资表-9月'!E:AF,28,0)+VLOOKUP(E:E,'（居民）工资表-9月'!E:AG,29,0),0)</f>
        <v>627.63</v>
      </c>
      <c r="AG4" s="118">
        <f>IF((AE4-AF4)&lt;0,0,AE4-AF4)</f>
        <v>76.5</v>
      </c>
      <c r="AH4" s="125">
        <f>ROUND(IF((L4-Q4-AG4)&lt;0,0,(L4-Q4-AG4)),2)</f>
        <v>8473.6</v>
      </c>
      <c r="AI4" s="126"/>
      <c r="AJ4" s="125">
        <f>AH4+AI4</f>
        <v>8473.6</v>
      </c>
      <c r="AK4" s="127"/>
      <c r="AL4" s="125">
        <f>AJ4+AG4+AK4</f>
        <v>8550.1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IF(SUMPRODUCT(N(E$1:E$7=E4))&gt;1,"重复","不")</f>
        <v>不</v>
      </c>
      <c r="AT4" s="134" t="str">
        <f>IF(SUMPRODUCT(N(AO$1:AO$7=AO4))&gt;1,"重复","不")</f>
        <v>重复</v>
      </c>
    </row>
    <row r="5" s="33" customFormat="1" ht="18" customHeight="1" spans="1:46">
      <c r="A5" s="57">
        <v>2</v>
      </c>
      <c r="B5" s="58" t="s">
        <v>146</v>
      </c>
      <c r="C5" s="58" t="s">
        <v>93</v>
      </c>
      <c r="D5" s="58" t="s">
        <v>147</v>
      </c>
      <c r="E5" s="58" t="s">
        <v>94</v>
      </c>
      <c r="F5" s="59" t="s">
        <v>193</v>
      </c>
      <c r="G5" s="62">
        <v>13944441728</v>
      </c>
      <c r="H5" s="61"/>
      <c r="I5" s="61"/>
      <c r="J5" s="91"/>
      <c r="K5" s="61"/>
      <c r="L5" s="94">
        <v>6889.4</v>
      </c>
      <c r="M5" s="93">
        <v>244.24</v>
      </c>
      <c r="N5" s="93">
        <v>61.06</v>
      </c>
      <c r="O5" s="93">
        <v>9.16</v>
      </c>
      <c r="P5" s="93">
        <v>79</v>
      </c>
      <c r="Q5" s="112">
        <f>ROUND(SUM(M5:P5),2)</f>
        <v>393.46</v>
      </c>
      <c r="R5" s="94">
        <v>0</v>
      </c>
      <c r="S5" s="113">
        <f>L5+IFERROR(VLOOKUP($E:$E,'（居民）工资表-9月'!$E:$S,15,0),0)</f>
        <v>71971.4</v>
      </c>
      <c r="T5" s="114">
        <f>5000+IFERROR(VLOOKUP($E:$E,'（居民）工资表-9月'!$E:$T,16,0),0)</f>
        <v>50000</v>
      </c>
      <c r="U5" s="114">
        <f>Q5+IFERROR(VLOOKUP($E:$E,'（居民）工资表-9月'!$E:$U,17,0),0)</f>
        <v>4879.48</v>
      </c>
      <c r="V5" s="94"/>
      <c r="W5" s="94"/>
      <c r="X5" s="94"/>
      <c r="Y5" s="94"/>
      <c r="Z5" s="94"/>
      <c r="AA5" s="94"/>
      <c r="AB5" s="113">
        <f>ROUND(SUM(V5:AA5),2)</f>
        <v>0</v>
      </c>
      <c r="AC5" s="113">
        <f>R5+IFERROR(VLOOKUP($E:$E,'（居民）工资表-9月'!$E:$AC,25,0),0)</f>
        <v>0</v>
      </c>
      <c r="AD5" s="116">
        <f>ROUND(S5-T5-U5-AB5-AC5,2)</f>
        <v>17091.92</v>
      </c>
      <c r="AE5" s="117">
        <f>ROUND(MAX((AD5)*{0.03;0.1;0.2;0.25;0.3;0.35;0.45}-{0;2520;16920;31920;52920;85920;181920},0),2)</f>
        <v>512.76</v>
      </c>
      <c r="AF5" s="118">
        <f>IFERROR(VLOOKUP(E:E,'（居民）工资表-9月'!E:AF,28,0)+VLOOKUP(E:E,'（居民）工资表-9月'!E:AG,29,0),0)</f>
        <v>467.88</v>
      </c>
      <c r="AG5" s="118">
        <f>IF((AE5-AF5)&lt;0,0,AE5-AF5)</f>
        <v>44.88</v>
      </c>
      <c r="AH5" s="125">
        <f>ROUND(IF((L5-Q5-AG5)&lt;0,0,(L5-Q5-AG5)),2)</f>
        <v>6451.06</v>
      </c>
      <c r="AI5" s="126"/>
      <c r="AJ5" s="125">
        <f>AH5+AI5</f>
        <v>6451.06</v>
      </c>
      <c r="AK5" s="127"/>
      <c r="AL5" s="125">
        <f>AJ5+AG5+AK5</f>
        <v>6495.94</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IF(SUMPRODUCT(N(E$1:E$7=E5))&gt;1,"重复","不")</f>
        <v>不</v>
      </c>
      <c r="AT5" s="134" t="str">
        <f>IF(SUMPRODUCT(N(AO$1:AO$7=AO5))&gt;1,"重复","不")</f>
        <v>重复</v>
      </c>
    </row>
    <row r="6" s="33" customFormat="1" ht="18" customHeight="1" spans="1:46">
      <c r="A6" s="57">
        <v>3</v>
      </c>
      <c r="B6" s="58" t="s">
        <v>146</v>
      </c>
      <c r="C6" s="58" t="s">
        <v>148</v>
      </c>
      <c r="D6" s="58" t="s">
        <v>147</v>
      </c>
      <c r="E6" s="397" t="s">
        <v>149</v>
      </c>
      <c r="F6" s="59" t="s">
        <v>193</v>
      </c>
      <c r="G6" s="62">
        <v>18607383005</v>
      </c>
      <c r="H6" s="61"/>
      <c r="I6" s="61"/>
      <c r="J6" s="91"/>
      <c r="K6" s="61"/>
      <c r="L6" s="94">
        <v>20720</v>
      </c>
      <c r="M6" s="93">
        <f>320</f>
        <v>320</v>
      </c>
      <c r="N6" s="93">
        <f>80</f>
        <v>80</v>
      </c>
      <c r="O6" s="93">
        <f>12</f>
        <v>12</v>
      </c>
      <c r="P6" s="93">
        <v>200</v>
      </c>
      <c r="Q6" s="112">
        <f>ROUND(SUM(M6:P6),2)</f>
        <v>612</v>
      </c>
      <c r="R6" s="94">
        <v>0</v>
      </c>
      <c r="S6" s="113">
        <f>L6+IFERROR(VLOOKUP($E:$E,'（居民）工资表-9月'!$E:$S,15,0),0)</f>
        <v>240024.76</v>
      </c>
      <c r="T6" s="114">
        <f>5000+IFERROR(VLOOKUP($E:$E,'（居民）工资表-9月'!$E:$T,16,0),0)</f>
        <v>50000</v>
      </c>
      <c r="U6" s="114">
        <f>Q6+IFERROR(VLOOKUP($E:$E,'（居民）工资表-9月'!$E:$U,17,0),0)</f>
        <v>6336.67</v>
      </c>
      <c r="V6" s="94"/>
      <c r="W6" s="94"/>
      <c r="X6" s="94"/>
      <c r="Y6" s="94"/>
      <c r="Z6" s="94"/>
      <c r="AA6" s="94"/>
      <c r="AB6" s="113">
        <f>ROUND(SUM(V6:AA6),2)</f>
        <v>0</v>
      </c>
      <c r="AC6" s="113">
        <f>R6+IFERROR(VLOOKUP($E:$E,'（居民）工资表-9月'!$E:$AC,25,0),0)</f>
        <v>0</v>
      </c>
      <c r="AD6" s="116">
        <f>ROUND(S6-T6-U6-AB6-AC6,2)</f>
        <v>183688.09</v>
      </c>
      <c r="AE6" s="117">
        <f>ROUND(MAX((AD6)*{0.03;0.1;0.2;0.25;0.3;0.35;0.45}-{0;2520;16920;31920;52920;85920;181920},0),2)</f>
        <v>19817.62</v>
      </c>
      <c r="AF6" s="118">
        <f>IFERROR(VLOOKUP(E:E,'（居民）工资表-9月'!E:AF,28,0)+VLOOKUP(E:E,'（居民）工资表-9月'!E:AG,29,0),0)</f>
        <v>16796.02</v>
      </c>
      <c r="AG6" s="118">
        <f>IF((AE6-AF6)&lt;0,0,AE6-AF6)</f>
        <v>3021.6</v>
      </c>
      <c r="AH6" s="125">
        <f>ROUND(IF((L6-Q6-AG6)&lt;0,0,(L6-Q6-AG6)),2)</f>
        <v>17086.4</v>
      </c>
      <c r="AI6" s="126"/>
      <c r="AJ6" s="125">
        <f>AH6+AI6</f>
        <v>17086.4</v>
      </c>
      <c r="AK6" s="127"/>
      <c r="AL6" s="125">
        <f>AJ6+AG6+AK6</f>
        <v>20108</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IF(SUMPRODUCT(N(E$1:E$7=E6))&gt;1,"重复","不")</f>
        <v>不</v>
      </c>
      <c r="AT6" s="134" t="str">
        <f>IF(SUMPRODUCT(N(AO$1:AO$7=AO6))&gt;1,"重复","不")</f>
        <v>重复</v>
      </c>
    </row>
    <row r="7" s="33" customFormat="1" ht="18" customHeight="1" spans="1:46">
      <c r="A7" s="57">
        <v>4</v>
      </c>
      <c r="B7" s="58" t="s">
        <v>146</v>
      </c>
      <c r="C7" s="58" t="s">
        <v>174</v>
      </c>
      <c r="D7" s="58" t="s">
        <v>147</v>
      </c>
      <c r="E7" s="397" t="s">
        <v>175</v>
      </c>
      <c r="F7" s="59" t="str">
        <f>IF(MOD(MID(E7,17,1),2)=1,"男","女")</f>
        <v>女</v>
      </c>
      <c r="G7" s="62">
        <v>15360550807</v>
      </c>
      <c r="H7" s="61"/>
      <c r="I7" s="61"/>
      <c r="J7" s="91"/>
      <c r="K7" s="61"/>
      <c r="L7" s="94">
        <v>5700</v>
      </c>
      <c r="M7" s="93"/>
      <c r="N7" s="93"/>
      <c r="O7" s="93"/>
      <c r="P7" s="93"/>
      <c r="Q7" s="112">
        <f>ROUND(SUM(M7:P7),2)</f>
        <v>0</v>
      </c>
      <c r="R7" s="94">
        <v>0</v>
      </c>
      <c r="S7" s="113">
        <f>L7+IFERROR(VLOOKUP($E:$E,'（居民）工资表-9月'!$E:$S,15,0),0)</f>
        <v>18343.6363636364</v>
      </c>
      <c r="T7" s="114">
        <f>5000+IFERROR(VLOOKUP($E:$E,'（居民）工资表-9月'!$E:$T,16,0),0)</f>
        <v>20000</v>
      </c>
      <c r="U7" s="114">
        <f>Q7+IFERROR(VLOOKUP($E:$E,'（居民）工资表-9月'!$E:$U,17,0),0)</f>
        <v>0</v>
      </c>
      <c r="V7" s="94"/>
      <c r="W7" s="94"/>
      <c r="X7" s="94"/>
      <c r="Y7" s="94"/>
      <c r="Z7" s="94"/>
      <c r="AA7" s="94"/>
      <c r="AB7" s="113">
        <f>ROUND(SUM(V7:AA7),2)</f>
        <v>0</v>
      </c>
      <c r="AC7" s="113">
        <f>R7+IFERROR(VLOOKUP($E:$E,'（居民）工资表-9月'!$E:$AC,25,0),0)</f>
        <v>0</v>
      </c>
      <c r="AD7" s="116">
        <f>ROUND(S7-T7-U7-AB7-AC7,2)</f>
        <v>-1656.36</v>
      </c>
      <c r="AE7" s="117">
        <f>ROUND(MAX((AD7)*{0.03;0.1;0.2;0.25;0.3;0.35;0.45}-{0;2520;16920;31920;52920;85920;181920},0),2)</f>
        <v>0</v>
      </c>
      <c r="AF7" s="118">
        <f>IFERROR(VLOOKUP(E:E,'（居民）工资表-9月'!E:AF,28,0)+VLOOKUP(E:E,'（居民）工资表-9月'!E:AG,29,0),0)</f>
        <v>0</v>
      </c>
      <c r="AG7" s="118">
        <f>IF((AE7-AF7)&lt;0,0,AE7-AF7)</f>
        <v>0</v>
      </c>
      <c r="AH7" s="125">
        <f>ROUND(IF((L7-Q7-AG7)&lt;0,0,(L7-Q7-AG7)),2)</f>
        <v>5700</v>
      </c>
      <c r="AI7" s="126"/>
      <c r="AJ7" s="125">
        <f>AH7+AI7</f>
        <v>5700</v>
      </c>
      <c r="AK7" s="127"/>
      <c r="AL7" s="125">
        <f>AJ7+AG7+AK7</f>
        <v>5700</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IF(SUMPRODUCT(N(E$1:E$7=E7))&gt;1,"重复","不")</f>
        <v>不</v>
      </c>
      <c r="AT7" s="134" t="str">
        <f>IF(SUMPRODUCT(N(AO$1:AO$7=AO7))&gt;1,"重复","不")</f>
        <v>重复</v>
      </c>
    </row>
    <row r="8" s="34" customFormat="1" ht="18" customHeight="1" spans="1:46">
      <c r="A8" s="63"/>
      <c r="B8" s="64" t="s">
        <v>150</v>
      </c>
      <c r="C8" s="64"/>
      <c r="D8" s="65"/>
      <c r="E8" s="66"/>
      <c r="F8" s="67"/>
      <c r="G8" s="68"/>
      <c r="H8" s="67"/>
      <c r="I8" s="95"/>
      <c r="J8" s="96"/>
      <c r="K8" s="95"/>
      <c r="L8" s="97">
        <f t="shared" ref="L8:AL8" si="0">SUM(L4:L7)</f>
        <v>42379.4</v>
      </c>
      <c r="M8" s="97">
        <f t="shared" si="0"/>
        <v>828.24</v>
      </c>
      <c r="N8" s="97">
        <f t="shared" si="0"/>
        <v>207.06</v>
      </c>
      <c r="O8" s="97">
        <f t="shared" si="0"/>
        <v>31.06</v>
      </c>
      <c r="P8" s="97">
        <f t="shared" si="0"/>
        <v>459</v>
      </c>
      <c r="Q8" s="97">
        <f t="shared" si="0"/>
        <v>1525.36</v>
      </c>
      <c r="R8" s="97">
        <f t="shared" si="0"/>
        <v>0</v>
      </c>
      <c r="S8" s="97">
        <f t="shared" si="0"/>
        <v>419009.796363636</v>
      </c>
      <c r="T8" s="97">
        <f t="shared" si="0"/>
        <v>170000</v>
      </c>
      <c r="U8" s="97">
        <f t="shared" si="0"/>
        <v>16415.15</v>
      </c>
      <c r="V8" s="97">
        <f t="shared" si="0"/>
        <v>0</v>
      </c>
      <c r="W8" s="97">
        <f t="shared" si="0"/>
        <v>0</v>
      </c>
      <c r="X8" s="97">
        <f t="shared" si="0"/>
        <v>10000</v>
      </c>
      <c r="Y8" s="97">
        <f t="shared" si="0"/>
        <v>0</v>
      </c>
      <c r="Z8" s="97">
        <f t="shared" si="0"/>
        <v>0</v>
      </c>
      <c r="AA8" s="97">
        <f t="shared" si="0"/>
        <v>0</v>
      </c>
      <c r="AB8" s="97">
        <f t="shared" si="0"/>
        <v>10000</v>
      </c>
      <c r="AC8" s="97">
        <f t="shared" si="0"/>
        <v>0</v>
      </c>
      <c r="AD8" s="97">
        <f t="shared" si="0"/>
        <v>222594.65</v>
      </c>
      <c r="AE8" s="97">
        <f t="shared" si="0"/>
        <v>21034.51</v>
      </c>
      <c r="AF8" s="97">
        <f t="shared" si="0"/>
        <v>17891.53</v>
      </c>
      <c r="AG8" s="97">
        <f t="shared" si="0"/>
        <v>3142.98</v>
      </c>
      <c r="AH8" s="97">
        <f t="shared" si="0"/>
        <v>37711.06</v>
      </c>
      <c r="AI8" s="141">
        <f t="shared" si="0"/>
        <v>0</v>
      </c>
      <c r="AJ8" s="97">
        <f t="shared" si="0"/>
        <v>37711.06</v>
      </c>
      <c r="AK8" s="97">
        <f t="shared" si="0"/>
        <v>0</v>
      </c>
      <c r="AL8" s="97">
        <f t="shared" si="0"/>
        <v>40854.04</v>
      </c>
      <c r="AM8" s="128"/>
      <c r="AN8" s="128"/>
      <c r="AO8" s="128"/>
      <c r="AP8" s="128"/>
      <c r="AQ8" s="128"/>
      <c r="AR8" s="67"/>
      <c r="AS8" s="67"/>
      <c r="AT8" s="135"/>
    </row>
    <row r="11" spans="30:30">
      <c r="AD11" s="119"/>
    </row>
    <row r="12" ht="18.75" customHeight="1" spans="2:30">
      <c r="B12" s="69" t="s">
        <v>127</v>
      </c>
      <c r="C12" s="69" t="s">
        <v>151</v>
      </c>
      <c r="D12" s="69" t="s">
        <v>57</v>
      </c>
      <c r="E12" s="69" t="s">
        <v>58</v>
      </c>
      <c r="AD12" s="31"/>
    </row>
    <row r="13" ht="18.75" customHeight="1" spans="2:5">
      <c r="B13" s="70">
        <f>AJ8</f>
        <v>37711.06</v>
      </c>
      <c r="C13" s="70">
        <f>AG8</f>
        <v>3142.98</v>
      </c>
      <c r="D13" s="70">
        <f>AK8</f>
        <v>0</v>
      </c>
      <c r="E13" s="70">
        <f>B13+C13+D13</f>
        <v>40854.04</v>
      </c>
    </row>
    <row r="14" spans="2:5">
      <c r="B14" s="71"/>
      <c r="C14" s="71"/>
      <c r="D14" s="71"/>
      <c r="E14" s="71"/>
    </row>
    <row r="15" s="35" customFormat="1" spans="1:35">
      <c r="A15" s="72" t="s">
        <v>152</v>
      </c>
      <c r="B15" s="73" t="s">
        <v>153</v>
      </c>
      <c r="C15" s="74"/>
      <c r="D15" s="74"/>
      <c r="E15" s="74"/>
      <c r="G15" s="75"/>
      <c r="J15" s="98"/>
      <c r="M15" s="99"/>
      <c r="AI15" s="130"/>
    </row>
    <row r="16" s="35" customFormat="1" spans="1:35">
      <c r="A16" s="76"/>
      <c r="B16" s="77" t="s">
        <v>154</v>
      </c>
      <c r="C16" s="74"/>
      <c r="D16" s="74"/>
      <c r="E16" s="74"/>
      <c r="G16" s="75"/>
      <c r="J16" s="98"/>
      <c r="M16" s="99"/>
      <c r="AI16" s="130"/>
    </row>
    <row r="17" s="35" customFormat="1" spans="1:35">
      <c r="A17" s="73"/>
      <c r="B17" s="77" t="s">
        <v>155</v>
      </c>
      <c r="C17" s="78"/>
      <c r="D17" s="78"/>
      <c r="E17" s="78"/>
      <c r="F17" s="78"/>
      <c r="G17" s="78"/>
      <c r="H17" s="78"/>
      <c r="I17" s="78"/>
      <c r="J17" s="100"/>
      <c r="K17" s="78"/>
      <c r="L17" s="78"/>
      <c r="M17" s="101"/>
      <c r="N17" s="78"/>
      <c r="O17" s="78"/>
      <c r="P17" s="78"/>
      <c r="AI17" s="130"/>
    </row>
    <row r="18" s="35" customFormat="1" customHeight="1" spans="1:35">
      <c r="A18" s="77"/>
      <c r="B18" s="77" t="s">
        <v>156</v>
      </c>
      <c r="C18" s="79"/>
      <c r="D18" s="79"/>
      <c r="E18" s="79"/>
      <c r="F18" s="79"/>
      <c r="G18" s="79"/>
      <c r="H18" s="79"/>
      <c r="I18" s="102"/>
      <c r="J18" s="103"/>
      <c r="K18" s="102"/>
      <c r="L18" s="102"/>
      <c r="M18" s="104"/>
      <c r="N18" s="102"/>
      <c r="O18" s="102"/>
      <c r="P18" s="102"/>
      <c r="AI18" s="130"/>
    </row>
    <row r="19" s="35" customFormat="1" customHeight="1" spans="1:35">
      <c r="A19" s="77"/>
      <c r="B19" s="77" t="s">
        <v>157</v>
      </c>
      <c r="C19" s="79"/>
      <c r="D19" s="79"/>
      <c r="E19" s="79"/>
      <c r="F19" s="79"/>
      <c r="G19" s="79"/>
      <c r="H19" s="79"/>
      <c r="I19" s="79"/>
      <c r="J19" s="105"/>
      <c r="K19" s="79"/>
      <c r="L19" s="102"/>
      <c r="M19" s="104"/>
      <c r="N19" s="102"/>
      <c r="O19" s="102"/>
      <c r="P19" s="102"/>
      <c r="AI19" s="130"/>
    </row>
    <row r="20" s="35" customFormat="1" customHeight="1" spans="1:35">
      <c r="A20" s="77"/>
      <c r="B20" s="77" t="s">
        <v>158</v>
      </c>
      <c r="C20" s="79"/>
      <c r="D20" s="79"/>
      <c r="E20" s="79"/>
      <c r="F20" s="79"/>
      <c r="G20" s="79"/>
      <c r="H20" s="79"/>
      <c r="I20" s="102"/>
      <c r="J20" s="103"/>
      <c r="K20" s="102"/>
      <c r="L20" s="102"/>
      <c r="M20" s="104"/>
      <c r="N20" s="102"/>
      <c r="O20" s="102"/>
      <c r="P20" s="102"/>
      <c r="AI20" s="130"/>
    </row>
    <row r="22" ht="11.25" customHeight="1" spans="2:2">
      <c r="B22" s="80" t="s">
        <v>159</v>
      </c>
    </row>
    <row r="23" spans="2:2">
      <c r="B23" s="81" t="s">
        <v>160</v>
      </c>
    </row>
    <row r="24" spans="2:2">
      <c r="B24" s="81" t="s">
        <v>161</v>
      </c>
    </row>
  </sheetData>
  <autoFilter ref="A3:AT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0">
    <cfRule type="duplicateValues" dxfId="3" priority="2" stopIfTrue="1"/>
  </conditionalFormatting>
  <conditionalFormatting sqref="B15:B19">
    <cfRule type="duplicateValues" dxfId="3" priority="3" stopIfTrue="1"/>
  </conditionalFormatting>
  <conditionalFormatting sqref="B23:B24">
    <cfRule type="duplicateValues" dxfId="3" priority="1" stopIfTrue="1"/>
  </conditionalFormatting>
  <conditionalFormatting sqref="C12:C14">
    <cfRule type="duplicateValues" dxfId="3" priority="4" stopIfTrue="1"/>
    <cfRule type="expression" dxfId="4" priority="5" stopIfTrue="1">
      <formula>AND(COUNTIF($B$8:$B$65444,C12)+COUNTIF($B$1:$B$3,C12)&gt;1,NOT(ISBLANK(C12)))</formula>
    </cfRule>
    <cfRule type="expression" dxfId="4" priority="6" stopIfTrue="1">
      <formula>AND(COUNTIF($B$19:$B$65395,C12)+COUNTIF($B$1:$B$18,C12)&gt;1,NOT(ISBLANK(C12)))</formula>
    </cfRule>
    <cfRule type="expression" dxfId="4" priority="7" stopIfTrue="1">
      <formula>AND(COUNTIF($B$8:$B$65433,C12)+COUNTIF($B$1:$B$3,C12)&gt;1,NOT(ISBLANK(C12)))</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5"/>
  <sheetViews>
    <sheetView workbookViewId="0">
      <pane xSplit="6" ySplit="3" topLeftCell="S4" activePane="bottomRight" state="frozen"/>
      <selection/>
      <selection pane="topRight"/>
      <selection pane="bottomLeft"/>
      <selection pane="bottomRight" activeCell="B4" sqref="B4:P8"/>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3.375"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10400</v>
      </c>
      <c r="M4" s="93">
        <v>264</v>
      </c>
      <c r="N4" s="93">
        <v>66</v>
      </c>
      <c r="O4" s="93">
        <v>9.9</v>
      </c>
      <c r="P4" s="93">
        <v>180</v>
      </c>
      <c r="Q4" s="112">
        <f>ROUND(SUM(M4:P4),2)</f>
        <v>519.9</v>
      </c>
      <c r="R4" s="94">
        <v>0</v>
      </c>
      <c r="S4" s="113">
        <f>L4+IFERROR(VLOOKUP($E:$E,'（居民）工资表-10月'!$E:$S,15,0),0)</f>
        <v>99070</v>
      </c>
      <c r="T4" s="114">
        <f>5000+IFERROR(VLOOKUP($E:$E,'（居民）工资表-10月'!$E:$T,16,0),0)</f>
        <v>55000</v>
      </c>
      <c r="U4" s="114">
        <f>Q4+IFERROR(VLOOKUP($E:$E,'（居民）工资表-10月'!$E:$U,17,0),0)</f>
        <v>5718.9</v>
      </c>
      <c r="V4" s="94"/>
      <c r="W4" s="94"/>
      <c r="X4" s="94">
        <v>11000</v>
      </c>
      <c r="Y4" s="94"/>
      <c r="Z4" s="94"/>
      <c r="AA4" s="94"/>
      <c r="AB4" s="113">
        <f>ROUND(SUM(V4:AA4),2)</f>
        <v>11000</v>
      </c>
      <c r="AC4" s="113">
        <f>R4+IFERROR(VLOOKUP($E:$E,'（居民）工资表-10月'!$E:$AC,25,0),0)</f>
        <v>0</v>
      </c>
      <c r="AD4" s="116">
        <f>ROUND(S4-T4-U4-AB4-AC4,2)</f>
        <v>27351.1</v>
      </c>
      <c r="AE4" s="117">
        <f>ROUND(MAX((AD4)*{0.03;0.1;0.2;0.25;0.3;0.35;0.45}-{0;2520;16920;31920;52920;85920;181920},0),2)</f>
        <v>820.53</v>
      </c>
      <c r="AF4" s="118">
        <f>IFERROR(VLOOKUP(E:E,'（居民）工资表-10月'!E:AF,28,0)+VLOOKUP(E:E,'（居民）工资表-10月'!E:AG,29,0),0)</f>
        <v>704.13</v>
      </c>
      <c r="AG4" s="118">
        <f>IF((AE4-AF4)&lt;0,0,AE4-AF4)</f>
        <v>116.4</v>
      </c>
      <c r="AH4" s="125">
        <f>ROUND(IF((L4-Q4-AG4)&lt;0,0,(L4-Q4-AG4)),2)</f>
        <v>9763.7</v>
      </c>
      <c r="AI4" s="126"/>
      <c r="AJ4" s="125">
        <f>AH4+AI4</f>
        <v>9763.7</v>
      </c>
      <c r="AK4" s="127"/>
      <c r="AL4" s="125">
        <f>AJ4+AG4+AK4</f>
        <v>9880.1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IF(SUMPRODUCT(N(E$1:E$6=E4))&gt;1,"重复","不")</f>
        <v>不</v>
      </c>
      <c r="AT4" s="134" t="str">
        <f>IF(SUMPRODUCT(N(AO$1:AO$6=AO4))&gt;1,"重复","不")</f>
        <v>重复</v>
      </c>
    </row>
    <row r="5" s="33" customFormat="1" ht="18" customHeight="1" spans="1:46">
      <c r="A5" s="57">
        <v>2</v>
      </c>
      <c r="B5" s="58" t="s">
        <v>146</v>
      </c>
      <c r="C5" s="58" t="s">
        <v>93</v>
      </c>
      <c r="D5" s="58" t="s">
        <v>147</v>
      </c>
      <c r="E5" s="58" t="s">
        <v>94</v>
      </c>
      <c r="F5" s="59" t="s">
        <v>193</v>
      </c>
      <c r="G5" s="62">
        <v>13944441728</v>
      </c>
      <c r="H5" s="61"/>
      <c r="I5" s="61"/>
      <c r="J5" s="91"/>
      <c r="K5" s="61"/>
      <c r="L5" s="94">
        <v>7000</v>
      </c>
      <c r="M5" s="93">
        <f>268.81+24.57*4</f>
        <v>367.09</v>
      </c>
      <c r="N5" s="93">
        <v>61.06</v>
      </c>
      <c r="O5" s="93">
        <f>10.08+0.92*4</f>
        <v>13.76</v>
      </c>
      <c r="P5" s="93">
        <v>79</v>
      </c>
      <c r="Q5" s="112">
        <f>ROUND(SUM(M5:P5),2)</f>
        <v>520.91</v>
      </c>
      <c r="R5" s="94">
        <v>0</v>
      </c>
      <c r="S5" s="113">
        <f>L5+IFERROR(VLOOKUP($E:$E,'（居民）工资表-10月'!$E:$S,15,0),0)</f>
        <v>78971.4</v>
      </c>
      <c r="T5" s="114">
        <f>5000+IFERROR(VLOOKUP($E:$E,'（居民）工资表-10月'!$E:$T,16,0),0)</f>
        <v>55000</v>
      </c>
      <c r="U5" s="114">
        <f>Q5+IFERROR(VLOOKUP($E:$E,'（居民）工资表-10月'!$E:$U,17,0),0)</f>
        <v>5400.39</v>
      </c>
      <c r="V5" s="94"/>
      <c r="W5" s="94"/>
      <c r="X5" s="94"/>
      <c r="Y5" s="94"/>
      <c r="Z5" s="94"/>
      <c r="AA5" s="94"/>
      <c r="AB5" s="113">
        <f>ROUND(SUM(V5:AA5),2)</f>
        <v>0</v>
      </c>
      <c r="AC5" s="113">
        <f>R5+IFERROR(VLOOKUP($E:$E,'（居民）工资表-10月'!$E:$AC,25,0),0)</f>
        <v>0</v>
      </c>
      <c r="AD5" s="116">
        <f>ROUND(S5-T5-U5-AB5-AC5,2)</f>
        <v>18571.01</v>
      </c>
      <c r="AE5" s="117">
        <f>ROUND(MAX((AD5)*{0.03;0.1;0.2;0.25;0.3;0.35;0.45}-{0;2520;16920;31920;52920;85920;181920},0),2)</f>
        <v>557.13</v>
      </c>
      <c r="AF5" s="118">
        <f>IFERROR(VLOOKUP(E:E,'（居民）工资表-10月'!E:AF,28,0)+VLOOKUP(E:E,'（居民）工资表-10月'!E:AG,29,0),0)</f>
        <v>512.76</v>
      </c>
      <c r="AG5" s="118">
        <f>IF((AE5-AF5)&lt;0,0,AE5-AF5)</f>
        <v>44.37</v>
      </c>
      <c r="AH5" s="125">
        <f>ROUND(IF((L5-Q5-AG5)&lt;0,0,(L5-Q5-AG5)),2)</f>
        <v>6434.72</v>
      </c>
      <c r="AI5" s="126"/>
      <c r="AJ5" s="125">
        <f>AH5+AI5</f>
        <v>6434.72</v>
      </c>
      <c r="AK5" s="127"/>
      <c r="AL5" s="125">
        <f>AJ5+AG5+AK5</f>
        <v>6479.09</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IF(SUMPRODUCT(N(E$1:E$6=E5))&gt;1,"重复","不")</f>
        <v>不</v>
      </c>
      <c r="AT5" s="134" t="str">
        <f>IF(SUMPRODUCT(N(AO$1:AO$6=AO5))&gt;1,"重复","不")</f>
        <v>重复</v>
      </c>
    </row>
    <row r="6" s="33" customFormat="1" ht="18" customHeight="1" spans="1:46">
      <c r="A6" s="57">
        <v>3</v>
      </c>
      <c r="B6" s="58" t="s">
        <v>146</v>
      </c>
      <c r="C6" s="58" t="s">
        <v>174</v>
      </c>
      <c r="D6" s="58" t="s">
        <v>147</v>
      </c>
      <c r="E6" s="397" t="s">
        <v>175</v>
      </c>
      <c r="F6" s="59" t="str">
        <f>IF(MOD(MID(E6,17,1),2)=1,"男","女")</f>
        <v>女</v>
      </c>
      <c r="G6" s="62">
        <v>15360550807</v>
      </c>
      <c r="H6" s="61"/>
      <c r="I6" s="61"/>
      <c r="J6" s="91"/>
      <c r="K6" s="61"/>
      <c r="L6" s="94">
        <v>5700</v>
      </c>
      <c r="M6" s="93">
        <v>367.04</v>
      </c>
      <c r="N6" s="93">
        <v>123.5</v>
      </c>
      <c r="O6" s="93">
        <v>4.2</v>
      </c>
      <c r="P6" s="93">
        <v>105</v>
      </c>
      <c r="Q6" s="112">
        <f>ROUND(SUM(M6:P6),2)</f>
        <v>599.74</v>
      </c>
      <c r="R6" s="94">
        <v>0</v>
      </c>
      <c r="S6" s="113">
        <f>L6+IFERROR(VLOOKUP($E:$E,'（居民）工资表-10月'!$E:$S,15,0),0)</f>
        <v>24043.6363636364</v>
      </c>
      <c r="T6" s="114">
        <f>5000+IFERROR(VLOOKUP($E:$E,'（居民）工资表-10月'!$E:$T,16,0),0)</f>
        <v>25000</v>
      </c>
      <c r="U6" s="114">
        <f>Q6+IFERROR(VLOOKUP($E:$E,'（居民）工资表-10月'!$E:$U,17,0),0)</f>
        <v>599.74</v>
      </c>
      <c r="V6" s="94"/>
      <c r="W6" s="94"/>
      <c r="X6" s="94"/>
      <c r="Y6" s="94"/>
      <c r="Z6" s="94"/>
      <c r="AA6" s="94"/>
      <c r="AB6" s="113">
        <f>ROUND(SUM(V6:AA6),2)</f>
        <v>0</v>
      </c>
      <c r="AC6" s="113">
        <f>R6+IFERROR(VLOOKUP($E:$E,'（居民）工资表-10月'!$E:$AC,25,0),0)</f>
        <v>0</v>
      </c>
      <c r="AD6" s="116">
        <f>ROUND(S6-T6-U6-AB6-AC6,2)</f>
        <v>-1556.1</v>
      </c>
      <c r="AE6" s="117">
        <f>ROUND(MAX((AD6)*{0.03;0.1;0.2;0.25;0.3;0.35;0.45}-{0;2520;16920;31920;52920;85920;181920},0),2)</f>
        <v>0</v>
      </c>
      <c r="AF6" s="118">
        <f>IFERROR(VLOOKUP(E:E,'（居民）工资表-10月'!E:AF,28,0)+VLOOKUP(E:E,'（居民）工资表-10月'!E:AG,29,0),0)</f>
        <v>0</v>
      </c>
      <c r="AG6" s="118">
        <f>IF((AE6-AF6)&lt;0,0,AE6-AF6)</f>
        <v>0</v>
      </c>
      <c r="AH6" s="125">
        <f>ROUND(IF((L6-Q6-AG6)&lt;0,0,(L6-Q6-AG6)),2)</f>
        <v>5100.26</v>
      </c>
      <c r="AI6" s="126"/>
      <c r="AJ6" s="125">
        <f>AH6+AI6</f>
        <v>5100.26</v>
      </c>
      <c r="AK6" s="127"/>
      <c r="AL6" s="125">
        <f>AJ6+AG6+AK6</f>
        <v>5100.26</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IF(SUMPRODUCT(N(E$1:E$6=E6))&gt;1,"重复","不")</f>
        <v>不</v>
      </c>
      <c r="AT6" s="134" t="str">
        <f>IF(SUMPRODUCT(N(AO$1:AO$6=AO6))&gt;1,"重复","不")</f>
        <v>重复</v>
      </c>
    </row>
    <row r="7" s="33" customFormat="1" ht="18" customHeight="1" spans="1:46">
      <c r="A7" s="57">
        <v>4</v>
      </c>
      <c r="B7" s="58" t="s">
        <v>146</v>
      </c>
      <c r="C7" s="58" t="s">
        <v>148</v>
      </c>
      <c r="D7" s="58" t="s">
        <v>147</v>
      </c>
      <c r="E7" s="397" t="s">
        <v>149</v>
      </c>
      <c r="F7" s="59" t="s">
        <v>193</v>
      </c>
      <c r="G7" s="62">
        <v>18607383005</v>
      </c>
      <c r="H7" s="61"/>
      <c r="I7" s="61"/>
      <c r="J7" s="91"/>
      <c r="K7" s="61"/>
      <c r="L7" s="94">
        <v>25000</v>
      </c>
      <c r="M7" s="93">
        <f>320</f>
        <v>320</v>
      </c>
      <c r="N7" s="93">
        <f>80</f>
        <v>80</v>
      </c>
      <c r="O7" s="93">
        <f>12</f>
        <v>12</v>
      </c>
      <c r="P7" s="93">
        <v>200</v>
      </c>
      <c r="Q7" s="112">
        <f>ROUND(SUM(M7:P7),2)</f>
        <v>612</v>
      </c>
      <c r="R7" s="94">
        <v>0</v>
      </c>
      <c r="S7" s="113">
        <f>L7+IFERROR(VLOOKUP($E:$E,'（居民）工资表-10月'!$E:$S,15,0),0)</f>
        <v>265024.76</v>
      </c>
      <c r="T7" s="114">
        <f>5000+IFERROR(VLOOKUP($E:$E,'（居民）工资表-10月'!$E:$T,16,0),0)</f>
        <v>55000</v>
      </c>
      <c r="U7" s="114">
        <f>Q7+IFERROR(VLOOKUP($E:$E,'（居民）工资表-10月'!$E:$U,17,0),0)</f>
        <v>6948.67</v>
      </c>
      <c r="V7" s="94"/>
      <c r="W7" s="94"/>
      <c r="X7" s="94"/>
      <c r="Y7" s="94"/>
      <c r="Z7" s="94"/>
      <c r="AA7" s="94"/>
      <c r="AB7" s="113">
        <f>ROUND(SUM(V7:AA7),2)</f>
        <v>0</v>
      </c>
      <c r="AC7" s="113">
        <f>R7+IFERROR(VLOOKUP($E:$E,'（居民）工资表-10月'!$E:$AC,25,0),0)</f>
        <v>0</v>
      </c>
      <c r="AD7" s="116">
        <f>ROUND(S7-T7-U7-AB7-AC7,2)</f>
        <v>203076.09</v>
      </c>
      <c r="AE7" s="117">
        <f>ROUND(MAX((AD7)*{0.03;0.1;0.2;0.25;0.3;0.35;0.45}-{0;2520;16920;31920;52920;85920;181920},0),2)</f>
        <v>23695.22</v>
      </c>
      <c r="AF7" s="118">
        <f>IFERROR(VLOOKUP(E:E,'（居民）工资表-10月'!E:AF,28,0)+VLOOKUP(E:E,'（居民）工资表-10月'!E:AG,29,0),0)</f>
        <v>19817.62</v>
      </c>
      <c r="AG7" s="118">
        <f>IF((AE7-AF7)&lt;0,0,AE7-AF7)</f>
        <v>3877.6</v>
      </c>
      <c r="AH7" s="125">
        <f>ROUND(IF((L7-Q7-AG7)&lt;0,0,(L7-Q7-AG7)),2)</f>
        <v>20510.4</v>
      </c>
      <c r="AI7" s="126"/>
      <c r="AJ7" s="125">
        <f>AH7+AI7</f>
        <v>20510.4</v>
      </c>
      <c r="AK7" s="127"/>
      <c r="AL7" s="125">
        <f>AJ7+AG7+AK7</f>
        <v>24388</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IF(SUMPRODUCT(N(E$1:E$6=E7))&gt;1,"重复","不")</f>
        <v>不</v>
      </c>
      <c r="AT7" s="134" t="str">
        <f>IF(SUMPRODUCT(N(AO$1:AO$6=AO7))&gt;1,"重复","不")</f>
        <v>重复</v>
      </c>
    </row>
    <row r="8" s="33" customFormat="1" ht="18" customHeight="1" spans="1:46">
      <c r="A8" s="57">
        <v>5</v>
      </c>
      <c r="B8" s="58" t="s">
        <v>146</v>
      </c>
      <c r="C8" s="58" t="s">
        <v>170</v>
      </c>
      <c r="D8" s="58" t="s">
        <v>147</v>
      </c>
      <c r="E8" s="58" t="s">
        <v>171</v>
      </c>
      <c r="F8" s="59" t="s">
        <v>193</v>
      </c>
      <c r="G8" s="62">
        <v>13373825180</v>
      </c>
      <c r="H8" s="61"/>
      <c r="I8" s="61"/>
      <c r="J8" s="91"/>
      <c r="K8" s="61"/>
      <c r="L8" s="94">
        <v>25000</v>
      </c>
      <c r="M8" s="93">
        <f>261.04*2</f>
        <v>522.08</v>
      </c>
      <c r="N8" s="93">
        <f>57.18*2+32.5</f>
        <v>146.86</v>
      </c>
      <c r="O8" s="93">
        <f>9.1*2</f>
        <v>18.2</v>
      </c>
      <c r="P8" s="93">
        <f>85*2</f>
        <v>170</v>
      </c>
      <c r="Q8" s="112">
        <f>ROUND(SUM(M8:P8),2)</f>
        <v>857.14</v>
      </c>
      <c r="R8" s="94">
        <v>0</v>
      </c>
      <c r="S8" s="113">
        <f>L8+IFERROR(VLOOKUP($E:$E,'（居民）工资表-10月'!$E:$S,15,0),0)</f>
        <v>25000</v>
      </c>
      <c r="T8" s="114">
        <f>5000+IFERROR(VLOOKUP($E:$E,'（居民）工资表-10月'!$E:$T,16,0),0)</f>
        <v>5000</v>
      </c>
      <c r="U8" s="114">
        <f>Q8+IFERROR(VLOOKUP($E:$E,'（居民）工资表-10月'!$E:$U,17,0),0)</f>
        <v>857.14</v>
      </c>
      <c r="V8" s="94"/>
      <c r="W8" s="94"/>
      <c r="X8" s="94"/>
      <c r="Y8" s="94"/>
      <c r="Z8" s="94"/>
      <c r="AA8" s="94"/>
      <c r="AB8" s="113">
        <f>ROUND(SUM(V8:AA8),2)</f>
        <v>0</v>
      </c>
      <c r="AC8" s="113">
        <f>R8+IFERROR(VLOOKUP($E:$E,'（居民）工资表-10月'!$E:$AC,25,0),0)</f>
        <v>0</v>
      </c>
      <c r="AD8" s="116">
        <f>ROUND(S8-T8-U8-AB8-AC8,2)</f>
        <v>19142.86</v>
      </c>
      <c r="AE8" s="117">
        <f>ROUND(MAX((AD8)*{0.03;0.1;0.2;0.25;0.3;0.35;0.45}-{0;2520;16920;31920;52920;85920;181920},0),2)</f>
        <v>574.29</v>
      </c>
      <c r="AF8" s="118">
        <f>IFERROR(VLOOKUP(E:E,'（居民）工资表-10月'!E:AF,28,0)+VLOOKUP(E:E,'（居民）工资表-10月'!E:AG,29,0),0)</f>
        <v>0</v>
      </c>
      <c r="AG8" s="118">
        <f>IF((AE8-AF8)&lt;0,0,AE8-AF8)</f>
        <v>574.29</v>
      </c>
      <c r="AH8" s="125">
        <f>ROUND(IF((L8-Q8-AG8)&lt;0,0,(L8-Q8-AG8)),2)</f>
        <v>23568.57</v>
      </c>
      <c r="AI8" s="126"/>
      <c r="AJ8" s="125">
        <f>AH8+AI8</f>
        <v>23568.57</v>
      </c>
      <c r="AK8" s="127"/>
      <c r="AL8" s="125">
        <f>AJ8+AG8+AK8</f>
        <v>24142.86</v>
      </c>
      <c r="AM8" s="127"/>
      <c r="AN8" s="127"/>
      <c r="AO8" s="127"/>
      <c r="AP8" s="127"/>
      <c r="AQ8" s="127"/>
      <c r="AR8" s="134"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34" t="str">
        <f>IF(SUMPRODUCT(N(E$1:E$6=E8))&gt;1,"重复","不")</f>
        <v>不</v>
      </c>
      <c r="AT8" s="134" t="str">
        <f>IF(SUMPRODUCT(N(AO$1:AO$6=AO8))&gt;1,"重复","不")</f>
        <v>重复</v>
      </c>
    </row>
    <row r="9" s="34" customFormat="1" ht="18" customHeight="1" spans="1:46">
      <c r="A9" s="63"/>
      <c r="B9" s="64" t="s">
        <v>150</v>
      </c>
      <c r="C9" s="64"/>
      <c r="D9" s="65"/>
      <c r="E9" s="66"/>
      <c r="F9" s="67"/>
      <c r="G9" s="68"/>
      <c r="H9" s="67"/>
      <c r="I9" s="95"/>
      <c r="J9" s="96"/>
      <c r="K9" s="95"/>
      <c r="L9" s="97">
        <f>SUM(L4:L8)</f>
        <v>73100</v>
      </c>
      <c r="M9" s="97">
        <f t="shared" ref="M9:AL9" si="0">SUM(M4:M8)</f>
        <v>1840.21</v>
      </c>
      <c r="N9" s="97">
        <f t="shared" si="0"/>
        <v>477.42</v>
      </c>
      <c r="O9" s="97">
        <f t="shared" si="0"/>
        <v>58.06</v>
      </c>
      <c r="P9" s="97">
        <f t="shared" si="0"/>
        <v>734</v>
      </c>
      <c r="Q9" s="97">
        <f t="shared" si="0"/>
        <v>3109.69</v>
      </c>
      <c r="R9" s="97">
        <f t="shared" si="0"/>
        <v>0</v>
      </c>
      <c r="S9" s="97">
        <f t="shared" si="0"/>
        <v>492109.796363636</v>
      </c>
      <c r="T9" s="97">
        <f t="shared" si="0"/>
        <v>195000</v>
      </c>
      <c r="U9" s="97">
        <f t="shared" si="0"/>
        <v>19524.84</v>
      </c>
      <c r="V9" s="97">
        <f t="shared" si="0"/>
        <v>0</v>
      </c>
      <c r="W9" s="97">
        <f t="shared" si="0"/>
        <v>0</v>
      </c>
      <c r="X9" s="97">
        <f t="shared" si="0"/>
        <v>11000</v>
      </c>
      <c r="Y9" s="97">
        <f t="shared" si="0"/>
        <v>0</v>
      </c>
      <c r="Z9" s="97">
        <f t="shared" si="0"/>
        <v>0</v>
      </c>
      <c r="AA9" s="97">
        <f t="shared" si="0"/>
        <v>0</v>
      </c>
      <c r="AB9" s="97">
        <f t="shared" si="0"/>
        <v>11000</v>
      </c>
      <c r="AC9" s="97">
        <f t="shared" si="0"/>
        <v>0</v>
      </c>
      <c r="AD9" s="97">
        <f t="shared" si="0"/>
        <v>266584.96</v>
      </c>
      <c r="AE9" s="97">
        <f t="shared" si="0"/>
        <v>25647.17</v>
      </c>
      <c r="AF9" s="97">
        <f t="shared" si="0"/>
        <v>21034.51</v>
      </c>
      <c r="AG9" s="97">
        <f t="shared" si="0"/>
        <v>4612.66</v>
      </c>
      <c r="AH9" s="97">
        <f t="shared" si="0"/>
        <v>65377.65</v>
      </c>
      <c r="AI9" s="97">
        <f t="shared" si="0"/>
        <v>0</v>
      </c>
      <c r="AJ9" s="97">
        <f t="shared" si="0"/>
        <v>65377.65</v>
      </c>
      <c r="AK9" s="97">
        <f t="shared" si="0"/>
        <v>0</v>
      </c>
      <c r="AL9" s="97">
        <f t="shared" si="0"/>
        <v>69990.31</v>
      </c>
      <c r="AM9" s="128"/>
      <c r="AN9" s="128"/>
      <c r="AO9" s="128"/>
      <c r="AP9" s="128"/>
      <c r="AQ9" s="128"/>
      <c r="AR9" s="67"/>
      <c r="AS9" s="67"/>
      <c r="AT9" s="135"/>
    </row>
    <row r="12" spans="30:30">
      <c r="AD12" s="119"/>
    </row>
    <row r="13" ht="18.75" customHeight="1" spans="2:30">
      <c r="B13" s="69" t="s">
        <v>127</v>
      </c>
      <c r="C13" s="69" t="s">
        <v>151</v>
      </c>
      <c r="D13" s="69" t="s">
        <v>57</v>
      </c>
      <c r="E13" s="69" t="s">
        <v>58</v>
      </c>
      <c r="AD13" s="31"/>
    </row>
    <row r="14" ht="18.75" customHeight="1" spans="2:5">
      <c r="B14" s="70">
        <f>AJ9</f>
        <v>65377.65</v>
      </c>
      <c r="C14" s="70">
        <f>AG9</f>
        <v>4612.66</v>
      </c>
      <c r="D14" s="70">
        <f>AK9</f>
        <v>0</v>
      </c>
      <c r="E14" s="70">
        <f>B14+C14+D14</f>
        <v>69990.31</v>
      </c>
    </row>
    <row r="15" spans="2:5">
      <c r="B15" s="71"/>
      <c r="C15" s="71"/>
      <c r="D15" s="71"/>
      <c r="E15" s="71"/>
    </row>
    <row r="16" s="35" customFormat="1" spans="1:35">
      <c r="A16" s="72" t="s">
        <v>152</v>
      </c>
      <c r="B16" s="73" t="s">
        <v>153</v>
      </c>
      <c r="C16" s="74"/>
      <c r="D16" s="74"/>
      <c r="E16" s="74"/>
      <c r="G16" s="75"/>
      <c r="J16" s="98"/>
      <c r="M16" s="99"/>
      <c r="AI16" s="130"/>
    </row>
    <row r="17" s="35" customFormat="1" spans="1:35">
      <c r="A17" s="76"/>
      <c r="B17" s="77" t="s">
        <v>154</v>
      </c>
      <c r="C17" s="74"/>
      <c r="D17" s="74"/>
      <c r="E17" s="74"/>
      <c r="G17" s="75"/>
      <c r="J17" s="98"/>
      <c r="M17" s="99"/>
      <c r="AI17" s="130"/>
    </row>
    <row r="18" s="35" customFormat="1" spans="1:35">
      <c r="A18" s="73"/>
      <c r="B18" s="77" t="s">
        <v>155</v>
      </c>
      <c r="C18" s="78"/>
      <c r="D18" s="78"/>
      <c r="E18" s="78"/>
      <c r="F18" s="78"/>
      <c r="G18" s="78"/>
      <c r="H18" s="78"/>
      <c r="I18" s="78"/>
      <c r="J18" s="100"/>
      <c r="K18" s="78"/>
      <c r="L18" s="78"/>
      <c r="M18" s="101"/>
      <c r="N18" s="78"/>
      <c r="O18" s="78"/>
      <c r="P18" s="78"/>
      <c r="AI18" s="130"/>
    </row>
    <row r="19" s="35" customFormat="1" customHeight="1" spans="1:35">
      <c r="A19" s="77"/>
      <c r="B19" s="77" t="s">
        <v>156</v>
      </c>
      <c r="C19" s="79"/>
      <c r="D19" s="79"/>
      <c r="E19" s="79"/>
      <c r="F19" s="79"/>
      <c r="G19" s="79"/>
      <c r="H19" s="79"/>
      <c r="I19" s="102"/>
      <c r="J19" s="103"/>
      <c r="K19" s="102"/>
      <c r="L19" s="102"/>
      <c r="M19" s="104"/>
      <c r="N19" s="102"/>
      <c r="O19" s="102"/>
      <c r="P19" s="102"/>
      <c r="AI19" s="130"/>
    </row>
    <row r="20" s="35" customFormat="1" customHeight="1" spans="1:35">
      <c r="A20" s="77"/>
      <c r="B20" s="77" t="s">
        <v>157</v>
      </c>
      <c r="C20" s="79"/>
      <c r="D20" s="79"/>
      <c r="E20" s="79"/>
      <c r="F20" s="79"/>
      <c r="G20" s="79"/>
      <c r="H20" s="79"/>
      <c r="I20" s="79"/>
      <c r="J20" s="105"/>
      <c r="K20" s="79"/>
      <c r="L20" s="102"/>
      <c r="M20" s="104"/>
      <c r="N20" s="102"/>
      <c r="O20" s="102"/>
      <c r="P20" s="102"/>
      <c r="AI20" s="130"/>
    </row>
    <row r="21" s="35" customFormat="1" customHeight="1" spans="1:35">
      <c r="A21" s="77"/>
      <c r="B21" s="77" t="s">
        <v>158</v>
      </c>
      <c r="C21" s="79"/>
      <c r="D21" s="79"/>
      <c r="E21" s="79"/>
      <c r="F21" s="79"/>
      <c r="G21" s="79"/>
      <c r="H21" s="79"/>
      <c r="I21" s="102"/>
      <c r="J21" s="103"/>
      <c r="K21" s="102"/>
      <c r="L21" s="102"/>
      <c r="M21" s="104"/>
      <c r="N21" s="102"/>
      <c r="O21" s="102"/>
      <c r="P21" s="102"/>
      <c r="AI21" s="130"/>
    </row>
    <row r="23" ht="11.25" customHeight="1" spans="2:2">
      <c r="B23" s="80" t="s">
        <v>159</v>
      </c>
    </row>
    <row r="24" spans="2:2">
      <c r="B24" s="81" t="s">
        <v>160</v>
      </c>
    </row>
    <row r="25" spans="2:2">
      <c r="B25" s="81" t="s">
        <v>161</v>
      </c>
    </row>
  </sheetData>
  <autoFilter ref="A3:AT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1">
    <cfRule type="duplicateValues" dxfId="3" priority="2" stopIfTrue="1"/>
  </conditionalFormatting>
  <conditionalFormatting sqref="B16:B20">
    <cfRule type="duplicateValues" dxfId="3" priority="3" stopIfTrue="1"/>
  </conditionalFormatting>
  <conditionalFormatting sqref="B24:B25">
    <cfRule type="duplicateValues" dxfId="3" priority="1" stopIfTrue="1"/>
  </conditionalFormatting>
  <conditionalFormatting sqref="C13:C15">
    <cfRule type="duplicateValues" dxfId="3" priority="4" stopIfTrue="1"/>
    <cfRule type="expression" dxfId="4" priority="5" stopIfTrue="1">
      <formula>AND(COUNTIF($B$9:$B$65445,C13)+COUNTIF($B$1:$B$3,C13)&gt;1,NOT(ISBLANK(C13)))</formula>
    </cfRule>
    <cfRule type="expression" dxfId="4" priority="6" stopIfTrue="1">
      <formula>AND(COUNTIF($B$20:$B$65396,C13)+COUNTIF($B$1:$B$19,C13)&gt;1,NOT(ISBLANK(C13)))</formula>
    </cfRule>
    <cfRule type="expression" dxfId="4" priority="7" stopIfTrue="1">
      <formula>AND(COUNTIF($B$9:$B$65434,C13)+COUNTIF($B$1:$B$3,C13)&gt;1,NOT(ISBLANK(C13)))</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5"/>
  <sheetViews>
    <sheetView workbookViewId="0">
      <pane xSplit="6" ySplit="3" topLeftCell="G4" activePane="bottomRight" state="frozen"/>
      <selection/>
      <selection pane="topRight"/>
      <selection pane="bottomLeft"/>
      <selection pane="bottomRight" activeCell="F27" sqref="F27"/>
    </sheetView>
  </sheetViews>
  <sheetFormatPr defaultColWidth="9" defaultRowHeight="13.5"/>
  <cols>
    <col min="1" max="1" width="4.5" style="36" customWidth="1"/>
    <col min="2" max="2" width="14"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9.75" style="36" customWidth="1" outlineLevel="1"/>
    <col min="14" max="15" width="9" style="36" customWidth="1" outlineLevel="1"/>
    <col min="16" max="16" width="11.125" style="36" customWidth="1" outlineLevel="1"/>
    <col min="17" max="17" width="9.75" style="36" customWidth="1"/>
    <col min="18" max="18" width="9.5" style="36" customWidth="1"/>
    <col min="19" max="19" width="11.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hidden="1"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242</v>
      </c>
      <c r="C4" s="58" t="s">
        <v>75</v>
      </c>
      <c r="D4" s="58" t="s">
        <v>147</v>
      </c>
      <c r="E4" s="58" t="s">
        <v>76</v>
      </c>
      <c r="F4" s="59" t="s">
        <v>193</v>
      </c>
      <c r="G4" s="62">
        <v>18035163638</v>
      </c>
      <c r="H4" s="61"/>
      <c r="I4" s="61"/>
      <c r="J4" s="91"/>
      <c r="K4" s="61"/>
      <c r="L4" s="94">
        <v>9280</v>
      </c>
      <c r="M4" s="93">
        <v>264</v>
      </c>
      <c r="N4" s="93">
        <v>66</v>
      </c>
      <c r="O4" s="93">
        <v>9.9</v>
      </c>
      <c r="P4" s="93">
        <v>180</v>
      </c>
      <c r="Q4" s="112">
        <f>ROUND(SUM(M4:P4),2)</f>
        <v>519.9</v>
      </c>
      <c r="R4" s="94">
        <v>0</v>
      </c>
      <c r="S4" s="113">
        <f>L4</f>
        <v>9280</v>
      </c>
      <c r="T4" s="114">
        <v>5000</v>
      </c>
      <c r="U4" s="114">
        <f>Q4</f>
        <v>519.9</v>
      </c>
      <c r="V4" s="94">
        <v>1000</v>
      </c>
      <c r="W4" s="94"/>
      <c r="X4" s="94">
        <v>1000</v>
      </c>
      <c r="Y4" s="94"/>
      <c r="Z4" s="94"/>
      <c r="AA4" s="94"/>
      <c r="AB4" s="113">
        <f>ROUND(SUM(V4:AA4),2)</f>
        <v>2000</v>
      </c>
      <c r="AC4" s="113">
        <f>R4</f>
        <v>0</v>
      </c>
      <c r="AD4" s="116">
        <f>ROUND(S4-T4-U4-AB4-AC4,2)</f>
        <v>1760.1</v>
      </c>
      <c r="AE4" s="117">
        <f>ROUND(MAX((AD4)*{0.03;0.1;0.2;0.25;0.3;0.35;0.45}-{0;2520;16920;31920;52920;85920;181920},0),2)</f>
        <v>52.8</v>
      </c>
      <c r="AF4" s="118">
        <v>0</v>
      </c>
      <c r="AG4" s="118">
        <f>IF((AE4-AF4)&lt;0,0,AE4-AF4)</f>
        <v>52.8</v>
      </c>
      <c r="AH4" s="125">
        <f>ROUND(IF((L4-Q4-AG4)&lt;0,0,(L4-Q4-AG4)),2)</f>
        <v>8707.3</v>
      </c>
      <c r="AI4" s="126"/>
      <c r="AJ4" s="125">
        <f>AH4+AI4</f>
        <v>8707.3</v>
      </c>
      <c r="AK4" s="127"/>
      <c r="AL4" s="125">
        <f>AJ4+AG4+AK4</f>
        <v>8760.1</v>
      </c>
      <c r="AM4" s="127"/>
      <c r="AN4" s="127"/>
      <c r="AO4" s="127" t="s">
        <v>243</v>
      </c>
      <c r="AP4" s="127" t="s">
        <v>244</v>
      </c>
      <c r="AQ4" s="127" t="s">
        <v>245</v>
      </c>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IF(SUMPRODUCT(N(E$1:E$8=E4))&gt;1,"重复","不")</f>
        <v>不</v>
      </c>
      <c r="AT4" s="134" t="str">
        <f>IF(SUMPRODUCT(N(AO$1:AO$8=AO4))&gt;1,"重复","不")</f>
        <v>重复</v>
      </c>
    </row>
    <row r="5" s="33" customFormat="1" ht="18" customHeight="1" spans="1:46">
      <c r="A5" s="57">
        <v>2</v>
      </c>
      <c r="B5" s="58" t="s">
        <v>242</v>
      </c>
      <c r="C5" s="58" t="s">
        <v>93</v>
      </c>
      <c r="D5" s="58" t="s">
        <v>147</v>
      </c>
      <c r="E5" s="58" t="s">
        <v>94</v>
      </c>
      <c r="F5" s="59" t="s">
        <v>193</v>
      </c>
      <c r="G5" s="62">
        <v>13944441728</v>
      </c>
      <c r="H5" s="61"/>
      <c r="I5" s="61"/>
      <c r="J5" s="91"/>
      <c r="K5" s="61"/>
      <c r="L5" s="94">
        <v>7000</v>
      </c>
      <c r="M5" s="93">
        <v>268.81</v>
      </c>
      <c r="N5" s="93">
        <v>10.08</v>
      </c>
      <c r="O5" s="93">
        <v>61.06</v>
      </c>
      <c r="P5" s="93">
        <v>79</v>
      </c>
      <c r="Q5" s="112">
        <f>ROUND(SUM(M5:P5),2)</f>
        <v>418.95</v>
      </c>
      <c r="R5" s="94">
        <v>0</v>
      </c>
      <c r="S5" s="113">
        <f>L5</f>
        <v>7000</v>
      </c>
      <c r="T5" s="114">
        <v>5000</v>
      </c>
      <c r="U5" s="114">
        <f>Q5</f>
        <v>418.95</v>
      </c>
      <c r="V5" s="94"/>
      <c r="W5" s="94"/>
      <c r="X5" s="94">
        <v>1000</v>
      </c>
      <c r="Y5" s="94"/>
      <c r="Z5" s="94"/>
      <c r="AA5" s="94"/>
      <c r="AB5" s="113">
        <f>ROUND(SUM(V5:AA5),2)</f>
        <v>1000</v>
      </c>
      <c r="AC5" s="113">
        <f>R5</f>
        <v>0</v>
      </c>
      <c r="AD5" s="116">
        <f>ROUND(S5-T5-U5-AB5-AC5,2)</f>
        <v>581.05</v>
      </c>
      <c r="AE5" s="117">
        <f>ROUND(MAX((AD5)*{0.03;0.1;0.2;0.25;0.3;0.35;0.45}-{0;2520;16920;31920;52920;85920;181920},0),2)</f>
        <v>17.43</v>
      </c>
      <c r="AF5" s="118">
        <v>0</v>
      </c>
      <c r="AG5" s="118">
        <f>IF((AE5-AF5)&lt;0,0,AE5-AF5)</f>
        <v>17.43</v>
      </c>
      <c r="AH5" s="125">
        <f>ROUND(IF((L5-Q5-AG5)&lt;0,0,(L5-Q5-AG5)),2)</f>
        <v>6563.62</v>
      </c>
      <c r="AI5" s="126"/>
      <c r="AJ5" s="125">
        <f>AH5+AI5</f>
        <v>6563.62</v>
      </c>
      <c r="AK5" s="127"/>
      <c r="AL5" s="125">
        <f>AJ5+AG5+AK5</f>
        <v>6581.05</v>
      </c>
      <c r="AM5" s="127"/>
      <c r="AN5" s="127"/>
      <c r="AO5" s="127" t="s">
        <v>243</v>
      </c>
      <c r="AP5" s="127" t="s">
        <v>244</v>
      </c>
      <c r="AQ5" s="127" t="s">
        <v>245</v>
      </c>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IF(SUMPRODUCT(N(E$1:E$8=E5))&gt;1,"重复","不")</f>
        <v>不</v>
      </c>
      <c r="AT5" s="134" t="str">
        <f>IF(SUMPRODUCT(N(AO$1:AO$8=AO5))&gt;1,"重复","不")</f>
        <v>重复</v>
      </c>
    </row>
    <row r="6" s="33" customFormat="1" ht="18" customHeight="1" spans="1:46">
      <c r="A6" s="57">
        <v>3</v>
      </c>
      <c r="B6" s="58" t="s">
        <v>242</v>
      </c>
      <c r="C6" s="58" t="s">
        <v>174</v>
      </c>
      <c r="D6" s="58" t="s">
        <v>147</v>
      </c>
      <c r="E6" s="397" t="s">
        <v>175</v>
      </c>
      <c r="F6" s="59" t="str">
        <f>IF(MOD(MID(E6,17,1),2)=1,"男","女")</f>
        <v>女</v>
      </c>
      <c r="G6" s="62">
        <v>15360550807</v>
      </c>
      <c r="H6" s="61"/>
      <c r="I6" s="61"/>
      <c r="J6" s="91"/>
      <c r="K6" s="61"/>
      <c r="L6" s="94">
        <v>5700</v>
      </c>
      <c r="M6" s="93">
        <v>367.04</v>
      </c>
      <c r="N6" s="93">
        <v>123.5</v>
      </c>
      <c r="O6" s="93">
        <v>4.2</v>
      </c>
      <c r="P6" s="93">
        <v>105</v>
      </c>
      <c r="Q6" s="112">
        <f>ROUND(SUM(M6:P6),2)</f>
        <v>599.74</v>
      </c>
      <c r="R6" s="94">
        <v>0</v>
      </c>
      <c r="S6" s="113">
        <f>L6</f>
        <v>5700</v>
      </c>
      <c r="T6" s="114">
        <v>5000</v>
      </c>
      <c r="U6" s="114">
        <f>Q6</f>
        <v>599.74</v>
      </c>
      <c r="V6" s="94"/>
      <c r="W6" s="94"/>
      <c r="X6" s="94"/>
      <c r="Y6" s="94">
        <v>1500</v>
      </c>
      <c r="Z6" s="94"/>
      <c r="AA6" s="94"/>
      <c r="AB6" s="113">
        <f>ROUND(SUM(V6:AA6),2)</f>
        <v>1500</v>
      </c>
      <c r="AC6" s="113">
        <f>R6</f>
        <v>0</v>
      </c>
      <c r="AD6" s="116">
        <f>ROUND(S6-T6-U6-AB6-AC6,2)</f>
        <v>-1399.74</v>
      </c>
      <c r="AE6" s="117">
        <f>ROUND(MAX((AD6)*{0.03;0.1;0.2;0.25;0.3;0.35;0.45}-{0;2520;16920;31920;52920;85920;181920},0),2)</f>
        <v>0</v>
      </c>
      <c r="AF6" s="118">
        <v>0</v>
      </c>
      <c r="AG6" s="118">
        <f>IF((AE6-AF6)&lt;0,0,AE6-AF6)</f>
        <v>0</v>
      </c>
      <c r="AH6" s="125">
        <f>ROUND(IF((L6-Q6-AG6)&lt;0,0,(L6-Q6-AG6)),2)</f>
        <v>5100.26</v>
      </c>
      <c r="AI6" s="126"/>
      <c r="AJ6" s="125">
        <f>AH6+AI6</f>
        <v>5100.26</v>
      </c>
      <c r="AK6" s="127"/>
      <c r="AL6" s="125">
        <f>AJ6+AG6+AK6</f>
        <v>5100.26</v>
      </c>
      <c r="AM6" s="127"/>
      <c r="AN6" s="127"/>
      <c r="AO6" s="127" t="s">
        <v>243</v>
      </c>
      <c r="AP6" s="127" t="s">
        <v>244</v>
      </c>
      <c r="AQ6" s="127" t="s">
        <v>245</v>
      </c>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IF(SUMPRODUCT(N(E$1:E$8=E6))&gt;1,"重复","不")</f>
        <v>不</v>
      </c>
      <c r="AT6" s="134" t="str">
        <f>IF(SUMPRODUCT(N(AO$1:AO$8=AO6))&gt;1,"重复","不")</f>
        <v>重复</v>
      </c>
    </row>
    <row r="7" s="33" customFormat="1" ht="18" customHeight="1" spans="1:46">
      <c r="A7" s="57">
        <v>4</v>
      </c>
      <c r="B7" s="58" t="s">
        <v>242</v>
      </c>
      <c r="C7" s="58" t="s">
        <v>148</v>
      </c>
      <c r="D7" s="58" t="s">
        <v>147</v>
      </c>
      <c r="E7" s="397" t="s">
        <v>149</v>
      </c>
      <c r="F7" s="59" t="s">
        <v>193</v>
      </c>
      <c r="G7" s="62">
        <v>18607383005</v>
      </c>
      <c r="H7" s="61"/>
      <c r="I7" s="61"/>
      <c r="J7" s="91"/>
      <c r="K7" s="61"/>
      <c r="L7" s="94">
        <v>31000</v>
      </c>
      <c r="M7" s="93">
        <f>320</f>
        <v>320</v>
      </c>
      <c r="N7" s="93">
        <f>80</f>
        <v>80</v>
      </c>
      <c r="O7" s="93">
        <f>12</f>
        <v>12</v>
      </c>
      <c r="P7" s="93">
        <v>200</v>
      </c>
      <c r="Q7" s="112">
        <f>ROUND(SUM(M7:P7),2)</f>
        <v>612</v>
      </c>
      <c r="R7" s="94">
        <v>0</v>
      </c>
      <c r="S7" s="113">
        <f>L7</f>
        <v>31000</v>
      </c>
      <c r="T7" s="114">
        <v>5000</v>
      </c>
      <c r="U7" s="114">
        <f>Q7</f>
        <v>612</v>
      </c>
      <c r="V7" s="94">
        <v>2000</v>
      </c>
      <c r="W7" s="94">
        <v>1000</v>
      </c>
      <c r="X7" s="94"/>
      <c r="Y7" s="94"/>
      <c r="Z7" s="94"/>
      <c r="AA7" s="94"/>
      <c r="AB7" s="113">
        <f>ROUND(SUM(V7:AA7),2)</f>
        <v>3000</v>
      </c>
      <c r="AC7" s="113">
        <f>R7</f>
        <v>0</v>
      </c>
      <c r="AD7" s="116">
        <f>ROUND(S7-T7-U7-AB7-AC7,2)</f>
        <v>22388</v>
      </c>
      <c r="AE7" s="117">
        <f>ROUND(MAX((AD7)*{0.03;0.1;0.2;0.25;0.3;0.35;0.45}-{0;2520;16920;31920;52920;85920;181920},0),2)</f>
        <v>671.64</v>
      </c>
      <c r="AF7" s="118">
        <v>0</v>
      </c>
      <c r="AG7" s="118">
        <f>IF((AE7-AF7)&lt;0,0,AE7-AF7)</f>
        <v>671.64</v>
      </c>
      <c r="AH7" s="125">
        <f>ROUND(IF((L7-Q7-AG7)&lt;0,0,(L7-Q7-AG7)),2)</f>
        <v>29716.36</v>
      </c>
      <c r="AI7" s="126"/>
      <c r="AJ7" s="125">
        <f>AH7+AI7</f>
        <v>29716.36</v>
      </c>
      <c r="AK7" s="127"/>
      <c r="AL7" s="125">
        <f>AJ7+AG7+AK7</f>
        <v>30388</v>
      </c>
      <c r="AM7" s="127"/>
      <c r="AN7" s="127"/>
      <c r="AO7" s="127" t="s">
        <v>243</v>
      </c>
      <c r="AP7" s="127" t="s">
        <v>244</v>
      </c>
      <c r="AQ7" s="127" t="s">
        <v>245</v>
      </c>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IF(SUMPRODUCT(N(E$1:E$8=E7))&gt;1,"重复","不")</f>
        <v>不</v>
      </c>
      <c r="AT7" s="134" t="str">
        <f>IF(SUMPRODUCT(N(AO$1:AO$8=AO7))&gt;1,"重复","不")</f>
        <v>重复</v>
      </c>
    </row>
    <row r="8" s="33" customFormat="1" ht="18" customHeight="1" spans="1:46">
      <c r="A8" s="57">
        <v>5</v>
      </c>
      <c r="B8" s="58" t="s">
        <v>242</v>
      </c>
      <c r="C8" s="58" t="s">
        <v>170</v>
      </c>
      <c r="D8" s="58" t="s">
        <v>147</v>
      </c>
      <c r="E8" s="58" t="s">
        <v>171</v>
      </c>
      <c r="F8" s="59" t="s">
        <v>193</v>
      </c>
      <c r="G8" s="62">
        <v>13373825180</v>
      </c>
      <c r="H8" s="61"/>
      <c r="I8" s="61"/>
      <c r="J8" s="91"/>
      <c r="K8" s="61"/>
      <c r="L8" s="94">
        <v>26739</v>
      </c>
      <c r="M8" s="93">
        <v>261.04</v>
      </c>
      <c r="N8" s="93">
        <v>9.1</v>
      </c>
      <c r="O8" s="93">
        <v>57.18</v>
      </c>
      <c r="P8" s="93">
        <v>85</v>
      </c>
      <c r="Q8" s="112">
        <f>ROUND(SUM(M8:P8),2)</f>
        <v>412.32</v>
      </c>
      <c r="R8" s="94">
        <v>0</v>
      </c>
      <c r="S8" s="113">
        <f>L8</f>
        <v>26739</v>
      </c>
      <c r="T8" s="114">
        <v>5000</v>
      </c>
      <c r="U8" s="114">
        <f>Q8</f>
        <v>412.32</v>
      </c>
      <c r="V8" s="94">
        <v>1000</v>
      </c>
      <c r="W8" s="94">
        <v>1000</v>
      </c>
      <c r="X8" s="94">
        <v>1000</v>
      </c>
      <c r="Y8" s="94"/>
      <c r="Z8" s="94"/>
      <c r="AA8" s="94"/>
      <c r="AB8" s="113">
        <f>ROUND(SUM(V8:AA8),2)</f>
        <v>3000</v>
      </c>
      <c r="AC8" s="113">
        <f>R8</f>
        <v>0</v>
      </c>
      <c r="AD8" s="116">
        <f>ROUND(S8-T8-U8-AB8-AC8,2)</f>
        <v>18326.68</v>
      </c>
      <c r="AE8" s="117">
        <f>ROUND(MAX((AD8)*{0.03;0.1;0.2;0.25;0.3;0.35;0.45}-{0;2520;16920;31920;52920;85920;181920},0),2)</f>
        <v>549.8</v>
      </c>
      <c r="AF8" s="118">
        <v>0</v>
      </c>
      <c r="AG8" s="118">
        <f>IF((AE8-AF8)&lt;0,0,AE8-AF8)</f>
        <v>549.8</v>
      </c>
      <c r="AH8" s="125">
        <f>ROUND(IF((L8-Q8-AG8)&lt;0,0,(L8-Q8-AG8)),2)</f>
        <v>25776.88</v>
      </c>
      <c r="AI8" s="126"/>
      <c r="AJ8" s="125">
        <f>AH8+AI8</f>
        <v>25776.88</v>
      </c>
      <c r="AK8" s="127"/>
      <c r="AL8" s="125">
        <f>AJ8+AG8+AK8</f>
        <v>26326.68</v>
      </c>
      <c r="AM8" s="127"/>
      <c r="AN8" s="127"/>
      <c r="AO8" s="127" t="s">
        <v>243</v>
      </c>
      <c r="AP8" s="127" t="s">
        <v>244</v>
      </c>
      <c r="AQ8" s="127" t="s">
        <v>245</v>
      </c>
      <c r="AR8" s="134"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34" t="str">
        <f>IF(SUMPRODUCT(N(E$1:E$8=E8))&gt;1,"重复","不")</f>
        <v>不</v>
      </c>
      <c r="AT8" s="134" t="str">
        <f>IF(SUMPRODUCT(N(AO$1:AO$8=AO8))&gt;1,"重复","不")</f>
        <v>重复</v>
      </c>
    </row>
    <row r="9" s="34" customFormat="1" ht="18" customHeight="1" spans="1:46">
      <c r="A9" s="63"/>
      <c r="B9" s="64" t="s">
        <v>150</v>
      </c>
      <c r="C9" s="64"/>
      <c r="D9" s="65"/>
      <c r="E9" s="66"/>
      <c r="F9" s="67"/>
      <c r="G9" s="68"/>
      <c r="H9" s="67"/>
      <c r="I9" s="95"/>
      <c r="J9" s="96"/>
      <c r="K9" s="95"/>
      <c r="L9" s="97">
        <f t="shared" ref="L9:AL9" si="0">SUM(L4:L8)</f>
        <v>79719</v>
      </c>
      <c r="M9" s="97">
        <f t="shared" si="0"/>
        <v>1480.89</v>
      </c>
      <c r="N9" s="97">
        <f t="shared" si="0"/>
        <v>288.68</v>
      </c>
      <c r="O9" s="97">
        <f t="shared" si="0"/>
        <v>144.34</v>
      </c>
      <c r="P9" s="97">
        <f t="shared" si="0"/>
        <v>649</v>
      </c>
      <c r="Q9" s="97">
        <f t="shared" si="0"/>
        <v>2562.91</v>
      </c>
      <c r="R9" s="97">
        <f t="shared" si="0"/>
        <v>0</v>
      </c>
      <c r="S9" s="97">
        <f t="shared" si="0"/>
        <v>79719</v>
      </c>
      <c r="T9" s="97">
        <f t="shared" si="0"/>
        <v>25000</v>
      </c>
      <c r="U9" s="97">
        <f t="shared" si="0"/>
        <v>2562.91</v>
      </c>
      <c r="V9" s="97">
        <f t="shared" si="0"/>
        <v>4000</v>
      </c>
      <c r="W9" s="97">
        <f t="shared" si="0"/>
        <v>2000</v>
      </c>
      <c r="X9" s="97">
        <f t="shared" si="0"/>
        <v>3000</v>
      </c>
      <c r="Y9" s="97">
        <f t="shared" si="0"/>
        <v>1500</v>
      </c>
      <c r="Z9" s="97">
        <f t="shared" si="0"/>
        <v>0</v>
      </c>
      <c r="AA9" s="97">
        <f t="shared" si="0"/>
        <v>0</v>
      </c>
      <c r="AB9" s="97">
        <f t="shared" si="0"/>
        <v>10500</v>
      </c>
      <c r="AC9" s="97">
        <f t="shared" si="0"/>
        <v>0</v>
      </c>
      <c r="AD9" s="97">
        <f t="shared" si="0"/>
        <v>41656.09</v>
      </c>
      <c r="AE9" s="97">
        <f t="shared" si="0"/>
        <v>1291.67</v>
      </c>
      <c r="AF9" s="97">
        <f t="shared" si="0"/>
        <v>0</v>
      </c>
      <c r="AG9" s="97">
        <f t="shared" si="0"/>
        <v>1291.67</v>
      </c>
      <c r="AH9" s="97">
        <f t="shared" si="0"/>
        <v>75864.42</v>
      </c>
      <c r="AI9" s="141">
        <f t="shared" si="0"/>
        <v>0</v>
      </c>
      <c r="AJ9" s="97">
        <f t="shared" si="0"/>
        <v>75864.42</v>
      </c>
      <c r="AK9" s="97">
        <f t="shared" si="0"/>
        <v>0</v>
      </c>
      <c r="AL9" s="97">
        <f t="shared" si="0"/>
        <v>77156.09</v>
      </c>
      <c r="AM9" s="128"/>
      <c r="AN9" s="128"/>
      <c r="AO9" s="128"/>
      <c r="AP9" s="128"/>
      <c r="AQ9" s="128"/>
      <c r="AR9" s="67"/>
      <c r="AS9" s="67"/>
      <c r="AT9" s="135"/>
    </row>
    <row r="12" spans="30:30">
      <c r="AD12" s="119"/>
    </row>
    <row r="13" ht="18.75" customHeight="1" spans="2:30">
      <c r="B13" s="69" t="s">
        <v>127</v>
      </c>
      <c r="C13" s="69" t="s">
        <v>151</v>
      </c>
      <c r="D13" s="69" t="s">
        <v>57</v>
      </c>
      <c r="E13" s="69" t="s">
        <v>58</v>
      </c>
      <c r="AD13" s="31"/>
    </row>
    <row r="14" ht="18.75" customHeight="1" spans="2:5">
      <c r="B14" s="70">
        <f>AJ9</f>
        <v>75864.42</v>
      </c>
      <c r="C14" s="70">
        <f>AG9</f>
        <v>1291.67</v>
      </c>
      <c r="D14" s="70">
        <f>AK9</f>
        <v>0</v>
      </c>
      <c r="E14" s="70">
        <f>B14+C14+D14</f>
        <v>77156.09</v>
      </c>
    </row>
    <row r="15" spans="2:5">
      <c r="B15" s="71"/>
      <c r="C15" s="71"/>
      <c r="D15" s="71"/>
      <c r="E15" s="71"/>
    </row>
    <row r="16" s="35" customFormat="1" spans="1:35">
      <c r="A16" s="72" t="s">
        <v>152</v>
      </c>
      <c r="B16" s="73" t="s">
        <v>153</v>
      </c>
      <c r="C16" s="74"/>
      <c r="D16" s="74"/>
      <c r="E16" s="74"/>
      <c r="G16" s="75"/>
      <c r="J16" s="98"/>
      <c r="M16" s="99"/>
      <c r="AI16" s="130"/>
    </row>
    <row r="17" s="35" customFormat="1" spans="1:35">
      <c r="A17" s="76"/>
      <c r="B17" s="77" t="s">
        <v>154</v>
      </c>
      <c r="C17" s="74"/>
      <c r="D17" s="74"/>
      <c r="E17" s="74"/>
      <c r="G17" s="75"/>
      <c r="J17" s="98"/>
      <c r="M17" s="99"/>
      <c r="AI17" s="130"/>
    </row>
    <row r="18" s="35" customFormat="1" spans="1:35">
      <c r="A18" s="73"/>
      <c r="B18" s="77" t="s">
        <v>155</v>
      </c>
      <c r="C18" s="78"/>
      <c r="D18" s="78"/>
      <c r="E18" s="78"/>
      <c r="F18" s="78"/>
      <c r="G18" s="78"/>
      <c r="H18" s="78"/>
      <c r="I18" s="78"/>
      <c r="J18" s="100"/>
      <c r="K18" s="78"/>
      <c r="L18" s="78"/>
      <c r="M18" s="101"/>
      <c r="N18" s="78"/>
      <c r="O18" s="78"/>
      <c r="P18" s="78"/>
      <c r="AI18" s="130"/>
    </row>
    <row r="19" s="35" customFormat="1" customHeight="1" spans="1:35">
      <c r="A19" s="77"/>
      <c r="B19" s="77" t="s">
        <v>156</v>
      </c>
      <c r="C19" s="79"/>
      <c r="D19" s="79"/>
      <c r="E19" s="79"/>
      <c r="F19" s="79"/>
      <c r="G19" s="79"/>
      <c r="H19" s="79"/>
      <c r="I19" s="102"/>
      <c r="J19" s="103"/>
      <c r="K19" s="102"/>
      <c r="L19" s="102"/>
      <c r="M19" s="104"/>
      <c r="N19" s="102"/>
      <c r="O19" s="102"/>
      <c r="P19" s="102"/>
      <c r="AI19" s="130"/>
    </row>
    <row r="20" s="35" customFormat="1" customHeight="1" spans="1:35">
      <c r="A20" s="77"/>
      <c r="B20" s="77" t="s">
        <v>157</v>
      </c>
      <c r="C20" s="79"/>
      <c r="D20" s="79"/>
      <c r="E20" s="79"/>
      <c r="F20" s="79"/>
      <c r="G20" s="79"/>
      <c r="H20" s="79"/>
      <c r="I20" s="79"/>
      <c r="J20" s="105"/>
      <c r="K20" s="79"/>
      <c r="L20" s="102"/>
      <c r="M20" s="104"/>
      <c r="N20" s="102"/>
      <c r="O20" s="102"/>
      <c r="P20" s="102"/>
      <c r="AI20" s="130"/>
    </row>
    <row r="21" s="35" customFormat="1" customHeight="1" spans="1:35">
      <c r="A21" s="77"/>
      <c r="B21" s="77" t="s">
        <v>158</v>
      </c>
      <c r="C21" s="79"/>
      <c r="D21" s="79"/>
      <c r="E21" s="79"/>
      <c r="F21" s="79"/>
      <c r="G21" s="79"/>
      <c r="H21" s="79"/>
      <c r="I21" s="102"/>
      <c r="J21" s="103"/>
      <c r="K21" s="102"/>
      <c r="L21" s="102"/>
      <c r="M21" s="104"/>
      <c r="N21" s="102"/>
      <c r="O21" s="102"/>
      <c r="P21" s="102"/>
      <c r="AI21" s="130"/>
    </row>
    <row r="23" ht="11.25" customHeight="1" spans="2:2">
      <c r="B23" s="80" t="s">
        <v>159</v>
      </c>
    </row>
    <row r="24" spans="2:2">
      <c r="B24" s="81" t="s">
        <v>160</v>
      </c>
    </row>
    <row r="25" spans="2:2">
      <c r="B25" s="81" t="s">
        <v>161</v>
      </c>
    </row>
  </sheetData>
  <autoFilter ref="A3:AT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1">
    <cfRule type="duplicateValues" dxfId="3" priority="10" stopIfTrue="1"/>
  </conditionalFormatting>
  <conditionalFormatting sqref="B16:B20">
    <cfRule type="duplicateValues" dxfId="3" priority="13" stopIfTrue="1"/>
  </conditionalFormatting>
  <conditionalFormatting sqref="B24:B25">
    <cfRule type="duplicateValues" dxfId="3" priority="1" stopIfTrue="1"/>
  </conditionalFormatting>
  <conditionalFormatting sqref="C13:C15">
    <cfRule type="duplicateValues" dxfId="3" priority="17" stopIfTrue="1"/>
    <cfRule type="expression" dxfId="4" priority="19" stopIfTrue="1">
      <formula>AND(COUNTIF($B$9:$B$65445,C13)+COUNTIF($B$1:$B$3,C13)&gt;1,NOT(ISBLANK(C13)))</formula>
    </cfRule>
    <cfRule type="expression" dxfId="4" priority="21" stopIfTrue="1">
      <formula>AND(COUNTIF($B$20:$B$65396,C13)+COUNTIF($B$1:$B$19,C13)&gt;1,NOT(ISBLANK(C13)))</formula>
    </cfRule>
    <cfRule type="expression" dxfId="4" priority="23" stopIfTrue="1">
      <formula>AND(COUNTIF($B$9:$B$65434,C13)+COUNTIF($B$1:$B$3,C13)&gt;1,NOT(ISBLANK(C13)))</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25"/>
  <sheetViews>
    <sheetView workbookViewId="0">
      <pane xSplit="6" ySplit="3" topLeftCell="G4" activePane="bottomRight" state="frozen"/>
      <selection/>
      <selection pane="topRight"/>
      <selection pane="bottomLeft"/>
      <selection pane="bottomRight" activeCell="B4" sqref="B4:P8"/>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12.5" style="36" customWidth="1" outlineLevel="1"/>
    <col min="14" max="15" width="9" style="36" customWidth="1" outlineLevel="1"/>
    <col min="16" max="16" width="11.125" style="36" customWidth="1" outlineLevel="1"/>
    <col min="17" max="17" width="9.75" style="36" customWidth="1"/>
    <col min="18" max="18" width="9.5" style="36" customWidth="1"/>
    <col min="19" max="19" width="13.37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3.375"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146</v>
      </c>
      <c r="C4" s="58" t="s">
        <v>75</v>
      </c>
      <c r="D4" s="58" t="s">
        <v>147</v>
      </c>
      <c r="E4" s="58" t="s">
        <v>76</v>
      </c>
      <c r="F4" s="59" t="s">
        <v>193</v>
      </c>
      <c r="G4" s="62">
        <v>18035163638</v>
      </c>
      <c r="H4" s="61"/>
      <c r="I4" s="61"/>
      <c r="J4" s="91"/>
      <c r="K4" s="61"/>
      <c r="L4" s="94">
        <v>8000</v>
      </c>
      <c r="M4" s="93">
        <v>264</v>
      </c>
      <c r="N4" s="93">
        <v>66</v>
      </c>
      <c r="O4" s="93">
        <v>9.9</v>
      </c>
      <c r="P4" s="93">
        <v>180</v>
      </c>
      <c r="Q4" s="112">
        <f>ROUND(SUM(M4:P4),2)</f>
        <v>519.9</v>
      </c>
      <c r="R4" s="94">
        <v>0</v>
      </c>
      <c r="S4" s="113">
        <f>L4+IFERROR(VLOOKUP($E:$E,'（居民）工资表-11月'!$E:$S,15,0),0)</f>
        <v>107070</v>
      </c>
      <c r="T4" s="114">
        <f>5000+IFERROR(VLOOKUP($E:$E,'（居民）工资表-11月'!$E:$T,16,0),0)</f>
        <v>60000</v>
      </c>
      <c r="U4" s="114">
        <f>Q4+IFERROR(VLOOKUP($E:$E,'（居民）工资表-11月'!$E:$U,17,0),0)</f>
        <v>6238.8</v>
      </c>
      <c r="V4" s="94"/>
      <c r="W4" s="94"/>
      <c r="X4" s="94">
        <v>12000</v>
      </c>
      <c r="Y4" s="94"/>
      <c r="Z4" s="94"/>
      <c r="AA4" s="94"/>
      <c r="AB4" s="113">
        <f>ROUND(SUM(V4:AA4),2)</f>
        <v>12000</v>
      </c>
      <c r="AC4" s="113">
        <f>R4+IFERROR(VLOOKUP($E:$E,'（居民）工资表-11月'!$E:$AC,25,0),0)</f>
        <v>0</v>
      </c>
      <c r="AD4" s="116">
        <f>ROUND(S4-T4-U4-AB4-AC4,2)</f>
        <v>28831.2</v>
      </c>
      <c r="AE4" s="117">
        <f>ROUND(MAX((AD4)*{0.03;0.1;0.2;0.25;0.3;0.35;0.45}-{0;2520;16920;31920;52920;85920;181920},0),2)</f>
        <v>864.94</v>
      </c>
      <c r="AF4" s="118">
        <f>IFERROR(VLOOKUP(E:E,'（居民）工资表-11月'!E:AF,28,0)+VLOOKUP(E:E,'（居民）工资表-11月'!E:AG,29,0),0)</f>
        <v>820.53</v>
      </c>
      <c r="AG4" s="118">
        <f>IF((AE4-AF4)&lt;0,0,AE4-AF4)</f>
        <v>44.4100000000001</v>
      </c>
      <c r="AH4" s="125">
        <f>ROUND(IF((L4-Q4-AG4)&lt;0,0,(L4-Q4-AG4)),2)</f>
        <v>7435.69</v>
      </c>
      <c r="AI4" s="126"/>
      <c r="AJ4" s="125">
        <f>AH4+AI4</f>
        <v>7435.69</v>
      </c>
      <c r="AK4" s="127"/>
      <c r="AL4" s="125">
        <f>AJ4+AG4+AK4</f>
        <v>7480.1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IF(SUMPRODUCT(N(E$1:E$8=E4))&gt;1,"重复","不")</f>
        <v>不</v>
      </c>
      <c r="AT4" s="134" t="str">
        <f>IF(SUMPRODUCT(N(AO$1:AO$8=AO4))&gt;1,"重复","不")</f>
        <v>重复</v>
      </c>
    </row>
    <row r="5" s="33" customFormat="1" ht="18" customHeight="1" spans="1:46">
      <c r="A5" s="57">
        <v>2</v>
      </c>
      <c r="B5" s="58" t="s">
        <v>146</v>
      </c>
      <c r="C5" s="58" t="s">
        <v>93</v>
      </c>
      <c r="D5" s="58" t="s">
        <v>147</v>
      </c>
      <c r="E5" s="58" t="s">
        <v>94</v>
      </c>
      <c r="F5" s="59" t="s">
        <v>193</v>
      </c>
      <c r="G5" s="62">
        <v>13944441728</v>
      </c>
      <c r="H5" s="61"/>
      <c r="I5" s="61"/>
      <c r="J5" s="91"/>
      <c r="K5" s="61"/>
      <c r="L5" s="94">
        <v>7000</v>
      </c>
      <c r="M5" s="93">
        <v>268.81</v>
      </c>
      <c r="N5" s="93">
        <v>10.08</v>
      </c>
      <c r="O5" s="93">
        <v>61.06</v>
      </c>
      <c r="P5" s="93">
        <v>79</v>
      </c>
      <c r="Q5" s="112">
        <f>ROUND(SUM(M5:P5),2)</f>
        <v>418.95</v>
      </c>
      <c r="R5" s="94">
        <v>0</v>
      </c>
      <c r="S5" s="113">
        <f>L5+IFERROR(VLOOKUP($E:$E,'（居民）工资表-11月'!$E:$S,15,0),0)</f>
        <v>85971.4</v>
      </c>
      <c r="T5" s="114">
        <f>5000+IFERROR(VLOOKUP($E:$E,'（居民）工资表-11月'!$E:$T,16,0),0)</f>
        <v>60000</v>
      </c>
      <c r="U5" s="114">
        <f>Q5+IFERROR(VLOOKUP($E:$E,'（居民）工资表-11月'!$E:$U,17,0),0)</f>
        <v>5819.34</v>
      </c>
      <c r="V5" s="94"/>
      <c r="W5" s="94"/>
      <c r="X5" s="94"/>
      <c r="Y5" s="94"/>
      <c r="Z5" s="94"/>
      <c r="AA5" s="94"/>
      <c r="AB5" s="113">
        <f>ROUND(SUM(V5:AA5),2)</f>
        <v>0</v>
      </c>
      <c r="AC5" s="113">
        <f>R5+IFERROR(VLOOKUP($E:$E,'（居民）工资表-11月'!$E:$AC,25,0),0)</f>
        <v>0</v>
      </c>
      <c r="AD5" s="116">
        <f>ROUND(S5-T5-U5-AB5-AC5,2)</f>
        <v>20152.06</v>
      </c>
      <c r="AE5" s="117">
        <f>ROUND(MAX((AD5)*{0.03;0.1;0.2;0.25;0.3;0.35;0.45}-{0;2520;16920;31920;52920;85920;181920},0),2)</f>
        <v>604.56</v>
      </c>
      <c r="AF5" s="118">
        <f>IFERROR(VLOOKUP(E:E,'（居民）工资表-11月'!E:AF,28,0)+VLOOKUP(E:E,'（居民）工资表-11月'!E:AG,29,0),0)</f>
        <v>557.13</v>
      </c>
      <c r="AG5" s="118">
        <f>IF((AE5-AF5)&lt;0,0,AE5-AF5)</f>
        <v>47.4299999999999</v>
      </c>
      <c r="AH5" s="125">
        <f>ROUND(IF((L5-Q5-AG5)&lt;0,0,(L5-Q5-AG5)),2)</f>
        <v>6533.62</v>
      </c>
      <c r="AI5" s="126"/>
      <c r="AJ5" s="125">
        <f>AH5+AI5</f>
        <v>6533.62</v>
      </c>
      <c r="AK5" s="127"/>
      <c r="AL5" s="125">
        <f>AJ5+AG5+AK5</f>
        <v>6581.05</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IF(SUMPRODUCT(N(E$1:E$8=E5))&gt;1,"重复","不")</f>
        <v>不</v>
      </c>
      <c r="AT5" s="134" t="str">
        <f>IF(SUMPRODUCT(N(AO$1:AO$8=AO5))&gt;1,"重复","不")</f>
        <v>重复</v>
      </c>
    </row>
    <row r="6" s="33" customFormat="1" ht="18" customHeight="1" spans="1:46">
      <c r="A6" s="57">
        <v>3</v>
      </c>
      <c r="B6" s="58" t="s">
        <v>146</v>
      </c>
      <c r="C6" s="58" t="s">
        <v>174</v>
      </c>
      <c r="D6" s="58" t="s">
        <v>147</v>
      </c>
      <c r="E6" s="397" t="s">
        <v>175</v>
      </c>
      <c r="F6" s="59" t="str">
        <f>IF(MOD(MID(E6,17,1),2)=1,"男","女")</f>
        <v>女</v>
      </c>
      <c r="G6" s="62">
        <v>15360550807</v>
      </c>
      <c r="H6" s="61"/>
      <c r="I6" s="61"/>
      <c r="J6" s="91"/>
      <c r="K6" s="61"/>
      <c r="L6" s="94">
        <v>5700</v>
      </c>
      <c r="M6" s="93">
        <v>367.04</v>
      </c>
      <c r="N6" s="93">
        <v>123.5</v>
      </c>
      <c r="O6" s="93">
        <v>4.2</v>
      </c>
      <c r="P6" s="93">
        <v>105</v>
      </c>
      <c r="Q6" s="112">
        <f>ROUND(SUM(M6:P6),2)</f>
        <v>599.74</v>
      </c>
      <c r="R6" s="94">
        <v>0</v>
      </c>
      <c r="S6" s="113">
        <f>L6+IFERROR(VLOOKUP($E:$E,'（居民）工资表-11月'!$E:$S,15,0),0)</f>
        <v>29743.6363636364</v>
      </c>
      <c r="T6" s="114">
        <f>5000+IFERROR(VLOOKUP($E:$E,'（居民）工资表-11月'!$E:$T,16,0),0)</f>
        <v>30000</v>
      </c>
      <c r="U6" s="114">
        <f>Q6+IFERROR(VLOOKUP($E:$E,'（居民）工资表-11月'!$E:$U,17,0),0)</f>
        <v>1199.48</v>
      </c>
      <c r="V6" s="94"/>
      <c r="W6" s="94"/>
      <c r="X6" s="94"/>
      <c r="Y6" s="94"/>
      <c r="Z6" s="94"/>
      <c r="AA6" s="94"/>
      <c r="AB6" s="113">
        <f>ROUND(SUM(V6:AA6),2)</f>
        <v>0</v>
      </c>
      <c r="AC6" s="113">
        <f>R6+IFERROR(VLOOKUP($E:$E,'（居民）工资表-11月'!$E:$AC,25,0),0)</f>
        <v>0</v>
      </c>
      <c r="AD6" s="116">
        <f>ROUND(S6-T6-U6-AB6-AC6,2)</f>
        <v>-1455.84</v>
      </c>
      <c r="AE6" s="117">
        <f>ROUND(MAX((AD6)*{0.03;0.1;0.2;0.25;0.3;0.35;0.45}-{0;2520;16920;31920;52920;85920;181920},0),2)</f>
        <v>0</v>
      </c>
      <c r="AF6" s="118">
        <f>IFERROR(VLOOKUP(E:E,'（居民）工资表-11月'!E:AF,28,0)+VLOOKUP(E:E,'（居民）工资表-11月'!E:AG,29,0),0)</f>
        <v>0</v>
      </c>
      <c r="AG6" s="118">
        <f>IF((AE6-AF6)&lt;0,0,AE6-AF6)</f>
        <v>0</v>
      </c>
      <c r="AH6" s="125">
        <f>ROUND(IF((L6-Q6-AG6)&lt;0,0,(L6-Q6-AG6)),2)</f>
        <v>5100.26</v>
      </c>
      <c r="AI6" s="126"/>
      <c r="AJ6" s="125">
        <f>AH6+AI6</f>
        <v>5100.26</v>
      </c>
      <c r="AK6" s="127"/>
      <c r="AL6" s="125">
        <f>AJ6+AG6+AK6</f>
        <v>5100.26</v>
      </c>
      <c r="AM6" s="127"/>
      <c r="AN6" s="127"/>
      <c r="AO6" s="127"/>
      <c r="AP6" s="127"/>
      <c r="AQ6" s="127"/>
      <c r="AR6" s="134"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IF(SUMPRODUCT(N(E$1:E$8=E6))&gt;1,"重复","不")</f>
        <v>不</v>
      </c>
      <c r="AT6" s="134" t="str">
        <f>IF(SUMPRODUCT(N(AO$1:AO$8=AO6))&gt;1,"重复","不")</f>
        <v>重复</v>
      </c>
    </row>
    <row r="7" s="33" customFormat="1" ht="18" customHeight="1" spans="1:46">
      <c r="A7" s="57">
        <v>4</v>
      </c>
      <c r="B7" s="58" t="s">
        <v>146</v>
      </c>
      <c r="C7" s="58" t="s">
        <v>148</v>
      </c>
      <c r="D7" s="58" t="s">
        <v>147</v>
      </c>
      <c r="E7" s="397" t="s">
        <v>149</v>
      </c>
      <c r="F7" s="59" t="s">
        <v>193</v>
      </c>
      <c r="G7" s="62">
        <v>18607383005</v>
      </c>
      <c r="H7" s="61"/>
      <c r="I7" s="61"/>
      <c r="J7" s="91"/>
      <c r="K7" s="61"/>
      <c r="L7" s="94">
        <v>25000</v>
      </c>
      <c r="M7" s="93">
        <f>320</f>
        <v>320</v>
      </c>
      <c r="N7" s="93">
        <f>80</f>
        <v>80</v>
      </c>
      <c r="O7" s="93">
        <f>12</f>
        <v>12</v>
      </c>
      <c r="P7" s="93">
        <v>200</v>
      </c>
      <c r="Q7" s="112">
        <f>ROUND(SUM(M7:P7),2)</f>
        <v>612</v>
      </c>
      <c r="R7" s="94">
        <v>0</v>
      </c>
      <c r="S7" s="113">
        <f>L7+IFERROR(VLOOKUP($E:$E,'（居民）工资表-11月'!$E:$S,15,0),0)</f>
        <v>290024.76</v>
      </c>
      <c r="T7" s="114">
        <f>5000+IFERROR(VLOOKUP($E:$E,'（居民）工资表-11月'!$E:$T,16,0),0)</f>
        <v>60000</v>
      </c>
      <c r="U7" s="114">
        <f>Q7+IFERROR(VLOOKUP($E:$E,'（居民）工资表-11月'!$E:$U,17,0),0)</f>
        <v>7560.67</v>
      </c>
      <c r="V7" s="94"/>
      <c r="W7" s="94"/>
      <c r="X7" s="94"/>
      <c r="Y7" s="94"/>
      <c r="Z7" s="94"/>
      <c r="AA7" s="94"/>
      <c r="AB7" s="113">
        <f>ROUND(SUM(V7:AA7),2)</f>
        <v>0</v>
      </c>
      <c r="AC7" s="113">
        <f>R7+IFERROR(VLOOKUP($E:$E,'（居民）工资表-11月'!$E:$AC,25,0),0)</f>
        <v>0</v>
      </c>
      <c r="AD7" s="116">
        <f>ROUND(S7-T7-U7-AB7-AC7,2)</f>
        <v>222464.09</v>
      </c>
      <c r="AE7" s="117">
        <f>ROUND(MAX((AD7)*{0.03;0.1;0.2;0.25;0.3;0.35;0.45}-{0;2520;16920;31920;52920;85920;181920},0),2)</f>
        <v>27572.82</v>
      </c>
      <c r="AF7" s="118">
        <f>IFERROR(VLOOKUP(E:E,'（居民）工资表-11月'!E:AF,28,0)+VLOOKUP(E:E,'（居民）工资表-11月'!E:AG,29,0),0)</f>
        <v>23695.22</v>
      </c>
      <c r="AG7" s="118">
        <f>IF((AE7-AF7)&lt;0,0,AE7-AF7)</f>
        <v>3877.6</v>
      </c>
      <c r="AH7" s="125">
        <f>ROUND(IF((L7-Q7-AG7)&lt;0,0,(L7-Q7-AG7)),2)</f>
        <v>20510.4</v>
      </c>
      <c r="AI7" s="126"/>
      <c r="AJ7" s="125">
        <f>AH7+AI7</f>
        <v>20510.4</v>
      </c>
      <c r="AK7" s="127"/>
      <c r="AL7" s="125">
        <f>AJ7+AG7+AK7</f>
        <v>24388</v>
      </c>
      <c r="AM7" s="127"/>
      <c r="AN7" s="127"/>
      <c r="AO7" s="127"/>
      <c r="AP7" s="127"/>
      <c r="AQ7" s="127"/>
      <c r="AR7" s="134"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134" t="str">
        <f>IF(SUMPRODUCT(N(E$1:E$8=E7))&gt;1,"重复","不")</f>
        <v>不</v>
      </c>
      <c r="AT7" s="134" t="str">
        <f>IF(SUMPRODUCT(N(AO$1:AO$8=AO7))&gt;1,"重复","不")</f>
        <v>重复</v>
      </c>
    </row>
    <row r="8" s="33" customFormat="1" ht="18" customHeight="1" spans="1:46">
      <c r="A8" s="57">
        <v>5</v>
      </c>
      <c r="B8" s="58" t="s">
        <v>146</v>
      </c>
      <c r="C8" s="58" t="s">
        <v>170</v>
      </c>
      <c r="D8" s="58" t="s">
        <v>147</v>
      </c>
      <c r="E8" s="58" t="s">
        <v>171</v>
      </c>
      <c r="F8" s="59" t="s">
        <v>193</v>
      </c>
      <c r="G8" s="62">
        <v>13373825180</v>
      </c>
      <c r="H8" s="61"/>
      <c r="I8" s="61"/>
      <c r="J8" s="91"/>
      <c r="K8" s="61"/>
      <c r="L8" s="94">
        <v>25000</v>
      </c>
      <c r="M8" s="93">
        <v>261.04</v>
      </c>
      <c r="N8" s="93">
        <v>9.1</v>
      </c>
      <c r="O8" s="93">
        <v>57.18</v>
      </c>
      <c r="P8" s="93">
        <v>85</v>
      </c>
      <c r="Q8" s="112">
        <f>ROUND(SUM(M8:P8),2)</f>
        <v>412.32</v>
      </c>
      <c r="R8" s="94">
        <v>0</v>
      </c>
      <c r="S8" s="113">
        <f>L8+IFERROR(VLOOKUP($E:$E,'（居民）工资表-11月'!$E:$S,15,0),0)</f>
        <v>50000</v>
      </c>
      <c r="T8" s="114">
        <f>5000+IFERROR(VLOOKUP($E:$E,'（居民）工资表-11月'!$E:$T,16,0),0)</f>
        <v>10000</v>
      </c>
      <c r="U8" s="114">
        <f>Q8+IFERROR(VLOOKUP($E:$E,'（居民）工资表-11月'!$E:$U,17,0),0)</f>
        <v>1269.46</v>
      </c>
      <c r="V8" s="94"/>
      <c r="W8" s="94"/>
      <c r="X8" s="94"/>
      <c r="Y8" s="94"/>
      <c r="Z8" s="94"/>
      <c r="AA8" s="94"/>
      <c r="AB8" s="113">
        <f>ROUND(SUM(V8:AA8),2)</f>
        <v>0</v>
      </c>
      <c r="AC8" s="113">
        <f>R8+IFERROR(VLOOKUP($E:$E,'（居民）工资表-11月'!$E:$AC,25,0),0)</f>
        <v>0</v>
      </c>
      <c r="AD8" s="116">
        <f>ROUND(S8-T8-U8-AB8-AC8,2)</f>
        <v>38730.54</v>
      </c>
      <c r="AE8" s="117">
        <f>ROUND(MAX((AD8)*{0.03;0.1;0.2;0.25;0.3;0.35;0.45}-{0;2520;16920;31920;52920;85920;181920},0),2)</f>
        <v>1353.05</v>
      </c>
      <c r="AF8" s="118">
        <f>IFERROR(VLOOKUP(E:E,'（居民）工资表-11月'!E:AF,28,0)+VLOOKUP(E:E,'（居民）工资表-11月'!E:AG,29,0),0)</f>
        <v>574.29</v>
      </c>
      <c r="AG8" s="118">
        <f>IF((AE8-AF8)&lt;0,0,AE8-AF8)</f>
        <v>778.76</v>
      </c>
      <c r="AH8" s="125">
        <f>ROUND(IF((L8-Q8-AG8)&lt;0,0,(L8-Q8-AG8)),2)</f>
        <v>23808.92</v>
      </c>
      <c r="AI8" s="126"/>
      <c r="AJ8" s="125">
        <f>AH8+AI8</f>
        <v>23808.92</v>
      </c>
      <c r="AK8" s="127"/>
      <c r="AL8" s="125">
        <f>AJ8+AG8+AK8</f>
        <v>24587.68</v>
      </c>
      <c r="AM8" s="127"/>
      <c r="AN8" s="127"/>
      <c r="AO8" s="127"/>
      <c r="AP8" s="127"/>
      <c r="AQ8" s="127"/>
      <c r="AR8" s="134"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134" t="str">
        <f>IF(SUMPRODUCT(N(E$1:E$8=E8))&gt;1,"重复","不")</f>
        <v>不</v>
      </c>
      <c r="AT8" s="134" t="str">
        <f>IF(SUMPRODUCT(N(AO$1:AO$8=AO8))&gt;1,"重复","不")</f>
        <v>重复</v>
      </c>
    </row>
    <row r="9" s="34" customFormat="1" ht="18" customHeight="1" spans="1:46">
      <c r="A9" s="63"/>
      <c r="B9" s="64" t="s">
        <v>150</v>
      </c>
      <c r="C9" s="64"/>
      <c r="D9" s="65"/>
      <c r="E9" s="66"/>
      <c r="F9" s="67"/>
      <c r="G9" s="68"/>
      <c r="H9" s="67"/>
      <c r="I9" s="95"/>
      <c r="J9" s="96"/>
      <c r="K9" s="95"/>
      <c r="L9" s="97">
        <f t="shared" ref="L9:AL9" si="0">SUM(L4:L8)</f>
        <v>70700</v>
      </c>
      <c r="M9" s="97">
        <f t="shared" si="0"/>
        <v>1480.89</v>
      </c>
      <c r="N9" s="97">
        <f t="shared" si="0"/>
        <v>288.68</v>
      </c>
      <c r="O9" s="97">
        <f t="shared" si="0"/>
        <v>144.34</v>
      </c>
      <c r="P9" s="97">
        <f t="shared" si="0"/>
        <v>649</v>
      </c>
      <c r="Q9" s="97">
        <f t="shared" si="0"/>
        <v>2562.91</v>
      </c>
      <c r="R9" s="97">
        <f t="shared" si="0"/>
        <v>0</v>
      </c>
      <c r="S9" s="97">
        <f t="shared" si="0"/>
        <v>562809.796363636</v>
      </c>
      <c r="T9" s="97">
        <f t="shared" si="0"/>
        <v>220000</v>
      </c>
      <c r="U9" s="97">
        <f t="shared" si="0"/>
        <v>22087.75</v>
      </c>
      <c r="V9" s="97">
        <f t="shared" si="0"/>
        <v>0</v>
      </c>
      <c r="W9" s="97">
        <f t="shared" si="0"/>
        <v>0</v>
      </c>
      <c r="X9" s="97">
        <f t="shared" si="0"/>
        <v>12000</v>
      </c>
      <c r="Y9" s="97">
        <f t="shared" si="0"/>
        <v>0</v>
      </c>
      <c r="Z9" s="97">
        <f t="shared" si="0"/>
        <v>0</v>
      </c>
      <c r="AA9" s="97">
        <f t="shared" si="0"/>
        <v>0</v>
      </c>
      <c r="AB9" s="97">
        <f t="shared" si="0"/>
        <v>12000</v>
      </c>
      <c r="AC9" s="97">
        <f t="shared" si="0"/>
        <v>0</v>
      </c>
      <c r="AD9" s="97">
        <f t="shared" si="0"/>
        <v>308722.05</v>
      </c>
      <c r="AE9" s="97">
        <f t="shared" si="0"/>
        <v>30395.37</v>
      </c>
      <c r="AF9" s="97">
        <f t="shared" si="0"/>
        <v>25647.17</v>
      </c>
      <c r="AG9" s="97">
        <f t="shared" si="0"/>
        <v>4748.2</v>
      </c>
      <c r="AH9" s="97">
        <f t="shared" si="0"/>
        <v>63388.89</v>
      </c>
      <c r="AI9" s="141">
        <f t="shared" si="0"/>
        <v>0</v>
      </c>
      <c r="AJ9" s="97">
        <f t="shared" si="0"/>
        <v>63388.89</v>
      </c>
      <c r="AK9" s="97">
        <f t="shared" si="0"/>
        <v>0</v>
      </c>
      <c r="AL9" s="97">
        <f t="shared" si="0"/>
        <v>68137.09</v>
      </c>
      <c r="AM9" s="128"/>
      <c r="AN9" s="128"/>
      <c r="AO9" s="128"/>
      <c r="AP9" s="128"/>
      <c r="AQ9" s="128"/>
      <c r="AR9" s="67"/>
      <c r="AS9" s="67"/>
      <c r="AT9" s="135"/>
    </row>
    <row r="12" spans="30:30">
      <c r="AD12" s="119"/>
    </row>
    <row r="13" ht="18.75" customHeight="1" spans="2:30">
      <c r="B13" s="69" t="s">
        <v>127</v>
      </c>
      <c r="C13" s="69" t="s">
        <v>151</v>
      </c>
      <c r="D13" s="69" t="s">
        <v>57</v>
      </c>
      <c r="E13" s="69" t="s">
        <v>58</v>
      </c>
      <c r="AD13" s="31"/>
    </row>
    <row r="14" ht="18.75" customHeight="1" spans="2:5">
      <c r="B14" s="70">
        <f>AJ9</f>
        <v>63388.89</v>
      </c>
      <c r="C14" s="70">
        <f>AG9</f>
        <v>4748.2</v>
      </c>
      <c r="D14" s="70">
        <f>AK9</f>
        <v>0</v>
      </c>
      <c r="E14" s="70">
        <f>B14+C14+D14</f>
        <v>68137.09</v>
      </c>
    </row>
    <row r="15" spans="2:5">
      <c r="B15" s="71"/>
      <c r="C15" s="71"/>
      <c r="D15" s="71"/>
      <c r="E15" s="71"/>
    </row>
    <row r="16" s="35" customFormat="1" spans="1:35">
      <c r="A16" s="72" t="s">
        <v>152</v>
      </c>
      <c r="B16" s="73" t="s">
        <v>153</v>
      </c>
      <c r="C16" s="74"/>
      <c r="D16" s="74"/>
      <c r="E16" s="74"/>
      <c r="G16" s="75"/>
      <c r="J16" s="98"/>
      <c r="M16" s="99"/>
      <c r="AI16" s="130"/>
    </row>
    <row r="17" s="35" customFormat="1" spans="1:35">
      <c r="A17" s="76"/>
      <c r="B17" s="77" t="s">
        <v>154</v>
      </c>
      <c r="C17" s="74"/>
      <c r="D17" s="74"/>
      <c r="E17" s="74"/>
      <c r="G17" s="75"/>
      <c r="J17" s="98"/>
      <c r="M17" s="99"/>
      <c r="AI17" s="130"/>
    </row>
    <row r="18" s="35" customFormat="1" spans="1:35">
      <c r="A18" s="73"/>
      <c r="B18" s="77" t="s">
        <v>155</v>
      </c>
      <c r="C18" s="78"/>
      <c r="D18" s="78"/>
      <c r="E18" s="78"/>
      <c r="F18" s="78"/>
      <c r="G18" s="78"/>
      <c r="H18" s="78"/>
      <c r="I18" s="78"/>
      <c r="J18" s="100"/>
      <c r="K18" s="78"/>
      <c r="L18" s="78"/>
      <c r="M18" s="101"/>
      <c r="N18" s="78"/>
      <c r="O18" s="78"/>
      <c r="P18" s="78"/>
      <c r="AI18" s="130"/>
    </row>
    <row r="19" s="35" customFormat="1" customHeight="1" spans="1:35">
      <c r="A19" s="77"/>
      <c r="B19" s="77" t="s">
        <v>156</v>
      </c>
      <c r="C19" s="79"/>
      <c r="D19" s="79"/>
      <c r="E19" s="79"/>
      <c r="F19" s="79"/>
      <c r="G19" s="79"/>
      <c r="H19" s="79"/>
      <c r="I19" s="102"/>
      <c r="J19" s="103"/>
      <c r="K19" s="102"/>
      <c r="L19" s="102"/>
      <c r="M19" s="104"/>
      <c r="N19" s="102"/>
      <c r="O19" s="102"/>
      <c r="P19" s="102"/>
      <c r="AI19" s="130"/>
    </row>
    <row r="20" s="35" customFormat="1" customHeight="1" spans="1:35">
      <c r="A20" s="77"/>
      <c r="B20" s="77" t="s">
        <v>157</v>
      </c>
      <c r="C20" s="79"/>
      <c r="D20" s="79"/>
      <c r="E20" s="79"/>
      <c r="F20" s="79"/>
      <c r="G20" s="79"/>
      <c r="H20" s="79"/>
      <c r="I20" s="79"/>
      <c r="J20" s="105"/>
      <c r="K20" s="79"/>
      <c r="L20" s="102"/>
      <c r="M20" s="104"/>
      <c r="N20" s="102"/>
      <c r="O20" s="102"/>
      <c r="P20" s="102"/>
      <c r="AI20" s="130"/>
    </row>
    <row r="21" s="35" customFormat="1" customHeight="1" spans="1:35">
      <c r="A21" s="77"/>
      <c r="B21" s="77" t="s">
        <v>158</v>
      </c>
      <c r="C21" s="79"/>
      <c r="D21" s="79"/>
      <c r="E21" s="79"/>
      <c r="F21" s="79"/>
      <c r="G21" s="79"/>
      <c r="H21" s="79"/>
      <c r="I21" s="102"/>
      <c r="J21" s="103"/>
      <c r="K21" s="102"/>
      <c r="L21" s="102"/>
      <c r="M21" s="104"/>
      <c r="N21" s="102"/>
      <c r="O21" s="102"/>
      <c r="P21" s="102"/>
      <c r="AI21" s="130"/>
    </row>
    <row r="23" ht="11.25" customHeight="1" spans="2:2">
      <c r="B23" s="80" t="s">
        <v>159</v>
      </c>
    </row>
    <row r="24" spans="2:2">
      <c r="B24" s="81" t="s">
        <v>160</v>
      </c>
    </row>
    <row r="25" spans="2:2">
      <c r="B25" s="81" t="s">
        <v>161</v>
      </c>
    </row>
  </sheetData>
  <autoFilter ref="A3:AT9">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1">
    <cfRule type="duplicateValues" dxfId="3" priority="2" stopIfTrue="1"/>
  </conditionalFormatting>
  <conditionalFormatting sqref="B16:B20">
    <cfRule type="duplicateValues" dxfId="3" priority="3" stopIfTrue="1"/>
  </conditionalFormatting>
  <conditionalFormatting sqref="B24:B25">
    <cfRule type="duplicateValues" dxfId="3" priority="1" stopIfTrue="1"/>
  </conditionalFormatting>
  <conditionalFormatting sqref="C13:C15">
    <cfRule type="duplicateValues" dxfId="3" priority="4" stopIfTrue="1"/>
    <cfRule type="expression" dxfId="4" priority="5" stopIfTrue="1">
      <formula>AND(COUNTIF($B$9:$B$65445,C13)+COUNTIF($B$1:$B$3,C13)&gt;1,NOT(ISBLANK(C13)))</formula>
    </cfRule>
    <cfRule type="expression" dxfId="4" priority="6" stopIfTrue="1">
      <formula>AND(COUNTIF($B$20:$B$65396,C13)+COUNTIF($B$1:$B$19,C13)&gt;1,NOT(ISBLANK(C13)))</formula>
    </cfRule>
    <cfRule type="expression" dxfId="4" priority="7" stopIfTrue="1">
      <formula>AND(COUNTIF($B$9:$B$65434,C13)+COUNTIF($B$1:$B$3,C13)&gt;1,NOT(ISBLANK(C13)))</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T29"/>
  <sheetViews>
    <sheetView workbookViewId="0">
      <pane xSplit="6" ySplit="3" topLeftCell="T4" activePane="bottomRight" state="frozen"/>
      <selection/>
      <selection pane="topRight"/>
      <selection pane="bottomLeft"/>
      <selection pane="bottomRight" activeCell="W7" sqref="W7"/>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9.5" style="36" customWidth="1" outlineLevel="1"/>
    <col min="14" max="15" width="9" style="36" customWidth="1" outlineLevel="1"/>
    <col min="16" max="16" width="11.125" style="36" customWidth="1" outlineLevel="1"/>
    <col min="17" max="17" width="9.75" style="36" customWidth="1"/>
    <col min="18" max="18" width="9.5" style="36" customWidth="1"/>
    <col min="19" max="19" width="11.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f>U4/2</f>
        <v>519.9</v>
      </c>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242</v>
      </c>
      <c r="C4" s="58" t="s">
        <v>75</v>
      </c>
      <c r="D4" s="58" t="s">
        <v>147</v>
      </c>
      <c r="E4" s="58" t="s">
        <v>76</v>
      </c>
      <c r="F4" s="59" t="s">
        <v>193</v>
      </c>
      <c r="G4" s="62">
        <v>18035163638</v>
      </c>
      <c r="H4" s="61"/>
      <c r="I4" s="61"/>
      <c r="J4" s="91"/>
      <c r="K4" s="61"/>
      <c r="L4" s="94">
        <v>8490</v>
      </c>
      <c r="M4" s="93">
        <v>264</v>
      </c>
      <c r="N4" s="93">
        <v>66</v>
      </c>
      <c r="O4" s="93">
        <v>9.9</v>
      </c>
      <c r="P4" s="93">
        <v>180</v>
      </c>
      <c r="Q4" s="112">
        <f t="shared" ref="Q4:Q12" si="0">ROUND(SUM(M4:P4),2)</f>
        <v>519.9</v>
      </c>
      <c r="R4" s="94">
        <v>0</v>
      </c>
      <c r="S4" s="113">
        <f>L4+IFERROR(VLOOKUP($E:$E,'（居民）工资表-1月'!$E:$S,15,0),0)</f>
        <v>17770</v>
      </c>
      <c r="T4" s="114">
        <f>5000+IFERROR(VLOOKUP($E:$E,'（居民）工资表-1月'!$E:$T,16,0),0)</f>
        <v>10000</v>
      </c>
      <c r="U4" s="114">
        <f>Q4+IFERROR(VLOOKUP($E:$E,'（居民）工资表-1月'!$E:$U,17,0),0)</f>
        <v>1039.8</v>
      </c>
      <c r="V4" s="140">
        <v>2000</v>
      </c>
      <c r="W4" s="140"/>
      <c r="X4" s="140">
        <v>2000</v>
      </c>
      <c r="Y4" s="140"/>
      <c r="Z4" s="140"/>
      <c r="AA4" s="140"/>
      <c r="AB4" s="113">
        <f>ROUND(SUM(V4:AA4),2)</f>
        <v>4000</v>
      </c>
      <c r="AC4" s="113">
        <f>R4+IFERROR(VLOOKUP($E:$E,'（居民）工资表-1月'!$E:$AC,25,0),0)</f>
        <v>0</v>
      </c>
      <c r="AD4" s="116">
        <f t="shared" ref="AD4:AD12" si="1">ROUND(S4-T4-U4-AB4-AC4,2)</f>
        <v>2730.2</v>
      </c>
      <c r="AE4" s="117">
        <f>ROUND(MAX((AD4)*{0.03;0.1;0.2;0.25;0.3;0.35;0.45}-{0;2520;16920;31920;52920;85920;181920},0),2)</f>
        <v>81.91</v>
      </c>
      <c r="AF4" s="118">
        <f>IFERROR(VLOOKUP(E:E,'（居民）工资表-1月'!E:AF,28,0)+VLOOKUP(E:E,'（居民）工资表-1月'!E:AG,29,0),0)</f>
        <v>52.8</v>
      </c>
      <c r="AG4" s="118">
        <f t="shared" ref="AG4:AG12" si="2">IF((AE4-AF4)&lt;0,0,AE4-AF4)</f>
        <v>29.11</v>
      </c>
      <c r="AH4" s="125">
        <f t="shared" ref="AH4:AH12" si="3">ROUND(IF((L4-Q4-AG4)&lt;0,0,(L4-Q4-AG4)),2)</f>
        <v>7940.99</v>
      </c>
      <c r="AI4" s="126"/>
      <c r="AJ4" s="125">
        <f t="shared" ref="AJ4:AJ12" si="4">AH4+AI4</f>
        <v>7940.99</v>
      </c>
      <c r="AK4" s="127"/>
      <c r="AL4" s="125">
        <f t="shared" ref="AL4:AL12" si="5">AJ4+AG4+AK4</f>
        <v>7970.1</v>
      </c>
      <c r="AM4" s="127"/>
      <c r="AN4" s="127"/>
      <c r="AO4" s="127"/>
      <c r="AP4" s="127"/>
      <c r="AQ4" s="127"/>
      <c r="AR4" s="134"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IF(SUMPRODUCT(N(E$1:E$8=E4))&gt;1,"重复","不")</f>
        <v>不</v>
      </c>
      <c r="AT4" s="134" t="str">
        <f>IF(SUMPRODUCT(N(AO$1:AO$8=AO4))&gt;1,"重复","不")</f>
        <v>重复</v>
      </c>
    </row>
    <row r="5" s="33" customFormat="1" ht="18" customHeight="1" spans="1:46">
      <c r="A5" s="57">
        <v>2</v>
      </c>
      <c r="B5" s="58" t="s">
        <v>242</v>
      </c>
      <c r="C5" s="58" t="s">
        <v>93</v>
      </c>
      <c r="D5" s="58" t="s">
        <v>147</v>
      </c>
      <c r="E5" s="58" t="s">
        <v>94</v>
      </c>
      <c r="F5" s="59" t="s">
        <v>193</v>
      </c>
      <c r="G5" s="62">
        <v>13944441728</v>
      </c>
      <c r="H5" s="61"/>
      <c r="I5" s="61"/>
      <c r="J5" s="91"/>
      <c r="K5" s="61"/>
      <c r="L5" s="94">
        <v>7000</v>
      </c>
      <c r="M5" s="93">
        <v>268.81</v>
      </c>
      <c r="N5" s="93">
        <v>61.06</v>
      </c>
      <c r="O5" s="93">
        <v>10.08</v>
      </c>
      <c r="P5" s="93">
        <v>79</v>
      </c>
      <c r="Q5" s="112">
        <f t="shared" si="0"/>
        <v>418.95</v>
      </c>
      <c r="R5" s="94">
        <v>0</v>
      </c>
      <c r="S5" s="113">
        <f>L5+IFERROR(VLOOKUP($E:$E,'（居民）工资表-1月'!$E:$S,15,0),0)</f>
        <v>14000</v>
      </c>
      <c r="T5" s="114">
        <f>5000+IFERROR(VLOOKUP($E:$E,'（居民）工资表-1月'!$E:$T,16,0),0)</f>
        <v>10000</v>
      </c>
      <c r="U5" s="114">
        <f>Q5+IFERROR(VLOOKUP($E:$E,'（居民）工资表-1月'!$E:$U,17,0),0)</f>
        <v>837.9</v>
      </c>
      <c r="V5" s="140"/>
      <c r="W5" s="140"/>
      <c r="X5" s="140">
        <v>2000</v>
      </c>
      <c r="Y5" s="140"/>
      <c r="Z5" s="140"/>
      <c r="AA5" s="140"/>
      <c r="AB5" s="113">
        <f t="shared" ref="AB5:AB12" si="7">ROUND(SUM(V5:AA5),2)</f>
        <v>2000</v>
      </c>
      <c r="AC5" s="113">
        <f>R5+IFERROR(VLOOKUP($E:$E,'（居民）工资表-1月'!$E:$AC,25,0),0)</f>
        <v>0</v>
      </c>
      <c r="AD5" s="116">
        <f t="shared" si="1"/>
        <v>1162.1</v>
      </c>
      <c r="AE5" s="117">
        <f>ROUND(MAX((AD5)*{0.03;0.1;0.2;0.25;0.3;0.35;0.45}-{0;2520;16920;31920;52920;85920;181920},0),2)</f>
        <v>34.86</v>
      </c>
      <c r="AF5" s="118">
        <f>IFERROR(VLOOKUP(E:E,'（居民）工资表-1月'!E:AF,28,0)+VLOOKUP(E:E,'（居民）工资表-1月'!E:AG,29,0),0)</f>
        <v>17.43</v>
      </c>
      <c r="AG5" s="118">
        <f t="shared" si="2"/>
        <v>17.43</v>
      </c>
      <c r="AH5" s="125">
        <f t="shared" si="3"/>
        <v>6563.62</v>
      </c>
      <c r="AI5" s="126"/>
      <c r="AJ5" s="125">
        <f t="shared" si="4"/>
        <v>6563.62</v>
      </c>
      <c r="AK5" s="127"/>
      <c r="AL5" s="125">
        <f t="shared" si="5"/>
        <v>6581.05</v>
      </c>
      <c r="AM5" s="127"/>
      <c r="AN5" s="127"/>
      <c r="AO5" s="127"/>
      <c r="AP5" s="127"/>
      <c r="AQ5" s="127"/>
      <c r="AR5" s="134" t="str">
        <f t="shared" si="6"/>
        <v>正确</v>
      </c>
      <c r="AS5" s="134" t="str">
        <f>IF(SUMPRODUCT(N(E$1:E$8=E5))&gt;1,"重复","不")</f>
        <v>不</v>
      </c>
      <c r="AT5" s="134" t="str">
        <f>IF(SUMPRODUCT(N(AO$1:AO$8=AO5))&gt;1,"重复","不")</f>
        <v>重复</v>
      </c>
    </row>
    <row r="6" s="33" customFormat="1" ht="18" customHeight="1" spans="1:46">
      <c r="A6" s="57">
        <v>3</v>
      </c>
      <c r="B6" s="58" t="s">
        <v>242</v>
      </c>
      <c r="C6" s="58" t="s">
        <v>174</v>
      </c>
      <c r="D6" s="58" t="s">
        <v>147</v>
      </c>
      <c r="E6" s="397" t="s">
        <v>175</v>
      </c>
      <c r="F6" s="59" t="str">
        <f>IF(MOD(MID(E6,17,1),2)=1,"男","女")</f>
        <v>女</v>
      </c>
      <c r="G6" s="62">
        <v>15360550807</v>
      </c>
      <c r="H6" s="61"/>
      <c r="I6" s="61"/>
      <c r="J6" s="91"/>
      <c r="K6" s="61"/>
      <c r="L6" s="94">
        <v>5700</v>
      </c>
      <c r="M6" s="93">
        <v>367.04</v>
      </c>
      <c r="N6" s="93">
        <v>176.06</v>
      </c>
      <c r="O6" s="93">
        <v>5</v>
      </c>
      <c r="P6" s="93">
        <v>155.92</v>
      </c>
      <c r="Q6" s="112">
        <f t="shared" si="0"/>
        <v>704.02</v>
      </c>
      <c r="R6" s="94">
        <v>0</v>
      </c>
      <c r="S6" s="113">
        <f>L6+IFERROR(VLOOKUP($E:$E,'（居民）工资表-1月'!$E:$S,15,0),0)</f>
        <v>11400</v>
      </c>
      <c r="T6" s="114">
        <f>5000+IFERROR(VLOOKUP($E:$E,'（居民）工资表-1月'!$E:$T,16,0),0)</f>
        <v>10000</v>
      </c>
      <c r="U6" s="114">
        <f>Q6+IFERROR(VLOOKUP($E:$E,'（居民）工资表-1月'!$E:$U,17,0),0)</f>
        <v>1303.76</v>
      </c>
      <c r="V6" s="140"/>
      <c r="W6" s="140"/>
      <c r="X6" s="140"/>
      <c r="Y6" s="140">
        <v>3000</v>
      </c>
      <c r="Z6" s="140"/>
      <c r="AA6" s="140"/>
      <c r="AB6" s="113">
        <f t="shared" si="7"/>
        <v>3000</v>
      </c>
      <c r="AC6" s="113">
        <f>R6+IFERROR(VLOOKUP($E:$E,'（居民）工资表-1月'!$E:$AC,25,0),0)</f>
        <v>0</v>
      </c>
      <c r="AD6" s="116">
        <f t="shared" si="1"/>
        <v>-2903.76</v>
      </c>
      <c r="AE6" s="117">
        <f>ROUND(MAX((AD6)*{0.03;0.1;0.2;0.25;0.3;0.35;0.45}-{0;2520;16920;31920;52920;85920;181920},0),2)</f>
        <v>0</v>
      </c>
      <c r="AF6" s="118">
        <f>IFERROR(VLOOKUP(E:E,'（居民）工资表-1月'!E:AF,28,0)+VLOOKUP(E:E,'（居民）工资表-1月'!E:AG,29,0),0)</f>
        <v>0</v>
      </c>
      <c r="AG6" s="118">
        <f t="shared" si="2"/>
        <v>0</v>
      </c>
      <c r="AH6" s="125">
        <f t="shared" si="3"/>
        <v>4995.98</v>
      </c>
      <c r="AI6" s="126"/>
      <c r="AJ6" s="125">
        <f t="shared" si="4"/>
        <v>4995.98</v>
      </c>
      <c r="AK6" s="127"/>
      <c r="AL6" s="125">
        <f t="shared" si="5"/>
        <v>4995.98</v>
      </c>
      <c r="AM6" s="127"/>
      <c r="AN6" s="127"/>
      <c r="AO6" s="127"/>
      <c r="AP6" s="127"/>
      <c r="AQ6" s="127"/>
      <c r="AR6" s="134" t="str">
        <f t="shared" si="6"/>
        <v>正确</v>
      </c>
      <c r="AS6" s="134" t="str">
        <f>IF(SUMPRODUCT(N(E$1:E$8=E6))&gt;1,"重复","不")</f>
        <v>不</v>
      </c>
      <c r="AT6" s="134" t="str">
        <f>IF(SUMPRODUCT(N(AO$1:AO$8=AO6))&gt;1,"重复","不")</f>
        <v>重复</v>
      </c>
    </row>
    <row r="7" s="33" customFormat="1" ht="18" customHeight="1" spans="1:46">
      <c r="A7" s="57">
        <v>4</v>
      </c>
      <c r="B7" s="58" t="s">
        <v>242</v>
      </c>
      <c r="C7" s="58" t="s">
        <v>148</v>
      </c>
      <c r="D7" s="58" t="s">
        <v>147</v>
      </c>
      <c r="E7" s="397" t="s">
        <v>149</v>
      </c>
      <c r="F7" s="59" t="s">
        <v>193</v>
      </c>
      <c r="G7" s="62">
        <v>18607383005</v>
      </c>
      <c r="H7" s="61"/>
      <c r="I7" s="61"/>
      <c r="J7" s="91"/>
      <c r="K7" s="61"/>
      <c r="L7" s="94">
        <v>29000</v>
      </c>
      <c r="M7" s="93">
        <v>320</v>
      </c>
      <c r="N7" s="93">
        <v>210</v>
      </c>
      <c r="O7" s="93">
        <v>12</v>
      </c>
      <c r="P7" s="93">
        <v>330</v>
      </c>
      <c r="Q7" s="112">
        <f t="shared" si="0"/>
        <v>872</v>
      </c>
      <c r="R7" s="94">
        <v>0</v>
      </c>
      <c r="S7" s="113">
        <f>L7+IFERROR(VLOOKUP($E:$E,'（居民）工资表-1月'!$E:$S,15,0),0)</f>
        <v>60000</v>
      </c>
      <c r="T7" s="114">
        <f>5000+IFERROR(VLOOKUP($E:$E,'（居民）工资表-1月'!$E:$T,16,0),0)</f>
        <v>10000</v>
      </c>
      <c r="U7" s="114">
        <f>Q7+IFERROR(VLOOKUP($E:$E,'（居民）工资表-1月'!$E:$U,17,0),0)</f>
        <v>1484</v>
      </c>
      <c r="V7" s="140">
        <v>4000</v>
      </c>
      <c r="W7" s="140">
        <v>2000</v>
      </c>
      <c r="X7" s="140"/>
      <c r="Y7" s="140"/>
      <c r="Z7" s="140"/>
      <c r="AA7" s="140"/>
      <c r="AB7" s="113">
        <f t="shared" si="7"/>
        <v>6000</v>
      </c>
      <c r="AC7" s="113">
        <f>R7+IFERROR(VLOOKUP($E:$E,'（居民）工资表-1月'!$E:$AC,25,0),0)</f>
        <v>0</v>
      </c>
      <c r="AD7" s="116">
        <f t="shared" si="1"/>
        <v>42516</v>
      </c>
      <c r="AE7" s="117">
        <f>ROUND(MAX((AD7)*{0.03;0.1;0.2;0.25;0.3;0.35;0.45}-{0;2520;16920;31920;52920;85920;181920},0),2)</f>
        <v>1731.6</v>
      </c>
      <c r="AF7" s="118">
        <f>IFERROR(VLOOKUP(E:E,'（居民）工资表-1月'!E:AF,28,0)+VLOOKUP(E:E,'（居民）工资表-1月'!E:AG,29,0),0)</f>
        <v>671.64</v>
      </c>
      <c r="AG7" s="118">
        <f t="shared" si="2"/>
        <v>1059.96</v>
      </c>
      <c r="AH7" s="125">
        <f t="shared" si="3"/>
        <v>27068.04</v>
      </c>
      <c r="AI7" s="126"/>
      <c r="AJ7" s="125">
        <f t="shared" si="4"/>
        <v>27068.04</v>
      </c>
      <c r="AK7" s="127"/>
      <c r="AL7" s="125">
        <f t="shared" si="5"/>
        <v>28128</v>
      </c>
      <c r="AM7" s="127"/>
      <c r="AN7" s="127"/>
      <c r="AO7" s="127"/>
      <c r="AP7" s="127"/>
      <c r="AQ7" s="127"/>
      <c r="AR7" s="134" t="str">
        <f t="shared" si="6"/>
        <v>正确</v>
      </c>
      <c r="AS7" s="134" t="str">
        <f>IF(SUMPRODUCT(N(E$1:E$8=E7))&gt;1,"重复","不")</f>
        <v>不</v>
      </c>
      <c r="AT7" s="134" t="str">
        <f>IF(SUMPRODUCT(N(AO$1:AO$8=AO7))&gt;1,"重复","不")</f>
        <v>重复</v>
      </c>
    </row>
    <row r="8" s="33" customFormat="1" ht="18" customHeight="1" spans="1:46">
      <c r="A8" s="57">
        <v>5</v>
      </c>
      <c r="B8" s="58" t="s">
        <v>242</v>
      </c>
      <c r="C8" s="58" t="s">
        <v>170</v>
      </c>
      <c r="D8" s="58" t="s">
        <v>147</v>
      </c>
      <c r="E8" s="58" t="s">
        <v>171</v>
      </c>
      <c r="F8" s="59" t="s">
        <v>193</v>
      </c>
      <c r="G8" s="62">
        <v>13373825180</v>
      </c>
      <c r="H8" s="61"/>
      <c r="I8" s="61"/>
      <c r="J8" s="91"/>
      <c r="K8" s="61"/>
      <c r="L8" s="94">
        <v>30739</v>
      </c>
      <c r="M8" s="93">
        <v>266.24</v>
      </c>
      <c r="N8" s="93">
        <v>228.02</v>
      </c>
      <c r="O8" s="93">
        <v>12.75</v>
      </c>
      <c r="P8" s="93">
        <v>247.5</v>
      </c>
      <c r="Q8" s="112">
        <f t="shared" si="0"/>
        <v>754.51</v>
      </c>
      <c r="R8" s="94">
        <v>0</v>
      </c>
      <c r="S8" s="113">
        <f>L8+IFERROR(VLOOKUP($E:$E,'（居民）工资表-1月'!$E:$S,15,0),0)</f>
        <v>57478</v>
      </c>
      <c r="T8" s="114">
        <f>5000+IFERROR(VLOOKUP($E:$E,'（居民）工资表-1月'!$E:$T,16,0),0)</f>
        <v>10000</v>
      </c>
      <c r="U8" s="114">
        <f>Q8+IFERROR(VLOOKUP($E:$E,'（居民）工资表-1月'!$E:$U,17,0),0)</f>
        <v>1166.83</v>
      </c>
      <c r="V8" s="140">
        <v>2000</v>
      </c>
      <c r="W8" s="140">
        <v>2000</v>
      </c>
      <c r="X8" s="140">
        <v>2000</v>
      </c>
      <c r="Y8" s="140"/>
      <c r="Z8" s="140"/>
      <c r="AA8" s="140"/>
      <c r="AB8" s="113">
        <f t="shared" si="7"/>
        <v>6000</v>
      </c>
      <c r="AC8" s="113">
        <f>R8+IFERROR(VLOOKUP($E:$E,'（居民）工资表-1月'!$E:$AC,25,0),0)</f>
        <v>0</v>
      </c>
      <c r="AD8" s="116">
        <f t="shared" si="1"/>
        <v>40311.17</v>
      </c>
      <c r="AE8" s="117">
        <f>ROUND(MAX((AD8)*{0.03;0.1;0.2;0.25;0.3;0.35;0.45}-{0;2520;16920;31920;52920;85920;181920},0),2)</f>
        <v>1511.12</v>
      </c>
      <c r="AF8" s="118">
        <f>IFERROR(VLOOKUP(E:E,'（居民）工资表-1月'!E:AF,28,0)+VLOOKUP(E:E,'（居民）工资表-1月'!E:AG,29,0),0)</f>
        <v>549.8</v>
      </c>
      <c r="AG8" s="118">
        <f t="shared" si="2"/>
        <v>961.32</v>
      </c>
      <c r="AH8" s="125">
        <f t="shared" si="3"/>
        <v>29023.17</v>
      </c>
      <c r="AI8" s="126"/>
      <c r="AJ8" s="125">
        <f t="shared" si="4"/>
        <v>29023.17</v>
      </c>
      <c r="AK8" s="127"/>
      <c r="AL8" s="125">
        <f t="shared" si="5"/>
        <v>29984.49</v>
      </c>
      <c r="AM8" s="127"/>
      <c r="AN8" s="127"/>
      <c r="AO8" s="127"/>
      <c r="AP8" s="127"/>
      <c r="AQ8" s="127"/>
      <c r="AR8" s="134" t="str">
        <f t="shared" si="6"/>
        <v>正确</v>
      </c>
      <c r="AS8" s="134" t="str">
        <f>IF(SUMPRODUCT(N(E$1:E$8=E8))&gt;1,"重复","不")</f>
        <v>不</v>
      </c>
      <c r="AT8" s="134" t="str">
        <f>IF(SUMPRODUCT(N(AO$1:AO$8=AO8))&gt;1,"重复","不")</f>
        <v>重复</v>
      </c>
    </row>
    <row r="9" s="33" customFormat="1" ht="18" customHeight="1" spans="1:46">
      <c r="A9" s="57">
        <v>6</v>
      </c>
      <c r="B9" s="58" t="s">
        <v>242</v>
      </c>
      <c r="C9" s="58" t="s">
        <v>183</v>
      </c>
      <c r="D9" s="58" t="s">
        <v>147</v>
      </c>
      <c r="E9" s="58" t="s">
        <v>184</v>
      </c>
      <c r="F9" s="59" t="s">
        <v>193</v>
      </c>
      <c r="G9" s="62">
        <v>18037463616</v>
      </c>
      <c r="H9" s="61"/>
      <c r="I9" s="61"/>
      <c r="J9" s="91"/>
      <c r="K9" s="61"/>
      <c r="L9" s="94">
        <v>14200</v>
      </c>
      <c r="M9" s="93">
        <v>508.64</v>
      </c>
      <c r="N9" s="93">
        <v>127.16</v>
      </c>
      <c r="O9" s="93">
        <v>19.08</v>
      </c>
      <c r="P9" s="93">
        <v>215.58</v>
      </c>
      <c r="Q9" s="112">
        <f t="shared" si="0"/>
        <v>870.46</v>
      </c>
      <c r="R9" s="94">
        <v>0</v>
      </c>
      <c r="S9" s="113">
        <f>L9+IFERROR(VLOOKUP($E:$E,'（居民）工资表-1月'!$E:$S,15,0),0)</f>
        <v>14200</v>
      </c>
      <c r="T9" s="114">
        <f>5000+IFERROR(VLOOKUP($E:$E,'（居民）工资表-1月'!$E:$T,16,0),0)</f>
        <v>5000</v>
      </c>
      <c r="U9" s="114">
        <f>Q9+IFERROR(VLOOKUP($E:$E,'（居民）工资表-1月'!$E:$U,17,0),0)</f>
        <v>870.46</v>
      </c>
      <c r="V9" s="140"/>
      <c r="W9" s="140"/>
      <c r="X9" s="140"/>
      <c r="Y9" s="140"/>
      <c r="Z9" s="140"/>
      <c r="AA9" s="140"/>
      <c r="AB9" s="113">
        <f t="shared" si="7"/>
        <v>0</v>
      </c>
      <c r="AC9" s="113">
        <f>R9+IFERROR(VLOOKUP($E:$E,'（居民）工资表-1月'!$E:$AC,25,0),0)</f>
        <v>0</v>
      </c>
      <c r="AD9" s="116">
        <f t="shared" si="1"/>
        <v>8329.54</v>
      </c>
      <c r="AE9" s="117">
        <f>ROUND(MAX((AD9)*{0.03;0.1;0.2;0.25;0.3;0.35;0.45}-{0;2520;16920;31920;52920;85920;181920},0),2)</f>
        <v>249.89</v>
      </c>
      <c r="AF9" s="118">
        <f>IFERROR(VLOOKUP(E:E,'（居民）工资表-1月'!E:AF,28,0)+VLOOKUP(E:E,'（居民）工资表-1月'!E:AG,29,0),0)</f>
        <v>0</v>
      </c>
      <c r="AG9" s="118">
        <f t="shared" si="2"/>
        <v>249.89</v>
      </c>
      <c r="AH9" s="125">
        <f t="shared" si="3"/>
        <v>13079.65</v>
      </c>
      <c r="AI9" s="126"/>
      <c r="AJ9" s="125">
        <f t="shared" si="4"/>
        <v>13079.65</v>
      </c>
      <c r="AK9" s="127"/>
      <c r="AL9" s="125">
        <f t="shared" si="5"/>
        <v>13329.54</v>
      </c>
      <c r="AM9" s="127"/>
      <c r="AN9" s="127"/>
      <c r="AO9" s="127"/>
      <c r="AP9" s="127"/>
      <c r="AQ9" s="127"/>
      <c r="AR9" s="134" t="str">
        <f t="shared" si="6"/>
        <v>正确</v>
      </c>
      <c r="AS9" s="134" t="str">
        <f>IF(SUMPRODUCT(N(E$1:E$8=E9))&gt;1,"重复","不")</f>
        <v>不</v>
      </c>
      <c r="AT9" s="134" t="str">
        <f>IF(SUMPRODUCT(N(AO$1:AO$8=AO9))&gt;1,"重复","不")</f>
        <v>重复</v>
      </c>
    </row>
    <row r="10" s="33" customFormat="1" ht="18" customHeight="1" spans="1:46">
      <c r="A10" s="57">
        <v>7</v>
      </c>
      <c r="B10" s="58" t="s">
        <v>242</v>
      </c>
      <c r="C10" s="58" t="s">
        <v>185</v>
      </c>
      <c r="D10" s="58" t="s">
        <v>147</v>
      </c>
      <c r="E10" s="397" t="s">
        <v>186</v>
      </c>
      <c r="F10" s="59" t="s">
        <v>193</v>
      </c>
      <c r="G10" s="62">
        <v>18500634358</v>
      </c>
      <c r="H10" s="61"/>
      <c r="I10" s="61"/>
      <c r="J10" s="91"/>
      <c r="K10" s="61"/>
      <c r="L10" s="94">
        <v>14500</v>
      </c>
      <c r="M10" s="93">
        <v>508.64</v>
      </c>
      <c r="N10" s="93">
        <v>127.16</v>
      </c>
      <c r="O10" s="93">
        <v>19.08</v>
      </c>
      <c r="P10" s="93">
        <v>215.58</v>
      </c>
      <c r="Q10" s="112">
        <f t="shared" si="0"/>
        <v>870.46</v>
      </c>
      <c r="R10" s="94">
        <v>0</v>
      </c>
      <c r="S10" s="113">
        <f>L10+IFERROR(VLOOKUP($E:$E,'（居民）工资表-1月'!$E:$S,15,0),0)</f>
        <v>14500</v>
      </c>
      <c r="T10" s="114">
        <f>5000+IFERROR(VLOOKUP($E:$E,'（居民）工资表-1月'!$E:$T,16,0),0)</f>
        <v>5000</v>
      </c>
      <c r="U10" s="114">
        <f>Q10+IFERROR(VLOOKUP($E:$E,'（居民）工资表-1月'!$E:$U,17,0),0)</f>
        <v>870.46</v>
      </c>
      <c r="V10" s="140"/>
      <c r="W10" s="140"/>
      <c r="X10" s="140"/>
      <c r="Y10" s="140"/>
      <c r="Z10" s="140"/>
      <c r="AA10" s="140"/>
      <c r="AB10" s="113">
        <f t="shared" si="7"/>
        <v>0</v>
      </c>
      <c r="AC10" s="113">
        <f>R10+IFERROR(VLOOKUP($E:$E,'（居民）工资表-1月'!$E:$AC,25,0),0)</f>
        <v>0</v>
      </c>
      <c r="AD10" s="116">
        <f t="shared" si="1"/>
        <v>8629.54</v>
      </c>
      <c r="AE10" s="117">
        <f>ROUND(MAX((AD10)*{0.03;0.1;0.2;0.25;0.3;0.35;0.45}-{0;2520;16920;31920;52920;85920;181920},0),2)</f>
        <v>258.89</v>
      </c>
      <c r="AF10" s="118">
        <f>IFERROR(VLOOKUP(E:E,'（居民）工资表-1月'!E:AF,28,0)+VLOOKUP(E:E,'（居民）工资表-1月'!E:AG,29,0),0)</f>
        <v>0</v>
      </c>
      <c r="AG10" s="118">
        <f t="shared" si="2"/>
        <v>258.89</v>
      </c>
      <c r="AH10" s="125">
        <f t="shared" si="3"/>
        <v>13370.65</v>
      </c>
      <c r="AI10" s="126"/>
      <c r="AJ10" s="125">
        <f t="shared" si="4"/>
        <v>13370.65</v>
      </c>
      <c r="AK10" s="127"/>
      <c r="AL10" s="125">
        <f t="shared" si="5"/>
        <v>13629.54</v>
      </c>
      <c r="AM10" s="127"/>
      <c r="AN10" s="127"/>
      <c r="AO10" s="127"/>
      <c r="AP10" s="127"/>
      <c r="AQ10" s="127"/>
      <c r="AR10" s="134" t="str">
        <f t="shared" si="6"/>
        <v>正确</v>
      </c>
      <c r="AS10" s="134" t="str">
        <f>IF(SUMPRODUCT(N(E$1:E$8=E10))&gt;1,"重复","不")</f>
        <v>不</v>
      </c>
      <c r="AT10" s="134" t="str">
        <f>IF(SUMPRODUCT(N(AO$1:AO$8=AO10))&gt;1,"重复","不")</f>
        <v>重复</v>
      </c>
    </row>
    <row r="11" s="33" customFormat="1" ht="18" customHeight="1" spans="1:46">
      <c r="A11" s="57">
        <v>8</v>
      </c>
      <c r="B11" s="58" t="s">
        <v>242</v>
      </c>
      <c r="C11" s="58" t="s">
        <v>178</v>
      </c>
      <c r="D11" s="58" t="s">
        <v>147</v>
      </c>
      <c r="E11" s="58" t="s">
        <v>179</v>
      </c>
      <c r="F11" s="59" t="s">
        <v>193</v>
      </c>
      <c r="G11" s="62">
        <v>18738169923</v>
      </c>
      <c r="H11" s="61"/>
      <c r="I11" s="61"/>
      <c r="J11" s="91"/>
      <c r="K11" s="61"/>
      <c r="L11" s="94">
        <v>12000</v>
      </c>
      <c r="M11" s="93">
        <v>508.64</v>
      </c>
      <c r="N11" s="93">
        <v>127.16</v>
      </c>
      <c r="O11" s="93">
        <v>19.08</v>
      </c>
      <c r="P11" s="93">
        <v>317.58</v>
      </c>
      <c r="Q11" s="112">
        <f t="shared" si="0"/>
        <v>972.46</v>
      </c>
      <c r="R11" s="94">
        <v>0</v>
      </c>
      <c r="S11" s="113">
        <f>L11+IFERROR(VLOOKUP($E:$E,'（居民）工资表-1月'!$E:$S,15,0),0)</f>
        <v>12000</v>
      </c>
      <c r="T11" s="114">
        <f>5000+IFERROR(VLOOKUP($E:$E,'（居民）工资表-1月'!$E:$T,16,0),0)</f>
        <v>5000</v>
      </c>
      <c r="U11" s="114">
        <f>Q11+IFERROR(VLOOKUP($E:$E,'（居民）工资表-1月'!$E:$U,17,0),0)</f>
        <v>972.46</v>
      </c>
      <c r="V11" s="140"/>
      <c r="W11" s="140"/>
      <c r="X11" s="140"/>
      <c r="Y11" s="140"/>
      <c r="Z11" s="140"/>
      <c r="AA11" s="140"/>
      <c r="AB11" s="113">
        <f t="shared" si="7"/>
        <v>0</v>
      </c>
      <c r="AC11" s="113">
        <f>R11+IFERROR(VLOOKUP($E:$E,'（居民）工资表-1月'!$E:$AC,25,0),0)</f>
        <v>0</v>
      </c>
      <c r="AD11" s="116">
        <f t="shared" si="1"/>
        <v>6027.54</v>
      </c>
      <c r="AE11" s="117">
        <f>ROUND(MAX((AD11)*{0.03;0.1;0.2;0.25;0.3;0.35;0.45}-{0;2520;16920;31920;52920;85920;181920},0),2)</f>
        <v>180.83</v>
      </c>
      <c r="AF11" s="118">
        <f>IFERROR(VLOOKUP(E:E,'（居民）工资表-1月'!E:AF,28,0)+VLOOKUP(E:E,'（居民）工资表-1月'!E:AG,29,0),0)</f>
        <v>0</v>
      </c>
      <c r="AG11" s="118">
        <f t="shared" si="2"/>
        <v>180.83</v>
      </c>
      <c r="AH11" s="125">
        <f t="shared" si="3"/>
        <v>10846.71</v>
      </c>
      <c r="AI11" s="126"/>
      <c r="AJ11" s="125">
        <f t="shared" si="4"/>
        <v>10846.71</v>
      </c>
      <c r="AK11" s="127"/>
      <c r="AL11" s="125">
        <f t="shared" si="5"/>
        <v>11027.54</v>
      </c>
      <c r="AM11" s="127"/>
      <c r="AN11" s="127"/>
      <c r="AO11" s="127"/>
      <c r="AP11" s="127"/>
      <c r="AQ11" s="127"/>
      <c r="AR11" s="134" t="str">
        <f t="shared" si="6"/>
        <v>正确</v>
      </c>
      <c r="AS11" s="134" t="str">
        <f>IF(SUMPRODUCT(N(E$1:E$8=E11))&gt;1,"重复","不")</f>
        <v>不</v>
      </c>
      <c r="AT11" s="134" t="str">
        <f>IF(SUMPRODUCT(N(AO$1:AO$8=AO11))&gt;1,"重复","不")</f>
        <v>重复</v>
      </c>
    </row>
    <row r="12" s="33" customFormat="1" ht="18" customHeight="1" spans="1:46">
      <c r="A12" s="57">
        <v>9</v>
      </c>
      <c r="B12" s="58" t="s">
        <v>242</v>
      </c>
      <c r="C12" s="58" t="s">
        <v>181</v>
      </c>
      <c r="D12" s="58" t="s">
        <v>147</v>
      </c>
      <c r="E12" s="58" t="s">
        <v>182</v>
      </c>
      <c r="F12" s="59" t="s">
        <v>193</v>
      </c>
      <c r="G12" s="62">
        <v>15001138812</v>
      </c>
      <c r="H12" s="61"/>
      <c r="I12" s="61"/>
      <c r="J12" s="91"/>
      <c r="K12" s="61"/>
      <c r="L12" s="94">
        <v>10000</v>
      </c>
      <c r="M12" s="93">
        <v>508.64</v>
      </c>
      <c r="N12" s="93">
        <v>127.16</v>
      </c>
      <c r="O12" s="93">
        <v>19.08</v>
      </c>
      <c r="P12" s="93">
        <v>215.58</v>
      </c>
      <c r="Q12" s="112">
        <f t="shared" si="0"/>
        <v>870.46</v>
      </c>
      <c r="R12" s="94">
        <v>0</v>
      </c>
      <c r="S12" s="113">
        <f>L12+IFERROR(VLOOKUP($E:$E,'（居民）工资表-1月'!$E:$S,15,0),0)</f>
        <v>10000</v>
      </c>
      <c r="T12" s="114">
        <f>5000+IFERROR(VLOOKUP($E:$E,'（居民）工资表-1月'!$E:$T,16,0),0)</f>
        <v>5000</v>
      </c>
      <c r="U12" s="114">
        <f>Q12+IFERROR(VLOOKUP($E:$E,'（居民）工资表-1月'!$E:$U,17,0),0)</f>
        <v>870.46</v>
      </c>
      <c r="V12" s="140"/>
      <c r="W12" s="140"/>
      <c r="X12" s="140"/>
      <c r="Y12" s="140"/>
      <c r="Z12" s="140"/>
      <c r="AA12" s="140"/>
      <c r="AB12" s="113">
        <f t="shared" si="7"/>
        <v>0</v>
      </c>
      <c r="AC12" s="113">
        <f>R12+IFERROR(VLOOKUP($E:$E,'（居民）工资表-1月'!$E:$AC,25,0),0)</f>
        <v>0</v>
      </c>
      <c r="AD12" s="116">
        <f t="shared" si="1"/>
        <v>4129.54</v>
      </c>
      <c r="AE12" s="117">
        <f>ROUND(MAX((AD12)*{0.03;0.1;0.2;0.25;0.3;0.35;0.45}-{0;2520;16920;31920;52920;85920;181920},0),2)</f>
        <v>123.89</v>
      </c>
      <c r="AF12" s="118">
        <f>IFERROR(VLOOKUP(E:E,'（居民）工资表-1月'!E:AF,28,0)+VLOOKUP(E:E,'（居民）工资表-1月'!E:AG,29,0),0)</f>
        <v>0</v>
      </c>
      <c r="AG12" s="118">
        <f t="shared" si="2"/>
        <v>123.89</v>
      </c>
      <c r="AH12" s="125">
        <f t="shared" si="3"/>
        <v>9005.65</v>
      </c>
      <c r="AI12" s="126"/>
      <c r="AJ12" s="125">
        <f t="shared" si="4"/>
        <v>9005.65</v>
      </c>
      <c r="AK12" s="127"/>
      <c r="AL12" s="125">
        <f t="shared" si="5"/>
        <v>9129.54</v>
      </c>
      <c r="AM12" s="127"/>
      <c r="AN12" s="127"/>
      <c r="AO12" s="127"/>
      <c r="AP12" s="127"/>
      <c r="AQ12" s="127"/>
      <c r="AR12" s="134" t="str">
        <f t="shared" si="6"/>
        <v>正确</v>
      </c>
      <c r="AS12" s="134" t="str">
        <f>IF(SUMPRODUCT(N(E$1:E$8=E12))&gt;1,"重复","不")</f>
        <v>不</v>
      </c>
      <c r="AT12" s="134" t="str">
        <f>IF(SUMPRODUCT(N(AO$1:AO$8=AO12))&gt;1,"重复","不")</f>
        <v>重复</v>
      </c>
    </row>
    <row r="13" s="34" customFormat="1" ht="18" customHeight="1" spans="1:46">
      <c r="A13" s="63"/>
      <c r="B13" s="64" t="s">
        <v>150</v>
      </c>
      <c r="C13" s="64"/>
      <c r="D13" s="65"/>
      <c r="E13" s="66"/>
      <c r="F13" s="67"/>
      <c r="G13" s="68"/>
      <c r="H13" s="67"/>
      <c r="I13" s="95"/>
      <c r="J13" s="96"/>
      <c r="K13" s="95"/>
      <c r="L13" s="97">
        <f>SUM(L4:L12)</f>
        <v>131629</v>
      </c>
      <c r="M13" s="97">
        <f t="shared" ref="M13:AL13" si="8">SUM(M4:M12)</f>
        <v>3520.65</v>
      </c>
      <c r="N13" s="97">
        <f t="shared" si="8"/>
        <v>1249.78</v>
      </c>
      <c r="O13" s="97">
        <f t="shared" si="8"/>
        <v>126.05</v>
      </c>
      <c r="P13" s="97">
        <f t="shared" si="8"/>
        <v>1956.74</v>
      </c>
      <c r="Q13" s="97">
        <f t="shared" si="8"/>
        <v>6853.22</v>
      </c>
      <c r="R13" s="97">
        <f t="shared" si="8"/>
        <v>0</v>
      </c>
      <c r="S13" s="97">
        <f t="shared" si="8"/>
        <v>211348</v>
      </c>
      <c r="T13" s="97">
        <f t="shared" si="8"/>
        <v>70000</v>
      </c>
      <c r="U13" s="97">
        <f t="shared" si="8"/>
        <v>9416.13</v>
      </c>
      <c r="V13" s="97">
        <f t="shared" si="8"/>
        <v>8000</v>
      </c>
      <c r="W13" s="97">
        <f t="shared" si="8"/>
        <v>4000</v>
      </c>
      <c r="X13" s="97">
        <f t="shared" si="8"/>
        <v>6000</v>
      </c>
      <c r="Y13" s="97">
        <f t="shared" si="8"/>
        <v>3000</v>
      </c>
      <c r="Z13" s="97">
        <f t="shared" si="8"/>
        <v>0</v>
      </c>
      <c r="AA13" s="97">
        <f t="shared" si="8"/>
        <v>0</v>
      </c>
      <c r="AB13" s="97">
        <f t="shared" si="8"/>
        <v>21000</v>
      </c>
      <c r="AC13" s="97">
        <f t="shared" si="8"/>
        <v>0</v>
      </c>
      <c r="AD13" s="97">
        <f t="shared" si="8"/>
        <v>110931.87</v>
      </c>
      <c r="AE13" s="97">
        <f t="shared" si="8"/>
        <v>4172.99</v>
      </c>
      <c r="AF13" s="97">
        <f t="shared" si="8"/>
        <v>1291.67</v>
      </c>
      <c r="AG13" s="97">
        <f t="shared" si="8"/>
        <v>2881.32</v>
      </c>
      <c r="AH13" s="97">
        <f t="shared" si="8"/>
        <v>121894.46</v>
      </c>
      <c r="AI13" s="97">
        <f t="shared" si="8"/>
        <v>0</v>
      </c>
      <c r="AJ13" s="97">
        <f t="shared" si="8"/>
        <v>121894.46</v>
      </c>
      <c r="AK13" s="97">
        <f t="shared" si="8"/>
        <v>0</v>
      </c>
      <c r="AL13" s="97">
        <f t="shared" si="8"/>
        <v>124775.78</v>
      </c>
      <c r="AM13" s="128"/>
      <c r="AN13" s="128"/>
      <c r="AO13" s="128"/>
      <c r="AP13" s="128"/>
      <c r="AQ13" s="128"/>
      <c r="AR13" s="67"/>
      <c r="AS13" s="67"/>
      <c r="AT13" s="135"/>
    </row>
    <row r="16" spans="30:30">
      <c r="AD16" s="119"/>
    </row>
    <row r="17" ht="18.75" customHeight="1" spans="2:30">
      <c r="B17" s="69" t="s">
        <v>127</v>
      </c>
      <c r="C17" s="69" t="s">
        <v>151</v>
      </c>
      <c r="D17" s="69" t="s">
        <v>57</v>
      </c>
      <c r="E17" s="69" t="s">
        <v>58</v>
      </c>
      <c r="AD17" s="31"/>
    </row>
    <row r="18" ht="18.75" customHeight="1" spans="2:5">
      <c r="B18" s="70">
        <f>AJ13</f>
        <v>121894.46</v>
      </c>
      <c r="C18" s="70">
        <f>AG13</f>
        <v>2881.32</v>
      </c>
      <c r="D18" s="70">
        <f>AK13</f>
        <v>0</v>
      </c>
      <c r="E18" s="70">
        <f>B18+C18+D18</f>
        <v>124775.78</v>
      </c>
    </row>
    <row r="19" spans="2:5">
      <c r="B19" s="71"/>
      <c r="C19" s="71"/>
      <c r="D19" s="71"/>
      <c r="E19" s="71"/>
    </row>
    <row r="20" s="35" customFormat="1" spans="1:35">
      <c r="A20" s="72" t="s">
        <v>152</v>
      </c>
      <c r="B20" s="73" t="s">
        <v>153</v>
      </c>
      <c r="C20" s="74"/>
      <c r="D20" s="74"/>
      <c r="E20" s="74"/>
      <c r="G20" s="75"/>
      <c r="J20" s="98"/>
      <c r="M20" s="99"/>
      <c r="AI20" s="130"/>
    </row>
    <row r="21" s="35" customFormat="1" spans="1:35">
      <c r="A21" s="76"/>
      <c r="B21" s="77" t="s">
        <v>154</v>
      </c>
      <c r="C21" s="74"/>
      <c r="D21" s="74"/>
      <c r="E21" s="74"/>
      <c r="G21" s="75"/>
      <c r="J21" s="98"/>
      <c r="M21" s="99"/>
      <c r="AI21" s="130"/>
    </row>
    <row r="22" s="35" customFormat="1" spans="1:35">
      <c r="A22" s="73"/>
      <c r="B22" s="77" t="s">
        <v>155</v>
      </c>
      <c r="C22" s="78"/>
      <c r="D22" s="78"/>
      <c r="E22" s="78"/>
      <c r="F22" s="78"/>
      <c r="G22" s="78"/>
      <c r="H22" s="78"/>
      <c r="I22" s="78"/>
      <c r="J22" s="100"/>
      <c r="K22" s="78"/>
      <c r="L22" s="78"/>
      <c r="M22" s="101"/>
      <c r="N22" s="78"/>
      <c r="O22" s="78"/>
      <c r="P22" s="78"/>
      <c r="AI22" s="130"/>
    </row>
    <row r="23" s="35" customFormat="1" customHeight="1" spans="1:35">
      <c r="A23" s="77"/>
      <c r="B23" s="77" t="s">
        <v>156</v>
      </c>
      <c r="C23" s="79"/>
      <c r="D23" s="79"/>
      <c r="E23" s="79"/>
      <c r="F23" s="79"/>
      <c r="G23" s="79"/>
      <c r="H23" s="79"/>
      <c r="I23" s="102"/>
      <c r="J23" s="103"/>
      <c r="K23" s="102"/>
      <c r="L23" s="102"/>
      <c r="M23" s="104"/>
      <c r="N23" s="102"/>
      <c r="O23" s="102"/>
      <c r="P23" s="102"/>
      <c r="AI23" s="130"/>
    </row>
    <row r="24" s="35" customFormat="1" customHeight="1" spans="1:35">
      <c r="A24" s="77"/>
      <c r="B24" s="77" t="s">
        <v>157</v>
      </c>
      <c r="C24" s="79"/>
      <c r="D24" s="79"/>
      <c r="E24" s="79"/>
      <c r="F24" s="79"/>
      <c r="G24" s="79"/>
      <c r="H24" s="79"/>
      <c r="I24" s="79"/>
      <c r="J24" s="105"/>
      <c r="K24" s="79"/>
      <c r="L24" s="102"/>
      <c r="M24" s="104"/>
      <c r="N24" s="102"/>
      <c r="O24" s="102"/>
      <c r="P24" s="102"/>
      <c r="AI24" s="130"/>
    </row>
    <row r="25" s="35" customFormat="1" customHeight="1" spans="1:35">
      <c r="A25" s="77"/>
      <c r="B25" s="77" t="s">
        <v>158</v>
      </c>
      <c r="C25" s="79"/>
      <c r="D25" s="79"/>
      <c r="E25" s="79"/>
      <c r="F25" s="79"/>
      <c r="G25" s="79"/>
      <c r="H25" s="79"/>
      <c r="I25" s="102"/>
      <c r="J25" s="103"/>
      <c r="K25" s="102"/>
      <c r="L25" s="102"/>
      <c r="M25" s="104"/>
      <c r="N25" s="102"/>
      <c r="O25" s="102"/>
      <c r="P25" s="102"/>
      <c r="AI25" s="130"/>
    </row>
    <row r="27" ht="11.25" customHeight="1" spans="2:2">
      <c r="B27" s="80" t="s">
        <v>159</v>
      </c>
    </row>
    <row r="28" spans="2:2">
      <c r="B28" s="81" t="s">
        <v>160</v>
      </c>
    </row>
    <row r="29" spans="2:2">
      <c r="B29" s="81" t="s">
        <v>161</v>
      </c>
    </row>
  </sheetData>
  <autoFilter ref="A3:AT13">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5">
    <cfRule type="duplicateValues" dxfId="3" priority="2" stopIfTrue="1"/>
  </conditionalFormatting>
  <conditionalFormatting sqref="B20:B24">
    <cfRule type="duplicateValues" dxfId="3" priority="3" stopIfTrue="1"/>
  </conditionalFormatting>
  <conditionalFormatting sqref="B28:B29">
    <cfRule type="duplicateValues" dxfId="3" priority="1" stopIfTrue="1"/>
  </conditionalFormatting>
  <conditionalFormatting sqref="C17:C19">
    <cfRule type="duplicateValues" dxfId="3" priority="4" stopIfTrue="1"/>
    <cfRule type="expression" dxfId="4" priority="5" stopIfTrue="1">
      <formula>AND(COUNTIF($B$13:$B$65449,C17)+COUNTIF($B$1:$B$3,C17)&gt;1,NOT(ISBLANK(C17)))</formula>
    </cfRule>
    <cfRule type="expression" dxfId="4" priority="6" stopIfTrue="1">
      <formula>AND(COUNTIF($B$24:$B$65400,C17)+COUNTIF($B$1:$B$23,C17)&gt;1,NOT(ISBLANK(C17)))</formula>
    </cfRule>
    <cfRule type="expression" dxfId="4" priority="7" stopIfTrue="1">
      <formula>AND(COUNTIF($B$13:$B$65438,C17)+COUNTIF($B$1:$B$3,C17)&gt;1,NOT(ISBLANK(C17)))</formula>
    </cfRule>
  </conditionalFormatting>
  <pageMargins left="0.236111111111111" right="0.236111111111111" top="0.747916666666667" bottom="0.747916666666667" header="0.314583333333333" footer="0.314583333333333"/>
  <pageSetup paperSize="9" scale="40" fitToWidth="2"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0"/>
  <sheetViews>
    <sheetView workbookViewId="0">
      <pane xSplit="6" ySplit="3" topLeftCell="U4" activePane="bottomRight" state="frozen"/>
      <selection/>
      <selection pane="topRight"/>
      <selection pane="bottomLeft"/>
      <selection pane="bottomRight" activeCell="V7" sqref="V7:W7"/>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9.5" style="36" customWidth="1" outlineLevel="1"/>
    <col min="14" max="15" width="9" style="36" customWidth="1" outlineLevel="1"/>
    <col min="16" max="16" width="11.125" style="36" customWidth="1" outlineLevel="1"/>
    <col min="17" max="17" width="9.75" style="36" customWidth="1"/>
    <col min="18" max="18" width="9.5" style="36" customWidth="1"/>
    <col min="19" max="19" width="11.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242</v>
      </c>
      <c r="C4" s="58" t="s">
        <v>75</v>
      </c>
      <c r="D4" s="58" t="s">
        <v>147</v>
      </c>
      <c r="E4" s="58" t="s">
        <v>76</v>
      </c>
      <c r="F4" s="59" t="s">
        <v>193</v>
      </c>
      <c r="G4" s="62">
        <v>18035163638</v>
      </c>
      <c r="H4" s="61"/>
      <c r="I4" s="61"/>
      <c r="J4" s="91"/>
      <c r="K4" s="61"/>
      <c r="L4" s="94">
        <v>8000</v>
      </c>
      <c r="M4" s="93">
        <v>264</v>
      </c>
      <c r="N4" s="93">
        <v>66</v>
      </c>
      <c r="O4" s="93">
        <v>9.9</v>
      </c>
      <c r="P4" s="93">
        <v>180</v>
      </c>
      <c r="Q4" s="112">
        <f>ROUND(SUM(M4:P4),2)</f>
        <v>519.9</v>
      </c>
      <c r="R4" s="94">
        <v>0</v>
      </c>
      <c r="S4" s="113">
        <f>L4+IFERROR(VLOOKUP($E:$E,'（居民）工资表-2月'!$E:$S,15,0),0)</f>
        <v>25770</v>
      </c>
      <c r="T4" s="114">
        <f>5000+IFERROR(VLOOKUP($E:$E,'（居民）工资表-2月'!$E:$T,16,0),0)</f>
        <v>15000</v>
      </c>
      <c r="U4" s="114">
        <f>Q4+IFERROR(VLOOKUP($E:$E,'（居民）工资表-2月'!$E:$U,17,0),0)</f>
        <v>1559.7</v>
      </c>
      <c r="V4" s="94">
        <v>3000</v>
      </c>
      <c r="W4" s="94"/>
      <c r="X4" s="94">
        <v>3000</v>
      </c>
      <c r="Y4" s="94"/>
      <c r="Z4" s="94"/>
      <c r="AA4" s="94"/>
      <c r="AB4" s="113">
        <f>ROUND(SUM(V4:AA4),2)</f>
        <v>6000</v>
      </c>
      <c r="AC4" s="113">
        <f>R4+IFERROR(VLOOKUP($E:$E,'（居民）工资表-2月'!$E:$AC,25,0),0)</f>
        <v>0</v>
      </c>
      <c r="AD4" s="116">
        <f>ROUND(S4-T4-U4-AB4-AC4,2)</f>
        <v>3210.3</v>
      </c>
      <c r="AE4" s="117">
        <f>ROUND(MAX((AD4)*{0.03;0.1;0.2;0.25;0.3;0.35;0.45}-{0;2520;16920;31920;52920;85920;181920},0),2)</f>
        <v>96.31</v>
      </c>
      <c r="AF4" s="118">
        <f>IFERROR(VLOOKUP(E:E,'（居民）工资表-2月'!E:AF,28,0)+VLOOKUP(E:E,'（居民）工资表-2月'!E:AG,29,0),0)</f>
        <v>81.91</v>
      </c>
      <c r="AG4" s="118">
        <f>IF((AE4-AF4)&lt;0,0,AE4-AF4)</f>
        <v>14.4</v>
      </c>
      <c r="AH4" s="125">
        <f>ROUND(IF((L4-Q4-AG4)&lt;0,0,(L4-Q4-AG4)),2)</f>
        <v>7465.7</v>
      </c>
      <c r="AI4" s="126"/>
      <c r="AJ4" s="125">
        <f>AH4+AI4</f>
        <v>7465.7</v>
      </c>
      <c r="AK4" s="127"/>
      <c r="AL4" s="125">
        <f>AJ4+AG4+AK4</f>
        <v>7480.1</v>
      </c>
      <c r="AM4" s="127"/>
      <c r="AN4" s="127"/>
      <c r="AO4" s="127"/>
      <c r="AP4" s="127"/>
      <c r="AQ4" s="127"/>
      <c r="AR4" s="134"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IF(SUMPRODUCT(N(E$1:E$5=E4))&gt;1,"重复","不")</f>
        <v>不</v>
      </c>
      <c r="AT4" s="134" t="str">
        <f>IF(SUMPRODUCT(N(AO$1:AO$5=AO4))&gt;1,"重复","不")</f>
        <v>重复</v>
      </c>
    </row>
    <row r="5" s="33" customFormat="1" ht="18" customHeight="1" spans="1:46">
      <c r="A5" s="57">
        <v>2</v>
      </c>
      <c r="B5" s="58" t="s">
        <v>242</v>
      </c>
      <c r="C5" s="58" t="s">
        <v>93</v>
      </c>
      <c r="D5" s="58" t="s">
        <v>147</v>
      </c>
      <c r="E5" s="58" t="s">
        <v>94</v>
      </c>
      <c r="F5" s="59" t="s">
        <v>193</v>
      </c>
      <c r="G5" s="62">
        <v>13944441728</v>
      </c>
      <c r="H5" s="61"/>
      <c r="I5" s="61"/>
      <c r="J5" s="91"/>
      <c r="K5" s="61"/>
      <c r="L5" s="94">
        <v>7000</v>
      </c>
      <c r="M5" s="93">
        <v>268.81</v>
      </c>
      <c r="N5" s="93">
        <v>61.06</v>
      </c>
      <c r="O5" s="93">
        <v>10.08</v>
      </c>
      <c r="P5" s="93">
        <v>79</v>
      </c>
      <c r="Q5" s="112">
        <f>ROUND(SUM(M5:P5),2)</f>
        <v>418.95</v>
      </c>
      <c r="R5" s="94">
        <v>0</v>
      </c>
      <c r="S5" s="113">
        <f>L5+IFERROR(VLOOKUP($E:$E,'（居民）工资表-2月'!$E:$S,15,0),0)</f>
        <v>21000</v>
      </c>
      <c r="T5" s="114">
        <f>5000+IFERROR(VLOOKUP($E:$E,'（居民）工资表-2月'!$E:$T,16,0),0)</f>
        <v>15000</v>
      </c>
      <c r="U5" s="114">
        <f>Q5+IFERROR(VLOOKUP($E:$E,'（居民）工资表-2月'!$E:$U,17,0),0)</f>
        <v>1256.85</v>
      </c>
      <c r="V5" s="94"/>
      <c r="W5" s="94"/>
      <c r="X5" s="94">
        <v>3000</v>
      </c>
      <c r="Y5" s="94"/>
      <c r="Z5" s="94"/>
      <c r="AA5" s="94"/>
      <c r="AB5" s="113">
        <f>ROUND(SUM(V5:AA5),2)</f>
        <v>3000</v>
      </c>
      <c r="AC5" s="113">
        <f>R5+IFERROR(VLOOKUP($E:$E,'（居民）工资表-2月'!$E:$AC,25,0),0)</f>
        <v>0</v>
      </c>
      <c r="AD5" s="116">
        <f>ROUND(S5-T5-U5-AB5-AC5,2)</f>
        <v>1743.15</v>
      </c>
      <c r="AE5" s="117">
        <f>ROUND(MAX((AD5)*{0.03;0.1;0.2;0.25;0.3;0.35;0.45}-{0;2520;16920;31920;52920;85920;181920},0),2)</f>
        <v>52.29</v>
      </c>
      <c r="AF5" s="118">
        <f>IFERROR(VLOOKUP(E:E,'（居民）工资表-2月'!E:AF,28,0)+VLOOKUP(E:E,'（居民）工资表-2月'!E:AG,29,0),0)</f>
        <v>34.86</v>
      </c>
      <c r="AG5" s="118">
        <f>IF((AE5-AF5)&lt;0,0,AE5-AF5)</f>
        <v>17.43</v>
      </c>
      <c r="AH5" s="125">
        <f>ROUND(IF((L5-Q5-AG5)&lt;0,0,(L5-Q5-AG5)),2)</f>
        <v>6563.62</v>
      </c>
      <c r="AI5" s="126"/>
      <c r="AJ5" s="125">
        <f>AH5+AI5</f>
        <v>6563.62</v>
      </c>
      <c r="AK5" s="127"/>
      <c r="AL5" s="125">
        <f>AJ5+AG5+AK5</f>
        <v>6581.05</v>
      </c>
      <c r="AM5" s="127"/>
      <c r="AN5" s="127"/>
      <c r="AO5" s="127"/>
      <c r="AP5" s="127"/>
      <c r="AQ5" s="127"/>
      <c r="AR5" s="134"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4" t="str">
        <f>IF(SUMPRODUCT(N(E$1:E$5=E5))&gt;1,"重复","不")</f>
        <v>不</v>
      </c>
      <c r="AT5" s="134" t="str">
        <f>IF(SUMPRODUCT(N(AO$1:AO$5=AO5))&gt;1,"重复","不")</f>
        <v>重复</v>
      </c>
    </row>
    <row r="6" s="33" customFormat="1" ht="18" customHeight="1" spans="1:46">
      <c r="A6" s="57">
        <v>3</v>
      </c>
      <c r="B6" s="58" t="s">
        <v>242</v>
      </c>
      <c r="C6" s="58" t="s">
        <v>174</v>
      </c>
      <c r="D6" s="58" t="s">
        <v>147</v>
      </c>
      <c r="E6" s="397" t="s">
        <v>175</v>
      </c>
      <c r="F6" s="59" t="str">
        <f>IF(MOD(MID(E6,17,1),2)=1,"男","女")</f>
        <v>女</v>
      </c>
      <c r="G6" s="62">
        <v>15360550807</v>
      </c>
      <c r="H6" s="61"/>
      <c r="I6" s="61"/>
      <c r="J6" s="91"/>
      <c r="K6" s="61"/>
      <c r="L6" s="94">
        <v>5700</v>
      </c>
      <c r="M6" s="93">
        <v>367.04</v>
      </c>
      <c r="N6" s="93">
        <v>135.14</v>
      </c>
      <c r="O6" s="93">
        <v>4.6</v>
      </c>
      <c r="P6" s="93">
        <v>84.08</v>
      </c>
      <c r="Q6" s="112">
        <f t="shared" ref="Q6:Q15" si="0">ROUND(SUM(M6:P6),2)</f>
        <v>590.86</v>
      </c>
      <c r="R6" s="94">
        <v>0</v>
      </c>
      <c r="S6" s="113">
        <f>L6+IFERROR(VLOOKUP($E:$E,'（居民）工资表-2月'!$E:$S,15,0),0)</f>
        <v>17100</v>
      </c>
      <c r="T6" s="114">
        <f>5000+IFERROR(VLOOKUP($E:$E,'（居民）工资表-2月'!$E:$T,16,0),0)</f>
        <v>15000</v>
      </c>
      <c r="U6" s="114">
        <f>Q6+IFERROR(VLOOKUP($E:$E,'（居民）工资表-2月'!$E:$U,17,0),0)</f>
        <v>1894.62</v>
      </c>
      <c r="V6" s="94"/>
      <c r="W6" s="94"/>
      <c r="X6" s="94"/>
      <c r="Y6" s="94">
        <v>4500</v>
      </c>
      <c r="Z6" s="94"/>
      <c r="AA6" s="94"/>
      <c r="AB6" s="113">
        <f t="shared" ref="AB6:AB15" si="1">ROUND(SUM(V6:AA6),2)</f>
        <v>4500</v>
      </c>
      <c r="AC6" s="113">
        <f>R6+IFERROR(VLOOKUP($E:$E,'（居民）工资表-2月'!$E:$AC,25,0),0)</f>
        <v>0</v>
      </c>
      <c r="AD6" s="116">
        <f t="shared" ref="AD6:AD15" si="2">ROUND(S6-T6-U6-AB6-AC6,2)</f>
        <v>-4294.62</v>
      </c>
      <c r="AE6" s="117">
        <f>ROUND(MAX((AD6)*{0.03;0.1;0.2;0.25;0.3;0.35;0.45}-{0;2520;16920;31920;52920;85920;181920},0),2)</f>
        <v>0</v>
      </c>
      <c r="AF6" s="118">
        <f>IFERROR(VLOOKUP(E:E,'（居民）工资表-2月'!E:AF,28,0)+VLOOKUP(E:E,'（居民）工资表-2月'!E:AG,29,0),0)</f>
        <v>0</v>
      </c>
      <c r="AG6" s="118">
        <f t="shared" ref="AG6:AG15" si="3">IF((AE6-AF6)&lt;0,0,AE6-AF6)</f>
        <v>0</v>
      </c>
      <c r="AH6" s="125">
        <f t="shared" ref="AH6:AH15" si="4">ROUND(IF((L6-Q6-AG6)&lt;0,0,(L6-Q6-AG6)),2)</f>
        <v>5109.14</v>
      </c>
      <c r="AI6" s="126"/>
      <c r="AJ6" s="125">
        <f t="shared" ref="AJ6:AJ15" si="5">AH6+AI6</f>
        <v>5109.14</v>
      </c>
      <c r="AK6" s="127"/>
      <c r="AL6" s="125">
        <f t="shared" ref="AL6:AL15" si="6">AJ6+AG6+AK6</f>
        <v>5109.14</v>
      </c>
      <c r="AM6" s="127"/>
      <c r="AN6" s="127"/>
      <c r="AO6" s="127"/>
      <c r="AP6" s="127"/>
      <c r="AQ6" s="127"/>
      <c r="AR6" s="134" t="str">
        <f t="shared" ref="AR6:AR15"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134" t="str">
        <f t="shared" ref="AS6:AS15" si="8">IF(SUMPRODUCT(N(E$1:E$5=E6))&gt;1,"重复","不")</f>
        <v>不</v>
      </c>
      <c r="AT6" s="134" t="str">
        <f t="shared" ref="AT6:AT15" si="9">IF(SUMPRODUCT(N(AO$1:AO$5=AO6))&gt;1,"重复","不")</f>
        <v>重复</v>
      </c>
    </row>
    <row r="7" s="33" customFormat="1" ht="18" customHeight="1" spans="1:46">
      <c r="A7" s="57">
        <v>4</v>
      </c>
      <c r="B7" s="58" t="s">
        <v>242</v>
      </c>
      <c r="C7" s="58" t="s">
        <v>148</v>
      </c>
      <c r="D7" s="58" t="s">
        <v>147</v>
      </c>
      <c r="E7" s="397" t="s">
        <v>149</v>
      </c>
      <c r="F7" s="59" t="s">
        <v>193</v>
      </c>
      <c r="G7" s="62">
        <v>18607383005</v>
      </c>
      <c r="H7" s="61"/>
      <c r="I7" s="61"/>
      <c r="J7" s="91"/>
      <c r="K7" s="61"/>
      <c r="L7" s="94">
        <v>25000</v>
      </c>
      <c r="M7" s="93">
        <v>320</v>
      </c>
      <c r="N7" s="93">
        <v>80</v>
      </c>
      <c r="O7" s="93">
        <v>12</v>
      </c>
      <c r="P7" s="93">
        <v>70</v>
      </c>
      <c r="Q7" s="112">
        <f t="shared" si="0"/>
        <v>482</v>
      </c>
      <c r="R7" s="94">
        <v>0</v>
      </c>
      <c r="S7" s="113">
        <f>L7+IFERROR(VLOOKUP($E:$E,'（居民）工资表-2月'!$E:$S,15,0),0)</f>
        <v>85000</v>
      </c>
      <c r="T7" s="114">
        <f>5000+IFERROR(VLOOKUP($E:$E,'（居民）工资表-2月'!$E:$T,16,0),0)</f>
        <v>15000</v>
      </c>
      <c r="U7" s="114">
        <f>Q7+IFERROR(VLOOKUP($E:$E,'（居民）工资表-2月'!$E:$U,17,0),0)</f>
        <v>1966</v>
      </c>
      <c r="V7" s="94">
        <v>6000</v>
      </c>
      <c r="W7" s="94">
        <v>3000</v>
      </c>
      <c r="X7" s="94"/>
      <c r="Y7" s="94"/>
      <c r="Z7" s="94"/>
      <c r="AA7" s="94"/>
      <c r="AB7" s="113">
        <f t="shared" si="1"/>
        <v>9000</v>
      </c>
      <c r="AC7" s="113">
        <f>R7+IFERROR(VLOOKUP($E:$E,'（居民）工资表-2月'!$E:$AC,25,0),0)</f>
        <v>0</v>
      </c>
      <c r="AD7" s="116">
        <f t="shared" si="2"/>
        <v>59034</v>
      </c>
      <c r="AE7" s="117">
        <f>ROUND(MAX((AD7)*{0.03;0.1;0.2;0.25;0.3;0.35;0.45}-{0;2520;16920;31920;52920;85920;181920},0),2)</f>
        <v>3383.4</v>
      </c>
      <c r="AF7" s="118">
        <f>IFERROR(VLOOKUP(E:E,'（居民）工资表-2月'!E:AF,28,0)+VLOOKUP(E:E,'（居民）工资表-2月'!E:AG,29,0),0)</f>
        <v>1731.6</v>
      </c>
      <c r="AG7" s="118">
        <f t="shared" si="3"/>
        <v>1651.8</v>
      </c>
      <c r="AH7" s="125">
        <f t="shared" si="4"/>
        <v>22866.2</v>
      </c>
      <c r="AI7" s="126"/>
      <c r="AJ7" s="125">
        <f t="shared" si="5"/>
        <v>22866.2</v>
      </c>
      <c r="AK7" s="127"/>
      <c r="AL7" s="125">
        <f t="shared" si="6"/>
        <v>24518</v>
      </c>
      <c r="AM7" s="127"/>
      <c r="AN7" s="127"/>
      <c r="AO7" s="127"/>
      <c r="AP7" s="127"/>
      <c r="AQ7" s="127"/>
      <c r="AR7" s="134" t="str">
        <f t="shared" si="7"/>
        <v>正确</v>
      </c>
      <c r="AS7" s="134" t="str">
        <f t="shared" si="8"/>
        <v>不</v>
      </c>
      <c r="AT7" s="134" t="str">
        <f t="shared" si="9"/>
        <v>重复</v>
      </c>
    </row>
    <row r="8" s="33" customFormat="1" ht="18" customHeight="1" spans="1:46">
      <c r="A8" s="57">
        <v>5</v>
      </c>
      <c r="B8" s="58" t="s">
        <v>242</v>
      </c>
      <c r="C8" s="58" t="s">
        <v>170</v>
      </c>
      <c r="D8" s="58" t="s">
        <v>147</v>
      </c>
      <c r="E8" s="58" t="s">
        <v>171</v>
      </c>
      <c r="F8" s="59" t="s">
        <v>193</v>
      </c>
      <c r="G8" s="62">
        <v>13373825180</v>
      </c>
      <c r="H8" s="61"/>
      <c r="I8" s="61"/>
      <c r="J8" s="91"/>
      <c r="K8" s="61"/>
      <c r="L8" s="94">
        <f>26739+77.5</f>
        <v>26816.5</v>
      </c>
      <c r="M8" s="93">
        <v>363.84</v>
      </c>
      <c r="N8" s="93">
        <v>90.96</v>
      </c>
      <c r="O8" s="93">
        <v>13.64</v>
      </c>
      <c r="P8" s="93"/>
      <c r="Q8" s="112">
        <f t="shared" si="0"/>
        <v>468.44</v>
      </c>
      <c r="R8" s="94">
        <v>0</v>
      </c>
      <c r="S8" s="113">
        <f>L8+IFERROR(VLOOKUP($E:$E,'（居民）工资表-2月'!$E:$S,15,0),0)</f>
        <v>84294.5</v>
      </c>
      <c r="T8" s="114">
        <f>5000+IFERROR(VLOOKUP($E:$E,'（居民）工资表-2月'!$E:$T,16,0),0)</f>
        <v>15000</v>
      </c>
      <c r="U8" s="114">
        <f>Q8+IFERROR(VLOOKUP($E:$E,'（居民）工资表-2月'!$E:$U,17,0),0)</f>
        <v>1635.27</v>
      </c>
      <c r="V8" s="94">
        <v>3000</v>
      </c>
      <c r="W8" s="94">
        <v>3000</v>
      </c>
      <c r="X8" s="94">
        <v>3000</v>
      </c>
      <c r="Y8" s="94"/>
      <c r="Z8" s="94"/>
      <c r="AA8" s="94"/>
      <c r="AB8" s="113">
        <f t="shared" si="1"/>
        <v>9000</v>
      </c>
      <c r="AC8" s="113">
        <f>R8+IFERROR(VLOOKUP($E:$E,'（居民）工资表-2月'!$E:$AC,25,0),0)</f>
        <v>0</v>
      </c>
      <c r="AD8" s="116">
        <f t="shared" si="2"/>
        <v>58659.23</v>
      </c>
      <c r="AE8" s="117">
        <f>ROUND(MAX((AD8)*{0.03;0.1;0.2;0.25;0.3;0.35;0.45}-{0;2520;16920;31920;52920;85920;181920},0),2)</f>
        <v>3345.92</v>
      </c>
      <c r="AF8" s="118">
        <f>IFERROR(VLOOKUP(E:E,'（居民）工资表-2月'!E:AF,28,0)+VLOOKUP(E:E,'（居民）工资表-2月'!E:AG,29,0),0)</f>
        <v>1511.12</v>
      </c>
      <c r="AG8" s="118">
        <f t="shared" si="3"/>
        <v>1834.8</v>
      </c>
      <c r="AH8" s="125">
        <f t="shared" si="4"/>
        <v>24513.26</v>
      </c>
      <c r="AI8" s="126"/>
      <c r="AJ8" s="125">
        <f t="shared" si="5"/>
        <v>24513.26</v>
      </c>
      <c r="AK8" s="127"/>
      <c r="AL8" s="125">
        <f t="shared" si="6"/>
        <v>26348.06</v>
      </c>
      <c r="AM8" s="127"/>
      <c r="AN8" s="127"/>
      <c r="AO8" s="127"/>
      <c r="AP8" s="127"/>
      <c r="AQ8" s="127"/>
      <c r="AR8" s="134" t="str">
        <f t="shared" si="7"/>
        <v>正确</v>
      </c>
      <c r="AS8" s="134" t="str">
        <f t="shared" si="8"/>
        <v>不</v>
      </c>
      <c r="AT8" s="134" t="str">
        <f t="shared" si="9"/>
        <v>重复</v>
      </c>
    </row>
    <row r="9" s="33" customFormat="1" ht="18" customHeight="1" spans="1:46">
      <c r="A9" s="57">
        <v>6</v>
      </c>
      <c r="B9" s="58" t="s">
        <v>242</v>
      </c>
      <c r="C9" s="58" t="s">
        <v>183</v>
      </c>
      <c r="D9" s="58" t="s">
        <v>147</v>
      </c>
      <c r="E9" s="58" t="s">
        <v>184</v>
      </c>
      <c r="F9" s="59" t="s">
        <v>193</v>
      </c>
      <c r="G9" s="62">
        <v>18037463616</v>
      </c>
      <c r="H9" s="61"/>
      <c r="I9" s="61"/>
      <c r="J9" s="91"/>
      <c r="K9" s="61"/>
      <c r="L9" s="94">
        <v>13572.63</v>
      </c>
      <c r="M9" s="93">
        <v>255.76</v>
      </c>
      <c r="N9" s="93">
        <v>65.02</v>
      </c>
      <c r="O9" s="93">
        <v>9.59</v>
      </c>
      <c r="P9" s="93">
        <v>445.06</v>
      </c>
      <c r="Q9" s="112">
        <f t="shared" si="0"/>
        <v>775.43</v>
      </c>
      <c r="R9" s="94">
        <v>0</v>
      </c>
      <c r="S9" s="113">
        <f>L9+IFERROR(VLOOKUP($E:$E,'（居民）工资表-2月'!$E:$S,15,0),0)</f>
        <v>27772.63</v>
      </c>
      <c r="T9" s="114">
        <f>5000+IFERROR(VLOOKUP($E:$E,'（居民）工资表-2月'!$E:$T,16,0),0)</f>
        <v>10000</v>
      </c>
      <c r="U9" s="114">
        <f>Q9+IFERROR(VLOOKUP($E:$E,'（居民）工资表-2月'!$E:$U,17,0),0)</f>
        <v>1645.89</v>
      </c>
      <c r="V9" s="94"/>
      <c r="W9" s="94"/>
      <c r="X9" s="94"/>
      <c r="Y9" s="94"/>
      <c r="Z9" s="94"/>
      <c r="AA9" s="94"/>
      <c r="AB9" s="113">
        <f t="shared" si="1"/>
        <v>0</v>
      </c>
      <c r="AC9" s="113">
        <f>R9+IFERROR(VLOOKUP($E:$E,'（居民）工资表-2月'!$E:$AC,25,0),0)</f>
        <v>0</v>
      </c>
      <c r="AD9" s="116">
        <f t="shared" si="2"/>
        <v>16126.74</v>
      </c>
      <c r="AE9" s="117">
        <f>ROUND(MAX((AD9)*{0.03;0.1;0.2;0.25;0.3;0.35;0.45}-{0;2520;16920;31920;52920;85920;181920},0),2)</f>
        <v>483.8</v>
      </c>
      <c r="AF9" s="118">
        <f>IFERROR(VLOOKUP(E:E,'（居民）工资表-2月'!E:AF,28,0)+VLOOKUP(E:E,'（居民）工资表-2月'!E:AG,29,0),0)</f>
        <v>249.89</v>
      </c>
      <c r="AG9" s="118">
        <f t="shared" si="3"/>
        <v>233.91</v>
      </c>
      <c r="AH9" s="125">
        <f t="shared" si="4"/>
        <v>12563.29</v>
      </c>
      <c r="AI9" s="126"/>
      <c r="AJ9" s="125">
        <f t="shared" si="5"/>
        <v>12563.29</v>
      </c>
      <c r="AK9" s="127"/>
      <c r="AL9" s="125">
        <f t="shared" si="6"/>
        <v>12797.2</v>
      </c>
      <c r="AM9" s="127"/>
      <c r="AN9" s="127"/>
      <c r="AO9" s="127"/>
      <c r="AP9" s="127"/>
      <c r="AQ9" s="127"/>
      <c r="AR9" s="134" t="str">
        <f t="shared" si="7"/>
        <v>正确</v>
      </c>
      <c r="AS9" s="134" t="str">
        <f t="shared" si="8"/>
        <v>不</v>
      </c>
      <c r="AT9" s="134" t="str">
        <f t="shared" si="9"/>
        <v>重复</v>
      </c>
    </row>
    <row r="10" s="33" customFormat="1" ht="18" customHeight="1" spans="1:46">
      <c r="A10" s="57">
        <v>7</v>
      </c>
      <c r="B10" s="58" t="s">
        <v>242</v>
      </c>
      <c r="C10" s="58" t="s">
        <v>185</v>
      </c>
      <c r="D10" s="58" t="s">
        <v>147</v>
      </c>
      <c r="E10" s="397" t="s">
        <v>186</v>
      </c>
      <c r="F10" s="59" t="s">
        <v>193</v>
      </c>
      <c r="G10" s="62">
        <v>18500634358</v>
      </c>
      <c r="H10" s="61"/>
      <c r="I10" s="61"/>
      <c r="J10" s="91"/>
      <c r="K10" s="61"/>
      <c r="L10" s="94">
        <v>14620</v>
      </c>
      <c r="M10" s="93">
        <v>255.76</v>
      </c>
      <c r="N10" s="93">
        <v>65.02</v>
      </c>
      <c r="O10" s="93">
        <v>9.59</v>
      </c>
      <c r="P10" s="93">
        <v>445.06</v>
      </c>
      <c r="Q10" s="112">
        <f t="shared" si="0"/>
        <v>775.43</v>
      </c>
      <c r="R10" s="94">
        <v>0</v>
      </c>
      <c r="S10" s="113">
        <f>L10+IFERROR(VLOOKUP($E:$E,'（居民）工资表-2月'!$E:$S,15,0),0)</f>
        <v>29120</v>
      </c>
      <c r="T10" s="114">
        <f>5000+IFERROR(VLOOKUP($E:$E,'（居民）工资表-2月'!$E:$T,16,0),0)</f>
        <v>10000</v>
      </c>
      <c r="U10" s="114">
        <f>Q10+IFERROR(VLOOKUP($E:$E,'（居民）工资表-2月'!$E:$U,17,0),0)</f>
        <v>1645.89</v>
      </c>
      <c r="V10" s="94"/>
      <c r="W10" s="94"/>
      <c r="X10" s="94"/>
      <c r="Y10" s="94"/>
      <c r="Z10" s="94"/>
      <c r="AA10" s="94"/>
      <c r="AB10" s="113">
        <f t="shared" si="1"/>
        <v>0</v>
      </c>
      <c r="AC10" s="113">
        <f>R10+IFERROR(VLOOKUP($E:$E,'（居民）工资表-2月'!$E:$AC,25,0),0)</f>
        <v>0</v>
      </c>
      <c r="AD10" s="116">
        <f t="shared" si="2"/>
        <v>17474.11</v>
      </c>
      <c r="AE10" s="117">
        <f>ROUND(MAX((AD10)*{0.03;0.1;0.2;0.25;0.3;0.35;0.45}-{0;2520;16920;31920;52920;85920;181920},0),2)</f>
        <v>524.22</v>
      </c>
      <c r="AF10" s="118">
        <f>IFERROR(VLOOKUP(E:E,'（居民）工资表-2月'!E:AF,28,0)+VLOOKUP(E:E,'（居民）工资表-2月'!E:AG,29,0),0)</f>
        <v>258.89</v>
      </c>
      <c r="AG10" s="118">
        <f t="shared" si="3"/>
        <v>265.33</v>
      </c>
      <c r="AH10" s="125">
        <f t="shared" si="4"/>
        <v>13579.24</v>
      </c>
      <c r="AI10" s="126"/>
      <c r="AJ10" s="125">
        <f t="shared" si="5"/>
        <v>13579.24</v>
      </c>
      <c r="AK10" s="127"/>
      <c r="AL10" s="125">
        <f t="shared" si="6"/>
        <v>13844.57</v>
      </c>
      <c r="AM10" s="127"/>
      <c r="AN10" s="127"/>
      <c r="AO10" s="127"/>
      <c r="AP10" s="127"/>
      <c r="AQ10" s="127"/>
      <c r="AR10" s="134" t="str">
        <f t="shared" si="7"/>
        <v>正确</v>
      </c>
      <c r="AS10" s="134" t="str">
        <f t="shared" si="8"/>
        <v>不</v>
      </c>
      <c r="AT10" s="134" t="str">
        <f t="shared" si="9"/>
        <v>重复</v>
      </c>
    </row>
    <row r="11" s="33" customFormat="1" ht="18" customHeight="1" spans="1:46">
      <c r="A11" s="57">
        <v>8</v>
      </c>
      <c r="B11" s="58" t="s">
        <v>242</v>
      </c>
      <c r="C11" s="58" t="s">
        <v>178</v>
      </c>
      <c r="D11" s="58" t="s">
        <v>147</v>
      </c>
      <c r="E11" s="58" t="s">
        <v>179</v>
      </c>
      <c r="F11" s="59" t="s">
        <v>193</v>
      </c>
      <c r="G11" s="62">
        <v>18738169923</v>
      </c>
      <c r="H11" s="61"/>
      <c r="I11" s="61"/>
      <c r="J11" s="91"/>
      <c r="K11" s="61"/>
      <c r="L11" s="94">
        <v>12120</v>
      </c>
      <c r="M11" s="93">
        <v>254.32</v>
      </c>
      <c r="N11" s="93">
        <v>64.66</v>
      </c>
      <c r="O11" s="93">
        <v>9.54</v>
      </c>
      <c r="P11" s="93">
        <v>445.38</v>
      </c>
      <c r="Q11" s="112">
        <f t="shared" si="0"/>
        <v>773.9</v>
      </c>
      <c r="R11" s="94">
        <v>0</v>
      </c>
      <c r="S11" s="113">
        <f>L11+IFERROR(VLOOKUP($E:$E,'（居民）工资表-2月'!$E:$S,15,0),0)</f>
        <v>24120</v>
      </c>
      <c r="T11" s="114">
        <f>5000+IFERROR(VLOOKUP($E:$E,'（居民）工资表-2月'!$E:$T,16,0),0)</f>
        <v>10000</v>
      </c>
      <c r="U11" s="114">
        <f>Q11+IFERROR(VLOOKUP($E:$E,'（居民）工资表-2月'!$E:$U,17,0),0)</f>
        <v>1746.36</v>
      </c>
      <c r="V11" s="94"/>
      <c r="W11" s="94"/>
      <c r="X11" s="94"/>
      <c r="Y11" s="94"/>
      <c r="Z11" s="94"/>
      <c r="AA11" s="94"/>
      <c r="AB11" s="113">
        <f t="shared" si="1"/>
        <v>0</v>
      </c>
      <c r="AC11" s="113">
        <f>R11+IFERROR(VLOOKUP($E:$E,'（居民）工资表-2月'!$E:$AC,25,0),0)</f>
        <v>0</v>
      </c>
      <c r="AD11" s="116">
        <f t="shared" si="2"/>
        <v>12373.64</v>
      </c>
      <c r="AE11" s="117">
        <f>ROUND(MAX((AD11)*{0.03;0.1;0.2;0.25;0.3;0.35;0.45}-{0;2520;16920;31920;52920;85920;181920},0),2)</f>
        <v>371.21</v>
      </c>
      <c r="AF11" s="118">
        <f>IFERROR(VLOOKUP(E:E,'（居民）工资表-2月'!E:AF,28,0)+VLOOKUP(E:E,'（居民）工资表-2月'!E:AG,29,0),0)</f>
        <v>180.83</v>
      </c>
      <c r="AG11" s="118">
        <f t="shared" si="3"/>
        <v>190.38</v>
      </c>
      <c r="AH11" s="125">
        <f t="shared" si="4"/>
        <v>11155.72</v>
      </c>
      <c r="AI11" s="126"/>
      <c r="AJ11" s="125">
        <f t="shared" si="5"/>
        <v>11155.72</v>
      </c>
      <c r="AK11" s="127"/>
      <c r="AL11" s="125">
        <f t="shared" si="6"/>
        <v>11346.1</v>
      </c>
      <c r="AM11" s="127"/>
      <c r="AN11" s="127"/>
      <c r="AO11" s="127"/>
      <c r="AP11" s="127"/>
      <c r="AQ11" s="127"/>
      <c r="AR11" s="134" t="str">
        <f t="shared" si="7"/>
        <v>正确</v>
      </c>
      <c r="AS11" s="134" t="str">
        <f t="shared" si="8"/>
        <v>不</v>
      </c>
      <c r="AT11" s="134" t="str">
        <f t="shared" si="9"/>
        <v>重复</v>
      </c>
    </row>
    <row r="12" s="33" customFormat="1" ht="18" customHeight="1" spans="1:46">
      <c r="A12" s="57">
        <v>9</v>
      </c>
      <c r="B12" s="58" t="s">
        <v>242</v>
      </c>
      <c r="C12" s="58" t="s">
        <v>181</v>
      </c>
      <c r="D12" s="58" t="s">
        <v>147</v>
      </c>
      <c r="E12" s="58" t="s">
        <v>182</v>
      </c>
      <c r="F12" s="59" t="s">
        <v>193</v>
      </c>
      <c r="G12" s="62">
        <v>15001138812</v>
      </c>
      <c r="H12" s="61"/>
      <c r="I12" s="61"/>
      <c r="J12" s="91"/>
      <c r="K12" s="61"/>
      <c r="L12" s="94">
        <v>10120</v>
      </c>
      <c r="M12" s="93">
        <v>254.32</v>
      </c>
      <c r="N12" s="93">
        <v>64.66</v>
      </c>
      <c r="O12" s="93">
        <v>9.54</v>
      </c>
      <c r="P12" s="93">
        <v>547.38</v>
      </c>
      <c r="Q12" s="112">
        <f t="shared" si="0"/>
        <v>875.9</v>
      </c>
      <c r="R12" s="94">
        <v>0</v>
      </c>
      <c r="S12" s="113">
        <f>L12+IFERROR(VLOOKUP($E:$E,'（居民）工资表-2月'!$E:$S,15,0),0)</f>
        <v>20120</v>
      </c>
      <c r="T12" s="114">
        <f>5000+IFERROR(VLOOKUP($E:$E,'（居民）工资表-2月'!$E:$T,16,0),0)</f>
        <v>10000</v>
      </c>
      <c r="U12" s="114">
        <f>Q12+IFERROR(VLOOKUP($E:$E,'（居民）工资表-2月'!$E:$U,17,0),0)</f>
        <v>1746.36</v>
      </c>
      <c r="V12" s="94"/>
      <c r="W12" s="94"/>
      <c r="X12" s="94"/>
      <c r="Y12" s="94"/>
      <c r="Z12" s="94"/>
      <c r="AA12" s="94"/>
      <c r="AB12" s="113">
        <f t="shared" si="1"/>
        <v>0</v>
      </c>
      <c r="AC12" s="113">
        <f>R12+IFERROR(VLOOKUP($E:$E,'（居民）工资表-2月'!$E:$AC,25,0),0)</f>
        <v>0</v>
      </c>
      <c r="AD12" s="116">
        <f t="shared" si="2"/>
        <v>8373.64</v>
      </c>
      <c r="AE12" s="117">
        <f>ROUND(MAX((AD12)*{0.03;0.1;0.2;0.25;0.3;0.35;0.45}-{0;2520;16920;31920;52920;85920;181920},0),2)</f>
        <v>251.21</v>
      </c>
      <c r="AF12" s="118">
        <f>IFERROR(VLOOKUP(E:E,'（居民）工资表-2月'!E:AF,28,0)+VLOOKUP(E:E,'（居民）工资表-2月'!E:AG,29,0),0)</f>
        <v>123.89</v>
      </c>
      <c r="AG12" s="118">
        <f t="shared" si="3"/>
        <v>127.32</v>
      </c>
      <c r="AH12" s="125">
        <f t="shared" si="4"/>
        <v>9116.78</v>
      </c>
      <c r="AI12" s="126"/>
      <c r="AJ12" s="125">
        <f t="shared" si="5"/>
        <v>9116.78</v>
      </c>
      <c r="AK12" s="127"/>
      <c r="AL12" s="125">
        <f t="shared" si="6"/>
        <v>9244.1</v>
      </c>
      <c r="AM12" s="127"/>
      <c r="AN12" s="127"/>
      <c r="AO12" s="127"/>
      <c r="AP12" s="127"/>
      <c r="AQ12" s="127"/>
      <c r="AR12" s="134" t="str">
        <f t="shared" si="7"/>
        <v>正确</v>
      </c>
      <c r="AS12" s="134" t="str">
        <f t="shared" si="8"/>
        <v>不</v>
      </c>
      <c r="AT12" s="134" t="str">
        <f t="shared" si="9"/>
        <v>重复</v>
      </c>
    </row>
    <row r="13" s="33" customFormat="1" ht="18" customHeight="1" spans="1:46">
      <c r="A13" s="57"/>
      <c r="B13" s="58"/>
      <c r="C13" s="136"/>
      <c r="D13" s="58"/>
      <c r="E13" s="137"/>
      <c r="F13" s="59"/>
      <c r="G13" s="60"/>
      <c r="H13" s="138"/>
      <c r="I13" s="138"/>
      <c r="J13" s="139"/>
      <c r="K13" s="138"/>
      <c r="L13" s="92"/>
      <c r="M13" s="92"/>
      <c r="N13" s="92"/>
      <c r="O13" s="92"/>
      <c r="P13" s="92"/>
      <c r="Q13" s="112"/>
      <c r="R13" s="94"/>
      <c r="S13" s="113"/>
      <c r="T13" s="114"/>
      <c r="U13" s="114"/>
      <c r="V13" s="94"/>
      <c r="W13" s="94"/>
      <c r="X13" s="94"/>
      <c r="Y13" s="94"/>
      <c r="Z13" s="94"/>
      <c r="AA13" s="94"/>
      <c r="AB13" s="113"/>
      <c r="AC13" s="113"/>
      <c r="AD13" s="116"/>
      <c r="AE13" s="117"/>
      <c r="AF13" s="118"/>
      <c r="AG13" s="118"/>
      <c r="AH13" s="125"/>
      <c r="AI13" s="126"/>
      <c r="AJ13" s="125"/>
      <c r="AK13" s="127"/>
      <c r="AL13" s="125"/>
      <c r="AM13" s="127"/>
      <c r="AN13" s="127"/>
      <c r="AO13" s="127"/>
      <c r="AP13" s="127"/>
      <c r="AQ13" s="127"/>
      <c r="AR13" s="134"/>
      <c r="AS13" s="134"/>
      <c r="AT13" s="134"/>
    </row>
    <row r="14" s="34" customFormat="1" ht="18" customHeight="1" spans="1:46">
      <c r="A14" s="63"/>
      <c r="B14" s="64" t="s">
        <v>150</v>
      </c>
      <c r="C14" s="64"/>
      <c r="D14" s="65"/>
      <c r="E14" s="66"/>
      <c r="F14" s="67"/>
      <c r="G14" s="68"/>
      <c r="H14" s="67"/>
      <c r="I14" s="95"/>
      <c r="J14" s="96"/>
      <c r="K14" s="95"/>
      <c r="L14" s="97">
        <f>SUM(L4:L13)</f>
        <v>122949.13</v>
      </c>
      <c r="M14" s="97">
        <f t="shared" ref="M14:AL14" si="10">SUM(M4:M13)</f>
        <v>2603.85</v>
      </c>
      <c r="N14" s="97">
        <f t="shared" si="10"/>
        <v>692.52</v>
      </c>
      <c r="O14" s="97">
        <f t="shared" si="10"/>
        <v>88.48</v>
      </c>
      <c r="P14" s="97">
        <f t="shared" si="10"/>
        <v>2295.96</v>
      </c>
      <c r="Q14" s="97">
        <f t="shared" si="10"/>
        <v>5680.81</v>
      </c>
      <c r="R14" s="97">
        <f t="shared" si="10"/>
        <v>0</v>
      </c>
      <c r="S14" s="97">
        <f t="shared" si="10"/>
        <v>334297.13</v>
      </c>
      <c r="T14" s="97">
        <f t="shared" si="10"/>
        <v>115000</v>
      </c>
      <c r="U14" s="97">
        <f t="shared" si="10"/>
        <v>15096.94</v>
      </c>
      <c r="V14" s="97">
        <f t="shared" si="10"/>
        <v>12000</v>
      </c>
      <c r="W14" s="97">
        <f t="shared" si="10"/>
        <v>6000</v>
      </c>
      <c r="X14" s="97">
        <f t="shared" si="10"/>
        <v>9000</v>
      </c>
      <c r="Y14" s="97">
        <f t="shared" si="10"/>
        <v>4500</v>
      </c>
      <c r="Z14" s="97">
        <f t="shared" si="10"/>
        <v>0</v>
      </c>
      <c r="AA14" s="97">
        <f t="shared" si="10"/>
        <v>0</v>
      </c>
      <c r="AB14" s="97">
        <f t="shared" si="10"/>
        <v>31500</v>
      </c>
      <c r="AC14" s="97">
        <f t="shared" si="10"/>
        <v>0</v>
      </c>
      <c r="AD14" s="97">
        <f t="shared" si="10"/>
        <v>172700.19</v>
      </c>
      <c r="AE14" s="97">
        <f t="shared" si="10"/>
        <v>8508.36</v>
      </c>
      <c r="AF14" s="97">
        <f t="shared" si="10"/>
        <v>4172.99</v>
      </c>
      <c r="AG14" s="97">
        <f t="shared" si="10"/>
        <v>4335.37</v>
      </c>
      <c r="AH14" s="97">
        <f t="shared" si="10"/>
        <v>112932.95</v>
      </c>
      <c r="AI14" s="97">
        <f t="shared" si="10"/>
        <v>0</v>
      </c>
      <c r="AJ14" s="97">
        <f t="shared" si="10"/>
        <v>112932.95</v>
      </c>
      <c r="AK14" s="97">
        <f t="shared" si="10"/>
        <v>0</v>
      </c>
      <c r="AL14" s="97">
        <f t="shared" si="10"/>
        <v>117268.32</v>
      </c>
      <c r="AM14" s="128"/>
      <c r="AN14" s="128"/>
      <c r="AO14" s="128"/>
      <c r="AP14" s="128"/>
      <c r="AQ14" s="128"/>
      <c r="AR14" s="67"/>
      <c r="AS14" s="67"/>
      <c r="AT14" s="135"/>
    </row>
    <row r="17" spans="30:30">
      <c r="AD17" s="119"/>
    </row>
    <row r="18" ht="18.75" customHeight="1" spans="2:30">
      <c r="B18" s="69" t="s">
        <v>127</v>
      </c>
      <c r="C18" s="69" t="s">
        <v>151</v>
      </c>
      <c r="D18" s="69" t="s">
        <v>57</v>
      </c>
      <c r="E18" s="69" t="s">
        <v>58</v>
      </c>
      <c r="AD18" s="31"/>
    </row>
    <row r="19" ht="18.75" customHeight="1" spans="2:5">
      <c r="B19" s="70">
        <f>AJ14</f>
        <v>112932.95</v>
      </c>
      <c r="C19" s="70">
        <f>AG14</f>
        <v>4335.37</v>
      </c>
      <c r="D19" s="70">
        <f>AK14</f>
        <v>0</v>
      </c>
      <c r="E19" s="70">
        <f>B19+C19+D19</f>
        <v>117268.32</v>
      </c>
    </row>
    <row r="20" spans="2:5">
      <c r="B20" s="71"/>
      <c r="C20" s="71"/>
      <c r="D20" s="71"/>
      <c r="E20" s="71">
        <f>社保1!BC23</f>
        <v>26207.87</v>
      </c>
    </row>
    <row r="21" s="35" customFormat="1" spans="1:35">
      <c r="A21" s="72" t="s">
        <v>152</v>
      </c>
      <c r="B21" s="73" t="s">
        <v>153</v>
      </c>
      <c r="C21" s="74"/>
      <c r="D21" s="74"/>
      <c r="E21" s="74"/>
      <c r="G21" s="75"/>
      <c r="J21" s="98"/>
      <c r="M21" s="99"/>
      <c r="AI21" s="130"/>
    </row>
    <row r="22" s="35" customFormat="1" spans="1:35">
      <c r="A22" s="76"/>
      <c r="B22" s="77" t="s">
        <v>154</v>
      </c>
      <c r="C22" s="74"/>
      <c r="D22" s="74"/>
      <c r="E22" s="74"/>
      <c r="G22" s="75"/>
      <c r="J22" s="98"/>
      <c r="M22" s="99"/>
      <c r="AI22" s="130"/>
    </row>
    <row r="23" s="35" customFormat="1" spans="1:35">
      <c r="A23" s="73"/>
      <c r="B23" s="77" t="s">
        <v>155</v>
      </c>
      <c r="C23" s="78"/>
      <c r="D23" s="78"/>
      <c r="E23" s="78"/>
      <c r="F23" s="78"/>
      <c r="G23" s="78"/>
      <c r="H23" s="78"/>
      <c r="I23" s="78"/>
      <c r="J23" s="100"/>
      <c r="K23" s="78"/>
      <c r="L23" s="78"/>
      <c r="M23" s="101"/>
      <c r="N23" s="78"/>
      <c r="O23" s="78"/>
      <c r="P23" s="78"/>
      <c r="AI23" s="130"/>
    </row>
    <row r="24" s="35" customFormat="1" customHeight="1" spans="1:35">
      <c r="A24" s="77"/>
      <c r="B24" s="77" t="s">
        <v>156</v>
      </c>
      <c r="C24" s="79"/>
      <c r="D24" s="79"/>
      <c r="E24" s="79"/>
      <c r="F24" s="79"/>
      <c r="G24" s="79"/>
      <c r="H24" s="79"/>
      <c r="I24" s="102"/>
      <c r="J24" s="103"/>
      <c r="K24" s="102"/>
      <c r="L24" s="102"/>
      <c r="M24" s="104"/>
      <c r="N24" s="102"/>
      <c r="O24" s="102"/>
      <c r="P24" s="102"/>
      <c r="AI24" s="130"/>
    </row>
    <row r="25" s="35" customFormat="1" customHeight="1" spans="1:35">
      <c r="A25" s="77"/>
      <c r="B25" s="77" t="s">
        <v>157</v>
      </c>
      <c r="C25" s="79"/>
      <c r="D25" s="79"/>
      <c r="E25" s="79"/>
      <c r="F25" s="79"/>
      <c r="G25" s="79"/>
      <c r="H25" s="79"/>
      <c r="I25" s="79"/>
      <c r="J25" s="105"/>
      <c r="K25" s="79"/>
      <c r="L25" s="102"/>
      <c r="M25" s="104"/>
      <c r="N25" s="102"/>
      <c r="O25" s="102"/>
      <c r="P25" s="102"/>
      <c r="AI25" s="130"/>
    </row>
    <row r="26" s="35" customFormat="1" customHeight="1" spans="1:35">
      <c r="A26" s="77"/>
      <c r="B26" s="77" t="s">
        <v>158</v>
      </c>
      <c r="C26" s="79"/>
      <c r="D26" s="79"/>
      <c r="E26" s="79"/>
      <c r="F26" s="79"/>
      <c r="G26" s="79"/>
      <c r="H26" s="79"/>
      <c r="I26" s="102"/>
      <c r="J26" s="103"/>
      <c r="K26" s="102"/>
      <c r="L26" s="102"/>
      <c r="M26" s="104"/>
      <c r="N26" s="102"/>
      <c r="O26" s="102"/>
      <c r="P26" s="102"/>
      <c r="AI26" s="130"/>
    </row>
    <row r="28" ht="11.25" customHeight="1" spans="2:2">
      <c r="B28" s="80" t="s">
        <v>159</v>
      </c>
    </row>
    <row r="29" spans="2:2">
      <c r="B29" s="81" t="s">
        <v>160</v>
      </c>
    </row>
    <row r="30" spans="2:2">
      <c r="B30" s="81" t="s">
        <v>161</v>
      </c>
    </row>
  </sheetData>
  <autoFilter ref="A3:AT14">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26">
    <cfRule type="duplicateValues" dxfId="3" priority="2" stopIfTrue="1"/>
  </conditionalFormatting>
  <conditionalFormatting sqref="B21:B25">
    <cfRule type="duplicateValues" dxfId="3" priority="3" stopIfTrue="1"/>
  </conditionalFormatting>
  <conditionalFormatting sqref="B29:B30">
    <cfRule type="duplicateValues" dxfId="3" priority="1" stopIfTrue="1"/>
  </conditionalFormatting>
  <conditionalFormatting sqref="C18:C20">
    <cfRule type="duplicateValues" dxfId="3" priority="4" stopIfTrue="1"/>
    <cfRule type="expression" dxfId="4" priority="5" stopIfTrue="1">
      <formula>AND(COUNTIF($B$14:$B$65450,C18)+COUNTIF($B$1:$B$3,C18)&gt;1,NOT(ISBLANK(C18)))</formula>
    </cfRule>
    <cfRule type="expression" dxfId="4" priority="6" stopIfTrue="1">
      <formula>AND(COUNTIF($B$25:$B$65401,C18)+COUNTIF($B$1:$B$24,C18)&gt;1,NOT(ISBLANK(C18)))</formula>
    </cfRule>
    <cfRule type="expression" dxfId="4" priority="7" stopIfTrue="1">
      <formula>AND(COUNTIF($B$14:$B$65439,C18)+COUNTIF($B$1:$B$3,C18)&gt;1,NOT(ISBLANK(C18)))</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T34"/>
  <sheetViews>
    <sheetView workbookViewId="0">
      <pane xSplit="6" ySplit="3" topLeftCell="G8" activePane="bottomRight" state="frozen"/>
      <selection/>
      <selection pane="topRight"/>
      <selection pane="bottomLeft"/>
      <selection pane="bottomRight" activeCell="M20" sqref="M20"/>
    </sheetView>
  </sheetViews>
  <sheetFormatPr defaultColWidth="9" defaultRowHeight="13.5"/>
  <cols>
    <col min="1" max="1" width="4.5" style="36" customWidth="1"/>
    <col min="2" max="2" width="12.625" style="36" customWidth="1"/>
    <col min="3" max="3" width="10.5" style="36" customWidth="1"/>
    <col min="4" max="4" width="8.75" style="36" customWidth="1"/>
    <col min="5" max="5" width="19.5" style="37" customWidth="1"/>
    <col min="6" max="6" width="9" style="36"/>
    <col min="7" max="7" width="11.875" style="38" customWidth="1"/>
    <col min="8" max="8" width="4.625" style="36" hidden="1" customWidth="1"/>
    <col min="9" max="9" width="5.25" style="36" hidden="1" customWidth="1"/>
    <col min="10" max="10" width="11.75" style="39" customWidth="1"/>
    <col min="11" max="11" width="5.25" style="36" customWidth="1"/>
    <col min="12" max="12" width="11.75" style="36" customWidth="1"/>
    <col min="13" max="13" width="9.875" style="36" customWidth="1" outlineLevel="1"/>
    <col min="14" max="15" width="9" style="36" customWidth="1" outlineLevel="1"/>
    <col min="16" max="16" width="11.125" style="36" customWidth="1" outlineLevel="1"/>
    <col min="17" max="17" width="9.75" style="36" customWidth="1"/>
    <col min="18" max="18" width="9.5" style="36" customWidth="1"/>
    <col min="19" max="19" width="11.5" style="36" customWidth="1"/>
    <col min="20" max="21" width="12.25" style="36" customWidth="1"/>
    <col min="22" max="27" width="9" style="36" customWidth="1" outlineLevel="1"/>
    <col min="28" max="28" width="11.25" style="36" customWidth="1"/>
    <col min="29" max="29" width="8.5" style="36" customWidth="1"/>
    <col min="30" max="30" width="15.25" style="36" customWidth="1"/>
    <col min="31" max="31" width="14" style="36" customWidth="1"/>
    <col min="32" max="32" width="10.75" style="36" customWidth="1"/>
    <col min="33" max="33" width="12.25" style="36" customWidth="1"/>
    <col min="34" max="34" width="11.5" style="36" customWidth="1"/>
    <col min="35" max="35" width="7.875" style="40" customWidth="1"/>
    <col min="36" max="36" width="11.5" style="36" customWidth="1"/>
    <col min="37" max="37" width="9" style="36"/>
    <col min="38" max="38" width="11.5" style="36" customWidth="1"/>
    <col min="39" max="40" width="9" style="36" customWidth="1"/>
    <col min="41" max="41" width="19" style="36" customWidth="1"/>
    <col min="42" max="42" width="12.25" style="36" customWidth="1"/>
    <col min="43" max="43" width="9" style="36"/>
    <col min="44" max="44" width="7" style="36" customWidth="1"/>
    <col min="45" max="45" width="6.75" style="36" customWidth="1"/>
    <col min="46" max="46" width="6.125" style="36" customWidth="1"/>
    <col min="47" max="16384" width="9" style="36"/>
  </cols>
  <sheetData>
    <row r="1" s="31" customFormat="1" ht="29.25" customHeight="1" spans="1:45">
      <c r="A1" s="41" t="s">
        <v>99</v>
      </c>
      <c r="B1" s="42"/>
      <c r="C1" s="43"/>
      <c r="D1" s="44"/>
      <c r="E1" s="45"/>
      <c r="F1" s="45"/>
      <c r="G1" s="46"/>
      <c r="J1" s="82"/>
      <c r="L1" s="83"/>
      <c r="M1" s="84" t="s">
        <v>100</v>
      </c>
      <c r="N1" s="84"/>
      <c r="O1" s="84"/>
      <c r="P1" s="84"/>
      <c r="Q1" s="106"/>
      <c r="R1" s="106"/>
      <c r="S1" s="106"/>
      <c r="T1" s="106"/>
      <c r="U1" s="106"/>
      <c r="V1" s="106"/>
      <c r="W1" s="106"/>
      <c r="X1" s="106"/>
      <c r="Y1" s="106"/>
      <c r="Z1" s="106"/>
      <c r="AA1" s="106"/>
      <c r="AB1" s="106"/>
      <c r="AC1" s="106"/>
      <c r="AD1" s="83"/>
      <c r="AE1" s="83"/>
      <c r="AF1" s="83"/>
      <c r="AG1" s="83"/>
      <c r="AH1" s="83"/>
      <c r="AI1" s="120"/>
      <c r="AJ1" s="83"/>
      <c r="AK1" s="83"/>
      <c r="AL1" s="83"/>
      <c r="AM1" s="45"/>
      <c r="AN1" s="45"/>
      <c r="AO1" s="131"/>
      <c r="AP1" s="45"/>
      <c r="AQ1" s="45"/>
      <c r="AR1" s="45"/>
      <c r="AS1" s="45"/>
    </row>
    <row r="2" s="32" customFormat="1" ht="20.1" customHeight="1" spans="1:46">
      <c r="A2" s="47" t="s">
        <v>18</v>
      </c>
      <c r="B2" s="48" t="s">
        <v>101</v>
      </c>
      <c r="C2" s="49" t="s">
        <v>102</v>
      </c>
      <c r="D2" s="49" t="s">
        <v>103</v>
      </c>
      <c r="E2" s="50" t="s">
        <v>104</v>
      </c>
      <c r="F2" s="51" t="s">
        <v>105</v>
      </c>
      <c r="G2" s="50" t="s">
        <v>106</v>
      </c>
      <c r="H2" s="50" t="s">
        <v>107</v>
      </c>
      <c r="I2" s="50" t="s">
        <v>108</v>
      </c>
      <c r="J2" s="85" t="s">
        <v>109</v>
      </c>
      <c r="K2" s="50" t="s">
        <v>110</v>
      </c>
      <c r="L2" s="50" t="s">
        <v>111</v>
      </c>
      <c r="M2" s="86" t="s">
        <v>112</v>
      </c>
      <c r="N2" s="87"/>
      <c r="O2" s="87"/>
      <c r="P2" s="88"/>
      <c r="Q2" s="51" t="s">
        <v>113</v>
      </c>
      <c r="R2" s="50" t="s">
        <v>114</v>
      </c>
      <c r="S2" s="51" t="s">
        <v>115</v>
      </c>
      <c r="T2" s="107" t="s">
        <v>116</v>
      </c>
      <c r="U2" s="51" t="s">
        <v>117</v>
      </c>
      <c r="V2" s="108" t="s">
        <v>118</v>
      </c>
      <c r="W2" s="109"/>
      <c r="X2" s="109"/>
      <c r="Y2" s="109"/>
      <c r="Z2" s="109"/>
      <c r="AA2" s="115"/>
      <c r="AB2" s="51" t="s">
        <v>119</v>
      </c>
      <c r="AC2" s="51" t="s">
        <v>120</v>
      </c>
      <c r="AD2" s="107" t="s">
        <v>121</v>
      </c>
      <c r="AE2" s="107" t="s">
        <v>122</v>
      </c>
      <c r="AF2" s="107" t="s">
        <v>123</v>
      </c>
      <c r="AG2" s="107" t="s">
        <v>124</v>
      </c>
      <c r="AH2" s="121" t="s">
        <v>125</v>
      </c>
      <c r="AI2" s="122" t="s">
        <v>126</v>
      </c>
      <c r="AJ2" s="121" t="s">
        <v>127</v>
      </c>
      <c r="AK2" s="49" t="s">
        <v>57</v>
      </c>
      <c r="AL2" s="121" t="s">
        <v>128</v>
      </c>
      <c r="AM2" s="50" t="s">
        <v>129</v>
      </c>
      <c r="AN2" s="50" t="s">
        <v>130</v>
      </c>
      <c r="AO2" s="132" t="s">
        <v>131</v>
      </c>
      <c r="AP2" s="50" t="s">
        <v>132</v>
      </c>
      <c r="AQ2" s="50" t="s">
        <v>133</v>
      </c>
      <c r="AR2" s="51" t="s">
        <v>134</v>
      </c>
      <c r="AS2" s="51" t="s">
        <v>135</v>
      </c>
      <c r="AT2" s="51" t="s">
        <v>136</v>
      </c>
    </row>
    <row r="3" s="32" customFormat="1" ht="27" customHeight="1" spans="1:46">
      <c r="A3" s="52"/>
      <c r="B3" s="53"/>
      <c r="C3" s="54"/>
      <c r="D3" s="54"/>
      <c r="E3" s="55"/>
      <c r="F3" s="56"/>
      <c r="G3" s="55"/>
      <c r="H3" s="55"/>
      <c r="I3" s="55"/>
      <c r="J3" s="89"/>
      <c r="K3" s="55"/>
      <c r="L3" s="55"/>
      <c r="M3" s="90" t="s">
        <v>137</v>
      </c>
      <c r="N3" s="90" t="s">
        <v>138</v>
      </c>
      <c r="O3" s="90" t="s">
        <v>139</v>
      </c>
      <c r="P3" s="90" t="s">
        <v>70</v>
      </c>
      <c r="Q3" s="56"/>
      <c r="R3" s="55"/>
      <c r="S3" s="56"/>
      <c r="T3" s="110"/>
      <c r="U3" s="56"/>
      <c r="V3" s="111" t="s">
        <v>140</v>
      </c>
      <c r="W3" s="111" t="s">
        <v>141</v>
      </c>
      <c r="X3" s="111" t="s">
        <v>142</v>
      </c>
      <c r="Y3" s="111" t="s">
        <v>143</v>
      </c>
      <c r="Z3" s="111" t="s">
        <v>144</v>
      </c>
      <c r="AA3" s="111" t="s">
        <v>145</v>
      </c>
      <c r="AB3" s="56"/>
      <c r="AC3" s="56"/>
      <c r="AD3" s="110"/>
      <c r="AE3" s="110"/>
      <c r="AF3" s="110"/>
      <c r="AG3" s="110"/>
      <c r="AH3" s="123"/>
      <c r="AI3" s="124"/>
      <c r="AJ3" s="123"/>
      <c r="AK3" s="54"/>
      <c r="AL3" s="123"/>
      <c r="AM3" s="55"/>
      <c r="AN3" s="55"/>
      <c r="AO3" s="133"/>
      <c r="AP3" s="55"/>
      <c r="AQ3" s="55"/>
      <c r="AR3" s="56"/>
      <c r="AS3" s="56"/>
      <c r="AT3" s="56"/>
    </row>
    <row r="4" s="33" customFormat="1" ht="18" customHeight="1" spans="1:46">
      <c r="A4" s="57">
        <v>1</v>
      </c>
      <c r="B4" s="58" t="s">
        <v>242</v>
      </c>
      <c r="C4" s="58" t="s">
        <v>75</v>
      </c>
      <c r="D4" s="58" t="s">
        <v>147</v>
      </c>
      <c r="E4" s="58" t="s">
        <v>76</v>
      </c>
      <c r="F4" s="59" t="s">
        <v>193</v>
      </c>
      <c r="G4" s="60">
        <v>18035163638</v>
      </c>
      <c r="H4" s="61"/>
      <c r="I4" s="61"/>
      <c r="J4" s="91"/>
      <c r="K4" s="61"/>
      <c r="L4" s="92">
        <v>11010</v>
      </c>
      <c r="M4" s="93">
        <v>264</v>
      </c>
      <c r="N4" s="93">
        <v>9.9</v>
      </c>
      <c r="O4" s="93">
        <v>66</v>
      </c>
      <c r="P4" s="93">
        <v>180</v>
      </c>
      <c r="Q4" s="112">
        <f t="shared" ref="Q4:Q15" si="0">ROUND(SUM(M4:P4),2)</f>
        <v>519.9</v>
      </c>
      <c r="R4" s="94">
        <v>0</v>
      </c>
      <c r="S4" s="113">
        <f>L4+IFERROR(VLOOKUP($E:$E,'（居民）工资表-3月'!$E:$S,15,0),0)</f>
        <v>36780</v>
      </c>
      <c r="T4" s="114">
        <f>5000+IFERROR(VLOOKUP($E:$E,'（居民）工资表-3月'!$E:$T,16,0),0)</f>
        <v>20000</v>
      </c>
      <c r="U4" s="114">
        <f>Q4+IFERROR(VLOOKUP($E:$E,'（居民）工资表-3月'!$E:$U,17,0),0)</f>
        <v>2079.6</v>
      </c>
      <c r="V4" s="94">
        <v>4000</v>
      </c>
      <c r="W4" s="94"/>
      <c r="X4" s="94">
        <v>4000</v>
      </c>
      <c r="Y4" s="94"/>
      <c r="Z4" s="94"/>
      <c r="AA4" s="94"/>
      <c r="AB4" s="113">
        <f t="shared" ref="AB4:AB15" si="1">ROUND(SUM(V4:AA4),2)</f>
        <v>8000</v>
      </c>
      <c r="AC4" s="113">
        <f>R4+IFERROR(VLOOKUP($E:$E,'（居民）工资表-3月'!$E:$AC,25,0),0)</f>
        <v>0</v>
      </c>
      <c r="AD4" s="116">
        <f t="shared" ref="AD4:AD15" si="2">ROUND(S4-T4-U4-AB4-AC4,2)</f>
        <v>6700.4</v>
      </c>
      <c r="AE4" s="117">
        <f>ROUND(MAX((AD4)*{0.03;0.1;0.2;0.25;0.3;0.35;0.45}-{0;2520;16920;31920;52920;85920;181920},0),2)</f>
        <v>201.01</v>
      </c>
      <c r="AF4" s="118">
        <f>IFERROR(VLOOKUP(E:E,'（居民）工资表-3月'!E:AF,28,0)+VLOOKUP(E:E,'（居民）工资表-3月'!E:AG,29,0),0)</f>
        <v>96.31</v>
      </c>
      <c r="AG4" s="118">
        <f t="shared" ref="AG4:AG15" si="3">IF((AE4-AF4)&lt;0,0,AE4-AF4)</f>
        <v>104.7</v>
      </c>
      <c r="AH4" s="125">
        <f t="shared" ref="AH4:AH15" si="4">ROUND(IF((L4-Q4-AG4)&lt;0,0,(L4-Q4-AG4)),2)</f>
        <v>10385.4</v>
      </c>
      <c r="AI4" s="126"/>
      <c r="AJ4" s="125">
        <f t="shared" ref="AJ4:AJ15" si="5">AH4+AI4</f>
        <v>10385.4</v>
      </c>
      <c r="AK4" s="127"/>
      <c r="AL4" s="125">
        <f t="shared" ref="AL4:AL15" si="6">AJ4+AG4+AK4</f>
        <v>10490.1</v>
      </c>
      <c r="AM4" s="127"/>
      <c r="AN4" s="127"/>
      <c r="AO4" s="127"/>
      <c r="AP4" s="127"/>
      <c r="AQ4" s="127"/>
      <c r="AR4" s="134"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134" t="str">
        <f>IF(SUMPRODUCT(N(E$1:E$6=E4))&gt;1,"重复","不")</f>
        <v>不</v>
      </c>
      <c r="AT4" s="134" t="str">
        <f>IF(SUMPRODUCT(N(AO$1:AO$6=AO4))&gt;1,"重复","不")</f>
        <v>重复</v>
      </c>
    </row>
    <row r="5" s="33" customFormat="1" ht="18" customHeight="1" spans="1:46">
      <c r="A5" s="57">
        <v>2</v>
      </c>
      <c r="B5" s="58" t="s">
        <v>242</v>
      </c>
      <c r="C5" s="58" t="s">
        <v>93</v>
      </c>
      <c r="D5" s="58" t="s">
        <v>147</v>
      </c>
      <c r="E5" s="58" t="s">
        <v>94</v>
      </c>
      <c r="F5" s="59" t="s">
        <v>193</v>
      </c>
      <c r="G5" s="60">
        <v>13944441728</v>
      </c>
      <c r="H5" s="61"/>
      <c r="I5" s="61"/>
      <c r="J5" s="91"/>
      <c r="K5" s="61"/>
      <c r="L5" s="92">
        <v>7000</v>
      </c>
      <c r="M5" s="93">
        <v>268.81</v>
      </c>
      <c r="N5" s="93">
        <v>10.08</v>
      </c>
      <c r="O5" s="93">
        <v>105.06</v>
      </c>
      <c r="P5" s="93">
        <v>91</v>
      </c>
      <c r="Q5" s="112">
        <f t="shared" si="0"/>
        <v>474.95</v>
      </c>
      <c r="R5" s="94">
        <v>0</v>
      </c>
      <c r="S5" s="113">
        <f>L5+IFERROR(VLOOKUP($E:$E,'（居民）工资表-3月'!$E:$S,15,0),0)</f>
        <v>28000</v>
      </c>
      <c r="T5" s="114">
        <f>5000+IFERROR(VLOOKUP($E:$E,'（居民）工资表-3月'!$E:$T,16,0),0)</f>
        <v>20000</v>
      </c>
      <c r="U5" s="114">
        <f>Q5+IFERROR(VLOOKUP($E:$E,'（居民）工资表-3月'!$E:$U,17,0),0)</f>
        <v>1731.8</v>
      </c>
      <c r="V5" s="94"/>
      <c r="W5" s="94"/>
      <c r="X5" s="94">
        <v>4000</v>
      </c>
      <c r="Y5" s="94"/>
      <c r="Z5" s="94"/>
      <c r="AA5" s="94"/>
      <c r="AB5" s="113">
        <f t="shared" si="1"/>
        <v>4000</v>
      </c>
      <c r="AC5" s="113">
        <f>R5+IFERROR(VLOOKUP($E:$E,'（居民）工资表-3月'!$E:$AC,25,0),0)</f>
        <v>0</v>
      </c>
      <c r="AD5" s="116">
        <f t="shared" si="2"/>
        <v>2268.2</v>
      </c>
      <c r="AE5" s="117">
        <f>ROUND(MAX((AD5)*{0.03;0.1;0.2;0.25;0.3;0.35;0.45}-{0;2520;16920;31920;52920;85920;181920},0),2)</f>
        <v>68.05</v>
      </c>
      <c r="AF5" s="118">
        <f>IFERROR(VLOOKUP(E:E,'（居民）工资表-3月'!E:AF,28,0)+VLOOKUP(E:E,'（居民）工资表-3月'!E:AG,29,0),0)</f>
        <v>52.29</v>
      </c>
      <c r="AG5" s="118">
        <f t="shared" si="3"/>
        <v>15.76</v>
      </c>
      <c r="AH5" s="125">
        <f t="shared" si="4"/>
        <v>6509.29</v>
      </c>
      <c r="AI5" s="126"/>
      <c r="AJ5" s="125">
        <f t="shared" si="5"/>
        <v>6509.29</v>
      </c>
      <c r="AK5" s="127"/>
      <c r="AL5" s="125">
        <f t="shared" si="6"/>
        <v>6525.05</v>
      </c>
      <c r="AM5" s="127"/>
      <c r="AN5" s="127"/>
      <c r="AO5" s="127"/>
      <c r="AP5" s="127"/>
      <c r="AQ5" s="127"/>
      <c r="AR5" s="134" t="str">
        <f t="shared" si="7"/>
        <v>正确</v>
      </c>
      <c r="AS5" s="134" t="str">
        <f>IF(SUMPRODUCT(N(E$1:E$6=E5))&gt;1,"重复","不")</f>
        <v>不</v>
      </c>
      <c r="AT5" s="134" t="str">
        <f>IF(SUMPRODUCT(N(AO$1:AO$6=AO5))&gt;1,"重复","不")</f>
        <v>重复</v>
      </c>
    </row>
    <row r="6" s="33" customFormat="1" ht="18" customHeight="1" spans="1:46">
      <c r="A6" s="57">
        <v>3</v>
      </c>
      <c r="B6" s="58" t="s">
        <v>242</v>
      </c>
      <c r="C6" s="58" t="s">
        <v>174</v>
      </c>
      <c r="D6" s="58" t="s">
        <v>147</v>
      </c>
      <c r="E6" s="397" t="s">
        <v>175</v>
      </c>
      <c r="F6" s="59" t="str">
        <f>IF(MOD(MID(E6,17,1),2)=1,"男","女")</f>
        <v>女</v>
      </c>
      <c r="G6" s="60">
        <v>15360550807</v>
      </c>
      <c r="H6" s="61"/>
      <c r="I6" s="61"/>
      <c r="J6" s="91"/>
      <c r="K6" s="61"/>
      <c r="L6" s="92">
        <v>5700</v>
      </c>
      <c r="M6" s="93">
        <v>367.04</v>
      </c>
      <c r="N6" s="93">
        <v>4.6</v>
      </c>
      <c r="O6" s="93">
        <v>135.14</v>
      </c>
      <c r="P6" s="93">
        <v>115</v>
      </c>
      <c r="Q6" s="112">
        <f t="shared" si="0"/>
        <v>621.78</v>
      </c>
      <c r="R6" s="94">
        <v>0</v>
      </c>
      <c r="S6" s="113">
        <f>L6+IFERROR(VLOOKUP($E:$E,'（居民）工资表-3月'!$E:$S,15,0),0)</f>
        <v>22800</v>
      </c>
      <c r="T6" s="114">
        <f>5000+IFERROR(VLOOKUP($E:$E,'（居民）工资表-3月'!$E:$T,16,0),0)</f>
        <v>20000</v>
      </c>
      <c r="U6" s="114">
        <f>Q6+IFERROR(VLOOKUP($E:$E,'（居民）工资表-3月'!$E:$U,17,0),0)</f>
        <v>2516.4</v>
      </c>
      <c r="V6" s="94"/>
      <c r="W6" s="94"/>
      <c r="X6" s="94"/>
      <c r="Y6" s="94">
        <v>6000</v>
      </c>
      <c r="Z6" s="94"/>
      <c r="AA6" s="94"/>
      <c r="AB6" s="113">
        <f t="shared" si="1"/>
        <v>6000</v>
      </c>
      <c r="AC6" s="113">
        <f>R6+IFERROR(VLOOKUP($E:$E,'（居民）工资表-3月'!$E:$AC,25,0),0)</f>
        <v>0</v>
      </c>
      <c r="AD6" s="116">
        <f t="shared" si="2"/>
        <v>-5716.4</v>
      </c>
      <c r="AE6" s="117">
        <f>ROUND(MAX((AD6)*{0.03;0.1;0.2;0.25;0.3;0.35;0.45}-{0;2520;16920;31920;52920;85920;181920},0),2)</f>
        <v>0</v>
      </c>
      <c r="AF6" s="118">
        <f>IFERROR(VLOOKUP(E:E,'（居民）工资表-3月'!E:AF,28,0)+VLOOKUP(E:E,'（居民）工资表-3月'!E:AG,29,0),0)</f>
        <v>0</v>
      </c>
      <c r="AG6" s="118">
        <f t="shared" si="3"/>
        <v>0</v>
      </c>
      <c r="AH6" s="125">
        <f t="shared" si="4"/>
        <v>5078.22</v>
      </c>
      <c r="AI6" s="126"/>
      <c r="AJ6" s="125">
        <f t="shared" si="5"/>
        <v>5078.22</v>
      </c>
      <c r="AK6" s="127"/>
      <c r="AL6" s="125">
        <f t="shared" si="6"/>
        <v>5078.22</v>
      </c>
      <c r="AM6" s="127"/>
      <c r="AN6" s="127"/>
      <c r="AO6" s="127"/>
      <c r="AP6" s="127"/>
      <c r="AQ6" s="127"/>
      <c r="AR6" s="134" t="str">
        <f t="shared" si="7"/>
        <v>正确</v>
      </c>
      <c r="AS6" s="134" t="str">
        <f>IF(SUMPRODUCT(N(E$1:E$6=E6))&gt;1,"重复","不")</f>
        <v>不</v>
      </c>
      <c r="AT6" s="134" t="str">
        <f>IF(SUMPRODUCT(N(AO$1:AO$6=AO6))&gt;1,"重复","不")</f>
        <v>重复</v>
      </c>
    </row>
    <row r="7" s="33" customFormat="1" ht="18" customHeight="1" spans="1:46">
      <c r="A7" s="57">
        <v>4</v>
      </c>
      <c r="B7" s="58" t="s">
        <v>242</v>
      </c>
      <c r="C7" s="58" t="s">
        <v>148</v>
      </c>
      <c r="D7" s="58" t="s">
        <v>147</v>
      </c>
      <c r="E7" s="397" t="s">
        <v>149</v>
      </c>
      <c r="F7" s="59" t="s">
        <v>193</v>
      </c>
      <c r="G7" s="60">
        <v>18607383005</v>
      </c>
      <c r="H7" s="61"/>
      <c r="I7" s="61"/>
      <c r="J7" s="91"/>
      <c r="K7" s="61"/>
      <c r="L7" s="92">
        <v>25000</v>
      </c>
      <c r="M7" s="93">
        <v>320</v>
      </c>
      <c r="N7" s="93">
        <v>12</v>
      </c>
      <c r="O7" s="93">
        <v>80</v>
      </c>
      <c r="P7" s="93">
        <v>200</v>
      </c>
      <c r="Q7" s="112">
        <f t="shared" si="0"/>
        <v>612</v>
      </c>
      <c r="R7" s="94">
        <v>0</v>
      </c>
      <c r="S7" s="113">
        <f>L7+IFERROR(VLOOKUP($E:$E,'（居民）工资表-3月'!$E:$S,15,0),0)</f>
        <v>110000</v>
      </c>
      <c r="T7" s="114">
        <f>5000+IFERROR(VLOOKUP($E:$E,'（居民）工资表-3月'!$E:$T,16,0),0)</f>
        <v>20000</v>
      </c>
      <c r="U7" s="114">
        <f>Q7+IFERROR(VLOOKUP($E:$E,'（居民）工资表-3月'!$E:$U,17,0),0)</f>
        <v>2578</v>
      </c>
      <c r="V7" s="94">
        <v>8000</v>
      </c>
      <c r="W7" s="94">
        <v>4000</v>
      </c>
      <c r="X7" s="94"/>
      <c r="Y7" s="94"/>
      <c r="Z7" s="94"/>
      <c r="AA7" s="94"/>
      <c r="AB7" s="113">
        <f t="shared" si="1"/>
        <v>12000</v>
      </c>
      <c r="AC7" s="113">
        <f>R7+IFERROR(VLOOKUP($E:$E,'（居民）工资表-3月'!$E:$AC,25,0),0)</f>
        <v>0</v>
      </c>
      <c r="AD7" s="116">
        <f t="shared" si="2"/>
        <v>75422</v>
      </c>
      <c r="AE7" s="117">
        <f>ROUND(MAX((AD7)*{0.03;0.1;0.2;0.25;0.3;0.35;0.45}-{0;2520;16920;31920;52920;85920;181920},0),2)</f>
        <v>5022.2</v>
      </c>
      <c r="AF7" s="118">
        <f>IFERROR(VLOOKUP(E:E,'（居民）工资表-3月'!E:AF,28,0)+VLOOKUP(E:E,'（居民）工资表-3月'!E:AG,29,0),0)</f>
        <v>3383.4</v>
      </c>
      <c r="AG7" s="118">
        <f t="shared" si="3"/>
        <v>1638.8</v>
      </c>
      <c r="AH7" s="125">
        <f t="shared" si="4"/>
        <v>22749.2</v>
      </c>
      <c r="AI7" s="126"/>
      <c r="AJ7" s="125">
        <f t="shared" si="5"/>
        <v>22749.2</v>
      </c>
      <c r="AK7" s="127"/>
      <c r="AL7" s="125">
        <f t="shared" si="6"/>
        <v>24388</v>
      </c>
      <c r="AM7" s="127"/>
      <c r="AN7" s="127"/>
      <c r="AO7" s="127"/>
      <c r="AP7" s="127"/>
      <c r="AQ7" s="127"/>
      <c r="AR7" s="134" t="str">
        <f t="shared" si="7"/>
        <v>正确</v>
      </c>
      <c r="AS7" s="134" t="str">
        <f>IF(SUMPRODUCT(N(E$1:E$6=E7))&gt;1,"重复","不")</f>
        <v>不</v>
      </c>
      <c r="AT7" s="134" t="str">
        <f>IF(SUMPRODUCT(N(AO$1:AO$6=AO7))&gt;1,"重复","不")</f>
        <v>重复</v>
      </c>
    </row>
    <row r="8" s="33" customFormat="1" ht="18" customHeight="1" spans="1:46">
      <c r="A8" s="57">
        <v>5</v>
      </c>
      <c r="B8" s="58" t="s">
        <v>242</v>
      </c>
      <c r="C8" s="58" t="s">
        <v>170</v>
      </c>
      <c r="D8" s="58" t="s">
        <v>147</v>
      </c>
      <c r="E8" s="58" t="s">
        <v>171</v>
      </c>
      <c r="F8" s="59" t="s">
        <v>193</v>
      </c>
      <c r="G8" s="60">
        <v>13373825180</v>
      </c>
      <c r="H8" s="61"/>
      <c r="I8" s="61"/>
      <c r="J8" s="91"/>
      <c r="K8" s="61"/>
      <c r="L8" s="92">
        <v>28739</v>
      </c>
      <c r="M8" s="93">
        <v>296</v>
      </c>
      <c r="N8" s="93">
        <v>11.1</v>
      </c>
      <c r="O8" s="93">
        <v>74</v>
      </c>
      <c r="P8" s="93">
        <v>85</v>
      </c>
      <c r="Q8" s="112">
        <f t="shared" si="0"/>
        <v>466.1</v>
      </c>
      <c r="R8" s="94">
        <v>0</v>
      </c>
      <c r="S8" s="113">
        <f>L8+IFERROR(VLOOKUP($E:$E,'（居民）工资表-3月'!$E:$S,15,0),0)</f>
        <v>113033.5</v>
      </c>
      <c r="T8" s="114">
        <f>5000+IFERROR(VLOOKUP($E:$E,'（居民）工资表-3月'!$E:$T,16,0),0)</f>
        <v>20000</v>
      </c>
      <c r="U8" s="114">
        <f>Q8+IFERROR(VLOOKUP($E:$E,'（居民）工资表-3月'!$E:$U,17,0),0)</f>
        <v>2101.37</v>
      </c>
      <c r="V8" s="94">
        <v>4000</v>
      </c>
      <c r="W8" s="94">
        <v>4000</v>
      </c>
      <c r="X8" s="94">
        <v>4000</v>
      </c>
      <c r="Y8" s="94"/>
      <c r="Z8" s="94"/>
      <c r="AA8" s="94"/>
      <c r="AB8" s="113">
        <f t="shared" si="1"/>
        <v>12000</v>
      </c>
      <c r="AC8" s="113">
        <f>R8+IFERROR(VLOOKUP($E:$E,'（居民）工资表-3月'!$E:$AC,25,0),0)</f>
        <v>0</v>
      </c>
      <c r="AD8" s="116">
        <f t="shared" si="2"/>
        <v>78932.13</v>
      </c>
      <c r="AE8" s="117">
        <f>ROUND(MAX((AD8)*{0.03;0.1;0.2;0.25;0.3;0.35;0.45}-{0;2520;16920;31920;52920;85920;181920},0),2)</f>
        <v>5373.21</v>
      </c>
      <c r="AF8" s="118">
        <f>IFERROR(VLOOKUP(E:E,'（居民）工资表-3月'!E:AF,28,0)+VLOOKUP(E:E,'（居民）工资表-3月'!E:AG,29,0),0)</f>
        <v>3345.92</v>
      </c>
      <c r="AG8" s="118">
        <f t="shared" si="3"/>
        <v>2027.29</v>
      </c>
      <c r="AH8" s="125">
        <f t="shared" si="4"/>
        <v>26245.61</v>
      </c>
      <c r="AI8" s="126"/>
      <c r="AJ8" s="125">
        <f t="shared" si="5"/>
        <v>26245.61</v>
      </c>
      <c r="AK8" s="127"/>
      <c r="AL8" s="125">
        <f t="shared" si="6"/>
        <v>28272.9</v>
      </c>
      <c r="AM8" s="127"/>
      <c r="AN8" s="127"/>
      <c r="AO8" s="127"/>
      <c r="AP8" s="127"/>
      <c r="AQ8" s="127"/>
      <c r="AR8" s="134" t="str">
        <f t="shared" si="7"/>
        <v>正确</v>
      </c>
      <c r="AS8" s="134" t="str">
        <f>IF(SUMPRODUCT(N(E$1:E$6=E8))&gt;1,"重复","不")</f>
        <v>不</v>
      </c>
      <c r="AT8" s="134" t="str">
        <f>IF(SUMPRODUCT(N(AO$1:AO$6=AO8))&gt;1,"重复","不")</f>
        <v>重复</v>
      </c>
    </row>
    <row r="9" s="33" customFormat="1" ht="18" customHeight="1" spans="1:46">
      <c r="A9" s="57">
        <v>6</v>
      </c>
      <c r="B9" s="58" t="s">
        <v>242</v>
      </c>
      <c r="C9" s="58" t="s">
        <v>183</v>
      </c>
      <c r="D9" s="58" t="s">
        <v>147</v>
      </c>
      <c r="E9" s="58" t="s">
        <v>184</v>
      </c>
      <c r="F9" s="59" t="s">
        <v>193</v>
      </c>
      <c r="G9" s="60">
        <v>18037463616</v>
      </c>
      <c r="H9" s="61"/>
      <c r="I9" s="61"/>
      <c r="J9" s="91"/>
      <c r="K9" s="61"/>
      <c r="L9" s="92">
        <v>14320</v>
      </c>
      <c r="M9" s="93">
        <v>254.32</v>
      </c>
      <c r="N9" s="93">
        <v>9.54</v>
      </c>
      <c r="O9" s="93">
        <v>63.94</v>
      </c>
      <c r="P9" s="93">
        <v>254.32</v>
      </c>
      <c r="Q9" s="112">
        <f t="shared" si="0"/>
        <v>582.12</v>
      </c>
      <c r="R9" s="94">
        <v>0</v>
      </c>
      <c r="S9" s="113">
        <f>L9+IFERROR(VLOOKUP($E:$E,'（居民）工资表-3月'!$E:$S,15,0),0)</f>
        <v>42092.63</v>
      </c>
      <c r="T9" s="114">
        <f>5000+IFERROR(VLOOKUP($E:$E,'（居民）工资表-3月'!$E:$T,16,0),0)</f>
        <v>15000</v>
      </c>
      <c r="U9" s="114">
        <f>Q9+IFERROR(VLOOKUP($E:$E,'（居民）工资表-3月'!$E:$U,17,0),0)</f>
        <v>2228.01</v>
      </c>
      <c r="V9" s="94"/>
      <c r="W9" s="94"/>
      <c r="X9" s="94"/>
      <c r="Y9" s="94"/>
      <c r="Z9" s="94"/>
      <c r="AA9" s="94"/>
      <c r="AB9" s="113">
        <f t="shared" si="1"/>
        <v>0</v>
      </c>
      <c r="AC9" s="113">
        <f>R9+IFERROR(VLOOKUP($E:$E,'（居民）工资表-3月'!$E:$AC,25,0),0)</f>
        <v>0</v>
      </c>
      <c r="AD9" s="116">
        <f t="shared" si="2"/>
        <v>24864.62</v>
      </c>
      <c r="AE9" s="117">
        <f>ROUND(MAX((AD9)*{0.03;0.1;0.2;0.25;0.3;0.35;0.45}-{0;2520;16920;31920;52920;85920;181920},0),2)</f>
        <v>745.94</v>
      </c>
      <c r="AF9" s="118">
        <f>IFERROR(VLOOKUP(E:E,'（居民）工资表-3月'!E:AF,28,0)+VLOOKUP(E:E,'（居民）工资表-3月'!E:AG,29,0),0)</f>
        <v>483.8</v>
      </c>
      <c r="AG9" s="118">
        <f t="shared" si="3"/>
        <v>262.14</v>
      </c>
      <c r="AH9" s="125">
        <f t="shared" si="4"/>
        <v>13475.74</v>
      </c>
      <c r="AI9" s="126"/>
      <c r="AJ9" s="125">
        <f t="shared" si="5"/>
        <v>13475.74</v>
      </c>
      <c r="AK9" s="127"/>
      <c r="AL9" s="125">
        <f t="shared" si="6"/>
        <v>13737.88</v>
      </c>
      <c r="AM9" s="127"/>
      <c r="AN9" s="127"/>
      <c r="AO9" s="127"/>
      <c r="AP9" s="127"/>
      <c r="AQ9" s="127"/>
      <c r="AR9" s="134" t="str">
        <f t="shared" si="7"/>
        <v>正确</v>
      </c>
      <c r="AS9" s="134" t="str">
        <f>IF(SUMPRODUCT(N(E$1:E$6=E9))&gt;1,"重复","不")</f>
        <v>不</v>
      </c>
      <c r="AT9" s="134" t="str">
        <f>IF(SUMPRODUCT(N(AO$1:AO$6=AO9))&gt;1,"重复","不")</f>
        <v>重复</v>
      </c>
    </row>
    <row r="10" s="33" customFormat="1" ht="18" customHeight="1" spans="1:46">
      <c r="A10" s="57">
        <v>7</v>
      </c>
      <c r="B10" s="58" t="s">
        <v>242</v>
      </c>
      <c r="C10" s="58" t="s">
        <v>185</v>
      </c>
      <c r="D10" s="58" t="s">
        <v>147</v>
      </c>
      <c r="E10" s="397" t="s">
        <v>186</v>
      </c>
      <c r="F10" s="59" t="s">
        <v>193</v>
      </c>
      <c r="G10" s="60">
        <v>18500634358</v>
      </c>
      <c r="H10" s="61"/>
      <c r="I10" s="61"/>
      <c r="J10" s="91"/>
      <c r="K10" s="61"/>
      <c r="L10" s="92">
        <v>14920</v>
      </c>
      <c r="M10" s="93">
        <v>254.32</v>
      </c>
      <c r="N10" s="93">
        <v>9.54</v>
      </c>
      <c r="O10" s="93">
        <v>63.94</v>
      </c>
      <c r="P10" s="93">
        <v>254.32</v>
      </c>
      <c r="Q10" s="112">
        <f t="shared" si="0"/>
        <v>582.12</v>
      </c>
      <c r="R10" s="94">
        <v>0</v>
      </c>
      <c r="S10" s="113">
        <f>L10+IFERROR(VLOOKUP($E:$E,'（居民）工资表-3月'!$E:$S,15,0),0)</f>
        <v>44040</v>
      </c>
      <c r="T10" s="114">
        <f>5000+IFERROR(VLOOKUP($E:$E,'（居民）工资表-3月'!$E:$T,16,0),0)</f>
        <v>15000</v>
      </c>
      <c r="U10" s="114">
        <f>Q10+IFERROR(VLOOKUP($E:$E,'（居民）工资表-3月'!$E:$U,17,0),0)</f>
        <v>2228.01</v>
      </c>
      <c r="V10" s="94"/>
      <c r="W10" s="94"/>
      <c r="X10" s="94"/>
      <c r="Y10" s="94"/>
      <c r="Z10" s="94"/>
      <c r="AA10" s="94"/>
      <c r="AB10" s="113">
        <f t="shared" si="1"/>
        <v>0</v>
      </c>
      <c r="AC10" s="113">
        <f>R10+IFERROR(VLOOKUP($E:$E,'（居民）工资表-3月'!$E:$AC,25,0),0)</f>
        <v>0</v>
      </c>
      <c r="AD10" s="116">
        <f t="shared" si="2"/>
        <v>26811.99</v>
      </c>
      <c r="AE10" s="117">
        <f>ROUND(MAX((AD10)*{0.03;0.1;0.2;0.25;0.3;0.35;0.45}-{0;2520;16920;31920;52920;85920;181920},0),2)</f>
        <v>804.36</v>
      </c>
      <c r="AF10" s="118">
        <f>IFERROR(VLOOKUP(E:E,'（居民）工资表-3月'!E:AF,28,0)+VLOOKUP(E:E,'（居民）工资表-3月'!E:AG,29,0),0)</f>
        <v>524.22</v>
      </c>
      <c r="AG10" s="118">
        <f t="shared" si="3"/>
        <v>280.14</v>
      </c>
      <c r="AH10" s="125">
        <f t="shared" si="4"/>
        <v>14057.74</v>
      </c>
      <c r="AI10" s="126"/>
      <c r="AJ10" s="125">
        <f t="shared" si="5"/>
        <v>14057.74</v>
      </c>
      <c r="AK10" s="127"/>
      <c r="AL10" s="125">
        <f t="shared" si="6"/>
        <v>14337.88</v>
      </c>
      <c r="AM10" s="127"/>
      <c r="AN10" s="127"/>
      <c r="AO10" s="127"/>
      <c r="AP10" s="127"/>
      <c r="AQ10" s="127"/>
      <c r="AR10" s="134" t="str">
        <f t="shared" si="7"/>
        <v>正确</v>
      </c>
      <c r="AS10" s="134" t="str">
        <f>IF(SUMPRODUCT(N(E$1:E$6=E10))&gt;1,"重复","不")</f>
        <v>不</v>
      </c>
      <c r="AT10" s="134" t="str">
        <f>IF(SUMPRODUCT(N(AO$1:AO$6=AO10))&gt;1,"重复","不")</f>
        <v>重复</v>
      </c>
    </row>
    <row r="11" s="33" customFormat="1" ht="18" customHeight="1" spans="1:46">
      <c r="A11" s="57">
        <v>8</v>
      </c>
      <c r="B11" s="58" t="s">
        <v>242</v>
      </c>
      <c r="C11" s="58" t="s">
        <v>178</v>
      </c>
      <c r="D11" s="58" t="s">
        <v>147</v>
      </c>
      <c r="E11" s="58" t="s">
        <v>179</v>
      </c>
      <c r="F11" s="59" t="s">
        <v>193</v>
      </c>
      <c r="G11" s="60">
        <v>18738169923</v>
      </c>
      <c r="H11" s="61"/>
      <c r="I11" s="61"/>
      <c r="J11" s="91"/>
      <c r="K11" s="61"/>
      <c r="L11" s="92">
        <v>12420</v>
      </c>
      <c r="M11" s="93">
        <v>254.32</v>
      </c>
      <c r="N11" s="93">
        <v>9.54</v>
      </c>
      <c r="O11" s="93">
        <v>63.94</v>
      </c>
      <c r="P11" s="93">
        <v>254.32</v>
      </c>
      <c r="Q11" s="112">
        <f t="shared" si="0"/>
        <v>582.12</v>
      </c>
      <c r="R11" s="94">
        <v>0</v>
      </c>
      <c r="S11" s="113">
        <f>L11+IFERROR(VLOOKUP($E:$E,'（居民）工资表-3月'!$E:$S,15,0),0)</f>
        <v>36540</v>
      </c>
      <c r="T11" s="114">
        <f>5000+IFERROR(VLOOKUP($E:$E,'（居民）工资表-3月'!$E:$T,16,0),0)</f>
        <v>15000</v>
      </c>
      <c r="U11" s="114">
        <f>Q11+IFERROR(VLOOKUP($E:$E,'（居民）工资表-3月'!$E:$U,17,0),0)</f>
        <v>2328.48</v>
      </c>
      <c r="V11" s="94"/>
      <c r="W11" s="94"/>
      <c r="X11" s="94"/>
      <c r="Y11" s="94"/>
      <c r="Z11" s="94"/>
      <c r="AA11" s="94"/>
      <c r="AB11" s="113">
        <f t="shared" si="1"/>
        <v>0</v>
      </c>
      <c r="AC11" s="113">
        <f>R11+IFERROR(VLOOKUP($E:$E,'（居民）工资表-3月'!$E:$AC,25,0),0)</f>
        <v>0</v>
      </c>
      <c r="AD11" s="116">
        <f t="shared" si="2"/>
        <v>19211.52</v>
      </c>
      <c r="AE11" s="117">
        <f>ROUND(MAX((AD11)*{0.03;0.1;0.2;0.25;0.3;0.35;0.45}-{0;2520;16920;31920;52920;85920;181920},0),2)</f>
        <v>576.35</v>
      </c>
      <c r="AF11" s="118">
        <f>IFERROR(VLOOKUP(E:E,'（居民）工资表-3月'!E:AF,28,0)+VLOOKUP(E:E,'（居民）工资表-3月'!E:AG,29,0),0)</f>
        <v>371.21</v>
      </c>
      <c r="AG11" s="118">
        <f t="shared" si="3"/>
        <v>205.14</v>
      </c>
      <c r="AH11" s="125">
        <f t="shared" si="4"/>
        <v>11632.74</v>
      </c>
      <c r="AI11" s="126"/>
      <c r="AJ11" s="125">
        <f t="shared" si="5"/>
        <v>11632.74</v>
      </c>
      <c r="AK11" s="127"/>
      <c r="AL11" s="125">
        <f t="shared" si="6"/>
        <v>11837.88</v>
      </c>
      <c r="AM11" s="127"/>
      <c r="AN11" s="127"/>
      <c r="AO11" s="127"/>
      <c r="AP11" s="127"/>
      <c r="AQ11" s="127"/>
      <c r="AR11" s="134" t="str">
        <f t="shared" si="7"/>
        <v>正确</v>
      </c>
      <c r="AS11" s="134" t="str">
        <f>IF(SUMPRODUCT(N(E$1:E$6=E11))&gt;1,"重复","不")</f>
        <v>不</v>
      </c>
      <c r="AT11" s="134" t="str">
        <f>IF(SUMPRODUCT(N(AO$1:AO$6=AO11))&gt;1,"重复","不")</f>
        <v>重复</v>
      </c>
    </row>
    <row r="12" s="33" customFormat="1" ht="18" customHeight="1" spans="1:46">
      <c r="A12" s="57">
        <v>9</v>
      </c>
      <c r="B12" s="58" t="s">
        <v>242</v>
      </c>
      <c r="C12" s="58" t="s">
        <v>187</v>
      </c>
      <c r="D12" s="58" t="s">
        <v>147</v>
      </c>
      <c r="E12" s="58" t="s">
        <v>188</v>
      </c>
      <c r="F12" s="59" t="s">
        <v>193</v>
      </c>
      <c r="G12" s="60" t="s">
        <v>246</v>
      </c>
      <c r="H12" s="61"/>
      <c r="I12" s="61"/>
      <c r="J12" s="91"/>
      <c r="K12" s="61"/>
      <c r="L12" s="92">
        <v>18014.74</v>
      </c>
      <c r="M12" s="93">
        <v>508.64</v>
      </c>
      <c r="N12" s="93">
        <v>19.08</v>
      </c>
      <c r="O12" s="93">
        <v>127.88</v>
      </c>
      <c r="P12" s="93">
        <v>508.64</v>
      </c>
      <c r="Q12" s="112">
        <f t="shared" si="0"/>
        <v>1164.24</v>
      </c>
      <c r="R12" s="94">
        <v>0</v>
      </c>
      <c r="S12" s="113">
        <f>L12+IFERROR(VLOOKUP($E:$E,'（居民）工资表-3月'!$E:$S,15,0),0)</f>
        <v>18014.74</v>
      </c>
      <c r="T12" s="114">
        <f>5000+IFERROR(VLOOKUP($E:$E,'（居民）工资表-3月'!$E:$T,16,0),0)</f>
        <v>5000</v>
      </c>
      <c r="U12" s="114">
        <f>Q12+IFERROR(VLOOKUP($E:$E,'（居民）工资表-3月'!$E:$U,17,0),0)</f>
        <v>1164.24</v>
      </c>
      <c r="V12" s="94"/>
      <c r="W12" s="94"/>
      <c r="X12" s="94"/>
      <c r="Y12" s="94"/>
      <c r="Z12" s="94"/>
      <c r="AA12" s="94"/>
      <c r="AB12" s="113">
        <f t="shared" si="1"/>
        <v>0</v>
      </c>
      <c r="AC12" s="113">
        <f>R12+IFERROR(VLOOKUP($E:$E,'（居民）工资表-3月'!$E:$AC,25,0),0)</f>
        <v>0</v>
      </c>
      <c r="AD12" s="116">
        <f t="shared" si="2"/>
        <v>11850.5</v>
      </c>
      <c r="AE12" s="117">
        <f>ROUND(MAX((AD12)*{0.03;0.1;0.2;0.25;0.3;0.35;0.45}-{0;2520;16920;31920;52920;85920;181920},0),2)</f>
        <v>355.52</v>
      </c>
      <c r="AF12" s="118">
        <f>IFERROR(VLOOKUP(E:E,'（居民）工资表-3月'!E:AF,28,0)+VLOOKUP(E:E,'（居民）工资表-3月'!E:AG,29,0),0)</f>
        <v>0</v>
      </c>
      <c r="AG12" s="118">
        <f t="shared" si="3"/>
        <v>355.52</v>
      </c>
      <c r="AH12" s="125">
        <f t="shared" si="4"/>
        <v>16494.98</v>
      </c>
      <c r="AI12" s="126"/>
      <c r="AJ12" s="125">
        <f t="shared" si="5"/>
        <v>16494.98</v>
      </c>
      <c r="AK12" s="127"/>
      <c r="AL12" s="125">
        <f t="shared" si="6"/>
        <v>16850.5</v>
      </c>
      <c r="AM12" s="127"/>
      <c r="AN12" s="127"/>
      <c r="AO12" s="127"/>
      <c r="AP12" s="127"/>
      <c r="AQ12" s="127"/>
      <c r="AR12" s="134" t="str">
        <f t="shared" si="7"/>
        <v>正确</v>
      </c>
      <c r="AS12" s="134" t="str">
        <f>IF(SUMPRODUCT(N(E$1:E$6=E12))&gt;1,"重复","不")</f>
        <v>不</v>
      </c>
      <c r="AT12" s="134" t="str">
        <f>IF(SUMPRODUCT(N(AO$1:AO$6=AO12))&gt;1,"重复","不")</f>
        <v>重复</v>
      </c>
    </row>
    <row r="13" s="33" customFormat="1" ht="18" customHeight="1" spans="1:46">
      <c r="A13" s="57">
        <v>10</v>
      </c>
      <c r="B13" s="58" t="s">
        <v>242</v>
      </c>
      <c r="C13" s="58" t="s">
        <v>191</v>
      </c>
      <c r="D13" s="58" t="s">
        <v>147</v>
      </c>
      <c r="E13" s="58" t="s">
        <v>192</v>
      </c>
      <c r="F13" s="59" t="s">
        <v>193</v>
      </c>
      <c r="G13" s="60" t="s">
        <v>247</v>
      </c>
      <c r="H13" s="61"/>
      <c r="I13" s="61"/>
      <c r="J13" s="91"/>
      <c r="K13" s="61"/>
      <c r="L13" s="92">
        <v>15117.39</v>
      </c>
      <c r="M13" s="93">
        <v>508.64</v>
      </c>
      <c r="N13" s="93">
        <v>19.08</v>
      </c>
      <c r="O13" s="93">
        <v>127.88</v>
      </c>
      <c r="P13" s="93">
        <v>508.64</v>
      </c>
      <c r="Q13" s="112">
        <f t="shared" si="0"/>
        <v>1164.24</v>
      </c>
      <c r="R13" s="94">
        <v>0</v>
      </c>
      <c r="S13" s="113">
        <f>L13+IFERROR(VLOOKUP($E:$E,'（居民）工资表-3月'!$E:$S,15,0),0)</f>
        <v>15117.39</v>
      </c>
      <c r="T13" s="114">
        <f>5000+IFERROR(VLOOKUP($E:$E,'（居民）工资表-3月'!$E:$T,16,0),0)</f>
        <v>5000</v>
      </c>
      <c r="U13" s="114">
        <f>Q13+IFERROR(VLOOKUP($E:$E,'（居民）工资表-3月'!$E:$U,17,0),0)</f>
        <v>1164.24</v>
      </c>
      <c r="V13" s="94"/>
      <c r="W13" s="94"/>
      <c r="X13" s="94"/>
      <c r="Y13" s="94"/>
      <c r="Z13" s="94"/>
      <c r="AA13" s="94"/>
      <c r="AB13" s="113">
        <f t="shared" si="1"/>
        <v>0</v>
      </c>
      <c r="AC13" s="113">
        <f>R13+IFERROR(VLOOKUP($E:$E,'（居民）工资表-3月'!$E:$AC,25,0),0)</f>
        <v>0</v>
      </c>
      <c r="AD13" s="116">
        <f t="shared" si="2"/>
        <v>8953.15</v>
      </c>
      <c r="AE13" s="117">
        <f>ROUND(MAX((AD13)*{0.03;0.1;0.2;0.25;0.3;0.35;0.45}-{0;2520;16920;31920;52920;85920;181920},0),2)</f>
        <v>268.59</v>
      </c>
      <c r="AF13" s="118">
        <f>IFERROR(VLOOKUP(E:E,'（居民）工资表-3月'!E:AF,28,0)+VLOOKUP(E:E,'（居民）工资表-3月'!E:AG,29,0),0)</f>
        <v>0</v>
      </c>
      <c r="AG13" s="118">
        <f t="shared" si="3"/>
        <v>268.59</v>
      </c>
      <c r="AH13" s="125">
        <f t="shared" si="4"/>
        <v>13684.56</v>
      </c>
      <c r="AI13" s="126"/>
      <c r="AJ13" s="125">
        <f t="shared" si="5"/>
        <v>13684.56</v>
      </c>
      <c r="AK13" s="127"/>
      <c r="AL13" s="125">
        <f t="shared" si="6"/>
        <v>13953.15</v>
      </c>
      <c r="AM13" s="127"/>
      <c r="AN13" s="127"/>
      <c r="AO13" s="127"/>
      <c r="AP13" s="127"/>
      <c r="AQ13" s="127"/>
      <c r="AR13" s="134"/>
      <c r="AS13" s="134"/>
      <c r="AT13" s="134"/>
    </row>
    <row r="14" s="33" customFormat="1" ht="18" customHeight="1" spans="1:46">
      <c r="A14" s="57">
        <v>11</v>
      </c>
      <c r="B14" s="58" t="s">
        <v>242</v>
      </c>
      <c r="C14" s="58" t="s">
        <v>189</v>
      </c>
      <c r="D14" s="58" t="s">
        <v>147</v>
      </c>
      <c r="E14" s="58" t="s">
        <v>190</v>
      </c>
      <c r="F14" s="59" t="s">
        <v>193</v>
      </c>
      <c r="G14" s="60" t="s">
        <v>248</v>
      </c>
      <c r="H14" s="61"/>
      <c r="I14" s="61"/>
      <c r="J14" s="91"/>
      <c r="K14" s="61"/>
      <c r="L14" s="92">
        <v>11152.17</v>
      </c>
      <c r="M14" s="93">
        <v>508.64</v>
      </c>
      <c r="N14" s="93">
        <v>19.08</v>
      </c>
      <c r="O14" s="93">
        <v>127.88</v>
      </c>
      <c r="P14" s="93">
        <v>508.64</v>
      </c>
      <c r="Q14" s="112">
        <f t="shared" si="0"/>
        <v>1164.24</v>
      </c>
      <c r="R14" s="94">
        <v>0</v>
      </c>
      <c r="S14" s="113">
        <f>L14+IFERROR(VLOOKUP($E:$E,'（居民）工资表-3月'!$E:$S,15,0),0)</f>
        <v>11152.17</v>
      </c>
      <c r="T14" s="114">
        <f>5000+IFERROR(VLOOKUP($E:$E,'（居民）工资表-3月'!$E:$T,16,0),0)</f>
        <v>5000</v>
      </c>
      <c r="U14" s="114">
        <f>Q14+IFERROR(VLOOKUP($E:$E,'（居民）工资表-3月'!$E:$U,17,0),0)</f>
        <v>1164.24</v>
      </c>
      <c r="V14" s="94"/>
      <c r="W14" s="94"/>
      <c r="X14" s="94"/>
      <c r="Y14" s="94"/>
      <c r="Z14" s="94"/>
      <c r="AA14" s="94"/>
      <c r="AB14" s="113">
        <f t="shared" si="1"/>
        <v>0</v>
      </c>
      <c r="AC14" s="113">
        <f>R14+IFERROR(VLOOKUP($E:$E,'（居民）工资表-3月'!$E:$AC,25,0),0)</f>
        <v>0</v>
      </c>
      <c r="AD14" s="116">
        <f t="shared" si="2"/>
        <v>4987.93</v>
      </c>
      <c r="AE14" s="117">
        <f>ROUND(MAX((AD14)*{0.03;0.1;0.2;0.25;0.3;0.35;0.45}-{0;2520;16920;31920;52920;85920;181920},0),2)</f>
        <v>149.64</v>
      </c>
      <c r="AF14" s="118">
        <f>IFERROR(VLOOKUP(E:E,'（居民）工资表-3月'!E:AF,28,0)+VLOOKUP(E:E,'（居民）工资表-3月'!E:AG,29,0),0)</f>
        <v>0</v>
      </c>
      <c r="AG14" s="118">
        <f t="shared" si="3"/>
        <v>149.64</v>
      </c>
      <c r="AH14" s="125">
        <f t="shared" si="4"/>
        <v>9838.29</v>
      </c>
      <c r="AI14" s="126"/>
      <c r="AJ14" s="125">
        <f t="shared" si="5"/>
        <v>9838.29</v>
      </c>
      <c r="AK14" s="127"/>
      <c r="AL14" s="125">
        <f t="shared" si="6"/>
        <v>9987.93</v>
      </c>
      <c r="AM14" s="127"/>
      <c r="AN14" s="127"/>
      <c r="AO14" s="127"/>
      <c r="AP14" s="127"/>
      <c r="AQ14" s="127"/>
      <c r="AR14" s="134"/>
      <c r="AS14" s="134"/>
      <c r="AT14" s="134"/>
    </row>
    <row r="15" s="33" customFormat="1" ht="17" customHeight="1" spans="1:46">
      <c r="A15" s="57">
        <v>12</v>
      </c>
      <c r="B15" s="58" t="s">
        <v>242</v>
      </c>
      <c r="C15" s="58" t="s">
        <v>181</v>
      </c>
      <c r="D15" s="58" t="s">
        <v>147</v>
      </c>
      <c r="E15" s="58" t="s">
        <v>182</v>
      </c>
      <c r="F15" s="59" t="s">
        <v>193</v>
      </c>
      <c r="G15" s="60">
        <v>15001138812</v>
      </c>
      <c r="H15" s="61"/>
      <c r="I15" s="61"/>
      <c r="J15" s="91"/>
      <c r="K15" s="61"/>
      <c r="L15" s="92">
        <v>10420</v>
      </c>
      <c r="M15" s="93">
        <v>254.32</v>
      </c>
      <c r="N15" s="93">
        <v>9.54</v>
      </c>
      <c r="O15" s="93">
        <v>63.94</v>
      </c>
      <c r="P15" s="93">
        <v>254.32</v>
      </c>
      <c r="Q15" s="112">
        <f t="shared" si="0"/>
        <v>582.12</v>
      </c>
      <c r="R15" s="94">
        <v>0</v>
      </c>
      <c r="S15" s="113">
        <f>L15+IFERROR(VLOOKUP($E:$E,'（居民）工资表-3月'!$E:$S,15,0),0)</f>
        <v>30540</v>
      </c>
      <c r="T15" s="114">
        <f>5000+IFERROR(VLOOKUP($E:$E,'（居民）工资表-3月'!$E:$T,16,0),0)</f>
        <v>15000</v>
      </c>
      <c r="U15" s="114">
        <f>Q15+IFERROR(VLOOKUP($E:$E,'（居民）工资表-3月'!$E:$U,17,0),0)</f>
        <v>2328.48</v>
      </c>
      <c r="V15" s="94"/>
      <c r="W15" s="94"/>
      <c r="X15" s="94"/>
      <c r="Y15" s="94"/>
      <c r="Z15" s="94"/>
      <c r="AA15" s="94"/>
      <c r="AB15" s="113">
        <f t="shared" si="1"/>
        <v>0</v>
      </c>
      <c r="AC15" s="113">
        <f>R15+IFERROR(VLOOKUP($E:$E,'（居民）工资表-3月'!$E:$AC,25,0),0)</f>
        <v>0</v>
      </c>
      <c r="AD15" s="116">
        <f t="shared" si="2"/>
        <v>13211.52</v>
      </c>
      <c r="AE15" s="117">
        <f>ROUND(MAX((AD15)*{0.03;0.1;0.2;0.25;0.3;0.35;0.45}-{0;2520;16920;31920;52920;85920;181920},0),2)</f>
        <v>396.35</v>
      </c>
      <c r="AF15" s="118">
        <f>IFERROR(VLOOKUP(E:E,'（居民）工资表-3月'!E:AF,28,0)+VLOOKUP(E:E,'（居民）工资表-3月'!E:AG,29,0),0)</f>
        <v>251.21</v>
      </c>
      <c r="AG15" s="118">
        <f t="shared" si="3"/>
        <v>145.14</v>
      </c>
      <c r="AH15" s="125">
        <f t="shared" si="4"/>
        <v>9692.74</v>
      </c>
      <c r="AI15" s="126"/>
      <c r="AJ15" s="125">
        <f t="shared" si="5"/>
        <v>9692.74</v>
      </c>
      <c r="AK15" s="127"/>
      <c r="AL15" s="125">
        <f t="shared" si="6"/>
        <v>9837.88</v>
      </c>
      <c r="AM15" s="127"/>
      <c r="AN15" s="127"/>
      <c r="AO15" s="127"/>
      <c r="AP15" s="127"/>
      <c r="AQ15" s="127"/>
      <c r="AR15" s="134"/>
      <c r="AS15" s="134"/>
      <c r="AT15" s="134"/>
    </row>
    <row r="16" s="33" customFormat="1" ht="17" customHeight="1" spans="1:46">
      <c r="A16" s="57">
        <v>13</v>
      </c>
      <c r="B16" s="58" t="s">
        <v>242</v>
      </c>
      <c r="C16" s="58" t="s">
        <v>249</v>
      </c>
      <c r="D16" s="58" t="s">
        <v>147</v>
      </c>
      <c r="E16" s="58" t="s">
        <v>250</v>
      </c>
      <c r="F16" s="59" t="s">
        <v>193</v>
      </c>
      <c r="G16" s="60">
        <v>15333903368</v>
      </c>
      <c r="H16" s="61"/>
      <c r="I16" s="61"/>
      <c r="J16" s="91"/>
      <c r="K16" s="61"/>
      <c r="L16" s="92">
        <v>5869.57</v>
      </c>
      <c r="M16" s="93"/>
      <c r="N16" s="93"/>
      <c r="O16" s="93"/>
      <c r="P16" s="93"/>
      <c r="Q16" s="112">
        <f>ROUND(SUM(M16:P16),2)</f>
        <v>0</v>
      </c>
      <c r="R16" s="94">
        <v>0</v>
      </c>
      <c r="S16" s="113">
        <f>L16+IFERROR(VLOOKUP($E:$E,'（居民）工资表-3月'!$E:$S,15,0),0)</f>
        <v>5869.57</v>
      </c>
      <c r="T16" s="114">
        <f>5000+IFERROR(VLOOKUP($E:$E,'（居民）工资表-3月'!$E:$T,16,0),0)</f>
        <v>5000</v>
      </c>
      <c r="U16" s="114">
        <f>Q16+IFERROR(VLOOKUP($E:$E,'（居民）工资表-3月'!$E:$U,17,0),0)</f>
        <v>0</v>
      </c>
      <c r="V16" s="94"/>
      <c r="W16" s="94"/>
      <c r="X16" s="94"/>
      <c r="Y16" s="94"/>
      <c r="Z16" s="94"/>
      <c r="AA16" s="94"/>
      <c r="AB16" s="113">
        <f>ROUND(SUM(V16:AA16),2)</f>
        <v>0</v>
      </c>
      <c r="AC16" s="113">
        <f>R16+IFERROR(VLOOKUP($E:$E,'（居民）工资表-3月'!$E:$AC,25,0),0)</f>
        <v>0</v>
      </c>
      <c r="AD16" s="116">
        <f>ROUND(S16-T16-U16-AB16-AC16,2)</f>
        <v>869.57</v>
      </c>
      <c r="AE16" s="117">
        <f>ROUND(MAX((AD16)*{0.03;0.1;0.2;0.25;0.3;0.35;0.45}-{0;2520;16920;31920;52920;85920;181920},0),2)</f>
        <v>26.09</v>
      </c>
      <c r="AF16" s="118">
        <f>IFERROR(VLOOKUP(E:E,'（居民）工资表-3月'!E:AF,28,0)+VLOOKUP(E:E,'（居民）工资表-3月'!E:AG,29,0),0)</f>
        <v>0</v>
      </c>
      <c r="AG16" s="118">
        <f>IF((AE16-AF16)&lt;0,0,AE16-AF16)</f>
        <v>26.09</v>
      </c>
      <c r="AH16" s="125">
        <f>ROUND(IF((L16-Q16-AG16)&lt;0,0,(L16-Q16-AG16)),2)</f>
        <v>5843.48</v>
      </c>
      <c r="AI16" s="126"/>
      <c r="AJ16" s="125">
        <f>AH16+AI16</f>
        <v>5843.48</v>
      </c>
      <c r="AK16" s="127"/>
      <c r="AL16" s="125">
        <f>AJ16+AG16+AK16</f>
        <v>5869.57</v>
      </c>
      <c r="AM16" s="127"/>
      <c r="AN16" s="127"/>
      <c r="AO16" s="127"/>
      <c r="AP16" s="127"/>
      <c r="AQ16" s="127"/>
      <c r="AR16" s="134"/>
      <c r="AS16" s="134"/>
      <c r="AT16" s="134"/>
    </row>
    <row r="17" s="33" customFormat="1" ht="18" customHeight="1" spans="1:46">
      <c r="A17" s="57"/>
      <c r="B17" s="58"/>
      <c r="C17" s="58"/>
      <c r="D17" s="58"/>
      <c r="E17" s="58"/>
      <c r="F17" s="59"/>
      <c r="G17" s="62"/>
      <c r="H17" s="61"/>
      <c r="I17" s="61"/>
      <c r="J17" s="91"/>
      <c r="K17" s="61"/>
      <c r="L17" s="94"/>
      <c r="M17" s="93"/>
      <c r="N17" s="93"/>
      <c r="O17" s="93"/>
      <c r="P17" s="93"/>
      <c r="Q17" s="112"/>
      <c r="R17" s="94"/>
      <c r="S17" s="113"/>
      <c r="T17" s="114"/>
      <c r="U17" s="114"/>
      <c r="V17" s="94"/>
      <c r="W17" s="94"/>
      <c r="X17" s="94"/>
      <c r="Y17" s="94"/>
      <c r="Z17" s="94"/>
      <c r="AA17" s="94"/>
      <c r="AB17" s="113"/>
      <c r="AC17" s="113"/>
      <c r="AD17" s="116"/>
      <c r="AE17" s="117"/>
      <c r="AF17" s="118"/>
      <c r="AG17" s="118"/>
      <c r="AH17" s="125"/>
      <c r="AI17" s="126"/>
      <c r="AJ17" s="125"/>
      <c r="AK17" s="127"/>
      <c r="AL17" s="125"/>
      <c r="AM17" s="127"/>
      <c r="AN17" s="127"/>
      <c r="AO17" s="127"/>
      <c r="AP17" s="127"/>
      <c r="AQ17" s="127"/>
      <c r="AR17" s="134"/>
      <c r="AS17" s="134"/>
      <c r="AT17" s="134"/>
    </row>
    <row r="18" s="34" customFormat="1" ht="18" customHeight="1" spans="1:46">
      <c r="A18" s="63"/>
      <c r="B18" s="64" t="s">
        <v>150</v>
      </c>
      <c r="C18" s="64"/>
      <c r="D18" s="65"/>
      <c r="E18" s="66"/>
      <c r="F18" s="67"/>
      <c r="G18" s="68"/>
      <c r="H18" s="67"/>
      <c r="I18" s="95"/>
      <c r="J18" s="96"/>
      <c r="K18" s="95"/>
      <c r="L18" s="97">
        <f>SUM(L4:L17)</f>
        <v>179682.87</v>
      </c>
      <c r="M18" s="97">
        <f t="shared" ref="M18:AL18" si="8">SUM(M4:M17)</f>
        <v>4059.05</v>
      </c>
      <c r="N18" s="97">
        <f t="shared" si="8"/>
        <v>143.08</v>
      </c>
      <c r="O18" s="97">
        <f t="shared" si="8"/>
        <v>1099.6</v>
      </c>
      <c r="P18" s="97">
        <f t="shared" si="8"/>
        <v>3214.2</v>
      </c>
      <c r="Q18" s="97">
        <f t="shared" si="8"/>
        <v>8515.93</v>
      </c>
      <c r="R18" s="97">
        <f t="shared" si="8"/>
        <v>0</v>
      </c>
      <c r="S18" s="97">
        <f t="shared" si="8"/>
        <v>513980</v>
      </c>
      <c r="T18" s="97">
        <f t="shared" si="8"/>
        <v>180000</v>
      </c>
      <c r="U18" s="97">
        <f t="shared" si="8"/>
        <v>23612.87</v>
      </c>
      <c r="V18" s="97">
        <f t="shared" si="8"/>
        <v>16000</v>
      </c>
      <c r="W18" s="97">
        <f t="shared" si="8"/>
        <v>8000</v>
      </c>
      <c r="X18" s="97">
        <f t="shared" si="8"/>
        <v>12000</v>
      </c>
      <c r="Y18" s="97">
        <f t="shared" si="8"/>
        <v>6000</v>
      </c>
      <c r="Z18" s="97">
        <f t="shared" si="8"/>
        <v>0</v>
      </c>
      <c r="AA18" s="97">
        <f t="shared" si="8"/>
        <v>0</v>
      </c>
      <c r="AB18" s="97">
        <f t="shared" si="8"/>
        <v>42000</v>
      </c>
      <c r="AC18" s="97">
        <f t="shared" si="8"/>
        <v>0</v>
      </c>
      <c r="AD18" s="97">
        <f t="shared" si="8"/>
        <v>268367.13</v>
      </c>
      <c r="AE18" s="97">
        <f t="shared" si="8"/>
        <v>13987.31</v>
      </c>
      <c r="AF18" s="97">
        <f t="shared" si="8"/>
        <v>8508.36</v>
      </c>
      <c r="AG18" s="97">
        <f t="shared" si="8"/>
        <v>5478.95</v>
      </c>
      <c r="AH18" s="97">
        <f t="shared" si="8"/>
        <v>165687.99</v>
      </c>
      <c r="AI18" s="97">
        <f t="shared" si="8"/>
        <v>0</v>
      </c>
      <c r="AJ18" s="97">
        <f t="shared" si="8"/>
        <v>165687.99</v>
      </c>
      <c r="AK18" s="97">
        <f t="shared" si="8"/>
        <v>0</v>
      </c>
      <c r="AL18" s="97">
        <f t="shared" si="8"/>
        <v>171166.94</v>
      </c>
      <c r="AM18" s="128"/>
      <c r="AN18" s="128"/>
      <c r="AO18" s="128"/>
      <c r="AP18" s="128"/>
      <c r="AQ18" s="128"/>
      <c r="AR18" s="67"/>
      <c r="AS18" s="67"/>
      <c r="AT18" s="135"/>
    </row>
    <row r="21" spans="30:30">
      <c r="AD21" s="119"/>
    </row>
    <row r="22" ht="18.75" customHeight="1" spans="2:33">
      <c r="B22" s="69" t="s">
        <v>127</v>
      </c>
      <c r="C22" s="69" t="s">
        <v>151</v>
      </c>
      <c r="D22" s="69" t="s">
        <v>57</v>
      </c>
      <c r="E22" s="69" t="s">
        <v>58</v>
      </c>
      <c r="AD22" s="31"/>
      <c r="AG22" s="129"/>
    </row>
    <row r="23" ht="18.75" customHeight="1" spans="2:5">
      <c r="B23" s="70">
        <f>AJ18</f>
        <v>165687.99</v>
      </c>
      <c r="C23" s="70">
        <f>AG18</f>
        <v>5478.95</v>
      </c>
      <c r="D23" s="70">
        <f>AK18</f>
        <v>0</v>
      </c>
      <c r="E23" s="70">
        <f>B23+C23+D23</f>
        <v>171166.94</v>
      </c>
    </row>
    <row r="24" spans="2:5">
      <c r="B24" s="71"/>
      <c r="C24" s="71"/>
      <c r="D24" s="71"/>
      <c r="E24" s="71">
        <f>社保1!BC23</f>
        <v>26207.87</v>
      </c>
    </row>
    <row r="25" s="35" customFormat="1" spans="1:35">
      <c r="A25" s="72" t="s">
        <v>152</v>
      </c>
      <c r="B25" s="73" t="s">
        <v>153</v>
      </c>
      <c r="C25" s="74"/>
      <c r="D25" s="74"/>
      <c r="E25" s="74"/>
      <c r="G25" s="75"/>
      <c r="J25" s="98"/>
      <c r="M25" s="99"/>
      <c r="AI25" s="130"/>
    </row>
    <row r="26" s="35" customFormat="1" spans="1:35">
      <c r="A26" s="76"/>
      <c r="B26" s="77" t="s">
        <v>154</v>
      </c>
      <c r="C26" s="74"/>
      <c r="D26" s="74"/>
      <c r="E26" s="74"/>
      <c r="G26" s="75"/>
      <c r="J26" s="98"/>
      <c r="M26" s="99"/>
      <c r="AI26" s="130"/>
    </row>
    <row r="27" s="35" customFormat="1" spans="1:35">
      <c r="A27" s="73"/>
      <c r="B27" s="77" t="s">
        <v>155</v>
      </c>
      <c r="C27" s="78"/>
      <c r="D27" s="78"/>
      <c r="E27" s="78"/>
      <c r="F27" s="78"/>
      <c r="G27" s="78"/>
      <c r="H27" s="78"/>
      <c r="I27" s="78"/>
      <c r="J27" s="100"/>
      <c r="K27" s="78"/>
      <c r="L27" s="78"/>
      <c r="M27" s="101"/>
      <c r="N27" s="78"/>
      <c r="O27" s="78"/>
      <c r="P27" s="78"/>
      <c r="AI27" s="130"/>
    </row>
    <row r="28" s="35" customFormat="1" customHeight="1" spans="1:35">
      <c r="A28" s="77"/>
      <c r="B28" s="77" t="s">
        <v>156</v>
      </c>
      <c r="C28" s="79"/>
      <c r="D28" s="79"/>
      <c r="E28" s="79"/>
      <c r="F28" s="79"/>
      <c r="G28" s="79"/>
      <c r="H28" s="79"/>
      <c r="I28" s="102"/>
      <c r="J28" s="103"/>
      <c r="K28" s="102"/>
      <c r="L28" s="102"/>
      <c r="M28" s="104"/>
      <c r="N28" s="102"/>
      <c r="O28" s="102"/>
      <c r="P28" s="102"/>
      <c r="AI28" s="130"/>
    </row>
    <row r="29" s="35" customFormat="1" customHeight="1" spans="1:35">
      <c r="A29" s="77"/>
      <c r="B29" s="77" t="s">
        <v>157</v>
      </c>
      <c r="C29" s="79"/>
      <c r="D29" s="79"/>
      <c r="E29" s="79"/>
      <c r="F29" s="79"/>
      <c r="G29" s="79"/>
      <c r="H29" s="79"/>
      <c r="I29" s="79"/>
      <c r="J29" s="105"/>
      <c r="K29" s="79"/>
      <c r="L29" s="102"/>
      <c r="M29" s="104"/>
      <c r="N29" s="102"/>
      <c r="O29" s="102"/>
      <c r="P29" s="102"/>
      <c r="AI29" s="130"/>
    </row>
    <row r="30" s="35" customFormat="1" customHeight="1" spans="1:35">
      <c r="A30" s="77"/>
      <c r="B30" s="77" t="s">
        <v>158</v>
      </c>
      <c r="C30" s="79"/>
      <c r="D30" s="79"/>
      <c r="E30" s="79"/>
      <c r="F30" s="79"/>
      <c r="G30" s="79"/>
      <c r="H30" s="79"/>
      <c r="I30" s="102"/>
      <c r="J30" s="103"/>
      <c r="K30" s="102"/>
      <c r="L30" s="102"/>
      <c r="M30" s="104"/>
      <c r="N30" s="102"/>
      <c r="O30" s="102"/>
      <c r="P30" s="102"/>
      <c r="AI30" s="130"/>
    </row>
    <row r="32" ht="11.25" customHeight="1" spans="2:2">
      <c r="B32" s="80" t="s">
        <v>159</v>
      </c>
    </row>
    <row r="33" spans="2:2">
      <c r="B33" s="81" t="s">
        <v>160</v>
      </c>
    </row>
    <row r="34" spans="2:2">
      <c r="B34" s="81" t="s">
        <v>161</v>
      </c>
    </row>
  </sheetData>
  <autoFilter ref="A3:AT18">
    <extLst/>
  </autoFilter>
  <mergeCells count="39">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 ref="U2:U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s>
  <conditionalFormatting sqref="B30">
    <cfRule type="duplicateValues" dxfId="3" priority="2" stopIfTrue="1"/>
  </conditionalFormatting>
  <conditionalFormatting sqref="B25:B29">
    <cfRule type="duplicateValues" dxfId="3" priority="3" stopIfTrue="1"/>
  </conditionalFormatting>
  <conditionalFormatting sqref="B33:B34">
    <cfRule type="duplicateValues" dxfId="3" priority="1" stopIfTrue="1"/>
  </conditionalFormatting>
  <conditionalFormatting sqref="C22:C24">
    <cfRule type="duplicateValues" dxfId="3" priority="4" stopIfTrue="1"/>
    <cfRule type="expression" dxfId="4" priority="5" stopIfTrue="1">
      <formula>AND(COUNTIF($B$18:$B$65454,C22)+COUNTIF($B$1:$B$3,C22)&gt;1,NOT(ISBLANK(C22)))</formula>
    </cfRule>
    <cfRule type="expression" dxfId="4" priority="6" stopIfTrue="1">
      <formula>AND(COUNTIF($B$29:$B$65405,C22)+COUNTIF($B$1:$B$28,C22)&gt;1,NOT(ISBLANK(C22)))</formula>
    </cfRule>
    <cfRule type="expression" dxfId="4" priority="7" stopIfTrue="1">
      <formula>AND(COUNTIF($B$18:$B$65443,C22)+COUNTIF($B$1:$B$3,C22)&gt;1,NOT(ISBLANK(C22)))</formula>
    </cfRule>
  </conditionalFormatting>
  <pageMargins left="0.236111111111111" right="0.236111111111111" top="0.747916666666667" bottom="0.747916666666667" header="0.314583333333333" footer="0.314583333333333"/>
  <pageSetup paperSize="9" scale="56" fitToWidth="2"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5"/>
  <sheetViews>
    <sheetView topLeftCell="J1" workbookViewId="0">
      <selection activeCell="M22" sqref="M22"/>
    </sheetView>
  </sheetViews>
  <sheetFormatPr defaultColWidth="9" defaultRowHeight="13.5" outlineLevelRow="4"/>
  <cols>
    <col min="1" max="9" width="9" hidden="1" customWidth="1"/>
    <col min="12" max="12" width="9.625"/>
    <col min="14" max="18" width="9" hidden="1" customWidth="1"/>
  </cols>
  <sheetData>
    <row r="1" s="10" customFormat="1" ht="16.5" customHeight="1" spans="1:41">
      <c r="A1" s="13" t="s">
        <v>18</v>
      </c>
      <c r="B1" s="13" t="s">
        <v>195</v>
      </c>
      <c r="C1" s="14" t="s">
        <v>39</v>
      </c>
      <c r="D1" s="13" t="s">
        <v>196</v>
      </c>
      <c r="E1" s="13" t="s">
        <v>197</v>
      </c>
      <c r="F1" s="15" t="s">
        <v>36</v>
      </c>
      <c r="G1" s="16" t="s">
        <v>198</v>
      </c>
      <c r="H1" s="14" t="s">
        <v>38</v>
      </c>
      <c r="I1" s="14" t="s">
        <v>199</v>
      </c>
      <c r="J1" s="19" t="s">
        <v>40</v>
      </c>
      <c r="K1" s="19" t="s">
        <v>200</v>
      </c>
      <c r="L1" s="19" t="s">
        <v>201</v>
      </c>
      <c r="M1" s="19" t="s">
        <v>202</v>
      </c>
      <c r="N1" s="19"/>
      <c r="O1" s="19"/>
      <c r="P1" s="19"/>
      <c r="Q1" s="22"/>
      <c r="R1" s="19"/>
      <c r="S1" s="19" t="s">
        <v>208</v>
      </c>
      <c r="T1" s="23" t="s">
        <v>209</v>
      </c>
      <c r="U1" s="23"/>
      <c r="V1" s="23"/>
      <c r="W1" s="23"/>
      <c r="X1" s="23"/>
      <c r="Y1" s="23"/>
      <c r="Z1" s="19" t="s">
        <v>210</v>
      </c>
      <c r="AA1" s="19" t="s">
        <v>211</v>
      </c>
      <c r="AB1" s="19"/>
      <c r="AC1" s="19"/>
      <c r="AD1" s="24" t="s">
        <v>212</v>
      </c>
      <c r="AE1" s="13" t="s">
        <v>213</v>
      </c>
      <c r="AF1" s="13" t="s">
        <v>214</v>
      </c>
      <c r="AG1" s="13" t="s">
        <v>215</v>
      </c>
      <c r="AH1" s="13" t="s">
        <v>216</v>
      </c>
      <c r="AI1" s="13" t="s">
        <v>217</v>
      </c>
      <c r="AJ1" s="13" t="s">
        <v>23</v>
      </c>
      <c r="AK1" s="27" t="s">
        <v>218</v>
      </c>
      <c r="AL1" s="28" t="s">
        <v>219</v>
      </c>
      <c r="AM1" s="28" t="s">
        <v>220</v>
      </c>
      <c r="AN1" s="29" t="s">
        <v>221</v>
      </c>
      <c r="AO1" s="29" t="s">
        <v>222</v>
      </c>
    </row>
    <row r="2" s="11" customFormat="1" ht="49.5" spans="1:41">
      <c r="A2" s="17"/>
      <c r="B2" s="17"/>
      <c r="C2" s="14"/>
      <c r="D2" s="17"/>
      <c r="E2" s="17"/>
      <c r="F2" s="18"/>
      <c r="G2" s="16"/>
      <c r="H2" s="14"/>
      <c r="I2" s="14"/>
      <c r="J2" s="19"/>
      <c r="K2" s="19"/>
      <c r="L2" s="19"/>
      <c r="M2" s="19"/>
      <c r="N2" s="19"/>
      <c r="O2" s="19"/>
      <c r="P2" s="19"/>
      <c r="Q2" s="22"/>
      <c r="R2" s="19"/>
      <c r="S2" s="19"/>
      <c r="T2" s="23" t="s">
        <v>223</v>
      </c>
      <c r="U2" s="23" t="s">
        <v>224</v>
      </c>
      <c r="V2" s="23" t="s">
        <v>225</v>
      </c>
      <c r="W2" s="23" t="s">
        <v>226</v>
      </c>
      <c r="X2" s="23" t="s">
        <v>227</v>
      </c>
      <c r="Y2" s="23" t="s">
        <v>228</v>
      </c>
      <c r="Z2" s="19"/>
      <c r="AA2" s="23" t="s">
        <v>229</v>
      </c>
      <c r="AB2" s="23" t="s">
        <v>230</v>
      </c>
      <c r="AC2" s="23" t="s">
        <v>231</v>
      </c>
      <c r="AD2" s="25"/>
      <c r="AE2" s="17"/>
      <c r="AF2" s="17"/>
      <c r="AG2" s="17"/>
      <c r="AH2" s="17"/>
      <c r="AI2" s="17"/>
      <c r="AJ2" s="17"/>
      <c r="AK2" s="27"/>
      <c r="AL2" s="28"/>
      <c r="AM2" s="28"/>
      <c r="AN2" s="29"/>
      <c r="AO2" s="30"/>
    </row>
    <row r="3" s="12" customFormat="1" ht="12" spans="6:29">
      <c r="F3" s="12" t="s">
        <v>146</v>
      </c>
      <c r="J3" s="20" t="s">
        <v>187</v>
      </c>
      <c r="K3" s="20" t="s">
        <v>188</v>
      </c>
      <c r="L3" s="21">
        <v>15537954009</v>
      </c>
      <c r="M3" s="20"/>
      <c r="S3" s="12" t="s">
        <v>236</v>
      </c>
      <c r="T3" s="12">
        <v>202204</v>
      </c>
      <c r="U3" s="12">
        <v>3179</v>
      </c>
      <c r="V3" s="12">
        <v>3197</v>
      </c>
      <c r="W3" s="12">
        <v>3179</v>
      </c>
      <c r="X3" s="12">
        <v>3179</v>
      </c>
      <c r="Y3" s="12">
        <v>3179</v>
      </c>
      <c r="Z3" s="12" t="s">
        <v>236</v>
      </c>
      <c r="AA3" s="12">
        <v>202204</v>
      </c>
      <c r="AB3" s="26">
        <v>0.08</v>
      </c>
      <c r="AC3" s="12">
        <v>3179</v>
      </c>
    </row>
    <row r="4" s="12" customFormat="1" ht="12" spans="6:29">
      <c r="F4" s="12" t="s">
        <v>146</v>
      </c>
      <c r="J4" s="20" t="s">
        <v>189</v>
      </c>
      <c r="K4" s="20" t="s">
        <v>190</v>
      </c>
      <c r="L4" s="21">
        <v>15938792012</v>
      </c>
      <c r="M4" s="20"/>
      <c r="S4" s="12" t="s">
        <v>236</v>
      </c>
      <c r="T4" s="12">
        <v>202204</v>
      </c>
      <c r="U4" s="12">
        <v>3179</v>
      </c>
      <c r="V4" s="12">
        <v>3197</v>
      </c>
      <c r="W4" s="12">
        <v>3179</v>
      </c>
      <c r="X4" s="12">
        <v>3179</v>
      </c>
      <c r="Y4" s="12">
        <v>3179</v>
      </c>
      <c r="Z4" s="12" t="s">
        <v>236</v>
      </c>
      <c r="AA4" s="12">
        <v>202204</v>
      </c>
      <c r="AB4" s="26">
        <v>0.08</v>
      </c>
      <c r="AC4" s="12">
        <v>3179</v>
      </c>
    </row>
    <row r="5" s="12" customFormat="1" ht="12" spans="6:29">
      <c r="F5" s="12" t="s">
        <v>146</v>
      </c>
      <c r="J5" s="20" t="s">
        <v>191</v>
      </c>
      <c r="K5" s="20" t="s">
        <v>192</v>
      </c>
      <c r="L5" s="21">
        <v>15713680881</v>
      </c>
      <c r="M5" s="20"/>
      <c r="S5" s="12" t="s">
        <v>236</v>
      </c>
      <c r="T5" s="12">
        <v>202204</v>
      </c>
      <c r="U5" s="12">
        <v>3179</v>
      </c>
      <c r="V5" s="12">
        <v>3197</v>
      </c>
      <c r="W5" s="12">
        <v>3179</v>
      </c>
      <c r="X5" s="12">
        <v>3179</v>
      </c>
      <c r="Y5" s="12">
        <v>3179</v>
      </c>
      <c r="Z5" s="12" t="s">
        <v>236</v>
      </c>
      <c r="AA5" s="12">
        <v>202204</v>
      </c>
      <c r="AB5" s="26">
        <v>0.08</v>
      </c>
      <c r="AC5" s="12">
        <v>3179</v>
      </c>
    </row>
  </sheetData>
  <mergeCells count="34">
    <mergeCell ref="T1:Y1"/>
    <mergeCell ref="AA1:AC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Z1:Z2"/>
    <mergeCell ref="AD1:AD2"/>
    <mergeCell ref="AE1:AE2"/>
    <mergeCell ref="AF1:AF2"/>
    <mergeCell ref="AG1:AG2"/>
    <mergeCell ref="AH1:AH2"/>
    <mergeCell ref="AI1:AI2"/>
    <mergeCell ref="AJ1:AJ2"/>
    <mergeCell ref="AK1:AK2"/>
    <mergeCell ref="AL1:AL2"/>
    <mergeCell ref="AM1:AM2"/>
    <mergeCell ref="AN1:AN2"/>
    <mergeCell ref="AO1:AO2"/>
  </mergeCells>
  <conditionalFormatting sqref="J4:J5">
    <cfRule type="duplicateValues" dxfId="5" priority="1"/>
  </conditionalFormatting>
  <dataValidations count="2">
    <dataValidation type="list" allowBlank="1" showInputMessage="1" showErrorMessage="1" sqref="S3:S5 Z3:Z5">
      <formula1>"新参,调入"</formula1>
    </dataValidation>
    <dataValidation type="list" allowBlank="1" showInputMessage="1" showErrorMessage="1" sqref="H3:H5">
      <formula1>#REF!</formula1>
    </dataValidation>
  </dataValidation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44"/>
  <sheetViews>
    <sheetView workbookViewId="0">
      <selection activeCell="D4" sqref="D4"/>
    </sheetView>
  </sheetViews>
  <sheetFormatPr defaultColWidth="9" defaultRowHeight="13.5" outlineLevelCol="4"/>
  <cols>
    <col min="3" max="3" width="32" customWidth="1"/>
    <col min="4" max="4" width="13.75" customWidth="1"/>
    <col min="5" max="5" width="16.125" customWidth="1"/>
  </cols>
  <sheetData>
    <row r="1" ht="57" customHeight="1" spans="2:5">
      <c r="B1" s="1" t="s">
        <v>251</v>
      </c>
      <c r="C1" s="1"/>
      <c r="D1" s="1"/>
      <c r="E1" s="1"/>
    </row>
    <row r="2" ht="21" spans="2:2">
      <c r="B2" s="2"/>
    </row>
    <row r="3" ht="27.75" customHeight="1" spans="2:5">
      <c r="B3" s="3" t="s">
        <v>252</v>
      </c>
      <c r="C3" s="4" t="s">
        <v>253</v>
      </c>
      <c r="D3" s="4" t="s">
        <v>254</v>
      </c>
      <c r="E3" s="4" t="s">
        <v>255</v>
      </c>
    </row>
    <row r="4" ht="29.25" customHeight="1" spans="2:5">
      <c r="B4" s="5">
        <v>1</v>
      </c>
      <c r="C4" s="6" t="s">
        <v>256</v>
      </c>
      <c r="D4" s="7">
        <v>0.03</v>
      </c>
      <c r="E4" s="8">
        <v>0</v>
      </c>
    </row>
    <row r="5" ht="29.25" customHeight="1" spans="2:5">
      <c r="B5" s="5">
        <v>2</v>
      </c>
      <c r="C5" s="6" t="s">
        <v>257</v>
      </c>
      <c r="D5" s="7">
        <v>0.1</v>
      </c>
      <c r="E5" s="8">
        <v>2520</v>
      </c>
    </row>
    <row r="6" ht="29.25" customHeight="1" spans="2:5">
      <c r="B6" s="5">
        <v>3</v>
      </c>
      <c r="C6" s="6" t="s">
        <v>258</v>
      </c>
      <c r="D6" s="7">
        <v>0.2</v>
      </c>
      <c r="E6" s="8">
        <v>16920</v>
      </c>
    </row>
    <row r="7" ht="29.25" customHeight="1" spans="2:5">
      <c r="B7" s="5">
        <v>4</v>
      </c>
      <c r="C7" s="6" t="s">
        <v>259</v>
      </c>
      <c r="D7" s="7">
        <v>0.25</v>
      </c>
      <c r="E7" s="8">
        <v>31920</v>
      </c>
    </row>
    <row r="8" ht="29.25" customHeight="1" spans="2:5">
      <c r="B8" s="5">
        <v>5</v>
      </c>
      <c r="C8" s="6" t="s">
        <v>260</v>
      </c>
      <c r="D8" s="7">
        <v>0.3</v>
      </c>
      <c r="E8" s="8">
        <v>52920</v>
      </c>
    </row>
    <row r="9" ht="29.25" customHeight="1" spans="2:5">
      <c r="B9" s="5">
        <v>6</v>
      </c>
      <c r="C9" s="6" t="s">
        <v>261</v>
      </c>
      <c r="D9" s="7">
        <v>0.35</v>
      </c>
      <c r="E9" s="8">
        <v>85920</v>
      </c>
    </row>
    <row r="10" ht="29.25" customHeight="1" spans="2:5">
      <c r="B10" s="5">
        <v>7</v>
      </c>
      <c r="C10" s="6" t="s">
        <v>262</v>
      </c>
      <c r="D10" s="7">
        <v>0.45</v>
      </c>
      <c r="E10" s="8">
        <v>181920</v>
      </c>
    </row>
    <row r="13" ht="57" customHeight="1" spans="2:5">
      <c r="B13" s="1" t="s">
        <v>263</v>
      </c>
      <c r="C13" s="1"/>
      <c r="D13" s="1"/>
      <c r="E13" s="1"/>
    </row>
    <row r="14" ht="21" spans="2:2">
      <c r="B14" s="2"/>
    </row>
    <row r="15" ht="27.75" customHeight="1" spans="2:5">
      <c r="B15" s="3" t="s">
        <v>252</v>
      </c>
      <c r="C15" s="4" t="s">
        <v>264</v>
      </c>
      <c r="D15" s="4" t="s">
        <v>254</v>
      </c>
      <c r="E15" s="4" t="s">
        <v>255</v>
      </c>
    </row>
    <row r="16" ht="29.25" customHeight="1" spans="2:5">
      <c r="B16" s="5">
        <v>1</v>
      </c>
      <c r="C16" s="6" t="s">
        <v>265</v>
      </c>
      <c r="D16" s="7">
        <v>0.2</v>
      </c>
      <c r="E16" s="8">
        <v>0</v>
      </c>
    </row>
    <row r="17" ht="29.25" customHeight="1" spans="2:5">
      <c r="B17" s="5">
        <v>2</v>
      </c>
      <c r="C17" s="6" t="s">
        <v>266</v>
      </c>
      <c r="D17" s="7">
        <v>0.3</v>
      </c>
      <c r="E17" s="8">
        <v>2000</v>
      </c>
    </row>
    <row r="18" ht="29.25" customHeight="1" spans="2:5">
      <c r="B18" s="5">
        <v>3</v>
      </c>
      <c r="C18" s="6" t="s">
        <v>267</v>
      </c>
      <c r="D18" s="7">
        <v>0.4</v>
      </c>
      <c r="E18" s="8">
        <v>7000</v>
      </c>
    </row>
    <row r="21" ht="47.25" customHeight="1" spans="2:5">
      <c r="B21" s="1" t="s">
        <v>268</v>
      </c>
      <c r="C21" s="1"/>
      <c r="D21" s="1"/>
      <c r="E21" s="1"/>
    </row>
    <row r="22" ht="21" spans="2:2">
      <c r="B22" s="2"/>
    </row>
    <row r="23" ht="27.75" customHeight="1" spans="2:5">
      <c r="B23" s="3" t="s">
        <v>252</v>
      </c>
      <c r="C23" s="4" t="s">
        <v>269</v>
      </c>
      <c r="D23" s="4" t="s">
        <v>254</v>
      </c>
      <c r="E23" s="4" t="s">
        <v>255</v>
      </c>
    </row>
    <row r="24" ht="29.25" customHeight="1" spans="2:5">
      <c r="B24" s="5">
        <v>1</v>
      </c>
      <c r="C24" s="6" t="s">
        <v>270</v>
      </c>
      <c r="D24" s="7">
        <v>0.03</v>
      </c>
      <c r="E24" s="8">
        <v>0</v>
      </c>
    </row>
    <row r="25" ht="29.25" customHeight="1" spans="2:5">
      <c r="B25" s="5">
        <v>2</v>
      </c>
      <c r="C25" s="6" t="s">
        <v>271</v>
      </c>
      <c r="D25" s="7">
        <v>0.1</v>
      </c>
      <c r="E25" s="8">
        <v>210</v>
      </c>
    </row>
    <row r="26" ht="29.25" customHeight="1" spans="2:5">
      <c r="B26" s="5">
        <v>3</v>
      </c>
      <c r="C26" s="6" t="s">
        <v>272</v>
      </c>
      <c r="D26" s="7">
        <v>0.2</v>
      </c>
      <c r="E26" s="8">
        <v>1410</v>
      </c>
    </row>
    <row r="27" ht="29.25" customHeight="1" spans="2:5">
      <c r="B27" s="5">
        <v>4</v>
      </c>
      <c r="C27" s="6" t="s">
        <v>273</v>
      </c>
      <c r="D27" s="7">
        <v>0.25</v>
      </c>
      <c r="E27" s="8">
        <v>2660</v>
      </c>
    </row>
    <row r="28" ht="29.25" customHeight="1" spans="2:5">
      <c r="B28" s="5">
        <v>5</v>
      </c>
      <c r="C28" s="6" t="s">
        <v>274</v>
      </c>
      <c r="D28" s="7">
        <v>0.3</v>
      </c>
      <c r="E28" s="8">
        <v>4410</v>
      </c>
    </row>
    <row r="29" ht="29.25" customHeight="1" spans="2:5">
      <c r="B29" s="5">
        <v>6</v>
      </c>
      <c r="C29" s="6" t="s">
        <v>275</v>
      </c>
      <c r="D29" s="7">
        <v>0.35</v>
      </c>
      <c r="E29" s="8">
        <v>7160</v>
      </c>
    </row>
    <row r="30" ht="29.25" customHeight="1" spans="2:5">
      <c r="B30" s="5">
        <v>7</v>
      </c>
      <c r="C30" s="6" t="s">
        <v>276</v>
      </c>
      <c r="D30" s="7">
        <v>0.45</v>
      </c>
      <c r="E30" s="8">
        <v>15160</v>
      </c>
    </row>
    <row r="35" ht="57" customHeight="1" spans="2:5">
      <c r="B35" s="9" t="s">
        <v>277</v>
      </c>
      <c r="C35" s="9"/>
      <c r="D35" s="9"/>
      <c r="E35" s="9"/>
    </row>
    <row r="36" ht="14.25"/>
    <row r="37" ht="21.75" customHeight="1" spans="2:5">
      <c r="B37" s="3" t="s">
        <v>252</v>
      </c>
      <c r="C37" s="4" t="s">
        <v>278</v>
      </c>
      <c r="D37" s="4" t="s">
        <v>279</v>
      </c>
      <c r="E37" s="4" t="s">
        <v>255</v>
      </c>
    </row>
    <row r="38" ht="21.75" customHeight="1" spans="2:5">
      <c r="B38" s="5">
        <v>1</v>
      </c>
      <c r="C38" s="6" t="s">
        <v>270</v>
      </c>
      <c r="D38" s="7">
        <v>0.03</v>
      </c>
      <c r="E38" s="8">
        <v>0</v>
      </c>
    </row>
    <row r="39" ht="21.75" customHeight="1" spans="2:5">
      <c r="B39" s="5">
        <v>2</v>
      </c>
      <c r="C39" s="6" t="s">
        <v>271</v>
      </c>
      <c r="D39" s="7">
        <v>0.1</v>
      </c>
      <c r="E39" s="8">
        <v>210</v>
      </c>
    </row>
    <row r="40" ht="21.75" customHeight="1" spans="2:5">
      <c r="B40" s="5">
        <v>3</v>
      </c>
      <c r="C40" s="6" t="s">
        <v>272</v>
      </c>
      <c r="D40" s="7">
        <v>0.2</v>
      </c>
      <c r="E40" s="8">
        <v>1410</v>
      </c>
    </row>
    <row r="41" ht="21.75" customHeight="1" spans="2:5">
      <c r="B41" s="5">
        <v>4</v>
      </c>
      <c r="C41" s="6" t="s">
        <v>273</v>
      </c>
      <c r="D41" s="7">
        <v>0.25</v>
      </c>
      <c r="E41" s="8">
        <v>2660</v>
      </c>
    </row>
    <row r="42" ht="21.75" customHeight="1" spans="2:5">
      <c r="B42" s="5">
        <v>5</v>
      </c>
      <c r="C42" s="6" t="s">
        <v>274</v>
      </c>
      <c r="D42" s="7">
        <v>0.3</v>
      </c>
      <c r="E42" s="8">
        <v>4410</v>
      </c>
    </row>
    <row r="43" ht="21.75" customHeight="1" spans="2:5">
      <c r="B43" s="5">
        <v>6</v>
      </c>
      <c r="C43" s="6" t="s">
        <v>275</v>
      </c>
      <c r="D43" s="7">
        <v>0.35</v>
      </c>
      <c r="E43" s="8">
        <v>7160</v>
      </c>
    </row>
    <row r="44" ht="21.75" customHeight="1" spans="2:5">
      <c r="B44" s="5">
        <v>7</v>
      </c>
      <c r="C44" s="6" t="s">
        <v>276</v>
      </c>
      <c r="D44" s="7">
        <v>0.45</v>
      </c>
      <c r="E44" s="8">
        <v>15160</v>
      </c>
    </row>
  </sheetData>
  <mergeCells count="4">
    <mergeCell ref="B1:E1"/>
    <mergeCell ref="B13:E13"/>
    <mergeCell ref="B21:E21"/>
    <mergeCell ref="B35:E3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18</vt:i4>
      </vt:variant>
    </vt:vector>
  </HeadingPairs>
  <TitlesOfParts>
    <vt:vector size="18" baseType="lpstr">
      <vt:lpstr>付款通知</vt:lpstr>
      <vt:lpstr>社保</vt:lpstr>
      <vt:lpstr>（居民）工资表-5月</vt:lpstr>
      <vt:lpstr>社保1</vt:lpstr>
      <vt:lpstr>（居民）工资表-6月</vt:lpstr>
      <vt:lpstr>（居民）工资表-7月</vt:lpstr>
      <vt:lpstr>增减</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（居民）工资表-4月</vt:lpstr>
      <vt:lpstr>增</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客服-苏光远</cp:lastModifiedBy>
  <dcterms:created xsi:type="dcterms:W3CDTF">2018-08-01T08:19:00Z</dcterms:created>
  <cp:lastPrinted>2019-02-02T09:30:00Z</cp:lastPrinted>
  <dcterms:modified xsi:type="dcterms:W3CDTF">2022-04-07T02:39:38Z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2052-11.1.0.11365</vt:lpwstr>
  </property>
  <property fmtid="{D5CDD505-2E9C-101B-9397-08002B2CF9AE}" pid="4" name="ICV">
    <vt:lpwstr>B7285D0D0A38435CAAB761B1757CCEF9</vt:lpwstr>
  </property>
  <property fmtid="{D5CDD505-2E9C-101B-9397-08002B2CF9AE}" pid="5" name="KSOReadingLayout">
    <vt:bool>true</vt:bool>
  </property>
</Properties>
</file>