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/>
  </bookViews>
  <sheets>
    <sheet name="付款通知" sheetId="26" r:id="rId1"/>
    <sheet name="社保" sheetId="27" state="hidden" r:id="rId2"/>
    <sheet name="（居民）工资表-4月" sheetId="17" state="hidden" r:id="rId3"/>
    <sheet name="（居民）工资表-5月" sheetId="18" state="hidden" r:id="rId4"/>
    <sheet name="社保1" sheetId="28" r:id="rId5"/>
    <sheet name="（居民）工资表-6月" sheetId="19" state="hidden" r:id="rId6"/>
    <sheet name="（居民）工资表-7月" sheetId="20" state="hidden" r:id="rId7"/>
    <sheet name="增减" sheetId="29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月" sheetId="1" state="hidden" r:id="rId13"/>
    <sheet name="（居民）工资表-12月" sheetId="25" state="hidden" r:id="rId14"/>
    <sheet name="（居民）工资表-2月" sheetId="15" state="hidden" r:id="rId15"/>
    <sheet name="（居民）工资表-3月" sheetId="16" r:id="rId16"/>
    <sheet name="增" sheetId="30" r:id="rId17"/>
    <sheet name="Sheet1" sheetId="14" state="hidden" r:id="rId18"/>
  </sheets>
  <definedNames>
    <definedName name="_xlnm._FilterDatabase" localSheetId="10" hidden="1">'（居民）工资表-10月'!$A$3:$AT$8</definedName>
    <definedName name="_xlnm._FilterDatabase" localSheetId="11" hidden="1">'（居民）工资表-11月'!$A$3:$AT$9</definedName>
    <definedName name="_xlnm._FilterDatabase" localSheetId="13" hidden="1">'（居民）工资表-12月'!$A$3:$AT$9</definedName>
    <definedName name="_xlnm._FilterDatabase" localSheetId="12" hidden="1">'（居民）工资表-1月'!$A$3:$AT$9</definedName>
    <definedName name="_xlnm._FilterDatabase" localSheetId="14" hidden="1">'（居民）工资表-2月'!$A$3:$AT$13</definedName>
    <definedName name="_xlnm._FilterDatabase" localSheetId="15" hidden="1">'（居民）工资表-3月'!$A$3:$AT$9</definedName>
    <definedName name="_xlnm._FilterDatabase" localSheetId="2" hidden="1">'（居民）工资表-4月'!$A$3:$AT$7</definedName>
    <definedName name="_xlnm._FilterDatabase" localSheetId="3" hidden="1">'（居民）工资表-5月'!$A$3:$AT$8</definedName>
    <definedName name="_xlnm._FilterDatabase" localSheetId="5" hidden="1">'（居民）工资表-6月'!$A$3:$AT$8</definedName>
    <definedName name="_xlnm._FilterDatabase" localSheetId="6" hidden="1">'（居民）工资表-7月'!$A$3:$AT$9</definedName>
    <definedName name="_xlnm._FilterDatabase" localSheetId="8" hidden="1">'（居民）工资表-8月'!$A$3:$AT$8</definedName>
    <definedName name="_xlnm._FilterDatabase" localSheetId="9" hidden="1">'（居民）工资表-9月'!$A$3:$AT$8</definedName>
    <definedName name="_xlnm._FilterDatabase" localSheetId="4" hidden="1">社保1!$A$2:$BH$6</definedName>
    <definedName name="_xlnm.Print_Area" localSheetId="10">'（居民）工资表-10月'!$A$1:$AT$14</definedName>
    <definedName name="_xlnm.Print_Area" localSheetId="11">'（居民）工资表-11月'!$A$1:$AT$15</definedName>
    <definedName name="_xlnm.Print_Area" localSheetId="13">'（居民）工资表-12月'!$A$1:$AT$15</definedName>
    <definedName name="_xlnm.Print_Area" localSheetId="12">'（居民）工资表-1月'!$A$1:$AT$15</definedName>
    <definedName name="_xlnm.Print_Area" localSheetId="14">'（居民）工资表-2月'!$A$1:$AT$19</definedName>
    <definedName name="_xlnm.Print_Area" localSheetId="15">'（居民）工资表-3月'!$A$1:$AT$15</definedName>
    <definedName name="_xlnm.Print_Area" localSheetId="2">'（居民）工资表-4月'!$A$1:$AT$13</definedName>
    <definedName name="_xlnm.Print_Area" localSheetId="3">'（居民）工资表-5月'!$A$1:$AT$14</definedName>
    <definedName name="_xlnm.Print_Area" localSheetId="5">'（居民）工资表-6月'!$A$1:$AT$14</definedName>
    <definedName name="_xlnm.Print_Area" localSheetId="6">'（居民）工资表-7月'!$A$1:$AT$15</definedName>
    <definedName name="_xlnm.Print_Area" localSheetId="8">'（居民）工资表-8月'!$A$1:$AT$14</definedName>
    <definedName name="_xlnm.Print_Area" localSheetId="9">'（居民）工资表-9月'!$A$1:$AT$14</definedName>
  </definedNames>
  <calcPr calcId="144525"/>
</workbook>
</file>

<file path=xl/calcChain.xml><?xml version="1.0" encoding="utf-8"?>
<calcChain xmlns="http://schemas.openxmlformats.org/spreadsheetml/2006/main">
  <c r="AK9" i="16" l="1"/>
  <c r="D14" i="16" s="1"/>
  <c r="AI9" i="16"/>
  <c r="AA9" i="16"/>
  <c r="Z9" i="16"/>
  <c r="Y9" i="16"/>
  <c r="X9" i="16"/>
  <c r="W9" i="16"/>
  <c r="V9" i="16"/>
  <c r="T9" i="16"/>
  <c r="S9" i="16"/>
  <c r="R9" i="16"/>
  <c r="P9" i="16"/>
  <c r="O9" i="16"/>
  <c r="N9" i="16"/>
  <c r="M9" i="16"/>
  <c r="L9" i="16"/>
  <c r="AT7" i="16"/>
  <c r="AS7" i="16"/>
  <c r="AR7" i="16"/>
  <c r="AF7" i="16"/>
  <c r="AC7" i="16"/>
  <c r="AB7" i="16"/>
  <c r="U7" i="16"/>
  <c r="T7" i="16"/>
  <c r="S7" i="16"/>
  <c r="AD7" i="16" s="1"/>
  <c r="AE7" i="16" s="1"/>
  <c r="AG7" i="16" s="1"/>
  <c r="Q7" i="16"/>
  <c r="AT6" i="16"/>
  <c r="AS6" i="16"/>
  <c r="AR6" i="16"/>
  <c r="AF6" i="16"/>
  <c r="AC6" i="16"/>
  <c r="AB6" i="16"/>
  <c r="U6" i="16"/>
  <c r="T6" i="16"/>
  <c r="S6" i="16"/>
  <c r="AD6" i="16" s="1"/>
  <c r="AE6" i="16" s="1"/>
  <c r="AG6" i="16" s="1"/>
  <c r="Q6" i="16"/>
  <c r="AH6" i="16" s="1"/>
  <c r="AJ6" i="16" s="1"/>
  <c r="AL6" i="16" s="1"/>
  <c r="AT5" i="16"/>
  <c r="AS5" i="16"/>
  <c r="AR5" i="16"/>
  <c r="AF5" i="16"/>
  <c r="AC5" i="16"/>
  <c r="AB5" i="16"/>
  <c r="U5" i="16"/>
  <c r="T5" i="16"/>
  <c r="S5" i="16"/>
  <c r="AD5" i="16" s="1"/>
  <c r="AE5" i="16" s="1"/>
  <c r="AG5" i="16" s="1"/>
  <c r="Q5" i="16"/>
  <c r="AT4" i="16"/>
  <c r="AS4" i="16"/>
  <c r="AR4" i="16"/>
  <c r="AF4" i="16"/>
  <c r="AF9" i="16" s="1"/>
  <c r="AC4" i="16"/>
  <c r="AC9" i="16" s="1"/>
  <c r="AB4" i="16"/>
  <c r="AB9" i="16" s="1"/>
  <c r="U4" i="16"/>
  <c r="U9" i="16" s="1"/>
  <c r="T4" i="16"/>
  <c r="S4" i="16"/>
  <c r="AD4" i="16" s="1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AK4" i="29"/>
  <c r="AK3" i="29"/>
  <c r="D14" i="20"/>
  <c r="AK9" i="20"/>
  <c r="AI9" i="20"/>
  <c r="AB9" i="20"/>
  <c r="AA9" i="20"/>
  <c r="Z9" i="20"/>
  <c r="Y9" i="20"/>
  <c r="X9" i="20"/>
  <c r="W9" i="20"/>
  <c r="V9" i="20"/>
  <c r="R9" i="20"/>
  <c r="Q9" i="20"/>
  <c r="P9" i="20"/>
  <c r="O9" i="20"/>
  <c r="N9" i="20"/>
  <c r="M9" i="20"/>
  <c r="L9" i="20"/>
  <c r="AT8" i="20"/>
  <c r="AS8" i="20"/>
  <c r="AR8" i="20"/>
  <c r="AB8" i="20"/>
  <c r="Q8" i="20"/>
  <c r="F8" i="20"/>
  <c r="AT7" i="20"/>
  <c r="AS7" i="20"/>
  <c r="AR7" i="20"/>
  <c r="AB7" i="20"/>
  <c r="Q7" i="20"/>
  <c r="O7" i="20"/>
  <c r="N7" i="20"/>
  <c r="M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D13" i="19"/>
  <c r="AK8" i="19"/>
  <c r="AI8" i="19"/>
  <c r="AB8" i="19"/>
  <c r="AA8" i="19"/>
  <c r="Z8" i="19"/>
  <c r="Y8" i="19"/>
  <c r="X8" i="19"/>
  <c r="W8" i="19"/>
  <c r="V8" i="19"/>
  <c r="R8" i="19"/>
  <c r="Q8" i="19"/>
  <c r="P8" i="19"/>
  <c r="O8" i="19"/>
  <c r="N8" i="19"/>
  <c r="M8" i="19"/>
  <c r="L8" i="19"/>
  <c r="AT7" i="19"/>
  <c r="AS7" i="19"/>
  <c r="AR7" i="19"/>
  <c r="AB7" i="19"/>
  <c r="Q7" i="19"/>
  <c r="O7" i="19"/>
  <c r="N7" i="19"/>
  <c r="M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BC20" i="28"/>
  <c r="AE19" i="28"/>
  <c r="BB18" i="28"/>
  <c r="BB19" i="28" s="1"/>
  <c r="G22" i="26" s="1"/>
  <c r="BA18" i="28"/>
  <c r="AY18" i="28"/>
  <c r="AR18" i="28"/>
  <c r="AR19" i="28" s="1"/>
  <c r="AQ18" i="28"/>
  <c r="AQ19" i="28" s="1"/>
  <c r="AP18" i="28"/>
  <c r="AP19" i="28" s="1"/>
  <c r="AO18" i="28"/>
  <c r="AO19" i="28" s="1"/>
  <c r="AN18" i="28"/>
  <c r="AN19" i="28" s="1"/>
  <c r="AM18" i="28"/>
  <c r="AM19" i="28" s="1"/>
  <c r="AL18" i="28"/>
  <c r="AL19" i="28" s="1"/>
  <c r="AJ18" i="28"/>
  <c r="AJ19" i="28" s="1"/>
  <c r="AH18" i="28"/>
  <c r="AH19" i="28" s="1"/>
  <c r="AG18" i="28"/>
  <c r="AG19" i="28" s="1"/>
  <c r="AE18" i="28"/>
  <c r="AB18" i="28"/>
  <c r="AB19" i="28" s="1"/>
  <c r="Y18" i="28"/>
  <c r="Y19" i="28" s="1"/>
  <c r="W18" i="28"/>
  <c r="W19" i="28" s="1"/>
  <c r="T18" i="28"/>
  <c r="T19" i="28" s="1"/>
  <c r="R18" i="28"/>
  <c r="R19" i="28" s="1"/>
  <c r="O18" i="28"/>
  <c r="O19" i="28" s="1"/>
  <c r="M18" i="28"/>
  <c r="M19" i="28" s="1"/>
  <c r="L18" i="28"/>
  <c r="L19" i="28" s="1"/>
  <c r="AV16" i="28"/>
  <c r="AU16" i="28"/>
  <c r="AA16" i="28"/>
  <c r="AC16" i="28" s="1"/>
  <c r="Q16" i="28"/>
  <c r="U16" i="28" s="1"/>
  <c r="AT16" i="28" s="1"/>
  <c r="AV15" i="28"/>
  <c r="AU15" i="28"/>
  <c r="AA15" i="28"/>
  <c r="AC15" i="28" s="1"/>
  <c r="Q15" i="28"/>
  <c r="U15" i="28" s="1"/>
  <c r="AT15" i="28" s="1"/>
  <c r="AV14" i="28"/>
  <c r="AU14" i="28"/>
  <c r="AA14" i="28"/>
  <c r="AC14" i="28" s="1"/>
  <c r="Q14" i="28"/>
  <c r="U14" i="28" s="1"/>
  <c r="AT14" i="28" s="1"/>
  <c r="AV13" i="28"/>
  <c r="AU13" i="28"/>
  <c r="AA13" i="28"/>
  <c r="AC13" i="28" s="1"/>
  <c r="Q13" i="28"/>
  <c r="S13" i="28" s="1"/>
  <c r="AV12" i="28"/>
  <c r="AU12" i="28"/>
  <c r="AZ12" i="28" s="1"/>
  <c r="AC12" i="28"/>
  <c r="AA12" i="28"/>
  <c r="Q12" i="28"/>
  <c r="AV11" i="28"/>
  <c r="AU11" i="28"/>
  <c r="AA11" i="28"/>
  <c r="AC11" i="28" s="1"/>
  <c r="Q11" i="28"/>
  <c r="AV10" i="28"/>
  <c r="AU10" i="28"/>
  <c r="AA10" i="28"/>
  <c r="AC10" i="28" s="1"/>
  <c r="Q10" i="28"/>
  <c r="AV9" i="28"/>
  <c r="AU9" i="28"/>
  <c r="AZ9" i="28" s="1"/>
  <c r="AA9" i="28"/>
  <c r="AC9" i="28" s="1"/>
  <c r="Q9" i="28"/>
  <c r="U9" i="28" s="1"/>
  <c r="AT9" i="28" s="1"/>
  <c r="AV8" i="28"/>
  <c r="AU8" i="28"/>
  <c r="AA8" i="28"/>
  <c r="AC8" i="28" s="1"/>
  <c r="U8" i="28"/>
  <c r="AT8" i="28" s="1"/>
  <c r="S8" i="28"/>
  <c r="Q8" i="28"/>
  <c r="AV7" i="28"/>
  <c r="AU7" i="28"/>
  <c r="AZ7" i="28" s="1"/>
  <c r="AA7" i="28"/>
  <c r="AC7" i="28" s="1"/>
  <c r="Q7" i="28"/>
  <c r="U7" i="28" s="1"/>
  <c r="AT7" i="28" s="1"/>
  <c r="AK6" i="28"/>
  <c r="AV6" i="28" s="1"/>
  <c r="AI6" i="28"/>
  <c r="AU6" i="28" s="1"/>
  <c r="AZ6" i="28" s="1"/>
  <c r="AF6" i="28"/>
  <c r="AC6" i="28"/>
  <c r="Z6" i="28"/>
  <c r="X6" i="28"/>
  <c r="U6" i="28"/>
  <c r="S6" i="28"/>
  <c r="P6" i="28"/>
  <c r="N6" i="28"/>
  <c r="AS6" i="28" s="1"/>
  <c r="AK5" i="28"/>
  <c r="AV5" i="28" s="1"/>
  <c r="AI5" i="28"/>
  <c r="AU5" i="28" s="1"/>
  <c r="AF5" i="28"/>
  <c r="AC5" i="28"/>
  <c r="Z5" i="28"/>
  <c r="X5" i="28"/>
  <c r="U5" i="28"/>
  <c r="S5" i="28"/>
  <c r="AS5" i="28" s="1"/>
  <c r="P5" i="28"/>
  <c r="N5" i="28"/>
  <c r="AK4" i="28"/>
  <c r="AV4" i="28" s="1"/>
  <c r="AI4" i="28"/>
  <c r="AU4" i="28" s="1"/>
  <c r="AZ4" i="28" s="1"/>
  <c r="AF4" i="28"/>
  <c r="AC4" i="28"/>
  <c r="Z4" i="28"/>
  <c r="X4" i="28"/>
  <c r="U4" i="28"/>
  <c r="S4" i="28"/>
  <c r="P4" i="28"/>
  <c r="N4" i="28"/>
  <c r="AS4" i="28" s="1"/>
  <c r="AK3" i="28"/>
  <c r="AI3" i="28"/>
  <c r="AU3" i="28" s="1"/>
  <c r="AF3" i="28"/>
  <c r="AC3" i="28"/>
  <c r="Z3" i="28"/>
  <c r="X3" i="28"/>
  <c r="U3" i="28"/>
  <c r="S3" i="28"/>
  <c r="P3" i="28"/>
  <c r="N3" i="28"/>
  <c r="D13" i="18"/>
  <c r="AK8" i="18"/>
  <c r="AI8" i="18"/>
  <c r="AB8" i="18"/>
  <c r="AA8" i="18"/>
  <c r="Z8" i="18"/>
  <c r="Y8" i="18"/>
  <c r="X8" i="18"/>
  <c r="W8" i="18"/>
  <c r="V8" i="18"/>
  <c r="R8" i="18"/>
  <c r="Q8" i="18"/>
  <c r="P8" i="18"/>
  <c r="O8" i="18"/>
  <c r="N8" i="18"/>
  <c r="M8" i="18"/>
  <c r="L8" i="18"/>
  <c r="AT7" i="18"/>
  <c r="AS7" i="18"/>
  <c r="AR7" i="18"/>
  <c r="AB7" i="18"/>
  <c r="Q7" i="18"/>
  <c r="F7" i="18"/>
  <c r="AT6" i="18"/>
  <c r="AS6" i="18"/>
  <c r="AR6" i="18"/>
  <c r="AB6" i="18"/>
  <c r="Q6" i="18"/>
  <c r="P6" i="18"/>
  <c r="O6" i="18"/>
  <c r="N6" i="18"/>
  <c r="M6" i="18"/>
  <c r="F6" i="18"/>
  <c r="AT5" i="18"/>
  <c r="AS5" i="18"/>
  <c r="AR5" i="18"/>
  <c r="AB5" i="18"/>
  <c r="Q5" i="18"/>
  <c r="F5" i="18"/>
  <c r="AT4" i="18"/>
  <c r="AS4" i="18"/>
  <c r="AR4" i="18"/>
  <c r="AB4" i="18"/>
  <c r="Q4" i="18"/>
  <c r="F4" i="18"/>
  <c r="E13" i="17"/>
  <c r="D12" i="17"/>
  <c r="AK7" i="17"/>
  <c r="AI7" i="17"/>
  <c r="AB7" i="17"/>
  <c r="AA7" i="17"/>
  <c r="Z7" i="17"/>
  <c r="Y7" i="17"/>
  <c r="X7" i="17"/>
  <c r="W7" i="17"/>
  <c r="V7" i="17"/>
  <c r="R7" i="17"/>
  <c r="Q7" i="17"/>
  <c r="P7" i="17"/>
  <c r="O7" i="17"/>
  <c r="N7" i="17"/>
  <c r="M7" i="17"/>
  <c r="L7" i="17"/>
  <c r="AT6" i="17"/>
  <c r="AS6" i="17"/>
  <c r="AR6" i="17"/>
  <c r="AB6" i="17"/>
  <c r="Q6" i="17"/>
  <c r="F6" i="17"/>
  <c r="AT5" i="17"/>
  <c r="AS5" i="17"/>
  <c r="AR5" i="17"/>
  <c r="AB5" i="17"/>
  <c r="Q5" i="17"/>
  <c r="F5" i="17"/>
  <c r="AT4" i="17"/>
  <c r="AS4" i="17"/>
  <c r="AR4" i="17"/>
  <c r="AB4" i="17"/>
  <c r="Q4" i="17"/>
  <c r="F4" i="17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AH5" i="16" l="1"/>
  <c r="AJ5" i="16" s="1"/>
  <c r="AL5" i="16" s="1"/>
  <c r="AH7" i="16"/>
  <c r="AJ7" i="16" s="1"/>
  <c r="AL7" i="16" s="1"/>
  <c r="AD9" i="16"/>
  <c r="AE4" i="16"/>
  <c r="Q9" i="16"/>
  <c r="S16" i="28"/>
  <c r="AS16" i="28" s="1"/>
  <c r="AX16" i="28" s="1"/>
  <c r="N18" i="28"/>
  <c r="N19" i="28" s="1"/>
  <c r="S9" i="28"/>
  <c r="AS9" i="28" s="1"/>
  <c r="S14" i="28"/>
  <c r="AS14" i="28" s="1"/>
  <c r="AX14" i="28" s="1"/>
  <c r="S15" i="28"/>
  <c r="AS15" i="28" s="1"/>
  <c r="AA18" i="28"/>
  <c r="AA19" i="28" s="1"/>
  <c r="U13" i="28"/>
  <c r="AT13" i="28" s="1"/>
  <c r="AK18" i="28"/>
  <c r="AK19" i="28" s="1"/>
  <c r="AT4" i="28"/>
  <c r="AT5" i="28"/>
  <c r="AX5" i="28" s="1"/>
  <c r="AW5" i="28"/>
  <c r="AT6" i="28"/>
  <c r="AX6" i="28" s="1"/>
  <c r="BC6" i="28" s="1"/>
  <c r="AZ8" i="28"/>
  <c r="AZ10" i="28"/>
  <c r="AZ14" i="28"/>
  <c r="AZ16" i="28"/>
  <c r="AX9" i="28"/>
  <c r="BC9" i="28" s="1"/>
  <c r="AW9" i="28"/>
  <c r="AX15" i="28"/>
  <c r="AW15" i="28"/>
  <c r="AX4" i="28"/>
  <c r="BC4" i="28" s="1"/>
  <c r="AU18" i="28"/>
  <c r="AU19" i="28" s="1"/>
  <c r="AZ5" i="28"/>
  <c r="U11" i="28"/>
  <c r="AT11" i="28" s="1"/>
  <c r="S11" i="28"/>
  <c r="AS11" i="28" s="1"/>
  <c r="AW11" i="28" s="1"/>
  <c r="AV3" i="28"/>
  <c r="AZ3" i="28" s="1"/>
  <c r="AZ18" i="28" s="1"/>
  <c r="AZ19" i="28" s="1"/>
  <c r="G20" i="26" s="1"/>
  <c r="AT3" i="28"/>
  <c r="P18" i="28"/>
  <c r="P19" i="28" s="1"/>
  <c r="AW4" i="28"/>
  <c r="AW6" i="28"/>
  <c r="U12" i="28"/>
  <c r="AT12" i="28" s="1"/>
  <c r="S12" i="28"/>
  <c r="AS12" i="28" s="1"/>
  <c r="AF18" i="28"/>
  <c r="AF19" i="28" s="1"/>
  <c r="AD18" i="28"/>
  <c r="AD19" i="28" s="1"/>
  <c r="X18" i="28"/>
  <c r="X19" i="28" s="1"/>
  <c r="AS8" i="28"/>
  <c r="S10" i="28"/>
  <c r="AS10" i="28" s="1"/>
  <c r="U10" i="28"/>
  <c r="AT10" i="28" s="1"/>
  <c r="AZ13" i="28"/>
  <c r="AW16" i="28"/>
  <c r="AC18" i="28"/>
  <c r="AC19" i="28" s="1"/>
  <c r="Q18" i="28"/>
  <c r="Q19" i="28" s="1"/>
  <c r="S7" i="28"/>
  <c r="AS7" i="28" s="1"/>
  <c r="AX7" i="28" s="1"/>
  <c r="BC7" i="28" s="1"/>
  <c r="AS13" i="28"/>
  <c r="AX13" i="28" s="1"/>
  <c r="BC13" i="28" s="1"/>
  <c r="AZ15" i="28"/>
  <c r="AI18" i="28"/>
  <c r="AI19" i="28" s="1"/>
  <c r="AS3" i="28"/>
  <c r="V18" i="28"/>
  <c r="V19" i="28" s="1"/>
  <c r="Z18" i="28"/>
  <c r="Z19" i="28" s="1"/>
  <c r="AZ11" i="28"/>
  <c r="AE9" i="16" l="1"/>
  <c r="AG4" i="16"/>
  <c r="BC14" i="28"/>
  <c r="AW14" i="28"/>
  <c r="BC15" i="28"/>
  <c r="BC16" i="28"/>
  <c r="AW7" i="28"/>
  <c r="AW10" i="28"/>
  <c r="AX10" i="28"/>
  <c r="BC10" i="28" s="1"/>
  <c r="AW8" i="28"/>
  <c r="AX8" i="28"/>
  <c r="BC8" i="28" s="1"/>
  <c r="AX11" i="28"/>
  <c r="BC11" i="28" s="1"/>
  <c r="AS18" i="28"/>
  <c r="AS19" i="28" s="1"/>
  <c r="AX3" i="28"/>
  <c r="AW3" i="28"/>
  <c r="AV18" i="28"/>
  <c r="AV19" i="28" s="1"/>
  <c r="S18" i="28"/>
  <c r="S19" i="28" s="1"/>
  <c r="U18" i="28"/>
  <c r="U19" i="28" s="1"/>
  <c r="AX12" i="28"/>
  <c r="BC12" i="28" s="1"/>
  <c r="AW12" i="28"/>
  <c r="AW13" i="28"/>
  <c r="BC5" i="28"/>
  <c r="AG9" i="16" l="1"/>
  <c r="C14" i="16" s="1"/>
  <c r="AH4" i="16"/>
  <c r="AW18" i="28"/>
  <c r="AW19" i="28" s="1"/>
  <c r="AT18" i="28"/>
  <c r="AT19" i="28" s="1"/>
  <c r="BC3" i="28"/>
  <c r="BC18" i="28" s="1"/>
  <c r="BC19" i="28" s="1"/>
  <c r="AH9" i="16" l="1"/>
  <c r="AJ4" i="16"/>
  <c r="E15" i="16"/>
  <c r="E15" i="20"/>
  <c r="AX18" i="28"/>
  <c r="AX19" i="28" s="1"/>
  <c r="G19" i="26" s="1"/>
  <c r="AL4" i="16" l="1"/>
  <c r="AL9" i="16" s="1"/>
  <c r="AJ9" i="16"/>
  <c r="B14" i="16" s="1"/>
  <c r="E14" i="16" s="1"/>
  <c r="AF5" i="17"/>
  <c r="U5" i="17"/>
  <c r="AC5" i="17"/>
  <c r="S5" i="17"/>
  <c r="AC6" i="17" l="1"/>
  <c r="AC6" i="18" s="1"/>
  <c r="AC6" i="19" s="1"/>
  <c r="AC6" i="20" s="1"/>
  <c r="AC5" i="21" s="1"/>
  <c r="AC5" i="22" s="1"/>
  <c r="AC5" i="23" s="1"/>
  <c r="AC5" i="24" s="1"/>
  <c r="AC5" i="25" s="1"/>
  <c r="S6" i="17"/>
  <c r="AF4" i="17"/>
  <c r="T4" i="17"/>
  <c r="T4" i="18" s="1"/>
  <c r="T4" i="19" s="1"/>
  <c r="T4" i="20" s="1"/>
  <c r="T4" i="21" s="1"/>
  <c r="T4" i="22" s="1"/>
  <c r="T4" i="23" s="1"/>
  <c r="T4" i="24" s="1"/>
  <c r="T4" i="25" s="1"/>
  <c r="G18" i="26"/>
  <c r="G21" i="26" s="1"/>
  <c r="G25" i="26" s="1"/>
  <c r="S4" i="17"/>
  <c r="AF6" i="17"/>
  <c r="U4" i="17"/>
  <c r="U4" i="18" s="1"/>
  <c r="U4" i="19" s="1"/>
  <c r="U4" i="20" s="1"/>
  <c r="U4" i="21" s="1"/>
  <c r="U4" i="22" s="1"/>
  <c r="U4" i="23" s="1"/>
  <c r="AC4" i="17"/>
  <c r="AC4" i="18" s="1"/>
  <c r="AC4" i="19" s="1"/>
  <c r="AC4" i="20" s="1"/>
  <c r="AC4" i="21" s="1"/>
  <c r="AC4" i="22" s="1"/>
  <c r="AC4" i="23" s="1"/>
  <c r="U6" i="17"/>
  <c r="U6" i="18" s="1"/>
  <c r="U6" i="19" s="1"/>
  <c r="U6" i="20" s="1"/>
  <c r="U5" i="21" s="1"/>
  <c r="U5" i="22" s="1"/>
  <c r="U5" i="23" s="1"/>
  <c r="U5" i="24" s="1"/>
  <c r="U5" i="25" s="1"/>
  <c r="T6" i="17"/>
  <c r="T6" i="18" s="1"/>
  <c r="T6" i="19" s="1"/>
  <c r="T6" i="20" s="1"/>
  <c r="T5" i="21" s="1"/>
  <c r="T5" i="22" s="1"/>
  <c r="T5" i="23" s="1"/>
  <c r="T5" i="24" s="1"/>
  <c r="T5" i="25" s="1"/>
  <c r="T5" i="17"/>
  <c r="AD5" i="17" s="1"/>
  <c r="AC5" i="18"/>
  <c r="AC7" i="17"/>
  <c r="U5" i="18"/>
  <c r="AC4" i="24"/>
  <c r="S5" i="18"/>
  <c r="S7" i="17"/>
  <c r="AF7" i="17"/>
  <c r="T7" i="17"/>
  <c r="T5" i="18" l="1"/>
  <c r="S4" i="18"/>
  <c r="AD4" i="17"/>
  <c r="AE4" i="17" s="1"/>
  <c r="AG4" i="17" s="1"/>
  <c r="AH4" i="17" s="1"/>
  <c r="AJ4" i="17" s="1"/>
  <c r="AL4" i="17" s="1"/>
  <c r="AD6" i="17"/>
  <c r="AE6" i="17" s="1"/>
  <c r="AG6" i="17" s="1"/>
  <c r="AH6" i="17" s="1"/>
  <c r="AJ6" i="17" s="1"/>
  <c r="AL6" i="17" s="1"/>
  <c r="S6" i="18"/>
  <c r="AF6" i="18"/>
  <c r="U7" i="17"/>
  <c r="E9" i="26"/>
  <c r="G26" i="26"/>
  <c r="D10" i="26"/>
  <c r="E8" i="26" s="1"/>
  <c r="AE5" i="17"/>
  <c r="S5" i="19"/>
  <c r="AD5" i="18"/>
  <c r="T5" i="19"/>
  <c r="U4" i="24"/>
  <c r="AC4" i="25"/>
  <c r="AC5" i="19"/>
  <c r="U5" i="19"/>
  <c r="AD4" i="18" l="1"/>
  <c r="AE4" i="18" s="1"/>
  <c r="S4" i="19"/>
  <c r="AD7" i="17"/>
  <c r="S6" i="19"/>
  <c r="AD6" i="18"/>
  <c r="AE6" i="18" s="1"/>
  <c r="AG6" i="18" s="1"/>
  <c r="AH6" i="18" s="1"/>
  <c r="AJ6" i="18" s="1"/>
  <c r="AL6" i="18" s="1"/>
  <c r="AF4" i="18"/>
  <c r="AG5" i="17"/>
  <c r="AE7" i="17"/>
  <c r="U4" i="25"/>
  <c r="AE5" i="18"/>
  <c r="AC5" i="20"/>
  <c r="T5" i="20"/>
  <c r="U5" i="20"/>
  <c r="S5" i="20"/>
  <c r="AD5" i="19"/>
  <c r="AG4" i="18" l="1"/>
  <c r="AH4" i="18" s="1"/>
  <c r="AJ4" i="18" s="1"/>
  <c r="AL4" i="18" s="1"/>
  <c r="AF4" i="19"/>
  <c r="AD4" i="19"/>
  <c r="AE4" i="19" s="1"/>
  <c r="AG4" i="19" s="1"/>
  <c r="AH4" i="19" s="1"/>
  <c r="AJ4" i="19" s="1"/>
  <c r="AL4" i="19" s="1"/>
  <c r="S4" i="20"/>
  <c r="AD6" i="19"/>
  <c r="AE6" i="19" s="1"/>
  <c r="S6" i="20"/>
  <c r="AF6" i="19"/>
  <c r="AE5" i="19"/>
  <c r="AD5" i="20"/>
  <c r="AH5" i="17"/>
  <c r="AG7" i="17"/>
  <c r="C12" i="17" s="1"/>
  <c r="AF5" i="18"/>
  <c r="AG5" i="18" s="1"/>
  <c r="S5" i="21" l="1"/>
  <c r="AD6" i="20"/>
  <c r="AE6" i="20" s="1"/>
  <c r="AF4" i="20"/>
  <c r="AD4" i="20"/>
  <c r="AE4" i="20" s="1"/>
  <c r="S4" i="21"/>
  <c r="AG6" i="19"/>
  <c r="AH6" i="19" s="1"/>
  <c r="AJ6" i="19" s="1"/>
  <c r="AL6" i="19" s="1"/>
  <c r="AH5" i="18"/>
  <c r="AJ5" i="17"/>
  <c r="AH7" i="17"/>
  <c r="AF5" i="19"/>
  <c r="AE5" i="20"/>
  <c r="S4" i="22" l="1"/>
  <c r="AD4" i="21"/>
  <c r="AE4" i="21" s="1"/>
  <c r="S5" i="22"/>
  <c r="AD5" i="21"/>
  <c r="AE5" i="21" s="1"/>
  <c r="AG4" i="20"/>
  <c r="AH4" i="20" s="1"/>
  <c r="AJ4" i="20" s="1"/>
  <c r="AL4" i="20" s="1"/>
  <c r="AF4" i="21"/>
  <c r="AF6" i="20"/>
  <c r="AL5" i="17"/>
  <c r="AL7" i="17" s="1"/>
  <c r="AJ7" i="17"/>
  <c r="B12" i="17" s="1"/>
  <c r="E12" i="17" s="1"/>
  <c r="AG5" i="19"/>
  <c r="AJ5" i="18"/>
  <c r="AG4" i="21" l="1"/>
  <c r="AH4" i="21" s="1"/>
  <c r="AJ4" i="21" s="1"/>
  <c r="AL4" i="21" s="1"/>
  <c r="AF4" i="22"/>
  <c r="AD4" i="22"/>
  <c r="AE4" i="22" s="1"/>
  <c r="S4" i="23"/>
  <c r="S5" i="23"/>
  <c r="AD5" i="22"/>
  <c r="AE5" i="22" s="1"/>
  <c r="AG6" i="20"/>
  <c r="AH6" i="20" s="1"/>
  <c r="AJ6" i="20" s="1"/>
  <c r="AL6" i="20" s="1"/>
  <c r="AH5" i="19"/>
  <c r="AF5" i="20"/>
  <c r="AL5" i="18"/>
  <c r="U7" i="18"/>
  <c r="S7" i="18"/>
  <c r="T7" i="18"/>
  <c r="AC7" i="18"/>
  <c r="AF7" i="18"/>
  <c r="AD5" i="23" l="1"/>
  <c r="AE5" i="23" s="1"/>
  <c r="S5" i="24"/>
  <c r="AG4" i="22"/>
  <c r="AH4" i="22" s="1"/>
  <c r="AJ4" i="22" s="1"/>
  <c r="AL4" i="22" s="1"/>
  <c r="AF4" i="23"/>
  <c r="AD4" i="23"/>
  <c r="AE4" i="23" s="1"/>
  <c r="S4" i="24"/>
  <c r="AF5" i="21"/>
  <c r="AF8" i="18"/>
  <c r="AC7" i="19"/>
  <c r="AC8" i="18"/>
  <c r="AJ5" i="19"/>
  <c r="T7" i="19"/>
  <c r="T8" i="18"/>
  <c r="U7" i="19"/>
  <c r="U8" i="18"/>
  <c r="S7" i="19"/>
  <c r="AD7" i="18"/>
  <c r="S8" i="18"/>
  <c r="AG5" i="20"/>
  <c r="AF5" i="22" l="1"/>
  <c r="AG5" i="21"/>
  <c r="AH5" i="21" s="1"/>
  <c r="AJ5" i="21" s="1"/>
  <c r="AL5" i="21" s="1"/>
  <c r="AD4" i="24"/>
  <c r="AE4" i="24" s="1"/>
  <c r="S4" i="25"/>
  <c r="AD4" i="25" s="1"/>
  <c r="AE4" i="25" s="1"/>
  <c r="AD5" i="24"/>
  <c r="AE5" i="24" s="1"/>
  <c r="S5" i="25"/>
  <c r="AD5" i="25" s="1"/>
  <c r="AE5" i="25" s="1"/>
  <c r="AG4" i="23"/>
  <c r="AH4" i="23" s="1"/>
  <c r="AJ4" i="23" s="1"/>
  <c r="AL4" i="23" s="1"/>
  <c r="AF4" i="24"/>
  <c r="AC7" i="20"/>
  <c r="AC8" i="19"/>
  <c r="AH5" i="20"/>
  <c r="S7" i="20"/>
  <c r="AD7" i="19"/>
  <c r="S8" i="19"/>
  <c r="T7" i="20"/>
  <c r="T8" i="19"/>
  <c r="AE7" i="18"/>
  <c r="AD8" i="18"/>
  <c r="AL5" i="19"/>
  <c r="U7" i="20"/>
  <c r="U8" i="19"/>
  <c r="AG4" i="24" l="1"/>
  <c r="AH4" i="24" s="1"/>
  <c r="AJ4" i="24" s="1"/>
  <c r="AL4" i="24" s="1"/>
  <c r="AF4" i="25"/>
  <c r="AG4" i="25" s="1"/>
  <c r="AH4" i="25" s="1"/>
  <c r="AJ4" i="25" s="1"/>
  <c r="AL4" i="25" s="1"/>
  <c r="AF5" i="23"/>
  <c r="AG5" i="22"/>
  <c r="AH5" i="22" s="1"/>
  <c r="AJ5" i="22" s="1"/>
  <c r="AL5" i="22" s="1"/>
  <c r="AG7" i="18"/>
  <c r="AE8" i="18"/>
  <c r="AJ5" i="20"/>
  <c r="AE7" i="19"/>
  <c r="AD8" i="19"/>
  <c r="U6" i="21"/>
  <c r="T6" i="21"/>
  <c r="AD7" i="20"/>
  <c r="S6" i="21"/>
  <c r="AC6" i="21"/>
  <c r="AF5" i="24" l="1"/>
  <c r="AG5" i="24" s="1"/>
  <c r="AG5" i="23"/>
  <c r="AH5" i="23" s="1"/>
  <c r="AJ5" i="23" s="1"/>
  <c r="AL5" i="23" s="1"/>
  <c r="S6" i="22"/>
  <c r="AD6" i="21"/>
  <c r="AC6" i="22"/>
  <c r="U6" i="22"/>
  <c r="AL5" i="20"/>
  <c r="AE8" i="19"/>
  <c r="AE7" i="20"/>
  <c r="AH7" i="18"/>
  <c r="AG8" i="18"/>
  <c r="C13" i="18" s="1"/>
  <c r="AF7" i="19"/>
  <c r="T6" i="22"/>
  <c r="AF5" i="25" l="1"/>
  <c r="AG5" i="25" s="1"/>
  <c r="AH5" i="25" s="1"/>
  <c r="AJ5" i="25" s="1"/>
  <c r="AL5" i="25" s="1"/>
  <c r="AH5" i="24"/>
  <c r="AJ5" i="24" s="1"/>
  <c r="AL5" i="24" s="1"/>
  <c r="AF8" i="19"/>
  <c r="AC6" i="23"/>
  <c r="AJ7" i="18"/>
  <c r="AH8" i="18"/>
  <c r="AG7" i="19"/>
  <c r="U6" i="23"/>
  <c r="AE6" i="21"/>
  <c r="T6" i="23"/>
  <c r="AD6" i="22"/>
  <c r="S6" i="23"/>
  <c r="U7" i="24" l="1"/>
  <c r="U7" i="25" s="1"/>
  <c r="AC7" i="24"/>
  <c r="AC7" i="25" s="1"/>
  <c r="S7" i="24"/>
  <c r="AD6" i="23"/>
  <c r="T7" i="24"/>
  <c r="T7" i="25" s="1"/>
  <c r="AH7" i="19"/>
  <c r="AG8" i="19"/>
  <c r="C13" i="19" s="1"/>
  <c r="AE6" i="22"/>
  <c r="AL7" i="18"/>
  <c r="AL8" i="18" s="1"/>
  <c r="AJ8" i="18"/>
  <c r="B13" i="18" s="1"/>
  <c r="E13" i="18" s="1"/>
  <c r="AF7" i="20"/>
  <c r="AG7" i="20" l="1"/>
  <c r="AE6" i="23"/>
  <c r="AJ7" i="19"/>
  <c r="AH8" i="19"/>
  <c r="S7" i="25"/>
  <c r="AD7" i="25" s="1"/>
  <c r="AE7" i="25" s="1"/>
  <c r="AD7" i="24"/>
  <c r="AE7" i="24" s="1"/>
  <c r="AH7" i="20" l="1"/>
  <c r="AL7" i="19"/>
  <c r="AL8" i="19" s="1"/>
  <c r="AJ8" i="19"/>
  <c r="B13" i="19" s="1"/>
  <c r="E13" i="19" s="1"/>
  <c r="AF6" i="21"/>
  <c r="AC8" i="20" l="1"/>
  <c r="S8" i="20"/>
  <c r="AF8" i="20"/>
  <c r="U8" i="20"/>
  <c r="T8" i="20"/>
  <c r="AG6" i="21"/>
  <c r="AF6" i="22" s="1"/>
  <c r="AJ7" i="20"/>
  <c r="AG6" i="22" l="1"/>
  <c r="U7" i="21"/>
  <c r="U9" i="20"/>
  <c r="AF9" i="20"/>
  <c r="S7" i="21"/>
  <c r="AD8" i="20"/>
  <c r="S9" i="20"/>
  <c r="AH6" i="21"/>
  <c r="AL7" i="20"/>
  <c r="T7" i="21"/>
  <c r="T9" i="20"/>
  <c r="AC7" i="21"/>
  <c r="AC9" i="20"/>
  <c r="U7" i="22" l="1"/>
  <c r="U8" i="21"/>
  <c r="T7" i="22"/>
  <c r="T8" i="21"/>
  <c r="AH6" i="22"/>
  <c r="S7" i="22"/>
  <c r="AD7" i="21"/>
  <c r="S8" i="21"/>
  <c r="AJ6" i="21"/>
  <c r="AC7" i="22"/>
  <c r="AC8" i="21"/>
  <c r="AE8" i="20"/>
  <c r="AD9" i="20"/>
  <c r="AF6" i="23"/>
  <c r="AE7" i="21" l="1"/>
  <c r="AD8" i="21"/>
  <c r="S7" i="23"/>
  <c r="AD7" i="22"/>
  <c r="S8" i="22"/>
  <c r="T7" i="23"/>
  <c r="T8" i="22"/>
  <c r="AL6" i="21"/>
  <c r="AC7" i="23"/>
  <c r="AC8" i="22"/>
  <c r="AG8" i="20"/>
  <c r="AE9" i="20"/>
  <c r="AG6" i="23"/>
  <c r="AJ6" i="22"/>
  <c r="U7" i="23"/>
  <c r="U8" i="22"/>
  <c r="AH6" i="23" l="1"/>
  <c r="AE7" i="22"/>
  <c r="AD8" i="22"/>
  <c r="U6" i="24"/>
  <c r="U8" i="23"/>
  <c r="AF7" i="24"/>
  <c r="AC6" i="24"/>
  <c r="AC8" i="23"/>
  <c r="T6" i="24"/>
  <c r="T8" i="23"/>
  <c r="AH8" i="20"/>
  <c r="AG9" i="20"/>
  <c r="C14" i="20" s="1"/>
  <c r="AF7" i="21"/>
  <c r="AG7" i="21" s="1"/>
  <c r="AD7" i="23"/>
  <c r="S6" i="24"/>
  <c r="S8" i="23"/>
  <c r="AL6" i="22"/>
  <c r="AE8" i="21"/>
  <c r="AE7" i="23" l="1"/>
  <c r="AD8" i="23"/>
  <c r="AJ8" i="20"/>
  <c r="AH9" i="20"/>
  <c r="AE8" i="22"/>
  <c r="AF7" i="22"/>
  <c r="AF8" i="21"/>
  <c r="T6" i="25"/>
  <c r="AC6" i="25"/>
  <c r="AG7" i="24"/>
  <c r="AH7" i="24" s="1"/>
  <c r="AJ7" i="24" s="1"/>
  <c r="AL7" i="24" s="1"/>
  <c r="AH7" i="21"/>
  <c r="AG8" i="21"/>
  <c r="C13" i="21" s="1"/>
  <c r="S6" i="25"/>
  <c r="AD6" i="24"/>
  <c r="U6" i="25"/>
  <c r="AJ6" i="23"/>
  <c r="AF8" i="22" l="1"/>
  <c r="AL6" i="23"/>
  <c r="AE6" i="24"/>
  <c r="AL8" i="20"/>
  <c r="AL9" i="20" s="1"/>
  <c r="AJ9" i="20"/>
  <c r="B14" i="20" s="1"/>
  <c r="E14" i="20" s="1"/>
  <c r="AD6" i="25"/>
  <c r="AF7" i="25"/>
  <c r="AG7" i="25" s="1"/>
  <c r="AH7" i="25" s="1"/>
  <c r="AJ7" i="25" s="1"/>
  <c r="AL7" i="25" s="1"/>
  <c r="AG7" i="22"/>
  <c r="AJ7" i="21"/>
  <c r="AH8" i="21"/>
  <c r="AE8" i="23"/>
  <c r="AL7" i="21" l="1"/>
  <c r="AL8" i="21" s="1"/>
  <c r="AJ8" i="21"/>
  <c r="B13" i="21" s="1"/>
  <c r="E13" i="21" s="1"/>
  <c r="AH7" i="22"/>
  <c r="AG8" i="22"/>
  <c r="C13" i="22" s="1"/>
  <c r="AE6" i="25"/>
  <c r="AF7" i="23"/>
  <c r="AJ7" i="22" l="1"/>
  <c r="AH8" i="22"/>
  <c r="AF6" i="24"/>
  <c r="AF8" i="23"/>
  <c r="AG7" i="23"/>
  <c r="AH7" i="23" l="1"/>
  <c r="AG8" i="23"/>
  <c r="C13" i="23" s="1"/>
  <c r="AF6" i="25"/>
  <c r="AG6" i="24"/>
  <c r="AL7" i="22"/>
  <c r="AL8" i="22" s="1"/>
  <c r="AJ8" i="22"/>
  <c r="B13" i="22" s="1"/>
  <c r="E13" i="22" s="1"/>
  <c r="AG6" i="25" l="1"/>
  <c r="AH6" i="24"/>
  <c r="AJ7" i="23"/>
  <c r="AH8" i="23"/>
  <c r="AJ6" i="24" l="1"/>
  <c r="AH6" i="25"/>
  <c r="AL7" i="23"/>
  <c r="AL8" i="23" s="1"/>
  <c r="AJ8" i="23"/>
  <c r="B13" i="23" s="1"/>
  <c r="E13" i="23" s="1"/>
  <c r="AJ6" i="25" l="1"/>
  <c r="AC8" i="24"/>
  <c r="S8" i="24"/>
  <c r="AF8" i="24"/>
  <c r="T8" i="24"/>
  <c r="U8" i="24"/>
  <c r="AL6" i="24"/>
  <c r="U8" i="25" l="1"/>
  <c r="U9" i="25" s="1"/>
  <c r="U9" i="24"/>
  <c r="AC8" i="25"/>
  <c r="AC9" i="25" s="1"/>
  <c r="AC9" i="24"/>
  <c r="T8" i="25"/>
  <c r="T9" i="25" s="1"/>
  <c r="T9" i="24"/>
  <c r="S8" i="25"/>
  <c r="AD8" i="24"/>
  <c r="S9" i="24"/>
  <c r="AF9" i="24"/>
  <c r="AL6" i="25"/>
  <c r="AD8" i="25" l="1"/>
  <c r="S9" i="25"/>
  <c r="AE8" i="24"/>
  <c r="AD9" i="24"/>
  <c r="AG8" i="24" l="1"/>
  <c r="AE9" i="24"/>
  <c r="AE8" i="25"/>
  <c r="AD9" i="25"/>
  <c r="AE9" i="25" l="1"/>
  <c r="AH8" i="24"/>
  <c r="AG9" i="24"/>
  <c r="C14" i="24" s="1"/>
  <c r="AF8" i="25"/>
  <c r="AF9" i="25" s="1"/>
  <c r="AJ8" i="24" l="1"/>
  <c r="AH9" i="24"/>
  <c r="AG8" i="25"/>
  <c r="AH8" i="25" l="1"/>
  <c r="AG9" i="25"/>
  <c r="C14" i="25" s="1"/>
  <c r="AL8" i="24"/>
  <c r="AL9" i="24" s="1"/>
  <c r="AJ9" i="24"/>
  <c r="B14" i="24" s="1"/>
  <c r="E14" i="24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<sst xmlns="http://schemas.openxmlformats.org/spreadsheetml/2006/main" count="1757" uniqueCount="292">
  <si>
    <t>付款通知书</t>
  </si>
  <si>
    <t>尊敬的客户：北京创联致信科技有限公司</t>
  </si>
  <si>
    <t>根据贵公司与我公司所签订的服务协议，请贵公司在2022年3月15日之前按照下列表格内容支付相关款项.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</si>
  <si>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</si>
  <si>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</si>
  <si>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</si>
  <si>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</si>
  <si>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</si>
  <si>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</si>
  <si>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</si>
  <si>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</si>
  <si>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</si>
  <si>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</si>
  <si>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</si>
  <si>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</si>
  <si>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</si>
  <si>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</si>
  <si>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</si>
  <si>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</si>
  <si>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</si>
  <si>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</si>
  <si>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</si>
  <si>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</si>
  <si>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</si>
  <si>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</si>
  <si>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</si>
  <si>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</si>
  <si>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</si>
  <si>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</si>
  <si>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</si>
  <si>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</si>
  <si>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</si>
  <si>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</si>
  <si>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</si>
  <si>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余额</t>
  </si>
  <si>
    <t>2月社保多打费用</t>
  </si>
  <si>
    <t>抵扣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</si>
  <si>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</si>
  <si>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</si>
  <si>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</si>
  <si>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</si>
  <si>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</si>
  <si>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</si>
  <si>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</si>
  <si>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</si>
  <si>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</si>
  <si>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</si>
  <si>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</si>
  <si>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</si>
  <si>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</si>
  <si>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</si>
  <si>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</si>
  <si>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</si>
  <si>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</si>
  <si>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</si>
  <si>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</si>
  <si>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</si>
  <si>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</si>
  <si>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</si>
  <si>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</si>
  <si>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</si>
  <si>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</si>
  <si>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</si>
  <si>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</si>
  <si>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</si>
  <si>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</si>
  <si>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</si>
  <si>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</si>
  <si>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</si>
  <si>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</si>
  <si>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</si>
  <si>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</si>
  <si>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</si>
  <si>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</si>
  <si>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</si>
  <si>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</si>
  <si>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</si>
  <si>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</si>
  <si>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</si>
  <si>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</si>
  <si>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</si>
  <si>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</si>
  <si>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</si>
  <si>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</si>
  <si>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</si>
  <si>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</si>
  <si>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</si>
  <si>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</si>
  <si>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</si>
  <si>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</si>
  <si>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</si>
  <si>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</si>
  <si>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</si>
  <si>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</si>
  <si>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</si>
  <si>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</si>
  <si>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</si>
  <si>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</si>
  <si>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</si>
  <si>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</si>
  <si>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</si>
  <si>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</si>
  <si>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</si>
  <si>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</si>
  <si>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</si>
  <si>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</si>
  <si>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</si>
  <si>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</si>
  <si>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</si>
  <si>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</si>
  <si>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</si>
  <si>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</si>
  <si>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</si>
  <si>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</si>
  <si>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</si>
  <si>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</si>
  <si>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</si>
  <si>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</si>
  <si>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</si>
  <si>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</si>
  <si>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</si>
  <si>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</si>
  <si>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</si>
  <si>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</si>
  <si>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</si>
  <si>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</si>
  <si>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</si>
  <si>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</si>
  <si>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</si>
  <si>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</si>
  <si>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</si>
  <si>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</si>
  <si>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</si>
  <si>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</si>
  <si>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</si>
  <si>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</si>
  <si>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</si>
  <si>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</si>
  <si>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</si>
  <si>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</si>
  <si>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</si>
  <si>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</si>
  <si>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</si>
  <si>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</si>
  <si>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</si>
  <si>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</si>
  <si>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</si>
  <si>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</si>
  <si>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</si>
  <si>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</si>
  <si>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身份证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</si>
  <si>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</si>
  <si>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</si>
  <si>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</si>
  <si>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</si>
  <si>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</si>
  <si>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</si>
  <si>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</si>
  <si>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</si>
  <si>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</si>
  <si>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</si>
  <si>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</si>
  <si>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</si>
  <si>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莫文太</t>
  </si>
  <si>
    <t>430822198211098211</t>
  </si>
  <si>
    <t>202203</t>
  </si>
  <si>
    <t>202204</t>
  </si>
  <si>
    <t>长沙</t>
  </si>
  <si>
    <t>谢锋明</t>
  </si>
  <si>
    <t>43022319780815051X</t>
  </si>
  <si>
    <t>梁敏霞</t>
  </si>
  <si>
    <t>440883199611084547</t>
  </si>
  <si>
    <t>郑州</t>
  </si>
  <si>
    <t>楚华锋</t>
  </si>
  <si>
    <t>410183199311189538</t>
  </si>
  <si>
    <t>202201</t>
  </si>
  <si>
    <t>202201起缴</t>
  </si>
  <si>
    <t>张铭</t>
  </si>
  <si>
    <t>411402199905127632</t>
  </si>
  <si>
    <t>王明贤</t>
  </si>
  <si>
    <t>411322199302132416</t>
  </si>
  <si>
    <t>何仪华</t>
  </si>
  <si>
    <t>412726198606097916</t>
  </si>
  <si>
    <t>医疗生育基数为3197，补收基数差</t>
  </si>
  <si>
    <t>男</t>
  </si>
  <si>
    <t>女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</si>
  <si>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</si>
  <si>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</si>
  <si>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</si>
  <si>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</si>
  <si>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</si>
  <si>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</si>
  <si>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</si>
  <si>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</si>
  <si>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</si>
  <si>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</si>
  <si>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</si>
  <si>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</si>
  <si>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</si>
  <si>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</si>
  <si>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</si>
  <si>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</si>
  <si>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</si>
  <si>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</si>
  <si>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</si>
  <si>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</si>
  <si>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</si>
  <si>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</si>
  <si>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</si>
  <si>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</si>
  <si>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</si>
  <si>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</si>
  <si>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</si>
  <si>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</si>
  <si>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</si>
  <si>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</si>
  <si>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</si>
  <si>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</si>
  <si>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</si>
  <si>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</si>
  <si>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</si>
  <si>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</si>
  <si>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</si>
  <si>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</si>
  <si>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</si>
  <si>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</si>
  <si>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</si>
  <si>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</si>
  <si>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</si>
  <si>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</si>
  <si>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</si>
  <si>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</si>
  <si>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</si>
  <si>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创联致信（上月工资上月社保账单费用）</t>
  </si>
  <si>
    <t>622848 0018992539579</t>
  </si>
  <si>
    <t>中国农业银行北京永丰路支行</t>
  </si>
  <si>
    <t>农行</t>
  </si>
  <si>
    <t>周江</t>
  </si>
  <si>
    <t>421222200004074811</t>
  </si>
  <si>
    <t>福建</t>
  </si>
  <si>
    <t>福州</t>
  </si>
  <si>
    <t>农村</t>
  </si>
  <si>
    <t>李成飞</t>
  </si>
  <si>
    <t>340323198606126974</t>
  </si>
  <si>
    <t>合肥</t>
  </si>
  <si>
    <t>李凯</t>
  </si>
  <si>
    <t>340621199101107530</t>
  </si>
  <si>
    <t>城镇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</si>
  <si>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</si>
  <si>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</si>
  <si>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</si>
  <si>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</si>
  <si>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</si>
  <si>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</si>
  <si>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</si>
  <si>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</si>
  <si>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此人申请贷款中，目前公积金不能动。</t>
  </si>
  <si>
    <t>王笑飞</t>
  </si>
  <si>
    <t>341224199206198211</t>
  </si>
  <si>
    <t>吴胜</t>
  </si>
  <si>
    <t>340881199006102632</t>
  </si>
  <si>
    <t>于森</t>
  </si>
  <si>
    <t>342221199307075538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</si>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</sst>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[DBNum2][$-804]General"/>
    <numFmt numFmtId="179" formatCode="&quot;$&quot;#,##0_ ;[Red]\-&quot;$&quot;#,##0_ "/>
    <numFmt numFmtId="180" formatCode="0.00_ "/>
    <numFmt numFmtId="181" formatCode="0_);[Red]\(0\)"/>
    <numFmt numFmtId="182" formatCode="[$-10432]yyyy/mm/dd;@"/>
    <numFmt numFmtId="183" formatCode="0.00_);[Red]\(0.00\)"/>
    <numFmt numFmtId="184" formatCode="#,##0_);[Red]\(#,##0\)"/>
    <numFmt numFmtId="185" formatCode="#,##0.00_);[Red]\(#,##0.00\)"/>
    <numFmt numFmtId="186" formatCode="0.00;[Red]0.00"/>
    <numFmt numFmtId="187" formatCode="&quot;$&quot;0_ "/>
    <numFmt numFmtId="188" formatCode="General\ &quot;年&quot;"/>
    <numFmt numFmtId="189" formatCode="0.00_);\(0.00\)"/>
  </numFmts>
  <fonts count="112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.5"/>
      <color rgb="FF191F25"/>
      <name val="宋体"/>
      <family val="3"/>
      <charset val="134"/>
    </font>
    <font>
      <sz val="10"/>
      <color rgb="FF171A1D"/>
      <name val="Segoe UI"/>
      <family val="2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Geneva"/>
      <family val="1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3">
    <xf numFmtId="0" fontId="0" fillId="0" borderId="0">
      <alignment vertical="center"/>
    </xf>
    <xf numFmtId="0" fontId="90" fillId="15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74" fillId="0" borderId="0">
      <alignment vertical="center"/>
    </xf>
    <xf numFmtId="0" fontId="89" fillId="0" borderId="4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8" fillId="0" borderId="0"/>
    <xf numFmtId="0" fontId="96" fillId="14" borderId="50" applyNumberFormat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1" fillId="0" borderId="0"/>
    <xf numFmtId="0" fontId="9" fillId="28" borderId="56" applyNumberFormat="0" applyFon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8" fillId="0" borderId="0">
      <alignment vertical="center"/>
    </xf>
    <xf numFmtId="0" fontId="9" fillId="28" borderId="56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8" fillId="0" borderId="0">
      <alignment vertical="center"/>
    </xf>
    <xf numFmtId="0" fontId="88" fillId="14" borderId="48" applyNumberFormat="0" applyAlignment="0" applyProtection="0">
      <alignment vertical="center"/>
    </xf>
    <xf numFmtId="0" fontId="98" fillId="0" borderId="0"/>
    <xf numFmtId="0" fontId="94" fillId="4" borderId="51" applyNumberForma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74" fillId="0" borderId="0"/>
    <xf numFmtId="0" fontId="9" fillId="25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74" fillId="0" borderId="0"/>
    <xf numFmtId="0" fontId="9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4" fillId="0" borderId="0"/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8" fillId="0" borderId="0">
      <alignment vertical="center"/>
    </xf>
    <xf numFmtId="0" fontId="102" fillId="21" borderId="0" applyNumberFormat="0" applyBorder="0" applyAlignment="0" applyProtection="0">
      <alignment vertical="center"/>
    </xf>
    <xf numFmtId="0" fontId="74" fillId="0" borderId="0"/>
    <xf numFmtId="0" fontId="9" fillId="18" borderId="0" applyNumberFormat="0" applyBorder="0" applyAlignment="0" applyProtection="0">
      <alignment vertical="center"/>
    </xf>
    <xf numFmtId="0" fontId="98" fillId="0" borderId="0"/>
    <xf numFmtId="0" fontId="9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/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3" fillId="20" borderId="5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/>
    <xf numFmtId="0" fontId="9" fillId="13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0" borderId="0"/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176" fontId="98" fillId="0" borderId="0"/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8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18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9" fillId="0" borderId="0">
      <alignment vertical="center"/>
    </xf>
    <xf numFmtId="0" fontId="102" fillId="21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" fillId="0" borderId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6" fillId="0" borderId="0"/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" fillId="0" borderId="0">
      <alignment vertical="center"/>
    </xf>
    <xf numFmtId="0" fontId="9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8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3" fillId="20" borderId="50" applyNumberFormat="0" applyAlignment="0" applyProtection="0">
      <alignment vertical="center"/>
    </xf>
    <xf numFmtId="0" fontId="98" fillId="0" borderId="0">
      <alignment vertical="center"/>
    </xf>
    <xf numFmtId="0" fontId="93" fillId="20" borderId="50" applyNumberFormat="0" applyAlignment="0" applyProtection="0">
      <alignment vertical="center"/>
    </xf>
    <xf numFmtId="0" fontId="106" fillId="0" borderId="0"/>
    <xf numFmtId="0" fontId="17" fillId="0" borderId="0">
      <alignment vertical="center"/>
    </xf>
    <xf numFmtId="0" fontId="9" fillId="0" borderId="0"/>
    <xf numFmtId="0" fontId="7" fillId="0" borderId="0">
      <alignment vertical="center"/>
    </xf>
    <xf numFmtId="0" fontId="93" fillId="20" borderId="50" applyNumberFormat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90" fillId="31" borderId="0" applyNumberFormat="0" applyBorder="0" applyAlignment="0" applyProtection="0">
      <alignment vertical="center"/>
    </xf>
    <xf numFmtId="0" fontId="9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" fillId="0" borderId="0">
      <alignment vertical="center"/>
    </xf>
    <xf numFmtId="0" fontId="9" fillId="0" borderId="0">
      <alignment vertical="center"/>
    </xf>
    <xf numFmtId="0" fontId="10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" fillId="0" borderId="0">
      <alignment vertical="center"/>
    </xf>
    <xf numFmtId="0" fontId="93" fillId="20" borderId="50" applyNumberFormat="0" applyAlignment="0" applyProtection="0">
      <alignment vertical="center"/>
    </xf>
    <xf numFmtId="0" fontId="98" fillId="0" borderId="0"/>
    <xf numFmtId="0" fontId="74" fillId="0" borderId="0">
      <alignment vertical="center"/>
    </xf>
    <xf numFmtId="0" fontId="90" fillId="17" borderId="0" applyNumberFormat="0" applyBorder="0" applyAlignment="0" applyProtection="0">
      <alignment vertical="center"/>
    </xf>
    <xf numFmtId="0" fontId="110" fillId="0" borderId="0">
      <alignment vertical="center"/>
    </xf>
    <xf numFmtId="0" fontId="106" fillId="0" borderId="0"/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74" fillId="0" borderId="0"/>
    <xf numFmtId="0" fontId="94" fillId="4" borderId="51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1" fillId="0" borderId="0"/>
    <xf numFmtId="0" fontId="93" fillId="20" borderId="50" applyNumberFormat="0" applyAlignment="0" applyProtection="0">
      <alignment vertical="center"/>
    </xf>
    <xf numFmtId="0" fontId="91" fillId="0" borderId="0"/>
    <xf numFmtId="0" fontId="93" fillId="20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103" fillId="0" borderId="0"/>
    <xf numFmtId="0" fontId="74" fillId="0" borderId="0"/>
    <xf numFmtId="0" fontId="91" fillId="0" borderId="0"/>
    <xf numFmtId="0" fontId="91" fillId="0" borderId="0"/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8" fillId="0" borderId="0"/>
    <xf numFmtId="0" fontId="104" fillId="0" borderId="0" applyNumberFormat="0" applyFill="0" applyBorder="0" applyAlignment="0" applyProtection="0">
      <alignment vertical="center"/>
    </xf>
    <xf numFmtId="38" fontId="98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NumberFormat="1" applyFont="1" applyFill="1" applyBorder="1" applyAlignment="1" applyProtection="1">
      <alignment horizontal="left" vertical="center"/>
      <protection locked="0"/>
    </xf>
    <xf numFmtId="49" fontId="8" fillId="5" borderId="6" xfId="318" applyNumberFormat="1" applyFont="1" applyFill="1" applyBorder="1" applyAlignment="1" applyProtection="1">
      <alignment horizontal="center" vertical="center" wrapText="1"/>
    </xf>
    <xf numFmtId="0" fontId="9" fillId="0" borderId="0" xfId="262" applyBorder="1">
      <alignment vertical="center"/>
    </xf>
    <xf numFmtId="0" fontId="10" fillId="0" borderId="0" xfId="262" applyNumberFormat="1" applyFont="1" applyFill="1" applyBorder="1" applyAlignment="1" applyProtection="1">
      <alignment horizontal="center" vertical="center"/>
    </xf>
    <xf numFmtId="0" fontId="9" fillId="0" borderId="0" xfId="262" applyFill="1">
      <alignment vertical="center"/>
    </xf>
    <xf numFmtId="0" fontId="9" fillId="0" borderId="0" xfId="262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262">
      <alignment vertical="center"/>
    </xf>
    <xf numFmtId="0" fontId="9" fillId="0" borderId="0" xfId="262" applyNumberFormat="1">
      <alignment vertical="center"/>
    </xf>
    <xf numFmtId="0" fontId="9" fillId="0" borderId="0" xfId="262" applyNumberFormat="1" applyAlignment="1">
      <alignment horizontal="center" vertical="center"/>
    </xf>
    <xf numFmtId="14" fontId="9" fillId="0" borderId="0" xfId="262" applyNumberFormat="1">
      <alignment vertical="center"/>
    </xf>
    <xf numFmtId="183" fontId="9" fillId="0" borderId="0" xfId="262" applyNumberFormat="1">
      <alignment vertical="center"/>
    </xf>
    <xf numFmtId="184" fontId="11" fillId="0" borderId="0" xfId="62" applyNumberFormat="1" applyFont="1" applyFill="1" applyBorder="1" applyAlignment="1" applyProtection="1">
      <alignment vertical="center"/>
    </xf>
    <xf numFmtId="184" fontId="12" fillId="0" borderId="0" xfId="62" applyNumberFormat="1" applyFont="1" applyFill="1" applyBorder="1" applyAlignment="1" applyProtection="1">
      <alignment vertical="center"/>
    </xf>
    <xf numFmtId="184" fontId="13" fillId="0" borderId="0" xfId="62" applyNumberFormat="1" applyFont="1" applyFill="1" applyBorder="1" applyAlignment="1" applyProtection="1">
      <alignment vertical="center"/>
    </xf>
    <xf numFmtId="184" fontId="13" fillId="0" borderId="0" xfId="62" applyNumberFormat="1" applyFont="1" applyFill="1" applyBorder="1" applyAlignment="1" applyProtection="1">
      <alignment horizontal="center" vertical="top"/>
    </xf>
    <xf numFmtId="0" fontId="9" fillId="0" borderId="0" xfId="262" applyNumberFormat="1" applyFont="1" applyFill="1" applyBorder="1" applyAlignment="1" applyProtection="1">
      <alignment horizontal="center" vertical="center"/>
    </xf>
    <xf numFmtId="0" fontId="9" fillId="0" borderId="0" xfId="262" applyNumberFormat="1" applyBorder="1" applyAlignment="1">
      <alignment horizontal="center" vertical="center"/>
    </xf>
    <xf numFmtId="184" fontId="7" fillId="0" borderId="10" xfId="262" applyNumberFormat="1" applyFont="1" applyFill="1" applyBorder="1" applyAlignment="1" applyProtection="1">
      <alignment horizontal="center" vertical="center"/>
    </xf>
    <xf numFmtId="0" fontId="17" fillId="0" borderId="6" xfId="262" applyFont="1" applyFill="1" applyBorder="1" applyAlignment="1">
      <alignment horizontal="center" vertical="center" wrapText="1"/>
    </xf>
    <xf numFmtId="49" fontId="18" fillId="7" borderId="11" xfId="262" applyNumberFormat="1" applyFont="1" applyFill="1" applyBorder="1" applyAlignment="1">
      <alignment horizontal="center" vertical="center" wrapText="1"/>
    </xf>
    <xf numFmtId="0" fontId="9" fillId="0" borderId="6" xfId="262" applyNumberFormat="1" applyFill="1" applyBorder="1" applyAlignment="1">
      <alignment horizontal="center" vertical="center"/>
    </xf>
    <xf numFmtId="0" fontId="9" fillId="0" borderId="11" xfId="262" applyFill="1" applyBorder="1">
      <alignment vertical="center"/>
    </xf>
    <xf numFmtId="0" fontId="19" fillId="8" borderId="6" xfId="226" applyFont="1" applyFill="1" applyBorder="1" applyAlignment="1">
      <alignment horizontal="left" vertical="center"/>
    </xf>
    <xf numFmtId="49" fontId="19" fillId="0" borderId="6" xfId="226" applyNumberFormat="1" applyFont="1" applyBorder="1" applyAlignment="1" applyProtection="1">
      <protection locked="0"/>
    </xf>
    <xf numFmtId="0" fontId="9" fillId="0" borderId="6" xfId="262" applyNumberFormat="1" applyFont="1" applyFill="1" applyBorder="1" applyAlignment="1">
      <alignment horizontal="center" vertical="center"/>
    </xf>
    <xf numFmtId="0" fontId="9" fillId="0" borderId="11" xfId="262" applyFont="1" applyFill="1" applyBorder="1" applyAlignment="1">
      <alignment vertical="center"/>
    </xf>
    <xf numFmtId="184" fontId="7" fillId="7" borderId="10" xfId="262" applyNumberFormat="1" applyFont="1" applyFill="1" applyBorder="1" applyAlignment="1" applyProtection="1">
      <alignment horizontal="center" vertical="center" shrinkToFit="1"/>
    </xf>
    <xf numFmtId="184" fontId="20" fillId="7" borderId="6" xfId="262" applyNumberFormat="1" applyFont="1" applyFill="1" applyBorder="1" applyAlignment="1" applyProtection="1">
      <alignment horizontal="center" vertical="center" shrinkToFit="1"/>
    </xf>
    <xf numFmtId="184" fontId="20" fillId="7" borderId="6" xfId="262" applyNumberFormat="1" applyFont="1" applyFill="1" applyBorder="1" applyAlignment="1" applyProtection="1">
      <alignment horizontal="center" vertical="top" shrinkToFit="1"/>
    </xf>
    <xf numFmtId="0" fontId="18" fillId="7" borderId="6" xfId="262" applyNumberFormat="1" applyFont="1" applyFill="1" applyBorder="1" applyAlignment="1">
      <alignment horizontal="center" vertical="center" shrinkToFit="1"/>
    </xf>
    <xf numFmtId="0" fontId="9" fillId="7" borderId="6" xfId="262" applyNumberFormat="1" applyFont="1" applyFill="1" applyBorder="1" applyAlignment="1" applyProtection="1">
      <alignment horizontal="center" vertical="center" shrinkToFit="1"/>
    </xf>
    <xf numFmtId="0" fontId="9" fillId="7" borderId="6" xfId="262" applyNumberFormat="1" applyFill="1" applyBorder="1" applyAlignment="1">
      <alignment horizontal="center" vertical="center" shrinkToFit="1"/>
    </xf>
    <xf numFmtId="0" fontId="9" fillId="3" borderId="6" xfId="262" applyFont="1" applyFill="1" applyBorder="1" applyAlignment="1">
      <alignment horizontal="center" vertical="center"/>
    </xf>
    <xf numFmtId="183" fontId="9" fillId="7" borderId="6" xfId="262" applyNumberFormat="1" applyFont="1" applyFill="1" applyBorder="1" applyAlignment="1">
      <alignment horizontal="center" vertical="center"/>
    </xf>
    <xf numFmtId="185" fontId="9" fillId="0" borderId="0" xfId="262" applyNumberFormat="1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185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5" fillId="0" borderId="0" xfId="262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vertical="center"/>
    </xf>
    <xf numFmtId="14" fontId="9" fillId="0" borderId="0" xfId="262" applyNumberFormat="1" applyBorder="1">
      <alignment vertical="center"/>
    </xf>
    <xf numFmtId="184" fontId="13" fillId="0" borderId="0" xfId="62" applyNumberFormat="1" applyFont="1" applyFill="1" applyBorder="1" applyAlignment="1" applyProtection="1">
      <alignment horizontal="center" vertical="center"/>
    </xf>
    <xf numFmtId="0" fontId="15" fillId="3" borderId="6" xfId="352" applyNumberFormat="1" applyFont="1" applyFill="1" applyBorder="1" applyAlignment="1" applyProtection="1">
      <alignment horizontal="center" vertical="center" wrapText="1"/>
    </xf>
    <xf numFmtId="14" fontId="9" fillId="0" borderId="11" xfId="262" applyNumberFormat="1" applyFill="1" applyBorder="1">
      <alignment vertical="center"/>
    </xf>
    <xf numFmtId="180" fontId="7" fillId="0" borderId="6" xfId="262" applyNumberFormat="1" applyFont="1" applyFill="1" applyBorder="1">
      <alignment vertical="center"/>
    </xf>
    <xf numFmtId="180" fontId="7" fillId="0" borderId="6" xfId="262" applyNumberFormat="1" applyFont="1" applyFill="1" applyBorder="1" applyAlignment="1">
      <alignment horizontal="center" vertical="center"/>
    </xf>
    <xf numFmtId="14" fontId="9" fillId="0" borderId="11" xfId="262" applyNumberFormat="1" applyFont="1" applyFill="1" applyBorder="1" applyAlignment="1">
      <alignment vertical="center"/>
    </xf>
    <xf numFmtId="180" fontId="7" fillId="0" borderId="6" xfId="262" applyNumberFormat="1" applyFont="1" applyFill="1" applyBorder="1" applyAlignment="1">
      <alignment vertical="center"/>
    </xf>
    <xf numFmtId="0" fontId="9" fillId="7" borderId="11" xfId="262" applyNumberFormat="1" applyFont="1" applyFill="1" applyBorder="1" applyAlignment="1" applyProtection="1">
      <alignment horizontal="center" vertical="center" shrinkToFit="1"/>
    </xf>
    <xf numFmtId="14" fontId="9" fillId="7" borderId="11" xfId="262" applyNumberFormat="1" applyFont="1" applyFill="1" applyBorder="1" applyAlignment="1" applyProtection="1">
      <alignment horizontal="center" vertical="center" shrinkToFit="1"/>
    </xf>
    <xf numFmtId="185" fontId="20" fillId="7" borderId="6" xfId="262" applyNumberFormat="1" applyFont="1" applyFill="1" applyBorder="1" applyAlignment="1" applyProtection="1">
      <alignment horizontal="center" vertical="center" shrinkToFit="1"/>
    </xf>
    <xf numFmtId="14" fontId="9" fillId="0" borderId="0" xfId="0" applyNumberFormat="1" applyFont="1" applyFill="1" applyBorder="1" applyAlignment="1" applyProtection="1">
      <alignment vertical="center"/>
    </xf>
    <xf numFmtId="181" fontId="9" fillId="0" borderId="0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wrapText="1"/>
    </xf>
    <xf numFmtId="181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vertical="center" wrapText="1"/>
    </xf>
    <xf numFmtId="181" fontId="9" fillId="0" borderId="0" xfId="0" applyNumberFormat="1" applyFont="1" applyFill="1" applyBorder="1" applyAlignment="1" applyProtection="1">
      <alignment vertical="center" wrapText="1"/>
    </xf>
    <xf numFmtId="14" fontId="24" fillId="0" borderId="0" xfId="0" applyNumberFormat="1" applyFont="1" applyFill="1" applyBorder="1" applyAlignment="1" applyProtection="1">
      <alignment vertical="center" wrapText="1"/>
    </xf>
    <xf numFmtId="180" fontId="0" fillId="0" borderId="0" xfId="262" applyNumberFormat="1" applyFont="1" applyFill="1" applyBorder="1" applyAlignment="1">
      <alignment horizontal="left" vertical="center"/>
    </xf>
    <xf numFmtId="0" fontId="16" fillId="3" borderId="6" xfId="352" applyNumberFormat="1" applyFont="1" applyFill="1" applyBorder="1" applyAlignment="1" applyProtection="1">
      <alignment horizontal="center" vertical="center" wrapText="1"/>
    </xf>
    <xf numFmtId="180" fontId="7" fillId="7" borderId="6" xfId="262" applyNumberFormat="1" applyFont="1" applyFill="1" applyBorder="1">
      <alignment vertical="center"/>
    </xf>
    <xf numFmtId="180" fontId="7" fillId="7" borderId="13" xfId="262" applyNumberFormat="1" applyFont="1" applyFill="1" applyBorder="1" applyAlignment="1">
      <alignment horizontal="center" vertical="center"/>
    </xf>
    <xf numFmtId="180" fontId="7" fillId="7" borderId="13" xfId="262" applyNumberFormat="1" applyFont="1" applyFill="1" applyBorder="1">
      <alignment vertical="center"/>
    </xf>
    <xf numFmtId="185" fontId="7" fillId="7" borderId="13" xfId="262" applyNumberFormat="1" applyFont="1" applyFill="1" applyBorder="1" applyAlignment="1" applyProtection="1">
      <alignment horizontal="center" vertical="center"/>
    </xf>
    <xf numFmtId="183" fontId="23" fillId="7" borderId="6" xfId="243" applyNumberFormat="1" applyFont="1" applyFill="1" applyBorder="1" applyAlignment="1" applyProtection="1">
      <alignment horizontal="center" vertical="center"/>
    </xf>
    <xf numFmtId="183" fontId="28" fillId="7" borderId="6" xfId="352" applyNumberFormat="1" applyFont="1" applyFill="1" applyBorder="1" applyAlignment="1" applyProtection="1">
      <alignment horizontal="center" vertical="center"/>
    </xf>
    <xf numFmtId="185" fontId="7" fillId="0" borderId="0" xfId="262" applyNumberFormat="1" applyFont="1" applyFill="1" applyBorder="1" applyAlignment="1" applyProtection="1">
      <alignment horizontal="center" vertical="center"/>
    </xf>
    <xf numFmtId="183" fontId="13" fillId="0" borderId="0" xfId="62" applyNumberFormat="1" applyFont="1" applyFill="1" applyBorder="1" applyAlignment="1" applyProtection="1">
      <alignment horizontal="center" vertical="center" wrapText="1"/>
    </xf>
    <xf numFmtId="185" fontId="7" fillId="7" borderId="6" xfId="262" applyNumberFormat="1" applyFont="1" applyFill="1" applyBorder="1" applyAlignment="1" applyProtection="1">
      <alignment horizontal="center" vertical="center"/>
    </xf>
    <xf numFmtId="183" fontId="18" fillId="0" borderId="6" xfId="262" applyNumberFormat="1" applyFont="1" applyFill="1" applyBorder="1" applyAlignment="1">
      <alignment horizontal="center" vertical="center" wrapText="1"/>
    </xf>
    <xf numFmtId="185" fontId="7" fillId="0" borderId="6" xfId="262" applyNumberFormat="1" applyFont="1" applyFill="1" applyBorder="1" applyAlignment="1" applyProtection="1">
      <alignment horizontal="center" vertical="center"/>
    </xf>
    <xf numFmtId="185" fontId="7" fillId="7" borderId="6" xfId="262" applyNumberFormat="1" applyFont="1" applyFill="1" applyBorder="1" applyAlignment="1" applyProtection="1">
      <alignment horizontal="center" vertical="center" shrinkToFit="1"/>
    </xf>
    <xf numFmtId="183" fontId="9" fillId="0" borderId="0" xfId="0" applyNumberFormat="1" applyFont="1" applyFill="1" applyBorder="1" applyAlignment="1" applyProtection="1">
      <alignment vertical="center"/>
    </xf>
    <xf numFmtId="49" fontId="9" fillId="0" borderId="0" xfId="262" applyNumberFormat="1" applyFont="1" applyFill="1" applyBorder="1" applyAlignment="1" applyProtection="1">
      <alignment horizontal="center" vertical="center"/>
    </xf>
    <xf numFmtId="0" fontId="28" fillId="7" borderId="6" xfId="262" applyFont="1" applyFill="1" applyBorder="1" applyAlignment="1">
      <alignment horizontal="center" vertical="center"/>
    </xf>
    <xf numFmtId="0" fontId="28" fillId="7" borderId="6" xfId="262" applyFont="1" applyFill="1" applyBorder="1" applyAlignment="1">
      <alignment horizontal="center" vertical="center" shrinkToFit="1"/>
    </xf>
    <xf numFmtId="0" fontId="7" fillId="0" borderId="6" xfId="262" applyNumberFormat="1" applyFont="1" applyFill="1" applyBorder="1">
      <alignment vertical="center"/>
    </xf>
    <xf numFmtId="183" fontId="20" fillId="7" borderId="6" xfId="262" applyNumberFormat="1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182" fontId="7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14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8" borderId="6" xfId="0" applyNumberFormat="1" applyFont="1" applyFill="1" applyBorder="1" applyAlignment="1" applyProtection="1">
      <alignment horizontal="center" vertical="center"/>
    </xf>
    <xf numFmtId="49" fontId="30" fillId="0" borderId="6" xfId="0" applyNumberFormat="1" applyFont="1" applyFill="1" applyBorder="1" applyAlignment="1" applyProtection="1">
      <alignment horizontal="center" vertical="center"/>
    </xf>
    <xf numFmtId="49" fontId="18" fillId="8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</xf>
    <xf numFmtId="14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14" fontId="31" fillId="0" borderId="6" xfId="0" applyNumberFormat="1" applyFont="1" applyFill="1" applyBorder="1" applyAlignment="1" applyProtection="1">
      <alignment horizontal="center" vertical="center"/>
      <protection locked="0"/>
    </xf>
    <xf numFmtId="181" fontId="31" fillId="0" borderId="6" xfId="0" applyNumberFormat="1" applyFont="1" applyFill="1" applyBorder="1" applyAlignment="1" applyProtection="1">
      <alignment horizontal="center" vertical="center"/>
      <protection locked="0"/>
    </xf>
    <xf numFmtId="0" fontId="33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horizontal="center" vertical="center"/>
    </xf>
    <xf numFmtId="49" fontId="35" fillId="0" borderId="6" xfId="0" applyNumberFormat="1" applyFont="1" applyFill="1" applyBorder="1" applyAlignment="1">
      <alignment horizontal="center"/>
    </xf>
    <xf numFmtId="49" fontId="35" fillId="0" borderId="6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49" fontId="27" fillId="4" borderId="6" xfId="318" applyNumberFormat="1" applyFont="1" applyFill="1" applyBorder="1" applyAlignment="1" applyProtection="1">
      <alignment horizontal="center" vertical="center" wrapText="1"/>
    </xf>
    <xf numFmtId="180" fontId="30" fillId="0" borderId="6" xfId="0" applyNumberFormat="1" applyFont="1" applyFill="1" applyBorder="1" applyAlignment="1" applyProtection="1">
      <alignment horizontal="center" vertical="center"/>
      <protection locked="0"/>
    </xf>
    <xf numFmtId="180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1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35" fillId="0" borderId="6" xfId="0" applyFont="1" applyFill="1" applyBorder="1" applyAlignment="1">
      <alignment horizontal="center"/>
    </xf>
    <xf numFmtId="0" fontId="35" fillId="10" borderId="6" xfId="0" applyFont="1" applyFill="1" applyBorder="1" applyAlignment="1">
      <alignment horizontal="center"/>
    </xf>
    <xf numFmtId="49" fontId="35" fillId="10" borderId="6" xfId="0" applyNumberFormat="1" applyFont="1" applyFill="1" applyBorder="1" applyAlignment="1">
      <alignment horizontal="center" vertical="center"/>
    </xf>
    <xf numFmtId="0" fontId="18" fillId="10" borderId="6" xfId="0" applyFont="1" applyFill="1" applyBorder="1" applyAlignment="1" applyProtection="1">
      <alignment horizontal="center" vertical="center"/>
      <protection locked="0"/>
    </xf>
    <xf numFmtId="49" fontId="35" fillId="10" borderId="6" xfId="0" applyNumberFormat="1" applyFont="1" applyFill="1" applyBorder="1" applyAlignment="1">
      <alignment horizontal="center"/>
    </xf>
    <xf numFmtId="0" fontId="36" fillId="10" borderId="6" xfId="0" applyFont="1" applyFill="1" applyBorder="1" applyAlignment="1">
      <alignment horizontal="center" vertical="center"/>
    </xf>
    <xf numFmtId="49" fontId="37" fillId="10" borderId="6" xfId="0" applyNumberFormat="1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/>
    </xf>
    <xf numFmtId="49" fontId="46" fillId="0" borderId="14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49" fontId="46" fillId="0" borderId="10" xfId="0" applyNumberFormat="1" applyFont="1" applyFill="1" applyBorder="1" applyAlignment="1">
      <alignment horizontal="center"/>
    </xf>
    <xf numFmtId="49" fontId="47" fillId="0" borderId="15" xfId="0" applyNumberFormat="1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Fill="1" applyBorder="1" applyAlignment="1">
      <alignment horizontal="center"/>
    </xf>
    <xf numFmtId="0" fontId="22" fillId="11" borderId="16" xfId="0" applyFont="1" applyFill="1" applyBorder="1" applyAlignment="1">
      <alignment horizontal="left" vertical="center"/>
    </xf>
    <xf numFmtId="4" fontId="22" fillId="11" borderId="17" xfId="0" applyNumberFormat="1" applyFont="1" applyFill="1" applyBorder="1" applyAlignment="1">
      <alignment horizontal="right" vertical="center"/>
    </xf>
    <xf numFmtId="4" fontId="22" fillId="11" borderId="10" xfId="0" applyNumberFormat="1" applyFont="1" applyFill="1" applyBorder="1" applyAlignment="1">
      <alignment horizontal="right" vertical="center"/>
    </xf>
    <xf numFmtId="4" fontId="22" fillId="11" borderId="15" xfId="0" applyNumberFormat="1" applyFont="1" applyFill="1" applyBorder="1" applyAlignment="1">
      <alignment horizontal="right" vertical="center"/>
    </xf>
    <xf numFmtId="0" fontId="22" fillId="11" borderId="18" xfId="0" applyFont="1" applyFill="1" applyBorder="1" applyAlignment="1">
      <alignment horizontal="left" vertical="center"/>
    </xf>
    <xf numFmtId="4" fontId="22" fillId="11" borderId="19" xfId="0" applyNumberFormat="1" applyFont="1" applyFill="1" applyBorder="1" applyAlignment="1">
      <alignment horizontal="right" vertical="center"/>
    </xf>
    <xf numFmtId="4" fontId="22" fillId="11" borderId="20" xfId="0" applyNumberFormat="1" applyFont="1" applyFill="1" applyBorder="1" applyAlignment="1">
      <alignment horizontal="right" vertical="center"/>
    </xf>
    <xf numFmtId="4" fontId="22" fillId="11" borderId="21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48" fillId="0" borderId="0" xfId="0" applyFont="1" applyFill="1" applyAlignment="1">
      <alignment vertical="center"/>
    </xf>
    <xf numFmtId="0" fontId="23" fillId="11" borderId="6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/>
    </xf>
    <xf numFmtId="0" fontId="47" fillId="0" borderId="15" xfId="0" applyFont="1" applyFill="1" applyBorder="1" applyAlignment="1">
      <alignment horizontal="center"/>
    </xf>
    <xf numFmtId="4" fontId="22" fillId="11" borderId="22" xfId="0" applyNumberFormat="1" applyFont="1" applyFill="1" applyBorder="1" applyAlignment="1">
      <alignment horizontal="right" vertical="center"/>
    </xf>
    <xf numFmtId="0" fontId="46" fillId="3" borderId="15" xfId="0" applyFont="1" applyFill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1" fillId="0" borderId="6" xfId="0" applyFont="1" applyFill="1" applyBorder="1" applyAlignment="1">
      <alignment vertical="center"/>
    </xf>
    <xf numFmtId="0" fontId="41" fillId="10" borderId="6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23" fillId="11" borderId="6" xfId="0" applyNumberFormat="1" applyFont="1" applyFill="1" applyBorder="1" applyAlignment="1">
      <alignment horizontal="center" vertical="center" wrapText="1"/>
    </xf>
    <xf numFmtId="186" fontId="50" fillId="0" borderId="6" xfId="0" applyNumberFormat="1" applyFont="1" applyFill="1" applyBorder="1" applyAlignment="1">
      <alignment horizontal="left" vertical="center"/>
    </xf>
    <xf numFmtId="0" fontId="35" fillId="0" borderId="6" xfId="0" applyNumberFormat="1" applyFont="1" applyFill="1" applyBorder="1" applyAlignment="1">
      <alignment horizontal="center"/>
    </xf>
    <xf numFmtId="186" fontId="50" fillId="10" borderId="6" xfId="0" applyNumberFormat="1" applyFont="1" applyFill="1" applyBorder="1" applyAlignment="1">
      <alignment horizontal="left" vertical="center"/>
    </xf>
    <xf numFmtId="0" fontId="35" fillId="10" borderId="6" xfId="0" applyNumberFormat="1" applyFont="1" applyFill="1" applyBorder="1" applyAlignment="1">
      <alignment horizontal="center"/>
    </xf>
    <xf numFmtId="49" fontId="46" fillId="0" borderId="15" xfId="0" applyNumberFormat="1" applyFont="1" applyFill="1" applyBorder="1" applyAlignment="1">
      <alignment horizontal="center" vertical="center"/>
    </xf>
    <xf numFmtId="186" fontId="51" fillId="0" borderId="15" xfId="0" applyNumberFormat="1" applyFont="1" applyFill="1" applyBorder="1" applyAlignment="1">
      <alignment horizontal="left" vertical="center"/>
    </xf>
    <xf numFmtId="0" fontId="46" fillId="0" borderId="15" xfId="0" applyNumberFormat="1" applyFont="1" applyFill="1" applyBorder="1" applyAlignment="1">
      <alignment horizontal="center"/>
    </xf>
    <xf numFmtId="0" fontId="22" fillId="11" borderId="2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4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49" fontId="53" fillId="0" borderId="13" xfId="0" applyNumberFormat="1" applyFont="1" applyFill="1" applyBorder="1" applyAlignment="1">
      <alignment horizontal="center"/>
    </xf>
    <xf numFmtId="4" fontId="19" fillId="10" borderId="6" xfId="0" applyNumberFormat="1" applyFont="1" applyFill="1" applyBorder="1" applyAlignment="1">
      <alignment horizontal="center" vertical="center" wrapText="1"/>
    </xf>
    <xf numFmtId="0" fontId="19" fillId="10" borderId="6" xfId="0" applyNumberFormat="1" applyFont="1" applyFill="1" applyBorder="1" applyAlignment="1">
      <alignment horizontal="center" vertical="center" wrapText="1"/>
    </xf>
    <xf numFmtId="49" fontId="53" fillId="10" borderId="13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14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52" fillId="11" borderId="6" xfId="0" applyNumberFormat="1" applyFont="1" applyFill="1" applyBorder="1" applyAlignment="1">
      <alignment horizontal="right" vertical="center"/>
    </xf>
    <xf numFmtId="4" fontId="52" fillId="11" borderId="4" xfId="0" applyNumberFormat="1" applyFont="1" applyFill="1" applyBorder="1" applyAlignment="1">
      <alignment horizontal="right" vertical="center"/>
    </xf>
    <xf numFmtId="0" fontId="45" fillId="0" borderId="0" xfId="0" applyFont="1" applyFill="1" applyAlignment="1"/>
    <xf numFmtId="180" fontId="9" fillId="0" borderId="0" xfId="0" applyNumberFormat="1" applyFont="1" applyFill="1" applyAlignment="1">
      <alignment vertical="center"/>
    </xf>
    <xf numFmtId="0" fontId="35" fillId="0" borderId="23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49" fontId="35" fillId="0" borderId="24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4" fillId="10" borderId="0" xfId="0" applyFont="1" applyFill="1" applyAlignment="1">
      <alignment vertical="center"/>
    </xf>
    <xf numFmtId="0" fontId="19" fillId="8" borderId="11" xfId="309" applyFont="1" applyFill="1" applyBorder="1" applyAlignment="1">
      <alignment horizontal="left" vertical="center"/>
    </xf>
    <xf numFmtId="185" fontId="9" fillId="0" borderId="0" xfId="262" applyNumberFormat="1">
      <alignment vertical="center"/>
    </xf>
    <xf numFmtId="0" fontId="55" fillId="0" borderId="0" xfId="0" applyFont="1" applyFill="1" applyAlignment="1">
      <alignment vertical="center"/>
    </xf>
    <xf numFmtId="0" fontId="56" fillId="0" borderId="6" xfId="0" applyFont="1" applyFill="1" applyBorder="1" applyAlignment="1">
      <alignment horizontal="center"/>
    </xf>
    <xf numFmtId="49" fontId="56" fillId="0" borderId="6" xfId="0" applyNumberFormat="1" applyFont="1" applyFill="1" applyBorder="1" applyAlignment="1">
      <alignment horizontal="center" vertical="center"/>
    </xf>
    <xf numFmtId="49" fontId="56" fillId="0" borderId="6" xfId="0" applyNumberFormat="1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 vertical="center"/>
    </xf>
    <xf numFmtId="49" fontId="58" fillId="0" borderId="6" xfId="0" applyNumberFormat="1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vertical="center"/>
    </xf>
    <xf numFmtId="186" fontId="59" fillId="0" borderId="6" xfId="0" applyNumberFormat="1" applyFont="1" applyFill="1" applyBorder="1" applyAlignment="1">
      <alignment horizontal="left" vertical="center"/>
    </xf>
    <xf numFmtId="0" fontId="56" fillId="0" borderId="6" xfId="0" applyNumberFormat="1" applyFont="1" applyFill="1" applyBorder="1" applyAlignment="1">
      <alignment horizontal="center"/>
    </xf>
    <xf numFmtId="4" fontId="60" fillId="0" borderId="6" xfId="0" applyNumberFormat="1" applyFont="1" applyFill="1" applyBorder="1" applyAlignment="1">
      <alignment horizontal="center" vertical="center" wrapText="1"/>
    </xf>
    <xf numFmtId="0" fontId="60" fillId="0" borderId="6" xfId="0" applyNumberFormat="1" applyFont="1" applyFill="1" applyBorder="1" applyAlignment="1">
      <alignment horizontal="center" vertical="center" wrapText="1"/>
    </xf>
    <xf numFmtId="49" fontId="61" fillId="0" borderId="13" xfId="0" applyNumberFormat="1" applyFont="1" applyFill="1" applyBorder="1" applyAlignment="1">
      <alignment horizontal="center"/>
    </xf>
    <xf numFmtId="0" fontId="62" fillId="0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64" fillId="12" borderId="0" xfId="442" applyNumberFormat="1" applyFont="1" applyFill="1" applyBorder="1" applyAlignment="1" applyProtection="1">
      <alignment horizontal="center" vertical="center"/>
      <protection locked="0"/>
    </xf>
    <xf numFmtId="0" fontId="64" fillId="12" borderId="0" xfId="442" applyNumberFormat="1" applyFont="1" applyFill="1" applyBorder="1" applyAlignment="1" applyProtection="1">
      <alignment horizontal="left" vertical="center"/>
      <protection locked="0"/>
    </xf>
    <xf numFmtId="0" fontId="65" fillId="12" borderId="0" xfId="442" applyNumberFormat="1" applyFont="1" applyFill="1" applyBorder="1" applyAlignment="1" applyProtection="1">
      <alignment horizontal="center" vertical="center"/>
      <protection locked="0"/>
    </xf>
    <xf numFmtId="0" fontId="66" fillId="12" borderId="0" xfId="442" applyNumberFormat="1" applyFont="1" applyFill="1" applyBorder="1" applyAlignment="1" applyProtection="1">
      <alignment horizontal="left" vertical="center"/>
      <protection locked="0"/>
    </xf>
    <xf numFmtId="0" fontId="19" fillId="12" borderId="0" xfId="0" applyFont="1" applyFill="1" applyBorder="1" applyAlignment="1" applyProtection="1">
      <alignment horizontal="right" vertical="center"/>
      <protection locked="0"/>
    </xf>
    <xf numFmtId="49" fontId="67" fillId="12" borderId="0" xfId="441" applyNumberFormat="1" applyFont="1" applyFill="1" applyBorder="1" applyAlignment="1" applyProtection="1">
      <alignment horizontal="left" vertical="center"/>
      <protection locked="0"/>
    </xf>
    <xf numFmtId="0" fontId="54" fillId="12" borderId="0" xfId="0" applyFont="1" applyFill="1" applyBorder="1" applyAlignment="1" applyProtection="1">
      <alignment horizontal="left" vertical="center"/>
      <protection locked="0"/>
    </xf>
    <xf numFmtId="0" fontId="68" fillId="12" borderId="0" xfId="442" applyFont="1" applyFill="1" applyBorder="1" applyAlignment="1">
      <alignment horizontal="right" vertical="center"/>
    </xf>
    <xf numFmtId="14" fontId="69" fillId="12" borderId="0" xfId="0" applyNumberFormat="1" applyFont="1" applyFill="1" applyBorder="1" applyAlignment="1" applyProtection="1">
      <alignment horizontal="left" vertical="center"/>
      <protection locked="0"/>
    </xf>
    <xf numFmtId="0" fontId="69" fillId="12" borderId="0" xfId="0" applyFont="1" applyFill="1" applyBorder="1" applyAlignment="1" applyProtection="1">
      <alignment horizontal="right" vertical="center"/>
      <protection locked="0"/>
    </xf>
    <xf numFmtId="0" fontId="70" fillId="12" borderId="0" xfId="0" applyFont="1" applyFill="1" applyBorder="1" applyAlignment="1">
      <alignment horizontal="left" vertical="center"/>
    </xf>
    <xf numFmtId="0" fontId="66" fillId="12" borderId="0" xfId="442" applyNumberFormat="1" applyFont="1" applyFill="1" applyBorder="1" applyAlignment="1" applyProtection="1">
      <alignment horizontal="center" vertical="center"/>
      <protection locked="0"/>
    </xf>
    <xf numFmtId="0" fontId="70" fillId="12" borderId="0" xfId="0" applyFont="1" applyFill="1" applyBorder="1" applyAlignment="1" applyProtection="1">
      <alignment horizontal="left" vertical="center"/>
      <protection locked="0"/>
    </xf>
    <xf numFmtId="0" fontId="71" fillId="12" borderId="0" xfId="442" applyNumberFormat="1" applyFont="1" applyFill="1" applyBorder="1" applyAlignment="1" applyProtection="1">
      <alignment horizontal="center" vertical="center"/>
      <protection locked="0"/>
    </xf>
    <xf numFmtId="187" fontId="69" fillId="12" borderId="0" xfId="441" applyNumberFormat="1" applyFont="1" applyFill="1" applyBorder="1" applyAlignment="1" applyProtection="1">
      <alignment horizontal="left" vertical="center"/>
      <protection locked="0"/>
    </xf>
    <xf numFmtId="43" fontId="74" fillId="12" borderId="10" xfId="0" applyNumberFormat="1" applyFont="1" applyFill="1" applyBorder="1" applyAlignment="1" applyProtection="1">
      <alignment horizontal="left" vertical="center" shrinkToFit="1"/>
    </xf>
    <xf numFmtId="43" fontId="74" fillId="12" borderId="37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6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39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41" xfId="441" applyNumberFormat="1" applyFont="1" applyFill="1" applyBorder="1" applyAlignment="1" applyProtection="1">
      <alignment horizontal="left" vertical="center" shrinkToFit="1"/>
      <protection locked="0"/>
    </xf>
    <xf numFmtId="43" fontId="74" fillId="12" borderId="45" xfId="441" applyNumberFormat="1" applyFont="1" applyFill="1" applyBorder="1" applyAlignment="1" applyProtection="1">
      <alignment horizontal="left" vertical="center" shrinkToFit="1"/>
      <protection locked="0"/>
    </xf>
    <xf numFmtId="188" fontId="75" fillId="12" borderId="0" xfId="441" applyNumberFormat="1" applyFont="1" applyFill="1" applyBorder="1" applyAlignment="1" applyProtection="1">
      <alignment horizontal="left" vertical="center"/>
      <protection locked="0"/>
    </xf>
    <xf numFmtId="0" fontId="76" fillId="0" borderId="25" xfId="439" applyFont="1" applyFill="1" applyBorder="1" applyAlignment="1">
      <alignment horizontal="center" vertical="center" wrapText="1"/>
    </xf>
    <xf numFmtId="0" fontId="76" fillId="0" borderId="46" xfId="439" applyFont="1" applyFill="1" applyBorder="1" applyAlignment="1">
      <alignment horizontal="center" vertical="center" wrapText="1"/>
    </xf>
    <xf numFmtId="181" fontId="76" fillId="0" borderId="46" xfId="439" applyNumberFormat="1" applyFont="1" applyFill="1" applyBorder="1" applyAlignment="1">
      <alignment horizontal="center" vertical="center" wrapText="1"/>
    </xf>
    <xf numFmtId="189" fontId="76" fillId="0" borderId="46" xfId="439" applyNumberFormat="1" applyFont="1" applyFill="1" applyBorder="1" applyAlignment="1">
      <alignment horizontal="center" vertical="center" wrapText="1"/>
    </xf>
    <xf numFmtId="0" fontId="76" fillId="0" borderId="47" xfId="439" applyFont="1" applyFill="1" applyBorder="1" applyAlignment="1">
      <alignment horizontal="center" vertical="center" wrapText="1"/>
    </xf>
    <xf numFmtId="0" fontId="53" fillId="0" borderId="38" xfId="439" applyFont="1" applyFill="1" applyBorder="1" applyAlignment="1">
      <alignment horizontal="center" vertical="center"/>
    </xf>
    <xf numFmtId="0" fontId="53" fillId="0" borderId="6" xfId="439" applyFont="1" applyFill="1" applyBorder="1" applyAlignment="1">
      <alignment horizontal="center" vertical="center"/>
    </xf>
    <xf numFmtId="181" fontId="53" fillId="0" borderId="6" xfId="439" applyNumberFormat="1" applyFont="1" applyFill="1" applyBorder="1" applyAlignment="1">
      <alignment horizontal="center" vertical="center"/>
    </xf>
    <xf numFmtId="189" fontId="53" fillId="0" borderId="6" xfId="439" applyNumberFormat="1" applyFont="1" applyFill="1" applyBorder="1" applyAlignment="1">
      <alignment horizontal="right" vertical="center"/>
    </xf>
    <xf numFmtId="0" fontId="53" fillId="0" borderId="39" xfId="439" applyFont="1" applyFill="1" applyBorder="1" applyAlignment="1">
      <alignment horizontal="left" vertical="center"/>
    </xf>
    <xf numFmtId="43" fontId="53" fillId="0" borderId="6" xfId="439" applyNumberFormat="1" applyFont="1" applyFill="1" applyBorder="1" applyAlignment="1">
      <alignment vertical="center"/>
    </xf>
    <xf numFmtId="43" fontId="53" fillId="0" borderId="6" xfId="439" applyNumberFormat="1" applyFont="1" applyFill="1" applyBorder="1" applyAlignment="1">
      <alignment horizontal="center" vertical="center"/>
    </xf>
    <xf numFmtId="0" fontId="53" fillId="0" borderId="39" xfId="439" applyFont="1" applyFill="1" applyBorder="1" applyAlignment="1">
      <alignment vertical="center" wrapText="1"/>
    </xf>
    <xf numFmtId="189" fontId="77" fillId="0" borderId="6" xfId="439" applyNumberFormat="1" applyFont="1" applyFill="1" applyBorder="1" applyAlignment="1">
      <alignment horizontal="right" vertical="center"/>
    </xf>
    <xf numFmtId="0" fontId="53" fillId="0" borderId="39" xfId="439" applyFont="1" applyFill="1" applyBorder="1" applyAlignment="1">
      <alignment vertical="center"/>
    </xf>
    <xf numFmtId="0" fontId="53" fillId="0" borderId="6" xfId="439" applyFont="1" applyFill="1" applyBorder="1" applyAlignment="1">
      <alignment horizontal="center" vertical="center" wrapText="1"/>
    </xf>
    <xf numFmtId="189" fontId="40" fillId="13" borderId="6" xfId="439" applyNumberFormat="1" applyFont="1" applyFill="1" applyBorder="1" applyAlignment="1">
      <alignment vertical="center"/>
    </xf>
    <xf numFmtId="0" fontId="53" fillId="13" borderId="39" xfId="439" applyFont="1" applyFill="1" applyBorder="1" applyAlignment="1">
      <alignment horizontal="left" vertical="center"/>
    </xf>
    <xf numFmtId="189" fontId="40" fillId="13" borderId="41" xfId="439" applyNumberFormat="1" applyFont="1" applyFill="1" applyBorder="1" applyAlignment="1">
      <alignment vertical="center"/>
    </xf>
    <xf numFmtId="0" fontId="53" fillId="13" borderId="45" xfId="439" applyFont="1" applyFill="1" applyBorder="1" applyAlignment="1">
      <alignment horizontal="left" vertical="center"/>
    </xf>
    <xf numFmtId="187" fontId="69" fillId="12" borderId="0" xfId="441" applyNumberFormat="1" applyFont="1" applyFill="1" applyBorder="1" applyAlignment="1" applyProtection="1">
      <alignment horizontal="right" vertical="center"/>
      <protection locked="0"/>
    </xf>
    <xf numFmtId="0" fontId="23" fillId="12" borderId="0" xfId="442" applyFont="1" applyFill="1" applyBorder="1" applyAlignment="1">
      <alignment horizontal="right" vertical="center"/>
    </xf>
    <xf numFmtId="14" fontId="67" fillId="12" borderId="0" xfId="0" applyNumberFormat="1" applyFont="1" applyFill="1" applyBorder="1" applyAlignment="1" applyProtection="1">
      <alignment horizontal="left" vertical="center"/>
      <protection locked="0"/>
    </xf>
    <xf numFmtId="0" fontId="78" fillId="12" borderId="0" xfId="442" applyNumberFormat="1" applyFont="1" applyFill="1" applyBorder="1" applyAlignment="1" applyProtection="1">
      <alignment horizontal="right" vertical="center"/>
      <protection locked="0"/>
    </xf>
    <xf numFmtId="0" fontId="79" fillId="12" borderId="0" xfId="442" applyNumberFormat="1" applyFont="1" applyFill="1" applyBorder="1" applyAlignment="1" applyProtection="1">
      <alignment horizontal="left" vertical="center"/>
      <protection locked="0"/>
    </xf>
    <xf numFmtId="0" fontId="81" fillId="12" borderId="0" xfId="442" applyNumberFormat="1" applyFont="1" applyFill="1" applyBorder="1" applyAlignment="1" applyProtection="1">
      <alignment horizontal="left" vertical="center"/>
      <protection locked="0"/>
    </xf>
    <xf numFmtId="0" fontId="82" fillId="12" borderId="0" xfId="442" applyNumberFormat="1" applyFont="1" applyFill="1" applyBorder="1" applyAlignment="1" applyProtection="1">
      <alignment horizontal="left" vertical="center"/>
      <protection locked="0"/>
    </xf>
    <xf numFmtId="0" fontId="83" fillId="12" borderId="0" xfId="442" applyNumberFormat="1" applyFont="1" applyFill="1" applyBorder="1" applyAlignment="1" applyProtection="1">
      <alignment horizontal="left" vertical="center"/>
      <protection locked="0"/>
    </xf>
    <xf numFmtId="0" fontId="84" fillId="12" borderId="0" xfId="442" applyNumberFormat="1" applyFont="1" applyFill="1" applyBorder="1" applyAlignment="1" applyProtection="1">
      <alignment horizontal="left" vertical="center"/>
      <protection locked="0"/>
    </xf>
    <xf numFmtId="0" fontId="83" fillId="12" borderId="0" xfId="442" applyNumberFormat="1" applyFont="1" applyFill="1" applyBorder="1" applyAlignment="1" applyProtection="1">
      <alignment horizontal="right" vertical="center"/>
      <protection locked="0"/>
    </xf>
    <xf numFmtId="49" fontId="85" fillId="12" borderId="0" xfId="442" applyNumberFormat="1" applyFont="1" applyFill="1" applyBorder="1" applyAlignment="1" applyProtection="1">
      <alignment horizontal="left" vertical="center"/>
      <protection locked="0"/>
    </xf>
    <xf numFmtId="0" fontId="86" fillId="12" borderId="0" xfId="0" applyFont="1" applyFill="1" applyBorder="1" applyAlignment="1">
      <alignment horizontal="left" vertical="center"/>
    </xf>
    <xf numFmtId="0" fontId="87" fillId="12" borderId="0" xfId="0" applyFont="1" applyFill="1" applyAlignment="1">
      <alignment vertical="center"/>
    </xf>
    <xf numFmtId="49" fontId="75" fillId="12" borderId="0" xfId="441" applyNumberFormat="1" applyFont="1" applyFill="1" applyBorder="1" applyAlignment="1" applyProtection="1">
      <alignment horizontal="left" vertical="center"/>
      <protection locked="0"/>
    </xf>
    <xf numFmtId="49" fontId="68" fillId="12" borderId="0" xfId="442" applyNumberFormat="1" applyFont="1" applyFill="1" applyBorder="1" applyAlignment="1" applyProtection="1">
      <alignment horizontal="left" vertical="center"/>
      <protection locked="0"/>
    </xf>
    <xf numFmtId="49" fontId="69" fillId="12" borderId="0" xfId="441" applyNumberFormat="1" applyFont="1" applyFill="1" applyBorder="1" applyAlignment="1" applyProtection="1">
      <alignment horizontal="left" vertical="center"/>
      <protection locked="0"/>
    </xf>
    <xf numFmtId="0" fontId="7" fillId="12" borderId="0" xfId="0" applyFont="1" applyFill="1" applyAlignment="1">
      <alignment horizontal="left" vertical="center" wrapText="1"/>
    </xf>
    <xf numFmtId="49" fontId="37" fillId="0" borderId="6" xfId="0" quotePrefix="1" applyNumberFormat="1" applyFont="1" applyFill="1" applyBorder="1" applyAlignment="1">
      <alignment horizontal="center" vertical="center"/>
    </xf>
    <xf numFmtId="49" fontId="58" fillId="0" borderId="6" xfId="0" quotePrefix="1" applyNumberFormat="1" applyFont="1" applyFill="1" applyBorder="1" applyAlignment="1">
      <alignment horizontal="center" vertical="center"/>
    </xf>
    <xf numFmtId="49" fontId="19" fillId="0" borderId="6" xfId="226" quotePrefix="1" applyNumberFormat="1" applyFont="1" applyBorder="1" applyAlignment="1" applyProtection="1">
      <protection locked="0"/>
    </xf>
    <xf numFmtId="0" fontId="17" fillId="0" borderId="6" xfId="262" quotePrefix="1" applyFont="1" applyFill="1" applyBorder="1" applyAlignment="1">
      <alignment horizontal="center" vertical="center" wrapText="1"/>
    </xf>
    <xf numFmtId="49" fontId="37" fillId="10" borderId="6" xfId="0" quotePrefix="1" applyNumberFormat="1" applyFont="1" applyFill="1" applyBorder="1" applyAlignment="1">
      <alignment horizontal="center" vertical="center"/>
    </xf>
    <xf numFmtId="0" fontId="34" fillId="0" borderId="0" xfId="0" quotePrefix="1" applyFont="1" applyFill="1" applyAlignment="1">
      <alignment vertical="center"/>
    </xf>
    <xf numFmtId="0" fontId="63" fillId="12" borderId="0" xfId="442" applyFont="1" applyFill="1" applyBorder="1" applyAlignment="1">
      <alignment horizontal="center" vertical="center"/>
    </xf>
    <xf numFmtId="0" fontId="70" fillId="12" borderId="0" xfId="0" applyFont="1" applyFill="1" applyBorder="1" applyAlignment="1">
      <alignment horizontal="left" vertical="center"/>
    </xf>
    <xf numFmtId="0" fontId="70" fillId="12" borderId="0" xfId="0" applyFont="1" applyFill="1" applyAlignment="1">
      <alignment horizontal="left" vertical="center"/>
    </xf>
    <xf numFmtId="0" fontId="72" fillId="12" borderId="25" xfId="0" applyFont="1" applyFill="1" applyBorder="1" applyAlignment="1" applyProtection="1">
      <alignment horizontal="center" vertical="center"/>
      <protection locked="0"/>
    </xf>
    <xf numFmtId="0" fontId="72" fillId="12" borderId="26" xfId="0" applyFont="1" applyFill="1" applyBorder="1" applyAlignment="1" applyProtection="1">
      <alignment horizontal="center" vertical="center"/>
      <protection locked="0"/>
    </xf>
    <xf numFmtId="0" fontId="80" fillId="12" borderId="0" xfId="442" applyNumberFormat="1" applyFont="1" applyFill="1" applyBorder="1" applyAlignment="1" applyProtection="1">
      <alignment horizontal="right" vertical="center"/>
      <protection locked="0"/>
    </xf>
    <xf numFmtId="0" fontId="16" fillId="12" borderId="27" xfId="440" applyNumberFormat="1" applyFont="1" applyFill="1" applyBorder="1" applyAlignment="1" applyProtection="1">
      <alignment horizontal="left" vertical="center"/>
      <protection locked="0"/>
    </xf>
    <xf numFmtId="0" fontId="16" fillId="12" borderId="10" xfId="440" applyNumberFormat="1" applyFont="1" applyFill="1" applyBorder="1" applyAlignment="1" applyProtection="1">
      <alignment horizontal="left" vertical="center"/>
      <protection locked="0"/>
    </xf>
    <xf numFmtId="43" fontId="73" fillId="12" borderId="11" xfId="0" applyNumberFormat="1" applyFont="1" applyFill="1" applyBorder="1" applyAlignment="1" applyProtection="1">
      <alignment horizontal="left" vertical="center" shrinkToFit="1"/>
    </xf>
    <xf numFmtId="43" fontId="73" fillId="12" borderId="12" xfId="0" applyNumberFormat="1" applyFont="1" applyFill="1" applyBorder="1" applyAlignment="1" applyProtection="1">
      <alignment horizontal="left" vertical="center" shrinkToFit="1"/>
    </xf>
    <xf numFmtId="43" fontId="73" fillId="12" borderId="28" xfId="0" applyNumberFormat="1" applyFont="1" applyFill="1" applyBorder="1" applyAlignment="1" applyProtection="1">
      <alignment horizontal="left" vertical="center" shrinkToFit="1"/>
    </xf>
    <xf numFmtId="0" fontId="84" fillId="12" borderId="0" xfId="442" applyNumberFormat="1" applyFont="1" applyFill="1" applyBorder="1" applyAlignment="1" applyProtection="1">
      <alignment horizontal="left" vertical="center"/>
      <protection locked="0"/>
    </xf>
    <xf numFmtId="0" fontId="16" fillId="12" borderId="29" xfId="440" applyNumberFormat="1" applyFont="1" applyFill="1" applyBorder="1" applyAlignment="1" applyProtection="1">
      <alignment horizontal="left" vertical="center"/>
      <protection locked="0"/>
    </xf>
    <xf numFmtId="0" fontId="16" fillId="12" borderId="30" xfId="440" applyNumberFormat="1" applyFont="1" applyFill="1" applyBorder="1" applyAlignment="1" applyProtection="1">
      <alignment horizontal="left" vertical="center"/>
      <protection locked="0"/>
    </xf>
    <xf numFmtId="176" fontId="73" fillId="12" borderId="31" xfId="0" applyNumberFormat="1" applyFont="1" applyFill="1" applyBorder="1" applyAlignment="1" applyProtection="1">
      <alignment horizontal="right" vertical="center" shrinkToFit="1"/>
    </xf>
    <xf numFmtId="176" fontId="73" fillId="12" borderId="32" xfId="0" applyNumberFormat="1" applyFont="1" applyFill="1" applyBorder="1" applyAlignment="1" applyProtection="1">
      <alignment horizontal="right" vertical="center" shrinkToFit="1"/>
    </xf>
    <xf numFmtId="176" fontId="73" fillId="12" borderId="33" xfId="0" applyNumberFormat="1" applyFont="1" applyFill="1" applyBorder="1" applyAlignment="1" applyProtection="1">
      <alignment horizontal="right" vertical="center" shrinkToFit="1"/>
    </xf>
    <xf numFmtId="0" fontId="70" fillId="12" borderId="0" xfId="96" applyFont="1" applyFill="1" applyBorder="1" applyAlignment="1">
      <alignment horizontal="left" vertical="center"/>
    </xf>
    <xf numFmtId="0" fontId="70" fillId="12" borderId="0" xfId="96" applyFont="1" applyFill="1" applyAlignment="1">
      <alignment horizontal="left" vertical="center"/>
    </xf>
    <xf numFmtId="0" fontId="28" fillId="12" borderId="27" xfId="441" applyNumberFormat="1" applyFont="1" applyFill="1" applyBorder="1" applyAlignment="1" applyProtection="1">
      <alignment horizontal="left" vertical="center"/>
      <protection locked="0"/>
    </xf>
    <xf numFmtId="0" fontId="28" fillId="12" borderId="10" xfId="441" applyNumberFormat="1" applyFont="1" applyFill="1" applyBorder="1" applyAlignment="1" applyProtection="1">
      <alignment horizontal="left" vertical="center"/>
      <protection locked="0"/>
    </xf>
    <xf numFmtId="0" fontId="28" fillId="12" borderId="34" xfId="441" applyNumberFormat="1" applyFont="1" applyFill="1" applyBorder="1" applyAlignment="1" applyProtection="1">
      <alignment horizontal="left" vertical="center"/>
      <protection locked="0"/>
    </xf>
    <xf numFmtId="0" fontId="28" fillId="12" borderId="35" xfId="441" applyNumberFormat="1" applyFont="1" applyFill="1" applyBorder="1" applyAlignment="1" applyProtection="1">
      <alignment horizontal="left" vertical="center"/>
      <protection locked="0"/>
    </xf>
    <xf numFmtId="0" fontId="28" fillId="12" borderId="36" xfId="441" applyNumberFormat="1" applyFont="1" applyFill="1" applyBorder="1" applyAlignment="1" applyProtection="1">
      <alignment horizontal="left" vertical="center"/>
      <protection locked="0"/>
    </xf>
    <xf numFmtId="0" fontId="70" fillId="12" borderId="0" xfId="96" applyFont="1" applyFill="1" applyBorder="1" applyAlignment="1">
      <alignment horizontal="left" vertical="center" wrapText="1"/>
    </xf>
    <xf numFmtId="0" fontId="70" fillId="12" borderId="0" xfId="96" applyFont="1" applyFill="1" applyAlignment="1">
      <alignment horizontal="left" vertical="center" wrapText="1"/>
    </xf>
    <xf numFmtId="0" fontId="7" fillId="12" borderId="38" xfId="115" applyFont="1" applyFill="1" applyBorder="1" applyAlignment="1">
      <alignment vertical="center"/>
    </xf>
    <xf numFmtId="0" fontId="7" fillId="12" borderId="6" xfId="115" applyFont="1" applyFill="1" applyBorder="1" applyAlignment="1">
      <alignment vertical="center"/>
    </xf>
    <xf numFmtId="0" fontId="7" fillId="12" borderId="11" xfId="115" applyFont="1" applyFill="1" applyBorder="1" applyAlignment="1">
      <alignment horizontal="left" vertical="center"/>
    </xf>
    <xf numFmtId="0" fontId="7" fillId="12" borderId="12" xfId="115" applyFont="1" applyFill="1" applyBorder="1" applyAlignment="1">
      <alignment horizontal="left" vertical="center"/>
    </xf>
    <xf numFmtId="0" fontId="7" fillId="12" borderId="13" xfId="115" applyFont="1" applyFill="1" applyBorder="1" applyAlignment="1">
      <alignment horizontal="left" vertical="center"/>
    </xf>
    <xf numFmtId="49" fontId="23" fillId="12" borderId="0" xfId="442" applyNumberFormat="1" applyFont="1" applyFill="1" applyBorder="1" applyAlignment="1" applyProtection="1">
      <alignment horizontal="left" vertical="center"/>
      <protection locked="0"/>
    </xf>
    <xf numFmtId="0" fontId="7" fillId="12" borderId="40" xfId="115" applyFont="1" applyFill="1" applyBorder="1" applyAlignment="1">
      <alignment vertical="center"/>
    </xf>
    <xf numFmtId="0" fontId="7" fillId="12" borderId="41" xfId="115" applyFont="1" applyFill="1" applyBorder="1" applyAlignment="1">
      <alignment vertical="center"/>
    </xf>
    <xf numFmtId="179" fontId="28" fillId="12" borderId="42" xfId="441" applyNumberFormat="1" applyFont="1" applyFill="1" applyBorder="1" applyAlignment="1" applyProtection="1">
      <alignment horizontal="left" vertical="center"/>
      <protection locked="0"/>
    </xf>
    <xf numFmtId="179" fontId="28" fillId="12" borderId="43" xfId="441" applyNumberFormat="1" applyFont="1" applyFill="1" applyBorder="1" applyAlignment="1" applyProtection="1">
      <alignment horizontal="left" vertical="center"/>
      <protection locked="0"/>
    </xf>
    <xf numFmtId="179" fontId="28" fillId="12" borderId="44" xfId="441" applyNumberFormat="1" applyFont="1" applyFill="1" applyBorder="1" applyAlignment="1" applyProtection="1">
      <alignment horizontal="left" vertical="center"/>
      <protection locked="0"/>
    </xf>
    <xf numFmtId="49" fontId="19" fillId="12" borderId="0" xfId="441" applyNumberFormat="1" applyFont="1" applyFill="1" applyBorder="1" applyAlignment="1" applyProtection="1">
      <alignment horizontal="left" vertical="center"/>
      <protection locked="0"/>
    </xf>
    <xf numFmtId="0" fontId="65" fillId="12" borderId="0" xfId="442" applyNumberFormat="1" applyFont="1" applyFill="1" applyBorder="1" applyAlignment="1" applyProtection="1">
      <alignment horizontal="center" vertical="center"/>
      <protection locked="0"/>
    </xf>
    <xf numFmtId="0" fontId="76" fillId="0" borderId="46" xfId="439" applyFont="1" applyFill="1" applyBorder="1" applyAlignment="1">
      <alignment horizontal="center" vertical="center" wrapText="1"/>
    </xf>
    <xf numFmtId="43" fontId="53" fillId="0" borderId="6" xfId="439" applyNumberFormat="1" applyFont="1" applyFill="1" applyBorder="1" applyAlignment="1">
      <alignment horizontal="left" vertical="center"/>
    </xf>
    <xf numFmtId="43" fontId="77" fillId="0" borderId="6" xfId="439" applyNumberFormat="1" applyFont="1" applyFill="1" applyBorder="1" applyAlignment="1">
      <alignment horizontal="center" vertical="center"/>
    </xf>
    <xf numFmtId="10" fontId="77" fillId="0" borderId="6" xfId="439" applyNumberFormat="1" applyFont="1" applyFill="1" applyBorder="1" applyAlignment="1">
      <alignment horizontal="center" vertical="center"/>
    </xf>
    <xf numFmtId="10" fontId="77" fillId="0" borderId="11" xfId="439" applyNumberFormat="1" applyFont="1" applyFill="1" applyBorder="1" applyAlignment="1">
      <alignment horizontal="center" vertical="center"/>
    </xf>
    <xf numFmtId="10" fontId="77" fillId="0" borderId="12" xfId="439" applyNumberFormat="1" applyFont="1" applyFill="1" applyBorder="1" applyAlignment="1">
      <alignment horizontal="center" vertical="center"/>
    </xf>
    <xf numFmtId="10" fontId="77" fillId="0" borderId="13" xfId="439" applyNumberFormat="1" applyFont="1" applyFill="1" applyBorder="1" applyAlignment="1">
      <alignment horizontal="center" vertical="center"/>
    </xf>
    <xf numFmtId="0" fontId="40" fillId="13" borderId="38" xfId="439" applyFont="1" applyFill="1" applyBorder="1" applyAlignment="1">
      <alignment horizontal="center" vertical="center"/>
    </xf>
    <xf numFmtId="0" fontId="40" fillId="13" borderId="6" xfId="439" applyFont="1" applyFill="1" applyBorder="1" applyAlignment="1">
      <alignment horizontal="center" vertical="center"/>
    </xf>
    <xf numFmtId="0" fontId="40" fillId="13" borderId="40" xfId="439" applyFont="1" applyFill="1" applyBorder="1" applyAlignment="1">
      <alignment horizontal="center" vertical="center"/>
    </xf>
    <xf numFmtId="0" fontId="40" fillId="13" borderId="41" xfId="439" applyFont="1" applyFill="1" applyBorder="1" applyAlignment="1">
      <alignment horizontal="center" vertical="center"/>
    </xf>
    <xf numFmtId="0" fontId="53" fillId="0" borderId="6" xfId="439" applyFont="1" applyFill="1" applyBorder="1" applyAlignment="1">
      <alignment horizontal="center" vertical="center"/>
    </xf>
    <xf numFmtId="0" fontId="7" fillId="12" borderId="0" xfId="0" applyFont="1" applyFill="1" applyAlignment="1">
      <alignment horizontal="left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4" fontId="60" fillId="0" borderId="6" xfId="0" applyNumberFormat="1" applyFont="1" applyFill="1" applyBorder="1" applyAlignment="1">
      <alignment horizontal="center" vertical="center" wrapText="1"/>
    </xf>
    <xf numFmtId="4" fontId="22" fillId="11" borderId="15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/>
    <xf numFmtId="0" fontId="24" fillId="11" borderId="6" xfId="0" applyFont="1" applyFill="1" applyBorder="1" applyAlignment="1">
      <alignment horizontal="center" vertical="center" wrapText="1"/>
    </xf>
    <xf numFmtId="0" fontId="52" fillId="11" borderId="13" xfId="0" applyFont="1" applyFill="1" applyBorder="1" applyAlignment="1">
      <alignment horizontal="center" vertical="center" wrapText="1"/>
    </xf>
    <xf numFmtId="180" fontId="27" fillId="9" borderId="0" xfId="262" applyNumberFormat="1" applyFont="1" applyFill="1" applyBorder="1" applyAlignment="1">
      <alignment horizontal="center" vertical="center"/>
    </xf>
    <xf numFmtId="0" fontId="15" fillId="3" borderId="11" xfId="352" applyNumberFormat="1" applyFont="1" applyFill="1" applyBorder="1" applyAlignment="1" applyProtection="1">
      <alignment horizontal="center" vertical="center" wrapText="1"/>
    </xf>
    <xf numFmtId="0" fontId="15" fillId="3" borderId="12" xfId="352" applyNumberFormat="1" applyFont="1" applyFill="1" applyBorder="1" applyAlignment="1" applyProtection="1">
      <alignment horizontal="center" vertical="center" wrapText="1"/>
    </xf>
    <xf numFmtId="0" fontId="15" fillId="3" borderId="13" xfId="352" applyNumberFormat="1" applyFont="1" applyFill="1" applyBorder="1" applyAlignment="1" applyProtection="1">
      <alignment horizontal="center" vertical="center" wrapText="1"/>
    </xf>
    <xf numFmtId="0" fontId="16" fillId="3" borderId="11" xfId="352" applyNumberFormat="1" applyFont="1" applyFill="1" applyBorder="1" applyAlignment="1" applyProtection="1">
      <alignment horizontal="center" vertical="center" wrapText="1"/>
    </xf>
    <xf numFmtId="0" fontId="16" fillId="3" borderId="12" xfId="352" applyNumberFormat="1" applyFont="1" applyFill="1" applyBorder="1" applyAlignment="1" applyProtection="1">
      <alignment horizontal="center" vertical="center" wrapText="1"/>
    </xf>
    <xf numFmtId="0" fontId="16" fillId="3" borderId="13" xfId="352" applyNumberFormat="1" applyFont="1" applyFill="1" applyBorder="1" applyAlignment="1" applyProtection="1">
      <alignment horizontal="center" vertical="center" wrapText="1"/>
    </xf>
    <xf numFmtId="184" fontId="14" fillId="3" borderId="5" xfId="62" applyNumberFormat="1" applyFont="1" applyFill="1" applyBorder="1" applyAlignment="1" applyProtection="1">
      <alignment horizontal="center" vertical="center"/>
    </xf>
    <xf numFmtId="184" fontId="14" fillId="3" borderId="10" xfId="62" applyNumberFormat="1" applyFont="1" applyFill="1" applyBorder="1" applyAlignment="1" applyProtection="1">
      <alignment horizontal="center" vertical="center"/>
    </xf>
    <xf numFmtId="184" fontId="11" fillId="3" borderId="5" xfId="62" applyNumberFormat="1" applyFont="1" applyFill="1" applyBorder="1" applyAlignment="1" applyProtection="1">
      <alignment horizontal="center" vertical="center"/>
    </xf>
    <xf numFmtId="184" fontId="11" fillId="3" borderId="10" xfId="62" applyNumberFormat="1" applyFont="1" applyFill="1" applyBorder="1" applyAlignment="1" applyProtection="1">
      <alignment horizontal="center" vertical="center"/>
    </xf>
    <xf numFmtId="0" fontId="11" fillId="3" borderId="5" xfId="62" applyNumberFormat="1" applyFont="1" applyFill="1" applyBorder="1" applyAlignment="1" applyProtection="1">
      <alignment horizontal="center" vertical="center" wrapText="1"/>
    </xf>
    <xf numFmtId="0" fontId="11" fillId="3" borderId="10" xfId="62" applyNumberFormat="1" applyFont="1" applyFill="1" applyBorder="1" applyAlignment="1" applyProtection="1">
      <alignment horizontal="center" vertical="center" wrapText="1"/>
    </xf>
    <xf numFmtId="0" fontId="15" fillId="3" borderId="5" xfId="352" applyNumberFormat="1" applyFont="1" applyFill="1" applyBorder="1" applyAlignment="1" applyProtection="1">
      <alignment horizontal="center" vertical="center" wrapText="1"/>
    </xf>
    <xf numFmtId="0" fontId="15" fillId="3" borderId="10" xfId="352" applyNumberFormat="1" applyFont="1" applyFill="1" applyBorder="1" applyAlignment="1" applyProtection="1">
      <alignment horizontal="center" vertical="center" wrapText="1"/>
    </xf>
    <xf numFmtId="0" fontId="16" fillId="3" borderId="5" xfId="352" applyNumberFormat="1" applyFont="1" applyFill="1" applyBorder="1" applyAlignment="1" applyProtection="1">
      <alignment horizontal="center" vertical="center" wrapText="1"/>
    </xf>
    <xf numFmtId="0" fontId="16" fillId="3" borderId="10" xfId="352" applyNumberFormat="1" applyFont="1" applyFill="1" applyBorder="1" applyAlignment="1" applyProtection="1">
      <alignment horizontal="center" vertical="center" wrapText="1"/>
    </xf>
    <xf numFmtId="14" fontId="15" fillId="3" borderId="5" xfId="352" applyNumberFormat="1" applyFont="1" applyFill="1" applyBorder="1" applyAlignment="1" applyProtection="1">
      <alignment horizontal="center" vertical="center" wrapText="1"/>
    </xf>
    <xf numFmtId="14" fontId="15" fillId="3" borderId="10" xfId="352" applyNumberFormat="1" applyFont="1" applyFill="1" applyBorder="1" applyAlignment="1" applyProtection="1">
      <alignment horizontal="center" vertical="center" wrapText="1"/>
    </xf>
    <xf numFmtId="183" fontId="16" fillId="3" borderId="5" xfId="352" applyNumberFormat="1" applyFont="1" applyFill="1" applyBorder="1" applyAlignment="1" applyProtection="1">
      <alignment horizontal="center" vertical="center" wrapText="1"/>
    </xf>
    <xf numFmtId="183" fontId="16" fillId="3" borderId="10" xfId="352" applyNumberFormat="1" applyFont="1" applyFill="1" applyBorder="1" applyAlignment="1" applyProtection="1">
      <alignment horizontal="center" vertical="center" wrapText="1"/>
    </xf>
    <xf numFmtId="0" fontId="14" fillId="3" borderId="5" xfId="62" applyNumberFormat="1" applyFont="1" applyFill="1" applyBorder="1" applyAlignment="1" applyProtection="1">
      <alignment horizontal="center" vertical="center" wrapText="1"/>
    </xf>
    <xf numFmtId="0" fontId="14" fillId="3" borderId="10" xfId="62" applyNumberFormat="1" applyFont="1" applyFill="1" applyBorder="1" applyAlignment="1" applyProtection="1">
      <alignment horizontal="center" vertical="center" wrapText="1"/>
    </xf>
    <xf numFmtId="183" fontId="11" fillId="3" borderId="5" xfId="62" applyNumberFormat="1" applyFont="1" applyFill="1" applyBorder="1" applyAlignment="1" applyProtection="1">
      <alignment horizontal="center" vertical="center" wrapText="1"/>
    </xf>
    <xf numFmtId="183" fontId="11" fillId="3" borderId="10" xfId="62" applyNumberFormat="1" applyFont="1" applyFill="1" applyBorder="1" applyAlignment="1" applyProtection="1">
      <alignment horizontal="center" vertical="center" wrapText="1"/>
    </xf>
    <xf numFmtId="49" fontId="15" fillId="3" borderId="5" xfId="352" applyNumberFormat="1" applyFont="1" applyFill="1" applyBorder="1" applyAlignment="1" applyProtection="1">
      <alignment horizontal="center" vertical="center" wrapText="1"/>
    </xf>
    <xf numFmtId="49" fontId="15" fillId="3" borderId="10" xfId="352" applyNumberFormat="1" applyFont="1" applyFill="1" applyBorder="1" applyAlignment="1" applyProtection="1">
      <alignment horizontal="center" vertical="center" wrapText="1"/>
    </xf>
    <xf numFmtId="4" fontId="19" fillId="10" borderId="6" xfId="0" applyNumberFormat="1" applyFont="1" applyFill="1" applyBorder="1" applyAlignment="1">
      <alignment horizontal="center" vertical="center" wrapText="1"/>
    </xf>
    <xf numFmtId="49" fontId="27" fillId="4" borderId="6" xfId="318" applyNumberFormat="1" applyFont="1" applyFill="1" applyBorder="1" applyAlignment="1" applyProtection="1">
      <alignment horizontal="center" vertical="center" wrapText="1"/>
    </xf>
    <xf numFmtId="49" fontId="27" fillId="4" borderId="6" xfId="365" applyNumberFormat="1" applyFont="1" applyFill="1" applyBorder="1" applyAlignment="1" applyProtection="1">
      <alignment horizontal="center" vertical="center" wrapText="1"/>
    </xf>
    <xf numFmtId="49" fontId="32" fillId="4" borderId="6" xfId="365" applyNumberFormat="1" applyFont="1" applyFill="1" applyBorder="1" applyAlignment="1" applyProtection="1">
      <alignment horizontal="center" vertical="center" wrapText="1"/>
    </xf>
    <xf numFmtId="181" fontId="32" fillId="4" borderId="6" xfId="365" applyNumberFormat="1" applyFont="1" applyFill="1" applyBorder="1" applyAlignment="1" applyProtection="1">
      <alignment horizontal="center" vertical="center" wrapText="1"/>
    </xf>
    <xf numFmtId="182" fontId="27" fillId="4" borderId="6" xfId="365" applyNumberFormat="1" applyFont="1" applyFill="1" applyBorder="1" applyAlignment="1" applyProtection="1">
      <alignment horizontal="center" vertical="center" wrapText="1"/>
    </xf>
    <xf numFmtId="49" fontId="39" fillId="4" borderId="6" xfId="365" applyNumberFormat="1" applyFont="1" applyFill="1" applyBorder="1" applyAlignment="1" applyProtection="1">
      <alignment horizontal="center" vertical="center" wrapText="1"/>
    </xf>
    <xf numFmtId="49" fontId="32" fillId="6" borderId="6" xfId="318" applyNumberFormat="1" applyFont="1" applyFill="1" applyBorder="1" applyAlignment="1" applyProtection="1">
      <alignment horizontal="center" vertical="center" wrapText="1"/>
    </xf>
    <xf numFmtId="0" fontId="40" fillId="3" borderId="6" xfId="318" applyFont="1" applyFill="1" applyBorder="1" applyAlignment="1" applyProtection="1">
      <alignment horizontal="center" vertical="center" wrapText="1"/>
    </xf>
    <xf numFmtId="0" fontId="40" fillId="3" borderId="6" xfId="0" applyFont="1" applyFill="1" applyBorder="1" applyAlignment="1" applyProtection="1">
      <alignment horizontal="center" vertical="center" wrapText="1"/>
    </xf>
    <xf numFmtId="0" fontId="40" fillId="3" borderId="6" xfId="0" applyFont="1" applyFill="1" applyBorder="1" applyAlignment="1" applyProtection="1">
      <alignment horizontal="center" vertical="center"/>
    </xf>
    <xf numFmtId="49" fontId="8" fillId="5" borderId="6" xfId="318" applyNumberFormat="1" applyFont="1" applyFill="1" applyBorder="1" applyAlignment="1" applyProtection="1">
      <alignment horizontal="center" vertical="center" wrapText="1"/>
    </xf>
    <xf numFmtId="49" fontId="8" fillId="5" borderId="6" xfId="365" applyNumberFormat="1" applyFont="1" applyFill="1" applyBorder="1" applyAlignment="1" applyProtection="1">
      <alignment horizontal="center" vertical="center" wrapText="1"/>
    </xf>
    <xf numFmtId="49" fontId="8" fillId="4" borderId="5" xfId="365" applyNumberFormat="1" applyFont="1" applyFill="1" applyBorder="1" applyAlignment="1" applyProtection="1">
      <alignment horizontal="center" vertical="center" wrapText="1"/>
    </xf>
    <xf numFmtId="49" fontId="8" fillId="4" borderId="7" xfId="365" applyNumberFormat="1" applyFont="1" applyFill="1" applyBorder="1" applyAlignment="1" applyProtection="1">
      <alignment horizontal="center" vertical="center" wrapText="1"/>
    </xf>
    <xf numFmtId="49" fontId="8" fillId="4" borderId="6" xfId="365" applyNumberFormat="1" applyFont="1" applyFill="1" applyBorder="1" applyAlignment="1" applyProtection="1">
      <alignment horizontal="center" vertical="center" wrapText="1"/>
    </xf>
    <xf numFmtId="49" fontId="8" fillId="5" borderId="5" xfId="365" applyNumberFormat="1" applyFont="1" applyFill="1" applyBorder="1" applyAlignment="1" applyProtection="1">
      <alignment horizontal="center" vertical="center" wrapText="1"/>
    </xf>
    <xf numFmtId="49" fontId="8" fillId="5" borderId="7" xfId="365" applyNumberFormat="1" applyFont="1" applyFill="1" applyBorder="1" applyAlignment="1" applyProtection="1">
      <alignment horizontal="center" vertical="center" wrapText="1"/>
    </xf>
    <xf numFmtId="181" fontId="8" fillId="4" borderId="6" xfId="365" applyNumberFormat="1" applyFont="1" applyFill="1" applyBorder="1" applyAlignment="1" applyProtection="1">
      <alignment horizontal="center" vertical="center" wrapText="1"/>
    </xf>
    <xf numFmtId="182" fontId="8" fillId="5" borderId="6" xfId="365" applyNumberFormat="1" applyFont="1" applyFill="1" applyBorder="1" applyAlignment="1" applyProtection="1">
      <alignment horizontal="center" vertical="center" wrapText="1"/>
    </xf>
    <xf numFmtId="49" fontId="8" fillId="4" borderId="8" xfId="365" applyNumberFormat="1" applyFont="1" applyFill="1" applyBorder="1" applyAlignment="1" applyProtection="1">
      <alignment horizontal="center" vertical="center" wrapText="1"/>
    </xf>
    <xf numFmtId="49" fontId="8" fillId="4" borderId="9" xfId="365" applyNumberFormat="1" applyFont="1" applyFill="1" applyBorder="1" applyAlignment="1" applyProtection="1">
      <alignment horizontal="center" vertical="center" wrapText="1"/>
    </xf>
    <xf numFmtId="49" fontId="8" fillId="6" borderId="6" xfId="318" applyNumberFormat="1" applyFont="1" applyFill="1" applyBorder="1" applyAlignment="1" applyProtection="1">
      <alignment horizontal="center" vertical="center" wrapText="1"/>
    </xf>
    <xf numFmtId="0" fontId="8" fillId="3" borderId="6" xfId="318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5"/>
    <cellStyle name="??&amp;O龡&amp;H?_x0008_??_x0007__x0001__x0001_" xfId="39"/>
    <cellStyle name="??_x005f_x0011_?_x005f_x0010_?" xfId="62"/>
    <cellStyle name="_ET_STYLE_NoName_00_" xfId="53"/>
    <cellStyle name="_ET_STYLE_NoName_00__北区长促工资1004_3" xfId="64"/>
    <cellStyle name="_ET_STYLE_NoName_00__南区长促工资1004_5" xfId="58"/>
    <cellStyle name="_ET_STYLE_NoName_-01_ 3 3 3 2" xfId="6"/>
    <cellStyle name="0,0_x000a__x000a_NA_x000a__x000a_" xfId="66"/>
    <cellStyle name="0,0_x000d__x000a_NA_x000d__x000a_" xfId="22"/>
    <cellStyle name="20% - 强调文字颜色 1 2" xfId="8"/>
    <cellStyle name="20% - 强调文字颜色 1 2 2" xfId="68"/>
    <cellStyle name="20% - 强调文字颜色 1 2 3" xfId="57"/>
    <cellStyle name="20% - 强调文字颜色 1 3" xfId="61"/>
    <cellStyle name="20% - 强调文字颜色 1 3 2" xfId="65"/>
    <cellStyle name="20% - 强调文字颜色 1 4" xfId="60"/>
    <cellStyle name="20% - 强调文字颜色 1 5" xfId="55"/>
    <cellStyle name="20% - 强调文字颜色 2 2" xfId="70"/>
    <cellStyle name="20% - 强调文字颜色 2 2 2" xfId="72"/>
    <cellStyle name="20% - 强调文字颜色 2 2 3" xfId="74"/>
    <cellStyle name="20% - 强调文字颜色 2 3" xfId="76"/>
    <cellStyle name="20% - 强调文字颜色 2 3 2" xfId="78"/>
    <cellStyle name="20% - 强调文字颜色 2 4" xfId="80"/>
    <cellStyle name="20% - 强调文字颜色 2 5" xfId="82"/>
    <cellStyle name="20% - 强调文字颜色 3 2" xfId="84"/>
    <cellStyle name="20% - 强调文字颜色 3 2 2" xfId="86"/>
    <cellStyle name="20% - 强调文字颜色 3 2 3" xfId="88"/>
    <cellStyle name="20% - 强调文字颜色 3 3" xfId="31"/>
    <cellStyle name="20% - 强调文字颜色 3 3 2" xfId="49"/>
    <cellStyle name="20% - 强调文字颜色 3 4" xfId="90"/>
    <cellStyle name="20% - 强调文字颜色 3 5" xfId="93"/>
    <cellStyle name="20% - 强调文字颜色 4 2" xfId="95"/>
    <cellStyle name="20% - 强调文字颜色 4 2 2" xfId="98"/>
    <cellStyle name="20% - 强调文字颜色 4 2 3" xfId="101"/>
    <cellStyle name="20% - 强调文字颜色 4 3" xfId="104"/>
    <cellStyle name="20% - 强调文字颜色 4 3 2" xfId="107"/>
    <cellStyle name="20% - 强调文字颜色 4 4" xfId="109"/>
    <cellStyle name="20% - 强调文字颜色 4 5" xfId="15"/>
    <cellStyle name="20% - 强调文字颜色 5 2" xfId="112"/>
    <cellStyle name="20% - 强调文字颜色 5 2 2" xfId="114"/>
    <cellStyle name="20% - 强调文字颜色 5 2 3" xfId="117"/>
    <cellStyle name="20% - 强调文字颜色 5 3" xfId="118"/>
    <cellStyle name="20% - 强调文字颜色 5 3 2" xfId="120"/>
    <cellStyle name="20% - 强调文字颜色 5 4" xfId="123"/>
    <cellStyle name="20% - 强调文字颜色 5 5" xfId="125"/>
    <cellStyle name="20% - 强调文字颜色 6 2" xfId="127"/>
    <cellStyle name="20% - 强调文字颜色 6 2 2" xfId="128"/>
    <cellStyle name="20% - 强调文字颜色 6 2 3" xfId="130"/>
    <cellStyle name="20% - 强调文字颜色 6 3" xfId="132"/>
    <cellStyle name="20% - 强调文字颜色 6 3 2" xfId="133"/>
    <cellStyle name="20% - 强调文字颜色 6 4" xfId="135"/>
    <cellStyle name="20% - 强调文字颜色 6 5" xfId="138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9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4"/>
    <cellStyle name="40% - 强调文字颜色 3 2 2" xfId="156"/>
    <cellStyle name="40% - 强调文字颜色 3 2 3" xfId="158"/>
    <cellStyle name="40% - 强调文字颜色 3 3" xfId="159"/>
    <cellStyle name="40% - 强调文字颜色 3 3 2" xfId="162"/>
    <cellStyle name="40% - 强调文字颜色 3 4" xfId="164"/>
    <cellStyle name="40% - 强调文字颜色 3 5" xfId="166"/>
    <cellStyle name="40% - 强调文字颜色 4 2" xfId="25"/>
    <cellStyle name="40% - 强调文字颜色 4 2 2" xfId="167"/>
    <cellStyle name="40% - 强调文字颜色 4 2 3" xfId="172"/>
    <cellStyle name="40% - 强调文字颜色 4 3" xfId="176"/>
    <cellStyle name="40% - 强调文字颜色 4 3 2" xfId="40"/>
    <cellStyle name="40% - 强调文字颜色 4 4" xfId="129"/>
    <cellStyle name="40% - 强调文字颜色 4 5" xfId="131"/>
    <cellStyle name="40% - 强调文字颜色 5 2" xfId="179"/>
    <cellStyle name="40% - 强调文字颜色 5 2 2" xfId="139"/>
    <cellStyle name="40% - 强调文字颜色 5 2 3" xfId="182"/>
    <cellStyle name="40% - 强调文字颜色 5 3" xfId="184"/>
    <cellStyle name="40% - 强调文字颜色 5 3 2" xfId="186"/>
    <cellStyle name="40% - 强调文字颜色 5 4" xfId="134"/>
    <cellStyle name="40% - 强调文字颜色 5 5" xfId="188"/>
    <cellStyle name="40% - 强调文字颜色 6 2" xfId="189"/>
    <cellStyle name="40% - 强调文字颜色 6 2 2" xfId="192"/>
    <cellStyle name="40% - 强调文字颜色 6 2 3" xfId="193"/>
    <cellStyle name="40% - 强调文字颜色 6 3" xfId="194"/>
    <cellStyle name="40% - 强调文字颜色 6 3 2" xfId="197"/>
    <cellStyle name="40% - 强调文字颜色 6 4" xfId="199"/>
    <cellStyle name="40% - 强调文字颜色 6 5" xfId="29"/>
    <cellStyle name="60% - 强调文字颜色 1 2" xfId="91"/>
    <cellStyle name="60% - 强调文字颜色 1 2 2" xfId="202"/>
    <cellStyle name="60% - 强调文字颜色 1 2 3" xfId="203"/>
    <cellStyle name="60% - 强调文字颜色 1 3" xfId="94"/>
    <cellStyle name="60% - 强调文字颜色 1 3 2" xfId="204"/>
    <cellStyle name="60% - 强调文字颜色 1 4" xfId="205"/>
    <cellStyle name="60% - 强调文字颜色 1 5" xfId="206"/>
    <cellStyle name="60% - 强调文字颜色 2 2" xfId="110"/>
    <cellStyle name="60% - 强调文字颜色 2 2 2" xfId="18"/>
    <cellStyle name="60% - 强调文字颜色 2 2 3" xfId="209"/>
    <cellStyle name="60% - 强调文字颜色 2 3" xfId="14"/>
    <cellStyle name="60% - 强调文字颜色 2 3 2" xfId="210"/>
    <cellStyle name="60% - 强调文字颜色 2 4" xfId="213"/>
    <cellStyle name="60% - 强调文字颜色 2 5" xfId="215"/>
    <cellStyle name="60% - 强调文字颜色 3 2" xfId="124"/>
    <cellStyle name="60% - 强调文字颜色 3 2 2" xfId="218"/>
    <cellStyle name="60% - 强调文字颜色 3 2 3" xfId="220"/>
    <cellStyle name="60% - 强调文字颜色 3 3" xfId="126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30"/>
    <cellStyle name="60% - 强调文字颜色 4 3" xfId="140"/>
    <cellStyle name="60% - 强调文字颜色 4 3 2" xfId="224"/>
    <cellStyle name="60% - 强调文字颜色 4 4" xfId="183"/>
    <cellStyle name="60% - 强调文字颜色 4 5" xfId="225"/>
    <cellStyle name="60% - 强调文字颜色 5 2" xfId="227"/>
    <cellStyle name="60% - 强调文字颜色 5 2 2" xfId="228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5"/>
    <cellStyle name="60% - 强调文字颜色 6 2 3" xfId="238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3"/>
    <cellStyle name="Normal_08'前程工资8月" xfId="239"/>
    <cellStyle name="百分比 2" xfId="245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2"/>
    <cellStyle name="标题 1 4" xfId="254"/>
    <cellStyle name="标题 1 5" xfId="255"/>
    <cellStyle name="标题 2 2" xfId="256"/>
    <cellStyle name="标题 2 2 2" xfId="257"/>
    <cellStyle name="标题 2 2 3" xfId="258"/>
    <cellStyle name="标题 2 3" xfId="260"/>
    <cellStyle name="标题 2 3 2" xfId="261"/>
    <cellStyle name="标题 2 4" xfId="263"/>
    <cellStyle name="标题 2 5" xfId="264"/>
    <cellStyle name="标题 3 2" xfId="265"/>
    <cellStyle name="标题 3 2 2" xfId="266"/>
    <cellStyle name="标题 3 2 3" xfId="268"/>
    <cellStyle name="标题 3 3" xfId="269"/>
    <cellStyle name="标题 3 3 2" xfId="270"/>
    <cellStyle name="标题 3 4" xfId="272"/>
    <cellStyle name="标题 3 5" xfId="273"/>
    <cellStyle name="标题 4 2" xfId="274"/>
    <cellStyle name="标题 4 2 2" xfId="54"/>
    <cellStyle name="标题 4 2 3" xfId="276"/>
    <cellStyle name="标题 4 3" xfId="277"/>
    <cellStyle name="标题 4 3 2" xfId="279"/>
    <cellStyle name="标题 4 4" xfId="168"/>
    <cellStyle name="标题 4 5" xfId="173"/>
    <cellStyle name="标题 5" xfId="281"/>
    <cellStyle name="标题 5 2" xfId="283"/>
    <cellStyle name="标题 5 3" xfId="285"/>
    <cellStyle name="标题 6" xfId="288"/>
    <cellStyle name="标题 6 2" xfId="289"/>
    <cellStyle name="标题 7" xfId="291"/>
    <cellStyle name="标题 8" xfId="293"/>
    <cellStyle name="差 2" xfId="294"/>
    <cellStyle name="差 2 2" xfId="296"/>
    <cellStyle name="差 2 3" xfId="63"/>
    <cellStyle name="差 3" xfId="297"/>
    <cellStyle name="差 3 2" xfId="298"/>
    <cellStyle name="差 4" xfId="246"/>
    <cellStyle name="差 5" xfId="122"/>
    <cellStyle name="常规" xfId="0" builtinId="0"/>
    <cellStyle name="常规 11" xfId="262"/>
    <cellStyle name="常规 11 2" xfId="299"/>
    <cellStyle name="常规 11 3" xfId="300"/>
    <cellStyle name="常规 12" xfId="302"/>
    <cellStyle name="常规 12 2" xfId="303"/>
    <cellStyle name="常规 12 3" xfId="304"/>
    <cellStyle name="常规 14" xfId="305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4"/>
    <cellStyle name="常规 2 3 2" xfId="316"/>
    <cellStyle name="常规 2 3 2 2" xfId="301"/>
    <cellStyle name="常规 2 3 2 3" xfId="69"/>
    <cellStyle name="常规 2 3 3" xfId="319"/>
    <cellStyle name="常规 2 3 4" xfId="320"/>
    <cellStyle name="常规 2 4" xfId="321"/>
    <cellStyle name="常规 2 4 2" xfId="323"/>
    <cellStyle name="常规 2 5" xfId="324"/>
    <cellStyle name="常规 2 5 2" xfId="326"/>
    <cellStyle name="常规 2 6" xfId="328"/>
    <cellStyle name="常规 2 6 2" xfId="330"/>
    <cellStyle name="常规 2 6 2 2" xfId="332"/>
    <cellStyle name="常规 25" xfId="161"/>
    <cellStyle name="常规 27" xfId="333"/>
    <cellStyle name="常规 3" xfId="96"/>
    <cellStyle name="常规 3 2" xfId="99"/>
    <cellStyle name="常规 3 2 2" xfId="334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0"/>
    <cellStyle name="常规 3 5 2" xfId="342"/>
    <cellStyle name="常规 3 5 3" xfId="236"/>
    <cellStyle name="常规 4" xfId="105"/>
    <cellStyle name="常规 4 2" xfId="108"/>
    <cellStyle name="常规 4 2 2" xfId="344"/>
    <cellStyle name="常规 4 3" xfId="346"/>
    <cellStyle name="常规 4 4" xfId="345"/>
    <cellStyle name="常规 5" xfId="111"/>
    <cellStyle name="常规 5 2" xfId="19"/>
    <cellStyle name="常规 6" xfId="13"/>
    <cellStyle name="常规 6 2" xfId="211"/>
    <cellStyle name="常规 7" xfId="214"/>
    <cellStyle name="常规 7 2" xfId="348"/>
    <cellStyle name="常规 7 3" xfId="10"/>
    <cellStyle name="常规 8" xfId="216"/>
    <cellStyle name="常规 8 2" xfId="33"/>
    <cellStyle name="常规 8 3" xfId="27"/>
    <cellStyle name="常规 8 4" xfId="349"/>
    <cellStyle name="常规 9" xfId="351"/>
    <cellStyle name="常规_0705 UL South CS meeting (chonghua)" xfId="439"/>
    <cellStyle name="常规_Sheet1" xfId="365"/>
    <cellStyle name="常规_创联至信12年工资表sn803808" xfId="226"/>
    <cellStyle name="常规_付款通知书智联（神数系统）" xfId="352"/>
    <cellStyle name="常规_全国客服表格" xfId="318"/>
    <cellStyle name="好 2" xfId="56"/>
    <cellStyle name="好 2 2" xfId="355"/>
    <cellStyle name="好 2 3" xfId="180"/>
    <cellStyle name="好 3" xfId="356"/>
    <cellStyle name="好 3 2" xfId="259"/>
    <cellStyle name="好 4" xfId="357"/>
    <cellStyle name="好 5" xfId="267"/>
    <cellStyle name="汇总 2" xfId="358"/>
    <cellStyle name="汇总 2 2" xfId="278"/>
    <cellStyle name="汇总 2 2 2" xfId="280"/>
    <cellStyle name="汇总 2 3" xfId="169"/>
    <cellStyle name="汇总 2 3 2" xfId="359"/>
    <cellStyle name="汇总 2 4" xfId="174"/>
    <cellStyle name="汇总 3" xfId="253"/>
    <cellStyle name="汇总 3 2" xfId="286"/>
    <cellStyle name="汇总 3 2 2" xfId="44"/>
    <cellStyle name="汇总 3 3" xfId="41"/>
    <cellStyle name="汇总 4" xfId="361"/>
    <cellStyle name="汇总 4 2" xfId="5"/>
    <cellStyle name="汇总 5" xfId="362"/>
    <cellStyle name="汇总 5 2" xfId="363"/>
    <cellStyle name="计算 2" xfId="11"/>
    <cellStyle name="计算 2 2" xfId="155"/>
    <cellStyle name="计算 2 2 2" xfId="157"/>
    <cellStyle name="计算 2 3" xfId="160"/>
    <cellStyle name="计算 2 3 2" xfId="163"/>
    <cellStyle name="计算 2 4" xfId="165"/>
    <cellStyle name="计算 3" xfId="46"/>
    <cellStyle name="计算 3 2" xfId="26"/>
    <cellStyle name="计算 3 2 2" xfId="170"/>
    <cellStyle name="计算 3 3" xfId="177"/>
    <cellStyle name="计算 4" xfId="47"/>
    <cellStyle name="计算 4 2" xfId="181"/>
    <cellStyle name="计算 5" xfId="50"/>
    <cellStyle name="计算 5 2" xfId="190"/>
    <cellStyle name="检查单元格 2" xfId="171"/>
    <cellStyle name="检查单元格 2 2" xfId="360"/>
    <cellStyle name="检查单元格 2 3" xfId="366"/>
    <cellStyle name="检查单元格 3" xfId="175"/>
    <cellStyle name="检查单元格 3 2" xfId="36"/>
    <cellStyle name="检查单元格 4" xfId="367"/>
    <cellStyle name="检查单元格 5" xfId="368"/>
    <cellStyle name="解释性文本 2" xfId="369"/>
    <cellStyle name="解释性文本 2 2" xfId="16"/>
    <cellStyle name="解释性文本 2 3" xfId="282"/>
    <cellStyle name="解释性文本 3" xfId="198"/>
    <cellStyle name="解释性文本 3 2" xfId="370"/>
    <cellStyle name="解释性文本 4" xfId="371"/>
    <cellStyle name="解释性文本 5" xfId="295"/>
    <cellStyle name="警告文本 2" xfId="353"/>
    <cellStyle name="警告文本 2 2" xfId="207"/>
    <cellStyle name="警告文本 2 3" xfId="244"/>
    <cellStyle name="警告文本 3" xfId="372"/>
    <cellStyle name="警告文本 3 2" xfId="217"/>
    <cellStyle name="警告文本 4" xfId="374"/>
    <cellStyle name="警告文本 5" xfId="375"/>
    <cellStyle name="链接单元格 2" xfId="376"/>
    <cellStyle name="链接单元格 2 2" xfId="378"/>
    <cellStyle name="链接单元格 2 3" xfId="380"/>
    <cellStyle name="链接单元格 3" xfId="37"/>
    <cellStyle name="链接单元格 3 2" xfId="7"/>
    <cellStyle name="链接单元格 4" xfId="42"/>
    <cellStyle name="链接单元格 5" xfId="3"/>
    <cellStyle name="千位分隔 2" xfId="381"/>
    <cellStyle name="千位分隔 2 2" xfId="382"/>
    <cellStyle name="千位分隔 3" xfId="275"/>
    <cellStyle name="强调文字颜色 1 2" xfId="383"/>
    <cellStyle name="强调文字颜色 1 2 2" xfId="384"/>
    <cellStyle name="强调文字颜色 1 2 3" xfId="20"/>
    <cellStyle name="强调文字颜色 1 3" xfId="385"/>
    <cellStyle name="强调文字颜色 1 3 2" xfId="386"/>
    <cellStyle name="强调文字颜色 1 4" xfId="284"/>
    <cellStyle name="强调文字颜色 1 5" xfId="287"/>
    <cellStyle name="强调文字颜色 2 2" xfId="387"/>
    <cellStyle name="强调文字颜色 2 2 2" xfId="388"/>
    <cellStyle name="强调文字颜色 2 2 3" xfId="219"/>
    <cellStyle name="强调文字颜色 2 3" xfId="389"/>
    <cellStyle name="强调文字颜色 2 3 2" xfId="1"/>
    <cellStyle name="强调文字颜色 2 4" xfId="290"/>
    <cellStyle name="强调文字颜色 2 5" xfId="4"/>
    <cellStyle name="强调文字颜色 3 2" xfId="390"/>
    <cellStyle name="强调文字颜色 3 2 2" xfId="195"/>
    <cellStyle name="强调文字颜色 3 2 3" xfId="201"/>
    <cellStyle name="强调文字颜色 3 3" xfId="392"/>
    <cellStyle name="强调文字颜色 3 3 2" xfId="306"/>
    <cellStyle name="强调文字颜色 3 4" xfId="393"/>
    <cellStyle name="强调文字颜色 3 5" xfId="364"/>
    <cellStyle name="强调文字颜色 4 2" xfId="325"/>
    <cellStyle name="强调文字颜色 4 2 2" xfId="327"/>
    <cellStyle name="强调文字颜色 4 2 3" xfId="229"/>
    <cellStyle name="强调文字颜色 4 3" xfId="329"/>
    <cellStyle name="强调文字颜色 4 3 2" xfId="331"/>
    <cellStyle name="强调文字颜色 4 4" xfId="394"/>
    <cellStyle name="强调文字颜色 4 5" xfId="395"/>
    <cellStyle name="强调文字颜色 5 2" xfId="341"/>
    <cellStyle name="强调文字颜色 5 2 2" xfId="343"/>
    <cellStyle name="强调文字颜色 5 2 3" xfId="237"/>
    <cellStyle name="强调文字颜色 5 3" xfId="397"/>
    <cellStyle name="强调文字颜色 5 3 2" xfId="398"/>
    <cellStyle name="强调文字颜色 5 4" xfId="399"/>
    <cellStyle name="强调文字颜色 5 5" xfId="67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50"/>
    <cellStyle name="强调文字颜色 6 4" xfId="404"/>
    <cellStyle name="强调文字颜色 6 5" xfId="405"/>
    <cellStyle name="适中 2" xfId="51"/>
    <cellStyle name="适中 2 2" xfId="191"/>
    <cellStyle name="适中 2 3" xfId="196"/>
    <cellStyle name="适中 3" xfId="406"/>
    <cellStyle name="适中 3 2" xfId="407"/>
    <cellStyle name="适中 4" xfId="335"/>
    <cellStyle name="适中 5" xfId="408"/>
    <cellStyle name="输出 2" xfId="43"/>
    <cellStyle name="输出 2 2" xfId="71"/>
    <cellStyle name="输出 2 2 2" xfId="73"/>
    <cellStyle name="输出 2 2 2 2" xfId="409"/>
    <cellStyle name="输出 2 2 3" xfId="75"/>
    <cellStyle name="输出 2 3" xfId="77"/>
    <cellStyle name="输出 2 3 2" xfId="79"/>
    <cellStyle name="输出 2 3 2 2" xfId="410"/>
    <cellStyle name="输出 2 3 3" xfId="411"/>
    <cellStyle name="输出 2 4" xfId="81"/>
    <cellStyle name="输出 2 4 2" xfId="24"/>
    <cellStyle name="输出 2 5" xfId="83"/>
    <cellStyle name="输出 3" xfId="2"/>
    <cellStyle name="输出 3 2" xfId="85"/>
    <cellStyle name="输出 3 2 2" xfId="87"/>
    <cellStyle name="输出 3 2 2 2" xfId="412"/>
    <cellStyle name="输出 3 2 3" xfId="89"/>
    <cellStyle name="输出 3 3" xfId="32"/>
    <cellStyle name="输出 3 3 2" xfId="52"/>
    <cellStyle name="输出 3 4" xfId="92"/>
    <cellStyle name="输出 4" xfId="45"/>
    <cellStyle name="输出 4 2" xfId="97"/>
    <cellStyle name="输出 4 2 2" xfId="100"/>
    <cellStyle name="输出 4 3" xfId="106"/>
    <cellStyle name="输出 5" xfId="34"/>
    <cellStyle name="输出 5 2" xfId="113"/>
    <cellStyle name="输出 5 2 2" xfId="116"/>
    <cellStyle name="输出 5 3" xfId="119"/>
    <cellStyle name="输入 2" xfId="396"/>
    <cellStyle name="输入 2 2" xfId="413"/>
    <cellStyle name="输入 2 2 2" xfId="178"/>
    <cellStyle name="输入 2 3" xfId="415"/>
    <cellStyle name="输入 2 3 2" xfId="185"/>
    <cellStyle name="输入 2 4" xfId="391"/>
    <cellStyle name="输入 3" xfId="417"/>
    <cellStyle name="输入 3 2" xfId="315"/>
    <cellStyle name="输入 3 2 2" xfId="317"/>
    <cellStyle name="输入 3 3" xfId="322"/>
    <cellStyle name="输入 4" xfId="418"/>
    <cellStyle name="输入 4 2" xfId="103"/>
    <cellStyle name="输入 5" xfId="419"/>
    <cellStyle name="输入 5 2" xfId="347"/>
    <cellStyle name="㼿㼿㼿㼿? 2" xfId="442"/>
    <cellStyle name="㼿㼿㼿㼿㼿" xfId="440"/>
    <cellStyle name="㼿㼿㼿㼿㼿㼿㼿" xfId="441"/>
    <cellStyle name="样式 1" xfId="271"/>
    <cellStyle name="样式 1 2" xfId="420"/>
    <cellStyle name="样式 2" xfId="421"/>
    <cellStyle name="样式 2 2" xfId="422"/>
    <cellStyle name="样式 2 3" xfId="423"/>
    <cellStyle name="样式 2 4" xfId="414"/>
    <cellStyle name="样式 2 5" xfId="416"/>
    <cellStyle name="注释 2" xfId="212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7"/>
    <cellStyle name="注释 2 3 2 2" xfId="379"/>
    <cellStyle name="注释 2 3 3" xfId="38"/>
    <cellStyle name="注释 2 4" xfId="428"/>
    <cellStyle name="注释 2 4 2" xfId="292"/>
    <cellStyle name="注释 2 5" xfId="429"/>
    <cellStyle name="注释 3" xfId="430"/>
    <cellStyle name="注释 3 2" xfId="431"/>
    <cellStyle name="注释 3 2 2" xfId="23"/>
    <cellStyle name="注释 3 2 2 2" xfId="137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4"/>
    <cellStyle name="注释 5 2 2" xfId="208"/>
    <cellStyle name="注释 5 3" xfId="373"/>
  </cellStyles>
  <dxfs count="10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topLeftCell="A7" workbookViewId="0">
      <selection activeCell="G28" sqref="G28"/>
    </sheetView>
  </sheetViews>
  <sheetFormatPr defaultColWidth="9" defaultRowHeight="13.5"/>
  <cols>
    <col min="1" max="2" width="9" style="221"/>
    <col min="3" max="3" width="10.75" style="221" customWidth="1"/>
    <col min="4" max="4" width="16.75" style="221" customWidth="1"/>
    <col min="5" max="5" width="11.75" style="221" customWidth="1"/>
    <col min="6" max="6" width="9" style="221"/>
    <col min="7" max="7" width="10.75" style="221" customWidth="1"/>
    <col min="8" max="12" width="9" style="221"/>
    <col min="13" max="13" width="9.5" style="221" customWidth="1"/>
    <col min="14" max="14" width="16.5" style="221" customWidth="1"/>
    <col min="15" max="16384" width="9" style="221"/>
  </cols>
  <sheetData>
    <row r="1" spans="1:14" ht="25.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25">
      <c r="A2" s="222"/>
      <c r="B2" s="223"/>
      <c r="C2" s="223"/>
      <c r="D2" s="224"/>
      <c r="E2" s="224"/>
      <c r="F2" s="224"/>
      <c r="G2" s="222"/>
      <c r="H2" s="222"/>
      <c r="I2" s="222"/>
      <c r="J2" s="224"/>
      <c r="K2" s="224"/>
      <c r="L2" s="224"/>
      <c r="M2" s="224"/>
      <c r="N2" s="224"/>
    </row>
    <row r="3" spans="1:14">
      <c r="A3" s="225"/>
      <c r="B3" s="226"/>
      <c r="C3" s="227"/>
      <c r="D3" s="228"/>
      <c r="E3" s="229"/>
      <c r="F3" s="229"/>
      <c r="G3" s="230"/>
      <c r="H3" s="231"/>
      <c r="I3" s="226"/>
      <c r="J3" s="227"/>
      <c r="K3" s="228"/>
      <c r="L3" s="264"/>
      <c r="M3" s="224"/>
      <c r="N3" s="224"/>
    </row>
    <row r="4" spans="1:14">
      <c r="A4" s="225"/>
      <c r="B4" s="288" t="s">
        <v>1</v>
      </c>
      <c r="C4" s="288"/>
      <c r="D4" s="288"/>
      <c r="E4" s="288"/>
      <c r="F4" s="289"/>
      <c r="G4" s="232"/>
      <c r="H4" s="231"/>
      <c r="K4" s="224"/>
      <c r="L4" s="265"/>
      <c r="M4" s="266"/>
      <c r="N4" s="224"/>
    </row>
    <row r="5" spans="1:14">
      <c r="A5" s="233"/>
      <c r="B5" s="234" t="s">
        <v>2</v>
      </c>
      <c r="C5" s="228"/>
      <c r="D5" s="228"/>
      <c r="E5" s="228"/>
      <c r="F5" s="228"/>
      <c r="G5" s="228"/>
      <c r="H5" s="235"/>
      <c r="I5" s="231"/>
      <c r="J5" s="226"/>
      <c r="K5" s="227"/>
      <c r="L5" s="264"/>
      <c r="M5" s="224"/>
      <c r="N5" s="224"/>
    </row>
    <row r="6" spans="1:14" ht="9.75" customHeight="1">
      <c r="A6" s="236"/>
      <c r="B6" s="236"/>
      <c r="C6" s="236"/>
      <c r="D6" s="236"/>
      <c r="E6" s="236"/>
      <c r="F6" s="236"/>
      <c r="G6" s="236"/>
      <c r="H6" s="236"/>
      <c r="I6" s="267"/>
      <c r="J6" s="267"/>
      <c r="K6" s="268"/>
      <c r="L6" s="268"/>
      <c r="M6" s="268"/>
      <c r="N6" s="268"/>
    </row>
    <row r="7" spans="1:14" ht="14.25">
      <c r="A7" s="236"/>
      <c r="B7" s="290" t="s">
        <v>3</v>
      </c>
      <c r="C7" s="291"/>
      <c r="D7" s="291"/>
      <c r="E7" s="291"/>
      <c r="F7" s="291"/>
      <c r="G7" s="291"/>
      <c r="H7" s="291"/>
      <c r="I7" s="292" t="s">
        <v>4</v>
      </c>
      <c r="J7" s="292"/>
      <c r="K7" s="269"/>
      <c r="L7" s="223"/>
      <c r="M7" s="223"/>
      <c r="N7" s="270"/>
    </row>
    <row r="8" spans="1:14" ht="14.25">
      <c r="A8" s="236"/>
      <c r="B8" s="293" t="s">
        <v>5</v>
      </c>
      <c r="C8" s="294"/>
      <c r="D8" s="294"/>
      <c r="E8" s="295">
        <f>D10</f>
        <v>38048.909999999989</v>
      </c>
      <c r="F8" s="296"/>
      <c r="G8" s="296"/>
      <c r="H8" s="297"/>
      <c r="I8" s="271"/>
      <c r="J8" s="298" t="s">
        <v>6</v>
      </c>
      <c r="K8" s="298"/>
      <c r="L8" s="298"/>
      <c r="M8" s="298"/>
      <c r="N8" s="298"/>
    </row>
    <row r="9" spans="1:14">
      <c r="A9" s="236"/>
      <c r="B9" s="299" t="s">
        <v>7</v>
      </c>
      <c r="C9" s="300"/>
      <c r="D9" s="300"/>
      <c r="E9" s="301">
        <f>G25</f>
        <v>38048.909999999989</v>
      </c>
      <c r="F9" s="302"/>
      <c r="G9" s="302"/>
      <c r="H9" s="303"/>
      <c r="I9" s="272"/>
      <c r="J9" s="304" t="s">
        <v>8</v>
      </c>
      <c r="K9" s="304"/>
      <c r="L9" s="304"/>
      <c r="M9" s="304"/>
      <c r="N9" s="305"/>
    </row>
    <row r="10" spans="1:14" ht="14.25">
      <c r="A10" s="236"/>
      <c r="B10" s="306" t="s">
        <v>9</v>
      </c>
      <c r="C10" s="307"/>
      <c r="D10" s="237">
        <f>G25</f>
        <v>38048.909999999989</v>
      </c>
      <c r="E10" s="308" t="s">
        <v>10</v>
      </c>
      <c r="F10" s="309"/>
      <c r="G10" s="310"/>
      <c r="H10" s="238">
        <v>0</v>
      </c>
      <c r="I10" s="273"/>
      <c r="J10" s="311" t="s">
        <v>11</v>
      </c>
      <c r="K10" s="311"/>
      <c r="L10" s="311"/>
      <c r="M10" s="311"/>
      <c r="N10" s="312"/>
    </row>
    <row r="11" spans="1:14" ht="14.25">
      <c r="A11" s="236"/>
      <c r="B11" s="313" t="s">
        <v>12</v>
      </c>
      <c r="C11" s="314"/>
      <c r="D11" s="239"/>
      <c r="E11" s="315" t="s">
        <v>13</v>
      </c>
      <c r="F11" s="316"/>
      <c r="G11" s="317"/>
      <c r="H11" s="240"/>
      <c r="I11" s="274"/>
      <c r="J11" s="275"/>
      <c r="K11" s="274"/>
      <c r="L11" s="274"/>
      <c r="M11" s="274"/>
      <c r="N11" s="276"/>
    </row>
    <row r="12" spans="1:14">
      <c r="A12" s="233"/>
      <c r="B12" s="313" t="s">
        <v>14</v>
      </c>
      <c r="C12" s="314"/>
      <c r="D12" s="239">
        <v>0</v>
      </c>
      <c r="E12" s="315" t="s">
        <v>15</v>
      </c>
      <c r="F12" s="316"/>
      <c r="G12" s="317"/>
      <c r="H12" s="240"/>
      <c r="I12" s="277"/>
      <c r="J12" s="278"/>
      <c r="K12" s="318"/>
      <c r="L12" s="318"/>
      <c r="M12" s="318"/>
      <c r="N12" s="318"/>
    </row>
    <row r="13" spans="1:14">
      <c r="A13" s="224"/>
      <c r="B13" s="319" t="s">
        <v>16</v>
      </c>
      <c r="C13" s="320"/>
      <c r="D13" s="241">
        <v>0</v>
      </c>
      <c r="E13" s="321"/>
      <c r="F13" s="322"/>
      <c r="G13" s="323"/>
      <c r="H13" s="242"/>
      <c r="I13" s="236"/>
      <c r="J13" s="279"/>
      <c r="K13" s="324"/>
      <c r="L13" s="324"/>
      <c r="M13" s="324"/>
      <c r="N13" s="324"/>
    </row>
    <row r="14" spans="1:14" ht="5.25" customHeight="1">
      <c r="A14" s="243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</row>
    <row r="15" spans="1:14">
      <c r="A15" s="325" t="s">
        <v>17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</row>
    <row r="16" spans="1:14" ht="3" customHeight="1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</row>
    <row r="17" spans="2:13" ht="18">
      <c r="B17" s="244" t="s">
        <v>18</v>
      </c>
      <c r="C17" s="245" t="s">
        <v>19</v>
      </c>
      <c r="D17" s="326" t="s">
        <v>20</v>
      </c>
      <c r="E17" s="326"/>
      <c r="F17" s="246" t="s">
        <v>21</v>
      </c>
      <c r="G17" s="247" t="s">
        <v>22</v>
      </c>
      <c r="H17" s="248" t="s">
        <v>23</v>
      </c>
      <c r="J17" s="338" t="s">
        <v>24</v>
      </c>
      <c r="K17" s="338"/>
      <c r="L17" s="338"/>
      <c r="M17" s="338"/>
    </row>
    <row r="18" spans="2:13" ht="16.5">
      <c r="B18" s="249">
        <v>1</v>
      </c>
      <c r="C18" s="337" t="s">
        <v>25</v>
      </c>
      <c r="D18" s="327" t="s">
        <v>26</v>
      </c>
      <c r="E18" s="327"/>
      <c r="F18" s="251"/>
      <c r="G18" s="252">
        <f>'（居民）工资表-3月'!E14</f>
        <v>47231.97</v>
      </c>
      <c r="H18" s="253"/>
      <c r="J18" s="338"/>
      <c r="K18" s="338"/>
      <c r="L18" s="338"/>
      <c r="M18" s="338"/>
    </row>
    <row r="19" spans="2:13" ht="16.5">
      <c r="B19" s="249">
        <v>2</v>
      </c>
      <c r="C19" s="337"/>
      <c r="D19" s="254" t="s">
        <v>27</v>
      </c>
      <c r="E19" s="255" t="s">
        <v>28</v>
      </c>
      <c r="F19" s="251"/>
      <c r="G19" s="252">
        <f>社保1!AX19</f>
        <v>4649.9999999999955</v>
      </c>
      <c r="H19" s="256"/>
      <c r="J19" s="338"/>
      <c r="K19" s="338"/>
      <c r="L19" s="338"/>
      <c r="M19" s="338"/>
    </row>
    <row r="20" spans="2:13" ht="16.5">
      <c r="B20" s="249">
        <v>3</v>
      </c>
      <c r="C20" s="337"/>
      <c r="D20" s="254" t="s">
        <v>29</v>
      </c>
      <c r="E20" s="255" t="s">
        <v>28</v>
      </c>
      <c r="F20" s="251"/>
      <c r="G20" s="252">
        <f>社保1!AZ19</f>
        <v>2034.56</v>
      </c>
      <c r="H20" s="256"/>
      <c r="J20" s="338"/>
      <c r="K20" s="338"/>
      <c r="L20" s="338"/>
      <c r="M20" s="338"/>
    </row>
    <row r="21" spans="2:13" ht="16.5">
      <c r="B21" s="249">
        <v>6</v>
      </c>
      <c r="C21" s="337"/>
      <c r="D21" s="328" t="s">
        <v>30</v>
      </c>
      <c r="E21" s="328"/>
      <c r="F21" s="251"/>
      <c r="G21" s="257">
        <f>G18+G19+G20</f>
        <v>53916.529999999992</v>
      </c>
      <c r="H21" s="258"/>
      <c r="J21" s="338"/>
      <c r="K21" s="338"/>
      <c r="L21" s="338"/>
      <c r="M21" s="338"/>
    </row>
    <row r="22" spans="2:13" ht="16.5">
      <c r="B22" s="249">
        <v>7</v>
      </c>
      <c r="C22" s="250" t="s">
        <v>31</v>
      </c>
      <c r="D22" s="328" t="s">
        <v>32</v>
      </c>
      <c r="E22" s="328"/>
      <c r="F22" s="251"/>
      <c r="G22" s="257">
        <f>社保1!BB19</f>
        <v>320</v>
      </c>
      <c r="H22" s="253"/>
      <c r="J22" s="338"/>
      <c r="K22" s="338"/>
      <c r="L22" s="338"/>
      <c r="M22" s="338"/>
    </row>
    <row r="23" spans="2:13" ht="17.100000000000001" customHeight="1">
      <c r="B23" s="249">
        <v>8</v>
      </c>
      <c r="C23" s="259" t="s">
        <v>33</v>
      </c>
      <c r="D23" s="329">
        <v>5.6000000000000001E-2</v>
      </c>
      <c r="E23" s="329"/>
      <c r="F23" s="329"/>
      <c r="G23" s="257"/>
      <c r="H23" s="253"/>
      <c r="J23" s="338"/>
      <c r="K23" s="338"/>
      <c r="L23" s="338"/>
      <c r="M23" s="338"/>
    </row>
    <row r="24" spans="2:13" ht="17.100000000000001" customHeight="1">
      <c r="B24" s="249">
        <v>9</v>
      </c>
      <c r="C24" s="259" t="s">
        <v>34</v>
      </c>
      <c r="D24" s="330" t="s">
        <v>35</v>
      </c>
      <c r="E24" s="331"/>
      <c r="F24" s="332"/>
      <c r="G24" s="257">
        <v>16187.62</v>
      </c>
      <c r="H24" s="253" t="s">
        <v>36</v>
      </c>
      <c r="J24" s="280"/>
      <c r="K24" s="280"/>
      <c r="L24" s="280"/>
      <c r="M24" s="280"/>
    </row>
    <row r="25" spans="2:13" ht="16.5">
      <c r="B25" s="333" t="s">
        <v>37</v>
      </c>
      <c r="C25" s="334"/>
      <c r="D25" s="334"/>
      <c r="E25" s="334"/>
      <c r="F25" s="334"/>
      <c r="G25" s="260">
        <f>G21+G22-G24</f>
        <v>38048.909999999989</v>
      </c>
      <c r="H25" s="261"/>
    </row>
    <row r="26" spans="2:13" ht="15.95" customHeight="1">
      <c r="B26" s="335" t="s">
        <v>38</v>
      </c>
      <c r="C26" s="336"/>
      <c r="D26" s="336"/>
      <c r="E26" s="336"/>
      <c r="F26" s="336"/>
      <c r="G26" s="262">
        <f>G25</f>
        <v>38048.909999999989</v>
      </c>
      <c r="H26" s="263"/>
    </row>
  </sheetData>
  <mergeCells count="32">
    <mergeCell ref="B25:F25"/>
    <mergeCell ref="B26:F26"/>
    <mergeCell ref="C18:C21"/>
    <mergeCell ref="J17:M23"/>
    <mergeCell ref="D18:E18"/>
    <mergeCell ref="D21:E21"/>
    <mergeCell ref="D22:E22"/>
    <mergeCell ref="D23:F23"/>
    <mergeCell ref="D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11" type="noConversion"/>
  <conditionalFormatting sqref="G20:H20 C21:H21 F19:F22">
    <cfRule type="cellIs" dxfId="102" priority="1" stopIfTrue="1" operator="equal">
      <formula>"信用卡"</formula>
    </cfRule>
    <cfRule type="cellIs" dxfId="101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9780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L4+IFERROR(VLOOKUP($E:$E,'（居民）工资表-8月'!$E:$S,15,0),0)</f>
        <v>50520</v>
      </c>
      <c r="T4" s="80">
        <f>5000+IFERROR(VLOOKUP($E:$E,'（居民）工资表-8月'!$E:$T,16,0),0)</f>
        <v>30000</v>
      </c>
      <c r="U4" s="80">
        <f>Q4+IFERROR(VLOOKUP($E:$E,'（居民）工资表-8月'!$E:$U,17,0),0)</f>
        <v>3119.4</v>
      </c>
      <c r="V4" s="61"/>
      <c r="W4" s="61"/>
      <c r="X4" s="61">
        <v>9000</v>
      </c>
      <c r="Y4" s="61"/>
      <c r="Z4" s="61"/>
      <c r="AA4" s="61"/>
      <c r="AB4" s="79">
        <f>ROUND(SUM(V4:AA4),2)</f>
        <v>9000</v>
      </c>
      <c r="AC4" s="79">
        <f>R4+IFERROR(VLOOKUP($E:$E,'（居民）工资表-8月'!$E:$AC,25,0),0)</f>
        <v>0</v>
      </c>
      <c r="AD4" s="81">
        <f>ROUND(S4-T4-U4-AB4-AC4,2)</f>
        <v>8400.6</v>
      </c>
      <c r="AE4" s="82">
        <f>ROUND(MAX((AD4)*{0.03;0.1;0.2;0.25;0.3;0.35;0.45}-{0;2520;16920;31920;52920;85920;181920},0),2)</f>
        <v>252.02</v>
      </c>
      <c r="AF4" s="83">
        <f>IFERROR(VLOOKUP(E:E,'（居民）工资表-8月'!E:AF,28,0)+VLOOKUP(E:E,'（居民）工资表-8月'!E:AG,29,0),0)</f>
        <v>154.22</v>
      </c>
      <c r="AG4" s="83">
        <f>IF((AE4-AF4)&lt;0,0,AE4-AF4)</f>
        <v>97.800000000000011</v>
      </c>
      <c r="AH4" s="86">
        <f>ROUND(IF((L4-Q4-AG4)&lt;0,0,(L4-Q4-AG4)),2)</f>
        <v>9162.2999999999993</v>
      </c>
      <c r="AI4" s="87"/>
      <c r="AJ4" s="86">
        <f>AH4+AI4</f>
        <v>9162.2999999999993</v>
      </c>
      <c r="AK4" s="88"/>
      <c r="AL4" s="86">
        <f>AJ4+AG4+AK4</f>
        <v>9260.0999999999985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6921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L5+IFERROR(VLOOKUP($E:$E,'（居民）工资表-8月'!$E:$S,15,0),0)</f>
        <v>41982</v>
      </c>
      <c r="T5" s="80">
        <f>5000+IFERROR(VLOOKUP($E:$E,'（居民）工资表-8月'!$E:$T,16,0),0)</f>
        <v>30000</v>
      </c>
      <c r="U5" s="80">
        <f>Q5+IFERROR(VLOOKUP($E:$E,'（居民）工资表-8月'!$E:$U,17,0),0)</f>
        <v>2754.22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R5+IFERROR(VLOOKUP($E:$E,'（居民）工资表-8月'!$E:$AC,25,0),0)</f>
        <v>0</v>
      </c>
      <c r="AD5" s="81">
        <f>ROUND(S5-T5-U5-AB5-AC5,2)</f>
        <v>9227.7800000000007</v>
      </c>
      <c r="AE5" s="82">
        <f>ROUND(MAX((AD5)*{0.03;0.1;0.2;0.25;0.3;0.35;0.45}-{0;2520;16920;31920;52920;85920;181920},0),2)</f>
        <v>276.83</v>
      </c>
      <c r="AF5" s="83">
        <f>IFERROR(VLOOKUP(E:E,'（居民）工资表-8月'!E:AF,28,0)+VLOOKUP(E:E,'（居民）工资表-8月'!E:AG,29,0),0)</f>
        <v>231.01</v>
      </c>
      <c r="AG5" s="83">
        <f>IF((AE5-AF5)&lt;0,0,AE5-AF5)</f>
        <v>45.819999999999993</v>
      </c>
      <c r="AH5" s="86">
        <f>ROUND(IF((L5-Q5-AG5)&lt;0,0,(L5-Q5-AG5)),2)</f>
        <v>6481.72</v>
      </c>
      <c r="AI5" s="87"/>
      <c r="AJ5" s="86">
        <f>AH5+AI5</f>
        <v>6481.72</v>
      </c>
      <c r="AK5" s="88"/>
      <c r="AL5" s="86">
        <f>AJ5+AG5+AK5</f>
        <v>6527.54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4" t="s">
        <v>164</v>
      </c>
      <c r="F6" s="31" t="s">
        <v>184</v>
      </c>
      <c r="G6" s="32">
        <v>18607383005</v>
      </c>
      <c r="H6" s="33"/>
      <c r="I6" s="33"/>
      <c r="J6" s="60"/>
      <c r="K6" s="33"/>
      <c r="L6" s="61">
        <v>22800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L6+IFERROR(VLOOKUP($E:$E,'（居民）工资表-8月'!$E:$S,15,0),0)</f>
        <v>109304.76000000001</v>
      </c>
      <c r="T6" s="80">
        <f>5000+IFERROR(VLOOKUP($E:$E,'（居民）工资表-8月'!$E:$T,16,0),0)</f>
        <v>25000</v>
      </c>
      <c r="U6" s="80">
        <f>Q6+IFERROR(VLOOKUP($E:$E,'（居民）工资表-8月'!$E:$U,17,0),0)</f>
        <v>3146.67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R6+IFERROR(VLOOKUP($E:$E,'（居民）工资表-8月'!$E:$AC,25,0),0)</f>
        <v>0</v>
      </c>
      <c r="AD6" s="81">
        <f>ROUND(S6-T6-U6-AB6-AC6,2)</f>
        <v>81158.09</v>
      </c>
      <c r="AE6" s="82">
        <f>ROUND(MAX((AD6)*{0.03;0.1;0.2;0.25;0.3;0.35;0.45}-{0;2520;16920;31920;52920;85920;181920},0),2)</f>
        <v>5595.81</v>
      </c>
      <c r="AF6" s="83">
        <f>IFERROR(VLOOKUP(E:E,'（居民）工资表-8月'!E:AF,28,0)+VLOOKUP(E:E,'（居民）工资表-8月'!E:AG,29,0),0)</f>
        <v>3877.01</v>
      </c>
      <c r="AG6" s="83">
        <f>IF((AE6-AF6)&lt;0,0,AE6-AF6)</f>
        <v>1718.8000000000002</v>
      </c>
      <c r="AH6" s="86">
        <f>ROUND(IF((L6-Q6-AG6)&lt;0,0,(L6-Q6-AG6)),2)</f>
        <v>20469.2</v>
      </c>
      <c r="AI6" s="87"/>
      <c r="AJ6" s="86">
        <f>AH6+AI6</f>
        <v>20469.2</v>
      </c>
      <c r="AK6" s="88"/>
      <c r="AL6" s="86">
        <f>AJ6+AG6+AK6</f>
        <v>22188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170</v>
      </c>
      <c r="D7" s="30" t="s">
        <v>150</v>
      </c>
      <c r="E7" s="284" t="s">
        <v>171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4560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L7+IFERROR(VLOOKUP($E:$E,'（居民）工资表-8月'!$E:$S,15,0),0)</f>
        <v>12643.63636363636</v>
      </c>
      <c r="T7" s="80">
        <f>5000+IFERROR(VLOOKUP($E:$E,'（居民）工资表-8月'!$E:$T,16,0),0)</f>
        <v>15000</v>
      </c>
      <c r="U7" s="80">
        <f>Q7+IFERROR(VLOOKUP($E:$E,'（居民）工资表-8月'!$E:$U,17,0),0)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R7+IFERROR(VLOOKUP($E:$E,'（居民）工资表-8月'!$E:$AC,25,0),0)</f>
        <v>0</v>
      </c>
      <c r="AD7" s="81">
        <f>ROUND(S7-T7-U7-AB7-AC7,2)</f>
        <v>-2356.36</v>
      </c>
      <c r="AE7" s="82">
        <f>ROUND(MAX((AD7)*{0.03;0.1;0.2;0.25;0.3;0.35;0.45}-{0;2520;16920;31920;52920;85920;181920},0),2)</f>
        <v>0</v>
      </c>
      <c r="AF7" s="83">
        <f>IFERROR(VLOOKUP(E:E,'（居民）工资表-8月'!E:AF,28,0)+VLOOKUP(E:E,'（居民）工资表-8月'!E:AG,29,0),0)</f>
        <v>0</v>
      </c>
      <c r="AG7" s="83">
        <f>IF((AE7-AF7)&lt;0,0,AE7-AF7)</f>
        <v>0</v>
      </c>
      <c r="AH7" s="86">
        <f>ROUND(IF((L7-Q7-AG7)&lt;0,0,(L7-Q7-AG7)),2)</f>
        <v>4560</v>
      </c>
      <c r="AI7" s="87"/>
      <c r="AJ7" s="86">
        <f>AH7+AI7</f>
        <v>4560</v>
      </c>
      <c r="AK7" s="88"/>
      <c r="AL7" s="86">
        <f>AJ7+AG7+AK7</f>
        <v>4560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44061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214450.39636363636</v>
      </c>
      <c r="T8" s="67">
        <f t="shared" si="0"/>
        <v>100000</v>
      </c>
      <c r="U8" s="67">
        <f t="shared" si="0"/>
        <v>9020.2900000000009</v>
      </c>
      <c r="V8" s="67">
        <f t="shared" si="0"/>
        <v>0</v>
      </c>
      <c r="W8" s="67">
        <f t="shared" si="0"/>
        <v>0</v>
      </c>
      <c r="X8" s="67">
        <f t="shared" si="0"/>
        <v>9000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9000</v>
      </c>
      <c r="AC8" s="67">
        <f t="shared" si="0"/>
        <v>0</v>
      </c>
      <c r="AD8" s="67">
        <f t="shared" si="0"/>
        <v>96430.11</v>
      </c>
      <c r="AE8" s="67">
        <f t="shared" si="0"/>
        <v>6124.6600000000008</v>
      </c>
      <c r="AF8" s="67">
        <f t="shared" si="0"/>
        <v>4262.24</v>
      </c>
      <c r="AG8" s="67">
        <f t="shared" si="0"/>
        <v>1862.42</v>
      </c>
      <c r="AH8" s="67">
        <f t="shared" si="0"/>
        <v>40673.22</v>
      </c>
      <c r="AI8" s="95">
        <f t="shared" si="0"/>
        <v>0</v>
      </c>
      <c r="AJ8" s="67">
        <f t="shared" si="0"/>
        <v>40673.22</v>
      </c>
      <c r="AK8" s="67">
        <f t="shared" si="0"/>
        <v>0</v>
      </c>
      <c r="AL8" s="67">
        <f t="shared" si="0"/>
        <v>42535.64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40673.22</v>
      </c>
      <c r="C13" s="45">
        <f>AG8</f>
        <v>1862.42</v>
      </c>
      <c r="D13" s="45">
        <f>AK8</f>
        <v>0</v>
      </c>
      <c r="E13" s="45">
        <f>B13+C13+D13</f>
        <v>42535.64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50" priority="2" stopIfTrue="1"/>
  </conditionalFormatting>
  <conditionalFormatting sqref="B15:B19">
    <cfRule type="duplicateValues" dxfId="49" priority="3" stopIfTrue="1"/>
  </conditionalFormatting>
  <conditionalFormatting sqref="B23:B24">
    <cfRule type="duplicateValues" dxfId="48" priority="1" stopIfTrue="1"/>
  </conditionalFormatting>
  <conditionalFormatting sqref="C12:C14">
    <cfRule type="duplicateValues" dxfId="47" priority="4" stopIfTrue="1"/>
    <cfRule type="expression" dxfId="46" priority="5" stopIfTrue="1">
      <formula>AND(COUNTIF($B$8:$B$65444,C12)+COUNTIF($B$1:$B$3,C12)&gt;1,NOT(ISBLANK(C12)))</formula>
    </cfRule>
    <cfRule type="expression" dxfId="45" priority="6" stopIfTrue="1">
      <formula>AND(COUNTIF($B$19:$B$65395,C12)+COUNTIF($B$1:$B$18,C12)&gt;1,NOT(ISBLANK(C12)))</formula>
    </cfRule>
    <cfRule type="expression" dxfId="44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9070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L4+IFERROR(VLOOKUP($E:$E,'（居民）工资表-9月'!$E:$S,15,0),0)</f>
        <v>59590</v>
      </c>
      <c r="T4" s="80">
        <f>5000+IFERROR(VLOOKUP($E:$E,'（居民）工资表-9月'!$E:$T,16,0),0)</f>
        <v>35000</v>
      </c>
      <c r="U4" s="80">
        <f>Q4+IFERROR(VLOOKUP($E:$E,'（居民）工资表-9月'!$E:$U,17,0),0)</f>
        <v>3639.3</v>
      </c>
      <c r="V4" s="61"/>
      <c r="W4" s="61"/>
      <c r="X4" s="61">
        <v>10000</v>
      </c>
      <c r="Y4" s="61"/>
      <c r="Z4" s="61"/>
      <c r="AA4" s="61"/>
      <c r="AB4" s="79">
        <f>ROUND(SUM(V4:AA4),2)</f>
        <v>10000</v>
      </c>
      <c r="AC4" s="79">
        <f>R4+IFERROR(VLOOKUP($E:$E,'（居民）工资表-9月'!$E:$AC,25,0),0)</f>
        <v>0</v>
      </c>
      <c r="AD4" s="81">
        <f>ROUND(S4-T4-U4-AB4-AC4,2)</f>
        <v>10950.7</v>
      </c>
      <c r="AE4" s="82">
        <f>ROUND(MAX((AD4)*{0.03;0.1;0.2;0.25;0.3;0.35;0.45}-{0;2520;16920;31920;52920;85920;181920},0),2)</f>
        <v>328.52</v>
      </c>
      <c r="AF4" s="83">
        <f>IFERROR(VLOOKUP(E:E,'（居民）工资表-9月'!E:AF,28,0)+VLOOKUP(E:E,'（居民）工资表-9月'!E:AG,29,0),0)</f>
        <v>252.02</v>
      </c>
      <c r="AG4" s="83">
        <f>IF((AE4-AF4)&lt;0,0,AE4-AF4)</f>
        <v>76.499999999999972</v>
      </c>
      <c r="AH4" s="86">
        <f>ROUND(IF((L4-Q4-AG4)&lt;0,0,(L4-Q4-AG4)),2)</f>
        <v>8473.6</v>
      </c>
      <c r="AI4" s="87"/>
      <c r="AJ4" s="86">
        <f>AH4+AI4</f>
        <v>8473.6</v>
      </c>
      <c r="AK4" s="88"/>
      <c r="AL4" s="86">
        <f>AJ4+AG4+AK4</f>
        <v>8550.1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6889.4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L5+IFERROR(VLOOKUP($E:$E,'（居民）工资表-9月'!$E:$S,15,0),0)</f>
        <v>48871.4</v>
      </c>
      <c r="T5" s="80">
        <f>5000+IFERROR(VLOOKUP($E:$E,'（居民）工资表-9月'!$E:$T,16,0),0)</f>
        <v>35000</v>
      </c>
      <c r="U5" s="80">
        <f>Q5+IFERROR(VLOOKUP($E:$E,'（居民）工资表-9月'!$E:$U,17,0),0)</f>
        <v>3147.68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R5+IFERROR(VLOOKUP($E:$E,'（居民）工资表-9月'!$E:$AC,25,0),0)</f>
        <v>0</v>
      </c>
      <c r="AD5" s="81">
        <f>ROUND(S5-T5-U5-AB5-AC5,2)</f>
        <v>10723.72</v>
      </c>
      <c r="AE5" s="82">
        <f>ROUND(MAX((AD5)*{0.03;0.1;0.2;0.25;0.3;0.35;0.45}-{0;2520;16920;31920;52920;85920;181920},0),2)</f>
        <v>321.70999999999998</v>
      </c>
      <c r="AF5" s="83">
        <f>IFERROR(VLOOKUP(E:E,'（居民）工资表-9月'!E:AF,28,0)+VLOOKUP(E:E,'（居民）工资表-9月'!E:AG,29,0),0)</f>
        <v>276.83</v>
      </c>
      <c r="AG5" s="83">
        <f>IF((AE5-AF5)&lt;0,0,AE5-AF5)</f>
        <v>44.879999999999995</v>
      </c>
      <c r="AH5" s="86">
        <f>ROUND(IF((L5-Q5-AG5)&lt;0,0,(L5-Q5-AG5)),2)</f>
        <v>6451.06</v>
      </c>
      <c r="AI5" s="87"/>
      <c r="AJ5" s="86">
        <f>AH5+AI5</f>
        <v>6451.06</v>
      </c>
      <c r="AK5" s="88"/>
      <c r="AL5" s="86">
        <f>AJ5+AG5+AK5</f>
        <v>6495.9400000000005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4" t="s">
        <v>164</v>
      </c>
      <c r="F6" s="31" t="s">
        <v>184</v>
      </c>
      <c r="G6" s="32">
        <v>18607383005</v>
      </c>
      <c r="H6" s="33"/>
      <c r="I6" s="33"/>
      <c r="J6" s="60"/>
      <c r="K6" s="33"/>
      <c r="L6" s="61">
        <v>20720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L6+IFERROR(VLOOKUP($E:$E,'（居民）工资表-9月'!$E:$S,15,0),0)</f>
        <v>130024.76000000001</v>
      </c>
      <c r="T6" s="80">
        <f>5000+IFERROR(VLOOKUP($E:$E,'（居民）工资表-9月'!$E:$T,16,0),0)</f>
        <v>30000</v>
      </c>
      <c r="U6" s="80">
        <f>Q6+IFERROR(VLOOKUP($E:$E,'（居民）工资表-9月'!$E:$U,17,0),0)</f>
        <v>3758.67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R6+IFERROR(VLOOKUP($E:$E,'（居民）工资表-9月'!$E:$AC,25,0),0)</f>
        <v>0</v>
      </c>
      <c r="AD6" s="81">
        <f>ROUND(S6-T6-U6-AB6-AC6,2)</f>
        <v>96266.09</v>
      </c>
      <c r="AE6" s="82">
        <f>ROUND(MAX((AD6)*{0.03;0.1;0.2;0.25;0.3;0.35;0.45}-{0;2520;16920;31920;52920;85920;181920},0),2)</f>
        <v>7106.61</v>
      </c>
      <c r="AF6" s="83">
        <f>IFERROR(VLOOKUP(E:E,'（居民）工资表-9月'!E:AF,28,0)+VLOOKUP(E:E,'（居民）工资表-9月'!E:AG,29,0),0)</f>
        <v>5595.81</v>
      </c>
      <c r="AG6" s="83">
        <f>IF((AE6-AF6)&lt;0,0,AE6-AF6)</f>
        <v>1510.7999999999993</v>
      </c>
      <c r="AH6" s="86">
        <f>ROUND(IF((L6-Q6-AG6)&lt;0,0,(L6-Q6-AG6)),2)</f>
        <v>18597.2</v>
      </c>
      <c r="AI6" s="87"/>
      <c r="AJ6" s="86">
        <f>AH6+AI6</f>
        <v>18597.2</v>
      </c>
      <c r="AK6" s="88"/>
      <c r="AL6" s="86">
        <f>AJ6+AG6+AK6</f>
        <v>20108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170</v>
      </c>
      <c r="D7" s="30" t="s">
        <v>150</v>
      </c>
      <c r="E7" s="284" t="s">
        <v>171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5700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L7+IFERROR(VLOOKUP($E:$E,'（居民）工资表-9月'!$E:$S,15,0),0)</f>
        <v>18343.63636363636</v>
      </c>
      <c r="T7" s="80">
        <f>5000+IFERROR(VLOOKUP($E:$E,'（居民）工资表-9月'!$E:$T,16,0),0)</f>
        <v>20000</v>
      </c>
      <c r="U7" s="80">
        <f>Q7+IFERROR(VLOOKUP($E:$E,'（居民）工资表-9月'!$E:$U,17,0),0)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R7+IFERROR(VLOOKUP($E:$E,'（居民）工资表-9月'!$E:$AC,25,0),0)</f>
        <v>0</v>
      </c>
      <c r="AD7" s="81">
        <f>ROUND(S7-T7-U7-AB7-AC7,2)</f>
        <v>-1656.36</v>
      </c>
      <c r="AE7" s="82">
        <f>ROUND(MAX((AD7)*{0.03;0.1;0.2;0.25;0.3;0.35;0.45}-{0;2520;16920;31920;52920;85920;181920},0),2)</f>
        <v>0</v>
      </c>
      <c r="AF7" s="83">
        <f>IFERROR(VLOOKUP(E:E,'（居民）工资表-9月'!E:AF,28,0)+VLOOKUP(E:E,'（居民）工资表-9月'!E:AG,29,0),0)</f>
        <v>0</v>
      </c>
      <c r="AG7" s="83">
        <f>IF((AE7-AF7)&lt;0,0,AE7-AF7)</f>
        <v>0</v>
      </c>
      <c r="AH7" s="86">
        <f>ROUND(IF((L7-Q7-AG7)&lt;0,0,(L7-Q7-AG7)),2)</f>
        <v>5700</v>
      </c>
      <c r="AI7" s="87"/>
      <c r="AJ7" s="86">
        <f>AH7+AI7</f>
        <v>5700</v>
      </c>
      <c r="AK7" s="88"/>
      <c r="AL7" s="86">
        <f>AJ7+AG7+AK7</f>
        <v>5700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42379.4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256829.79636363636</v>
      </c>
      <c r="T8" s="67">
        <f t="shared" si="0"/>
        <v>120000</v>
      </c>
      <c r="U8" s="67">
        <f t="shared" si="0"/>
        <v>10545.65</v>
      </c>
      <c r="V8" s="67">
        <f t="shared" si="0"/>
        <v>0</v>
      </c>
      <c r="W8" s="67">
        <f t="shared" si="0"/>
        <v>0</v>
      </c>
      <c r="X8" s="67">
        <f t="shared" si="0"/>
        <v>10000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10000</v>
      </c>
      <c r="AC8" s="67">
        <f t="shared" si="0"/>
        <v>0</v>
      </c>
      <c r="AD8" s="67">
        <f t="shared" si="0"/>
        <v>116284.15</v>
      </c>
      <c r="AE8" s="67">
        <f t="shared" si="0"/>
        <v>7756.84</v>
      </c>
      <c r="AF8" s="67">
        <f t="shared" si="0"/>
        <v>6124.6600000000008</v>
      </c>
      <c r="AG8" s="67">
        <f t="shared" si="0"/>
        <v>1632.1799999999992</v>
      </c>
      <c r="AH8" s="67">
        <f t="shared" si="0"/>
        <v>39221.86</v>
      </c>
      <c r="AI8" s="95">
        <f t="shared" si="0"/>
        <v>0</v>
      </c>
      <c r="AJ8" s="67">
        <f t="shared" si="0"/>
        <v>39221.86</v>
      </c>
      <c r="AK8" s="67">
        <f t="shared" si="0"/>
        <v>0</v>
      </c>
      <c r="AL8" s="67">
        <f t="shared" si="0"/>
        <v>40854.04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39221.86</v>
      </c>
      <c r="C13" s="45">
        <f>AG8</f>
        <v>1632.1799999999992</v>
      </c>
      <c r="D13" s="45">
        <f>AK8</f>
        <v>0</v>
      </c>
      <c r="E13" s="45">
        <f>B13+C13+D13</f>
        <v>40854.04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43" priority="2" stopIfTrue="1"/>
  </conditionalFormatting>
  <conditionalFormatting sqref="B15:B19">
    <cfRule type="duplicateValues" dxfId="42" priority="3" stopIfTrue="1"/>
  </conditionalFormatting>
  <conditionalFormatting sqref="B23:B24">
    <cfRule type="duplicateValues" dxfId="41" priority="1" stopIfTrue="1"/>
  </conditionalFormatting>
  <conditionalFormatting sqref="C12:C14">
    <cfRule type="duplicateValues" dxfId="40" priority="4" stopIfTrue="1"/>
    <cfRule type="expression" dxfId="39" priority="5" stopIfTrue="1">
      <formula>AND(COUNTIF($B$8:$B$65444,C12)+COUNTIF($B$1:$B$3,C12)&gt;1,NOT(ISBLANK(C12)))</formula>
    </cfRule>
    <cfRule type="expression" dxfId="38" priority="6" stopIfTrue="1">
      <formula>AND(COUNTIF($B$19:$B$65395,C12)+COUNTIF($B$1:$B$18,C12)&gt;1,NOT(ISBLANK(C12)))</formula>
    </cfRule>
    <cfRule type="expression" dxfId="37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10400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L4+IFERROR(VLOOKUP($E:$E,'（居民）工资表-10月'!$E:$S,15,0),0)</f>
        <v>69990</v>
      </c>
      <c r="T4" s="80">
        <f>5000+IFERROR(VLOOKUP($E:$E,'（居民）工资表-10月'!$E:$T,16,0),0)</f>
        <v>40000</v>
      </c>
      <c r="U4" s="80">
        <f>Q4+IFERROR(VLOOKUP($E:$E,'（居民）工资表-10月'!$E:$U,17,0),0)</f>
        <v>4159.2</v>
      </c>
      <c r="V4" s="61"/>
      <c r="W4" s="61"/>
      <c r="X4" s="61">
        <v>11000</v>
      </c>
      <c r="Y4" s="61"/>
      <c r="Z4" s="61"/>
      <c r="AA4" s="61"/>
      <c r="AB4" s="79">
        <f>ROUND(SUM(V4:AA4),2)</f>
        <v>11000</v>
      </c>
      <c r="AC4" s="79">
        <f>R4+IFERROR(VLOOKUP($E:$E,'（居民）工资表-10月'!$E:$AC,25,0),0)</f>
        <v>0</v>
      </c>
      <c r="AD4" s="81">
        <f>ROUND(S4-T4-U4-AB4-AC4,2)</f>
        <v>14830.8</v>
      </c>
      <c r="AE4" s="82">
        <f>ROUND(MAX((AD4)*{0.03;0.1;0.2;0.25;0.3;0.35;0.45}-{0;2520;16920;31920;52920;85920;181920},0),2)</f>
        <v>444.92</v>
      </c>
      <c r="AF4" s="83">
        <f>IFERROR(VLOOKUP(E:E,'（居民）工资表-10月'!E:AF,28,0)+VLOOKUP(E:E,'（居民）工资表-10月'!E:AG,29,0),0)</f>
        <v>328.52</v>
      </c>
      <c r="AG4" s="83">
        <f>IF((AE4-AF4)&lt;0,0,AE4-AF4)</f>
        <v>116.40000000000003</v>
      </c>
      <c r="AH4" s="86">
        <f>ROUND(IF((L4-Q4-AG4)&lt;0,0,(L4-Q4-AG4)),2)</f>
        <v>9763.7000000000007</v>
      </c>
      <c r="AI4" s="87"/>
      <c r="AJ4" s="86">
        <f>AH4+AI4</f>
        <v>9763.7000000000007</v>
      </c>
      <c r="AK4" s="88"/>
      <c r="AL4" s="86">
        <f>AJ4+AG4+AK4</f>
        <v>9880.1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IF(SUMPRODUCT(N(E$1:E$6=E4))&gt;1,"重复","不")</f>
        <v>不</v>
      </c>
      <c r="AT4" s="92" t="str">
        <f>IF(SUMPRODUCT(N(AO$1:AO$6=AO4))&gt;1,"重复","不")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7000</v>
      </c>
      <c r="M5" s="62">
        <f>268.81+24.57*4</f>
        <v>367.09</v>
      </c>
      <c r="N5" s="62">
        <v>61.06</v>
      </c>
      <c r="O5" s="62">
        <f>10.08+0.92*4</f>
        <v>13.76</v>
      </c>
      <c r="P5" s="62">
        <v>79</v>
      </c>
      <c r="Q5" s="78">
        <f>ROUND(SUM(M5:P5),2)</f>
        <v>520.91</v>
      </c>
      <c r="R5" s="61">
        <v>0</v>
      </c>
      <c r="S5" s="79">
        <f>L5+IFERROR(VLOOKUP($E:$E,'（居民）工资表-10月'!$E:$S,15,0),0)</f>
        <v>55871.4</v>
      </c>
      <c r="T5" s="80">
        <f>5000+IFERROR(VLOOKUP($E:$E,'（居民）工资表-10月'!$E:$T,16,0),0)</f>
        <v>40000</v>
      </c>
      <c r="U5" s="80">
        <f>Q5+IFERROR(VLOOKUP($E:$E,'（居民）工资表-10月'!$E:$U,17,0),0)</f>
        <v>3668.5899999999997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R5+IFERROR(VLOOKUP($E:$E,'（居民）工资表-10月'!$E:$AC,25,0),0)</f>
        <v>0</v>
      </c>
      <c r="AD5" s="81">
        <f>ROUND(S5-T5-U5-AB5-AC5,2)</f>
        <v>12202.81</v>
      </c>
      <c r="AE5" s="82">
        <f>ROUND(MAX((AD5)*{0.03;0.1;0.2;0.25;0.3;0.35;0.45}-{0;2520;16920;31920;52920;85920;181920},0),2)</f>
        <v>366.08</v>
      </c>
      <c r="AF5" s="83">
        <f>IFERROR(VLOOKUP(E:E,'（居民）工资表-10月'!E:AF,28,0)+VLOOKUP(E:E,'（居民）工资表-10月'!E:AG,29,0),0)</f>
        <v>321.70999999999998</v>
      </c>
      <c r="AG5" s="83">
        <f>IF((AE5-AF5)&lt;0,0,AE5-AF5)</f>
        <v>44.370000000000005</v>
      </c>
      <c r="AH5" s="86">
        <f>ROUND(IF((L5-Q5-AG5)&lt;0,0,(L5-Q5-AG5)),2)</f>
        <v>6434.72</v>
      </c>
      <c r="AI5" s="87"/>
      <c r="AJ5" s="86">
        <f>AH5+AI5</f>
        <v>6434.72</v>
      </c>
      <c r="AK5" s="88"/>
      <c r="AL5" s="86">
        <f>AJ5+AG5+AK5</f>
        <v>6479.09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IF(SUMPRODUCT(N(E$1:E$6=E5))&gt;1,"重复","不")</f>
        <v>不</v>
      </c>
      <c r="AT5" s="92" t="str">
        <f>IF(SUMPRODUCT(N(AO$1:AO$6=AO5))&gt;1,"重复","不")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170</v>
      </c>
      <c r="D6" s="30" t="s">
        <v>150</v>
      </c>
      <c r="E6" s="284" t="s">
        <v>171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L6+IFERROR(VLOOKUP($E:$E,'（居民）工资表-10月'!$E:$S,15,0),0)</f>
        <v>24043.63636363636</v>
      </c>
      <c r="T6" s="80">
        <f>5000+IFERROR(VLOOKUP($E:$E,'（居民）工资表-10月'!$E:$T,16,0),0)</f>
        <v>25000</v>
      </c>
      <c r="U6" s="80">
        <f>Q6+IFERROR(VLOOKUP($E:$E,'（居民）工资表-10月'!$E:$U,17,0),0)</f>
        <v>599.74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R6+IFERROR(VLOOKUP($E:$E,'（居民）工资表-10月'!$E:$AC,25,0),0)</f>
        <v>0</v>
      </c>
      <c r="AD6" s="81">
        <f>ROUND(S6-T6-U6-AB6-AC6,2)</f>
        <v>-1556.1</v>
      </c>
      <c r="AE6" s="82">
        <f>ROUND(MAX((AD6)*{0.03;0.1;0.2;0.25;0.3;0.35;0.45}-{0;2520;16920;31920;52920;85920;181920},0),2)</f>
        <v>0</v>
      </c>
      <c r="AF6" s="83">
        <f>IFERROR(VLOOKUP(E:E,'（居民）工资表-10月'!E:AF,28,0)+VLOOKUP(E:E,'（居民）工资表-10月'!E:AG,29,0),0)</f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IF(SUMPRODUCT(N(E$1:E$6=E6))&gt;1,"重复","不")</f>
        <v>不</v>
      </c>
      <c r="AT6" s="92" t="str">
        <f>IF(SUMPRODUCT(N(AO$1:AO$6=AO6))&gt;1,"重复","不")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4" t="s">
        <v>164</v>
      </c>
      <c r="F7" s="31" t="s">
        <v>184</v>
      </c>
      <c r="G7" s="32">
        <v>18607383005</v>
      </c>
      <c r="H7" s="33"/>
      <c r="I7" s="33"/>
      <c r="J7" s="60"/>
      <c r="K7" s="33"/>
      <c r="L7" s="61">
        <v>25000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L7+IFERROR(VLOOKUP($E:$E,'（居民）工资表-10月'!$E:$S,15,0),0)</f>
        <v>155024.76</v>
      </c>
      <c r="T7" s="80">
        <f>5000+IFERROR(VLOOKUP($E:$E,'（居民）工资表-10月'!$E:$T,16,0),0)</f>
        <v>35000</v>
      </c>
      <c r="U7" s="80">
        <f>Q7+IFERROR(VLOOKUP($E:$E,'（居民）工资表-10月'!$E:$U,17,0),0)</f>
        <v>4370.67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R7+IFERROR(VLOOKUP($E:$E,'（居民）工资表-10月'!$E:$AC,25,0),0)</f>
        <v>0</v>
      </c>
      <c r="AD7" s="81">
        <f>ROUND(S7-T7-U7-AB7-AC7,2)</f>
        <v>115654.09</v>
      </c>
      <c r="AE7" s="82">
        <f>ROUND(MAX((AD7)*{0.03;0.1;0.2;0.25;0.3;0.35;0.45}-{0;2520;16920;31920;52920;85920;181920},0),2)</f>
        <v>9045.41</v>
      </c>
      <c r="AF7" s="83">
        <f>IFERROR(VLOOKUP(E:E,'（居民）工资表-10月'!E:AF,28,0)+VLOOKUP(E:E,'（居民）工资表-10月'!E:AG,29,0),0)</f>
        <v>7106.61</v>
      </c>
      <c r="AG7" s="83">
        <f>IF((AE7-AF7)&lt;0,0,AE7-AF7)</f>
        <v>1938.8000000000002</v>
      </c>
      <c r="AH7" s="86">
        <f>ROUND(IF((L7-Q7-AG7)&lt;0,0,(L7-Q7-AG7)),2)</f>
        <v>22449.200000000001</v>
      </c>
      <c r="AI7" s="87"/>
      <c r="AJ7" s="86">
        <f>AH7+AI7</f>
        <v>22449.200000000001</v>
      </c>
      <c r="AK7" s="88"/>
      <c r="AL7" s="86">
        <f>AJ7+AG7+AK7</f>
        <v>24388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IF(SUMPRODUCT(N(E$1:E$6=E7))&gt;1,"重复","不")</f>
        <v>不</v>
      </c>
      <c r="AT7" s="92" t="str">
        <f>IF(SUMPRODUCT(N(AO$1:AO$6=AO7))&gt;1,"重复","不")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168</v>
      </c>
      <c r="D8" s="30" t="s">
        <v>150</v>
      </c>
      <c r="E8" s="30" t="s">
        <v>169</v>
      </c>
      <c r="F8" s="31" t="s">
        <v>184</v>
      </c>
      <c r="G8" s="32">
        <v>13373825180</v>
      </c>
      <c r="H8" s="33"/>
      <c r="I8" s="33"/>
      <c r="J8" s="60"/>
      <c r="K8" s="33"/>
      <c r="L8" s="61">
        <v>25000</v>
      </c>
      <c r="M8" s="62">
        <f>261.04*2</f>
        <v>522.08000000000004</v>
      </c>
      <c r="N8" s="62">
        <f>57.18*2+32.5</f>
        <v>146.86000000000001</v>
      </c>
      <c r="O8" s="62">
        <f>9.1*2</f>
        <v>18.2</v>
      </c>
      <c r="P8" s="62">
        <f>85*2</f>
        <v>170</v>
      </c>
      <c r="Q8" s="78">
        <f>ROUND(SUM(M8:P8),2)</f>
        <v>857.14</v>
      </c>
      <c r="R8" s="61">
        <v>0</v>
      </c>
      <c r="S8" s="79">
        <f>L8+IFERROR(VLOOKUP($E:$E,'（居民）工资表-10月'!$E:$S,15,0),0)</f>
        <v>25000</v>
      </c>
      <c r="T8" s="80">
        <f>5000+IFERROR(VLOOKUP($E:$E,'（居民）工资表-10月'!$E:$T,16,0),0)</f>
        <v>5000</v>
      </c>
      <c r="U8" s="80">
        <f>Q8+IFERROR(VLOOKUP($E:$E,'（居民）工资表-10月'!$E:$U,17,0),0)</f>
        <v>857.14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R8+IFERROR(VLOOKUP($E:$E,'（居民）工资表-10月'!$E:$AC,25,0),0)</f>
        <v>0</v>
      </c>
      <c r="AD8" s="81">
        <f>ROUND(S8-T8-U8-AB8-AC8,2)</f>
        <v>19142.86</v>
      </c>
      <c r="AE8" s="82">
        <f>ROUND(MAX((AD8)*{0.03;0.1;0.2;0.25;0.3;0.35;0.45}-{0;2520;16920;31920;52920;85920;181920},0),2)</f>
        <v>574.29</v>
      </c>
      <c r="AF8" s="83">
        <f>IFERROR(VLOOKUP(E:E,'（居民）工资表-10月'!E:AF,28,0)+VLOOKUP(E:E,'（居民）工资表-10月'!E:AG,29,0),0)</f>
        <v>0</v>
      </c>
      <c r="AG8" s="83">
        <f>IF((AE8-AF8)&lt;0,0,AE8-AF8)</f>
        <v>574.29</v>
      </c>
      <c r="AH8" s="86">
        <f>ROUND(IF((L8-Q8-AG8)&lt;0,0,(L8-Q8-AG8)),2)</f>
        <v>23568.57</v>
      </c>
      <c r="AI8" s="87"/>
      <c r="AJ8" s="86">
        <f>AH8+AI8</f>
        <v>23568.57</v>
      </c>
      <c r="AK8" s="88"/>
      <c r="AL8" s="86">
        <f>AJ8+AG8+AK8</f>
        <v>24142.86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IF(SUMPRODUCT(N(E$1:E$6=E8))&gt;1,"重复","不")</f>
        <v>不</v>
      </c>
      <c r="AT8" s="92" t="str">
        <f>IF(SUMPRODUCT(N(AO$1:AO$6=AO8))&gt;1,"重复","不")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>SUM(L4:L8)</f>
        <v>73100</v>
      </c>
      <c r="M9" s="67">
        <f t="shared" ref="M9:AL9" si="0">SUM(M4:M8)</f>
        <v>1840.21</v>
      </c>
      <c r="N9" s="67">
        <f t="shared" si="0"/>
        <v>477.42</v>
      </c>
      <c r="O9" s="67">
        <f t="shared" si="0"/>
        <v>58.06</v>
      </c>
      <c r="P9" s="67">
        <f t="shared" si="0"/>
        <v>734</v>
      </c>
      <c r="Q9" s="67">
        <f t="shared" si="0"/>
        <v>3109.69</v>
      </c>
      <c r="R9" s="67">
        <f t="shared" si="0"/>
        <v>0</v>
      </c>
      <c r="S9" s="67">
        <f t="shared" si="0"/>
        <v>329929.79636363639</v>
      </c>
      <c r="T9" s="67">
        <f t="shared" si="0"/>
        <v>145000</v>
      </c>
      <c r="U9" s="67">
        <f t="shared" si="0"/>
        <v>13655.339999999998</v>
      </c>
      <c r="V9" s="67">
        <f t="shared" si="0"/>
        <v>0</v>
      </c>
      <c r="W9" s="67">
        <f t="shared" si="0"/>
        <v>0</v>
      </c>
      <c r="X9" s="67">
        <f t="shared" si="0"/>
        <v>11000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11000</v>
      </c>
      <c r="AC9" s="67">
        <f t="shared" si="0"/>
        <v>0</v>
      </c>
      <c r="AD9" s="67">
        <f t="shared" si="0"/>
        <v>160274.46000000002</v>
      </c>
      <c r="AE9" s="67">
        <f t="shared" si="0"/>
        <v>10430.700000000001</v>
      </c>
      <c r="AF9" s="67">
        <f t="shared" si="0"/>
        <v>7756.84</v>
      </c>
      <c r="AG9" s="67">
        <f t="shared" si="0"/>
        <v>2673.86</v>
      </c>
      <c r="AH9" s="67">
        <f t="shared" si="0"/>
        <v>67316.450000000012</v>
      </c>
      <c r="AI9" s="67">
        <f t="shared" si="0"/>
        <v>0</v>
      </c>
      <c r="AJ9" s="67">
        <f t="shared" si="0"/>
        <v>67316.450000000012</v>
      </c>
      <c r="AK9" s="67">
        <f t="shared" si="0"/>
        <v>0</v>
      </c>
      <c r="AL9" s="67">
        <f t="shared" si="0"/>
        <v>69990.31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67316.450000000012</v>
      </c>
      <c r="C14" s="45">
        <f>AG9</f>
        <v>2673.86</v>
      </c>
      <c r="D14" s="45">
        <f>AK9</f>
        <v>0</v>
      </c>
      <c r="E14" s="45">
        <f>B14+C14+D14</f>
        <v>69990.310000000012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36" priority="2" stopIfTrue="1"/>
  </conditionalFormatting>
  <conditionalFormatting sqref="B16:B20">
    <cfRule type="duplicateValues" dxfId="35" priority="3" stopIfTrue="1"/>
  </conditionalFormatting>
  <conditionalFormatting sqref="B24:B25">
    <cfRule type="duplicateValues" dxfId="34" priority="1" stopIfTrue="1"/>
  </conditionalFormatting>
  <conditionalFormatting sqref="C13:C15">
    <cfRule type="duplicateValues" dxfId="33" priority="4" stopIfTrue="1"/>
    <cfRule type="expression" dxfId="32" priority="5" stopIfTrue="1">
      <formula>AND(COUNTIF($B$9:$B$65445,C13)+COUNTIF($B$1:$B$3,C13)&gt;1,NOT(ISBLANK(C13)))</formula>
    </cfRule>
    <cfRule type="expression" dxfId="31" priority="6" stopIfTrue="1">
      <formula>AND(COUNTIF($B$20:$B$65396,C13)+COUNTIF($B$1:$B$19,C13)&gt;1,NOT(ISBLANK(C13)))</formula>
    </cfRule>
    <cfRule type="expression" dxfId="30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F27" sqref="F27"/>
    </sheetView>
  </sheetViews>
  <sheetFormatPr defaultColWidth="9" defaultRowHeight="13.5" outlineLevelCol="1"/>
  <cols>
    <col min="1" max="1" width="4.5" style="18" customWidth="1"/>
    <col min="2" max="2" width="14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hidden="1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233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9280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</f>
        <v>9280</v>
      </c>
      <c r="T4" s="80">
        <v>5000</v>
      </c>
      <c r="U4" s="80">
        <f>Q4</f>
        <v>519.9</v>
      </c>
      <c r="V4" s="61">
        <v>1000</v>
      </c>
      <c r="W4" s="61"/>
      <c r="X4" s="61">
        <v>1000</v>
      </c>
      <c r="Y4" s="61"/>
      <c r="Z4" s="61"/>
      <c r="AA4" s="61"/>
      <c r="AB4" s="79">
        <f>ROUND(SUM(V4:AA4),2)</f>
        <v>2000</v>
      </c>
      <c r="AC4" s="79">
        <f>R4</f>
        <v>0</v>
      </c>
      <c r="AD4" s="81">
        <f>ROUND(S4-T4-U4-AB4-AC4,2)</f>
        <v>1760.1</v>
      </c>
      <c r="AE4" s="82">
        <f>ROUND(MAX((AD4)*{0.03;0.1;0.2;0.25;0.3;0.35;0.45}-{0;2520;16920;31920;52920;85920;181920},0),2)</f>
        <v>52.8</v>
      </c>
      <c r="AF4" s="83">
        <v>0</v>
      </c>
      <c r="AG4" s="83">
        <f>IF((AE4-AF4)&lt;0,0,AE4-AF4)</f>
        <v>52.8</v>
      </c>
      <c r="AH4" s="86">
        <f>ROUND(IF((L4-Q4-AG4)&lt;0,0,(L4-Q4-AG4)),2)</f>
        <v>8707.2999999999993</v>
      </c>
      <c r="AI4" s="87"/>
      <c r="AJ4" s="86">
        <f>AH4+AI4</f>
        <v>8707.2999999999993</v>
      </c>
      <c r="AK4" s="88"/>
      <c r="AL4" s="86">
        <f>AJ4+AG4+AK4</f>
        <v>8760.1</v>
      </c>
      <c r="AM4" s="88"/>
      <c r="AN4" s="88"/>
      <c r="AO4" s="88" t="s">
        <v>234</v>
      </c>
      <c r="AP4" s="88" t="s">
        <v>235</v>
      </c>
      <c r="AQ4" s="88" t="s">
        <v>236</v>
      </c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233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10.08</v>
      </c>
      <c r="O5" s="62">
        <v>61.06</v>
      </c>
      <c r="P5" s="62">
        <v>79</v>
      </c>
      <c r="Q5" s="78">
        <f>ROUND(SUM(M5:P5),2)</f>
        <v>418.95</v>
      </c>
      <c r="R5" s="61">
        <v>0</v>
      </c>
      <c r="S5" s="79">
        <f>L5</f>
        <v>7000</v>
      </c>
      <c r="T5" s="80">
        <v>5000</v>
      </c>
      <c r="U5" s="80">
        <f>Q5</f>
        <v>418.95</v>
      </c>
      <c r="V5" s="61"/>
      <c r="W5" s="61"/>
      <c r="X5" s="61">
        <v>1000</v>
      </c>
      <c r="Y5" s="61"/>
      <c r="Z5" s="61"/>
      <c r="AA5" s="61"/>
      <c r="AB5" s="79">
        <f>ROUND(SUM(V5:AA5),2)</f>
        <v>1000</v>
      </c>
      <c r="AC5" s="79">
        <f>R5</f>
        <v>0</v>
      </c>
      <c r="AD5" s="81">
        <f>ROUND(S5-T5-U5-AB5-AC5,2)</f>
        <v>581.04999999999995</v>
      </c>
      <c r="AE5" s="82">
        <f>ROUND(MAX((AD5)*{0.03;0.1;0.2;0.25;0.3;0.35;0.45}-{0;2520;16920;31920;52920;85920;181920},0),2)</f>
        <v>17.43</v>
      </c>
      <c r="AF5" s="83">
        <v>0</v>
      </c>
      <c r="AG5" s="83">
        <f>IF((AE5-AF5)&lt;0,0,AE5-AF5)</f>
        <v>17.43</v>
      </c>
      <c r="AH5" s="86">
        <f>ROUND(IF((L5-Q5-AG5)&lt;0,0,(L5-Q5-AG5)),2)</f>
        <v>6563.62</v>
      </c>
      <c r="AI5" s="87"/>
      <c r="AJ5" s="86">
        <f>AH5+AI5</f>
        <v>6563.62</v>
      </c>
      <c r="AK5" s="88"/>
      <c r="AL5" s="86">
        <f>AJ5+AG5+AK5</f>
        <v>6581.05</v>
      </c>
      <c r="AM5" s="88"/>
      <c r="AN5" s="88"/>
      <c r="AO5" s="88" t="s">
        <v>234</v>
      </c>
      <c r="AP5" s="88" t="s">
        <v>235</v>
      </c>
      <c r="AQ5" s="88" t="s">
        <v>236</v>
      </c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233</v>
      </c>
      <c r="C6" s="30" t="s">
        <v>170</v>
      </c>
      <c r="D6" s="30" t="s">
        <v>150</v>
      </c>
      <c r="E6" s="284" t="s">
        <v>171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</f>
        <v>5700</v>
      </c>
      <c r="T6" s="80">
        <v>5000</v>
      </c>
      <c r="U6" s="80">
        <f>Q6</f>
        <v>599.74</v>
      </c>
      <c r="V6" s="61"/>
      <c r="W6" s="61"/>
      <c r="X6" s="61"/>
      <c r="Y6" s="61">
        <v>1500</v>
      </c>
      <c r="Z6" s="61"/>
      <c r="AA6" s="61"/>
      <c r="AB6" s="79">
        <f>ROUND(SUM(V6:AA6),2)</f>
        <v>1500</v>
      </c>
      <c r="AC6" s="79">
        <f>R6</f>
        <v>0</v>
      </c>
      <c r="AD6" s="81">
        <f>ROUND(S6-T6-U6-AB6-AC6,2)</f>
        <v>-1399.74</v>
      </c>
      <c r="AE6" s="82">
        <f>ROUND(MAX((AD6)*{0.03;0.1;0.2;0.25;0.3;0.35;0.45}-{0;2520;16920;31920;52920;85920;181920},0),2)</f>
        <v>0</v>
      </c>
      <c r="AF6" s="83"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 t="s">
        <v>234</v>
      </c>
      <c r="AP6" s="88" t="s">
        <v>235</v>
      </c>
      <c r="AQ6" s="88" t="s">
        <v>236</v>
      </c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233</v>
      </c>
      <c r="C7" s="30" t="s">
        <v>163</v>
      </c>
      <c r="D7" s="30" t="s">
        <v>150</v>
      </c>
      <c r="E7" s="284" t="s">
        <v>164</v>
      </c>
      <c r="F7" s="31" t="s">
        <v>184</v>
      </c>
      <c r="G7" s="32">
        <v>18607383005</v>
      </c>
      <c r="H7" s="33"/>
      <c r="I7" s="33"/>
      <c r="J7" s="60"/>
      <c r="K7" s="33"/>
      <c r="L7" s="61">
        <v>31000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</f>
        <v>31000</v>
      </c>
      <c r="T7" s="80">
        <v>5000</v>
      </c>
      <c r="U7" s="80">
        <f>Q7</f>
        <v>612</v>
      </c>
      <c r="V7" s="61">
        <v>2000</v>
      </c>
      <c r="W7" s="61">
        <v>1000</v>
      </c>
      <c r="X7" s="61"/>
      <c r="Y7" s="61"/>
      <c r="Z7" s="61"/>
      <c r="AA7" s="61"/>
      <c r="AB7" s="79">
        <f>ROUND(SUM(V7:AA7),2)</f>
        <v>3000</v>
      </c>
      <c r="AC7" s="79">
        <f>R7</f>
        <v>0</v>
      </c>
      <c r="AD7" s="81">
        <f>ROUND(S7-T7-U7-AB7-AC7,2)</f>
        <v>22388</v>
      </c>
      <c r="AE7" s="82">
        <f>ROUND(MAX((AD7)*{0.03;0.1;0.2;0.25;0.3;0.35;0.45}-{0;2520;16920;31920;52920;85920;181920},0),2)</f>
        <v>671.64</v>
      </c>
      <c r="AF7" s="83">
        <v>0</v>
      </c>
      <c r="AG7" s="83">
        <f>IF((AE7-AF7)&lt;0,0,AE7-AF7)</f>
        <v>671.64</v>
      </c>
      <c r="AH7" s="86">
        <f>ROUND(IF((L7-Q7-AG7)&lt;0,0,(L7-Q7-AG7)),2)</f>
        <v>29716.36</v>
      </c>
      <c r="AI7" s="87"/>
      <c r="AJ7" s="86">
        <f>AH7+AI7</f>
        <v>29716.36</v>
      </c>
      <c r="AK7" s="88"/>
      <c r="AL7" s="86">
        <f>AJ7+AG7+AK7</f>
        <v>30388</v>
      </c>
      <c r="AM7" s="88"/>
      <c r="AN7" s="88"/>
      <c r="AO7" s="88" t="s">
        <v>234</v>
      </c>
      <c r="AP7" s="88" t="s">
        <v>235</v>
      </c>
      <c r="AQ7" s="88" t="s">
        <v>236</v>
      </c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233</v>
      </c>
      <c r="C8" s="30" t="s">
        <v>168</v>
      </c>
      <c r="D8" s="30" t="s">
        <v>150</v>
      </c>
      <c r="E8" s="30" t="s">
        <v>169</v>
      </c>
      <c r="F8" s="31" t="s">
        <v>184</v>
      </c>
      <c r="G8" s="32">
        <v>13373825180</v>
      </c>
      <c r="H8" s="33"/>
      <c r="I8" s="33"/>
      <c r="J8" s="60"/>
      <c r="K8" s="33"/>
      <c r="L8" s="61">
        <v>26739</v>
      </c>
      <c r="M8" s="62">
        <v>261.04000000000002</v>
      </c>
      <c r="N8" s="62">
        <v>9.1</v>
      </c>
      <c r="O8" s="62">
        <v>57.18</v>
      </c>
      <c r="P8" s="62">
        <v>85</v>
      </c>
      <c r="Q8" s="78">
        <f>ROUND(SUM(M8:P8),2)</f>
        <v>412.32</v>
      </c>
      <c r="R8" s="61">
        <v>0</v>
      </c>
      <c r="S8" s="79">
        <f>L8</f>
        <v>26739</v>
      </c>
      <c r="T8" s="80">
        <v>5000</v>
      </c>
      <c r="U8" s="80">
        <f>Q8</f>
        <v>412.32</v>
      </c>
      <c r="V8" s="61">
        <v>1000</v>
      </c>
      <c r="W8" s="61">
        <v>1000</v>
      </c>
      <c r="X8" s="61">
        <v>1000</v>
      </c>
      <c r="Y8" s="61"/>
      <c r="Z8" s="61"/>
      <c r="AA8" s="61"/>
      <c r="AB8" s="79">
        <f>ROUND(SUM(V8:AA8),2)</f>
        <v>3000</v>
      </c>
      <c r="AC8" s="79">
        <f>R8</f>
        <v>0</v>
      </c>
      <c r="AD8" s="81">
        <f>ROUND(S8-T8-U8-AB8-AC8,2)</f>
        <v>18326.68</v>
      </c>
      <c r="AE8" s="82">
        <f>ROUND(MAX((AD8)*{0.03;0.1;0.2;0.25;0.3;0.35;0.45}-{0;2520;16920;31920;52920;85920;181920},0),2)</f>
        <v>549.79999999999995</v>
      </c>
      <c r="AF8" s="83">
        <v>0</v>
      </c>
      <c r="AG8" s="83">
        <f>IF((AE8-AF8)&lt;0,0,AE8-AF8)</f>
        <v>549.79999999999995</v>
      </c>
      <c r="AH8" s="86">
        <f>ROUND(IF((L8-Q8-AG8)&lt;0,0,(L8-Q8-AG8)),2)</f>
        <v>25776.880000000001</v>
      </c>
      <c r="AI8" s="87"/>
      <c r="AJ8" s="86">
        <f>AH8+AI8</f>
        <v>25776.880000000001</v>
      </c>
      <c r="AK8" s="88"/>
      <c r="AL8" s="86">
        <f>AJ8+AG8+AK8</f>
        <v>26326.68</v>
      </c>
      <c r="AM8" s="88"/>
      <c r="AN8" s="88"/>
      <c r="AO8" s="88" t="s">
        <v>234</v>
      </c>
      <c r="AP8" s="88" t="s">
        <v>235</v>
      </c>
      <c r="AQ8" s="88" t="s">
        <v>236</v>
      </c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79719</v>
      </c>
      <c r="M9" s="67">
        <f t="shared" si="0"/>
        <v>1480.89</v>
      </c>
      <c r="N9" s="67">
        <f t="shared" si="0"/>
        <v>288.68</v>
      </c>
      <c r="O9" s="67">
        <f t="shared" si="0"/>
        <v>144.34</v>
      </c>
      <c r="P9" s="67">
        <f t="shared" si="0"/>
        <v>649</v>
      </c>
      <c r="Q9" s="67">
        <f t="shared" si="0"/>
        <v>2562.91</v>
      </c>
      <c r="R9" s="67">
        <f t="shared" si="0"/>
        <v>0</v>
      </c>
      <c r="S9" s="67">
        <f t="shared" si="0"/>
        <v>79719</v>
      </c>
      <c r="T9" s="67">
        <f t="shared" si="0"/>
        <v>25000</v>
      </c>
      <c r="U9" s="67">
        <f t="shared" si="0"/>
        <v>2562.91</v>
      </c>
      <c r="V9" s="67">
        <f t="shared" si="0"/>
        <v>4000</v>
      </c>
      <c r="W9" s="67">
        <f t="shared" si="0"/>
        <v>2000</v>
      </c>
      <c r="X9" s="67">
        <f t="shared" si="0"/>
        <v>3000</v>
      </c>
      <c r="Y9" s="67">
        <f t="shared" si="0"/>
        <v>1500</v>
      </c>
      <c r="Z9" s="67">
        <f t="shared" si="0"/>
        <v>0</v>
      </c>
      <c r="AA9" s="67">
        <f t="shared" si="0"/>
        <v>0</v>
      </c>
      <c r="AB9" s="67">
        <f t="shared" si="0"/>
        <v>10500</v>
      </c>
      <c r="AC9" s="67">
        <f t="shared" si="0"/>
        <v>0</v>
      </c>
      <c r="AD9" s="67">
        <f t="shared" si="0"/>
        <v>41656.089999999997</v>
      </c>
      <c r="AE9" s="67">
        <f t="shared" si="0"/>
        <v>1291.67</v>
      </c>
      <c r="AF9" s="67">
        <f t="shared" si="0"/>
        <v>0</v>
      </c>
      <c r="AG9" s="67">
        <f t="shared" si="0"/>
        <v>1291.67</v>
      </c>
      <c r="AH9" s="67">
        <f t="shared" si="0"/>
        <v>75864.42</v>
      </c>
      <c r="AI9" s="95">
        <f t="shared" si="0"/>
        <v>0</v>
      </c>
      <c r="AJ9" s="67">
        <f t="shared" si="0"/>
        <v>75864.42</v>
      </c>
      <c r="AK9" s="67">
        <f t="shared" si="0"/>
        <v>0</v>
      </c>
      <c r="AL9" s="67">
        <f t="shared" si="0"/>
        <v>77156.09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75864.42</v>
      </c>
      <c r="C14" s="45">
        <f>AG9</f>
        <v>1291.67</v>
      </c>
      <c r="D14" s="45">
        <f>AK9</f>
        <v>0</v>
      </c>
      <c r="E14" s="45">
        <f>B14+C14+D14</f>
        <v>77156.09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29" priority="10" stopIfTrue="1"/>
  </conditionalFormatting>
  <conditionalFormatting sqref="B16:B20">
    <cfRule type="duplicateValues" dxfId="28" priority="13" stopIfTrue="1"/>
  </conditionalFormatting>
  <conditionalFormatting sqref="B24:B25">
    <cfRule type="duplicateValues" dxfId="27" priority="1" stopIfTrue="1"/>
  </conditionalFormatting>
  <conditionalFormatting sqref="C13:C15">
    <cfRule type="duplicateValues" dxfId="26" priority="17" stopIfTrue="1"/>
    <cfRule type="expression" dxfId="25" priority="19" stopIfTrue="1">
      <formula>AND(COUNTIF($B$9:$B$65445,C13)+COUNTIF($B$1:$B$3,C13)&gt;1,NOT(ISBLANK(C13)))</formula>
    </cfRule>
    <cfRule type="expression" dxfId="24" priority="21" stopIfTrue="1">
      <formula>AND(COUNTIF($B$20:$B$65396,C13)+COUNTIF($B$1:$B$19,C13)&gt;1,NOT(ISBLANK(C13)))</formula>
    </cfRule>
    <cfRule type="expression" dxfId="23" priority="23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8000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L4+IFERROR(VLOOKUP($E:$E,'（居民）工资表-11月'!$E:$S,15,0),0)</f>
        <v>77990</v>
      </c>
      <c r="T4" s="80">
        <f>5000+IFERROR(VLOOKUP($E:$E,'（居民）工资表-11月'!$E:$T,16,0),0)</f>
        <v>45000</v>
      </c>
      <c r="U4" s="80">
        <f>Q4+IFERROR(VLOOKUP($E:$E,'（居民）工资表-11月'!$E:$U,17,0),0)</f>
        <v>4679.0999999999995</v>
      </c>
      <c r="V4" s="61"/>
      <c r="W4" s="61"/>
      <c r="X4" s="61">
        <v>12000</v>
      </c>
      <c r="Y4" s="61"/>
      <c r="Z4" s="61"/>
      <c r="AA4" s="61"/>
      <c r="AB4" s="79">
        <f>ROUND(SUM(V4:AA4),2)</f>
        <v>12000</v>
      </c>
      <c r="AC4" s="79">
        <f>R4+IFERROR(VLOOKUP($E:$E,'（居民）工资表-11月'!$E:$AC,25,0),0)</f>
        <v>0</v>
      </c>
      <c r="AD4" s="81">
        <f>ROUND(S4-T4-U4-AB4-AC4,2)</f>
        <v>16310.9</v>
      </c>
      <c r="AE4" s="82">
        <f>ROUND(MAX((AD4)*{0.03;0.1;0.2;0.25;0.3;0.35;0.45}-{0;2520;16920;31920;52920;85920;181920},0),2)</f>
        <v>489.33</v>
      </c>
      <c r="AF4" s="83">
        <f>IFERROR(VLOOKUP(E:E,'（居民）工资表-11月'!E:AF,28,0)+VLOOKUP(E:E,'（居民）工资表-11月'!E:AG,29,0),0)</f>
        <v>444.92</v>
      </c>
      <c r="AG4" s="83">
        <f>IF((AE4-AF4)&lt;0,0,AE4-AF4)</f>
        <v>44.409999999999968</v>
      </c>
      <c r="AH4" s="86">
        <f>ROUND(IF((L4-Q4-AG4)&lt;0,0,(L4-Q4-AG4)),2)</f>
        <v>7435.69</v>
      </c>
      <c r="AI4" s="87"/>
      <c r="AJ4" s="86">
        <f>AH4+AI4</f>
        <v>7435.69</v>
      </c>
      <c r="AK4" s="88"/>
      <c r="AL4" s="86">
        <f>AJ4+AG4+AK4</f>
        <v>7480.0999999999995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10.08</v>
      </c>
      <c r="O5" s="62">
        <v>61.06</v>
      </c>
      <c r="P5" s="62">
        <v>79</v>
      </c>
      <c r="Q5" s="78">
        <f>ROUND(SUM(M5:P5),2)</f>
        <v>418.95</v>
      </c>
      <c r="R5" s="61">
        <v>0</v>
      </c>
      <c r="S5" s="79">
        <f>L5+IFERROR(VLOOKUP($E:$E,'（居民）工资表-11月'!$E:$S,15,0),0)</f>
        <v>62871.4</v>
      </c>
      <c r="T5" s="80">
        <f>5000+IFERROR(VLOOKUP($E:$E,'（居民）工资表-11月'!$E:$T,16,0),0)</f>
        <v>45000</v>
      </c>
      <c r="U5" s="80">
        <f>Q5+IFERROR(VLOOKUP($E:$E,'（居民）工资表-11月'!$E:$U,17,0),0)</f>
        <v>4087.5399999999995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R5+IFERROR(VLOOKUP($E:$E,'（居民）工资表-11月'!$E:$AC,25,0),0)</f>
        <v>0</v>
      </c>
      <c r="AD5" s="81">
        <f>ROUND(S5-T5-U5-AB5-AC5,2)</f>
        <v>13783.86</v>
      </c>
      <c r="AE5" s="82">
        <f>ROUND(MAX((AD5)*{0.03;0.1;0.2;0.25;0.3;0.35;0.45}-{0;2520;16920;31920;52920;85920;181920},0),2)</f>
        <v>413.52</v>
      </c>
      <c r="AF5" s="83">
        <f>IFERROR(VLOOKUP(E:E,'（居民）工资表-11月'!E:AF,28,0)+VLOOKUP(E:E,'（居民）工资表-11月'!E:AG,29,0),0)</f>
        <v>366.08</v>
      </c>
      <c r="AG5" s="83">
        <f>IF((AE5-AF5)&lt;0,0,AE5-AF5)</f>
        <v>47.44</v>
      </c>
      <c r="AH5" s="86">
        <f>ROUND(IF((L5-Q5-AG5)&lt;0,0,(L5-Q5-AG5)),2)</f>
        <v>6533.61</v>
      </c>
      <c r="AI5" s="87"/>
      <c r="AJ5" s="86">
        <f>AH5+AI5</f>
        <v>6533.61</v>
      </c>
      <c r="AK5" s="88"/>
      <c r="AL5" s="86">
        <f>AJ5+AG5+AK5</f>
        <v>6581.0499999999993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170</v>
      </c>
      <c r="D6" s="30" t="s">
        <v>150</v>
      </c>
      <c r="E6" s="284" t="s">
        <v>171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L6+IFERROR(VLOOKUP($E:$E,'（居民）工资表-11月'!$E:$S,15,0),0)</f>
        <v>29743.63636363636</v>
      </c>
      <c r="T6" s="80">
        <f>5000+IFERROR(VLOOKUP($E:$E,'（居民）工资表-11月'!$E:$T,16,0),0)</f>
        <v>30000</v>
      </c>
      <c r="U6" s="80">
        <f>Q6+IFERROR(VLOOKUP($E:$E,'（居民）工资表-11月'!$E:$U,17,0),0)</f>
        <v>1199.48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R6+IFERROR(VLOOKUP($E:$E,'（居民）工资表-11月'!$E:$AC,25,0),0)</f>
        <v>0</v>
      </c>
      <c r="AD6" s="81">
        <f>ROUND(S6-T6-U6-AB6-AC6,2)</f>
        <v>-1455.84</v>
      </c>
      <c r="AE6" s="82">
        <f>ROUND(MAX((AD6)*{0.03;0.1;0.2;0.25;0.3;0.35;0.45}-{0;2520;16920;31920;52920;85920;181920},0),2)</f>
        <v>0</v>
      </c>
      <c r="AF6" s="83">
        <f>IFERROR(VLOOKUP(E:E,'（居民）工资表-11月'!E:AF,28,0)+VLOOKUP(E:E,'（居民）工资表-11月'!E:AG,29,0),0)</f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4" t="s">
        <v>164</v>
      </c>
      <c r="F7" s="31" t="s">
        <v>184</v>
      </c>
      <c r="G7" s="32">
        <v>18607383005</v>
      </c>
      <c r="H7" s="33"/>
      <c r="I7" s="33"/>
      <c r="J7" s="60"/>
      <c r="K7" s="33"/>
      <c r="L7" s="61">
        <v>25000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L7+IFERROR(VLOOKUP($E:$E,'（居民）工资表-11月'!$E:$S,15,0),0)</f>
        <v>180024.76</v>
      </c>
      <c r="T7" s="80">
        <f>5000+IFERROR(VLOOKUP($E:$E,'（居民）工资表-11月'!$E:$T,16,0),0)</f>
        <v>40000</v>
      </c>
      <c r="U7" s="80">
        <f>Q7+IFERROR(VLOOKUP($E:$E,'（居民）工资表-11月'!$E:$U,17,0),0)</f>
        <v>4982.67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R7+IFERROR(VLOOKUP($E:$E,'（居民）工资表-11月'!$E:$AC,25,0),0)</f>
        <v>0</v>
      </c>
      <c r="AD7" s="81">
        <f>ROUND(S7-T7-U7-AB7-AC7,2)</f>
        <v>135042.09</v>
      </c>
      <c r="AE7" s="82">
        <f>ROUND(MAX((AD7)*{0.03;0.1;0.2;0.25;0.3;0.35;0.45}-{0;2520;16920;31920;52920;85920;181920},0),2)</f>
        <v>10984.21</v>
      </c>
      <c r="AF7" s="83">
        <f>IFERROR(VLOOKUP(E:E,'（居民）工资表-11月'!E:AF,28,0)+VLOOKUP(E:E,'（居民）工资表-11月'!E:AG,29,0),0)</f>
        <v>9045.41</v>
      </c>
      <c r="AG7" s="83">
        <f>IF((AE7-AF7)&lt;0,0,AE7-AF7)</f>
        <v>1938.7999999999993</v>
      </c>
      <c r="AH7" s="86">
        <f>ROUND(IF((L7-Q7-AG7)&lt;0,0,(L7-Q7-AG7)),2)</f>
        <v>22449.200000000001</v>
      </c>
      <c r="AI7" s="87"/>
      <c r="AJ7" s="86">
        <f>AH7+AI7</f>
        <v>22449.200000000001</v>
      </c>
      <c r="AK7" s="88"/>
      <c r="AL7" s="86">
        <f>AJ7+AG7+AK7</f>
        <v>24388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168</v>
      </c>
      <c r="D8" s="30" t="s">
        <v>150</v>
      </c>
      <c r="E8" s="30" t="s">
        <v>169</v>
      </c>
      <c r="F8" s="31" t="s">
        <v>184</v>
      </c>
      <c r="G8" s="32">
        <v>13373825180</v>
      </c>
      <c r="H8" s="33"/>
      <c r="I8" s="33"/>
      <c r="J8" s="60"/>
      <c r="K8" s="33"/>
      <c r="L8" s="61">
        <v>25000</v>
      </c>
      <c r="M8" s="62">
        <v>261.04000000000002</v>
      </c>
      <c r="N8" s="62">
        <v>9.1</v>
      </c>
      <c r="O8" s="62">
        <v>57.18</v>
      </c>
      <c r="P8" s="62">
        <v>85</v>
      </c>
      <c r="Q8" s="78">
        <f>ROUND(SUM(M8:P8),2)</f>
        <v>412.32</v>
      </c>
      <c r="R8" s="61">
        <v>0</v>
      </c>
      <c r="S8" s="79">
        <f>L8+IFERROR(VLOOKUP($E:$E,'（居民）工资表-11月'!$E:$S,15,0),0)</f>
        <v>50000</v>
      </c>
      <c r="T8" s="80">
        <f>5000+IFERROR(VLOOKUP($E:$E,'（居民）工资表-11月'!$E:$T,16,0),0)</f>
        <v>10000</v>
      </c>
      <c r="U8" s="80">
        <f>Q8+IFERROR(VLOOKUP($E:$E,'（居民）工资表-11月'!$E:$U,17,0),0)</f>
        <v>1269.46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R8+IFERROR(VLOOKUP($E:$E,'（居民）工资表-11月'!$E:$AC,25,0),0)</f>
        <v>0</v>
      </c>
      <c r="AD8" s="81">
        <f>ROUND(S8-T8-U8-AB8-AC8,2)</f>
        <v>38730.54</v>
      </c>
      <c r="AE8" s="82">
        <f>ROUND(MAX((AD8)*{0.03;0.1;0.2;0.25;0.3;0.35;0.45}-{0;2520;16920;31920;52920;85920;181920},0),2)</f>
        <v>1353.05</v>
      </c>
      <c r="AF8" s="83">
        <f>IFERROR(VLOOKUP(E:E,'（居民）工资表-11月'!E:AF,28,0)+VLOOKUP(E:E,'（居民）工资表-11月'!E:AG,29,0),0)</f>
        <v>574.29</v>
      </c>
      <c r="AG8" s="83">
        <f>IF((AE8-AF8)&lt;0,0,AE8-AF8)</f>
        <v>778.76</v>
      </c>
      <c r="AH8" s="86">
        <f>ROUND(IF((L8-Q8-AG8)&lt;0,0,(L8-Q8-AG8)),2)</f>
        <v>23808.92</v>
      </c>
      <c r="AI8" s="87"/>
      <c r="AJ8" s="86">
        <f>AH8+AI8</f>
        <v>23808.92</v>
      </c>
      <c r="AK8" s="88"/>
      <c r="AL8" s="86">
        <f>AJ8+AG8+AK8</f>
        <v>24587.679999999997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70700</v>
      </c>
      <c r="M9" s="67">
        <f t="shared" si="0"/>
        <v>1480.89</v>
      </c>
      <c r="N9" s="67">
        <f t="shared" si="0"/>
        <v>288.68</v>
      </c>
      <c r="O9" s="67">
        <f t="shared" si="0"/>
        <v>144.34</v>
      </c>
      <c r="P9" s="67">
        <f t="shared" si="0"/>
        <v>649</v>
      </c>
      <c r="Q9" s="67">
        <f t="shared" si="0"/>
        <v>2562.91</v>
      </c>
      <c r="R9" s="67">
        <f t="shared" si="0"/>
        <v>0</v>
      </c>
      <c r="S9" s="67">
        <f t="shared" si="0"/>
        <v>400629.79636363639</v>
      </c>
      <c r="T9" s="67">
        <f t="shared" si="0"/>
        <v>170000</v>
      </c>
      <c r="U9" s="67">
        <f t="shared" si="0"/>
        <v>16218.25</v>
      </c>
      <c r="V9" s="67">
        <f t="shared" si="0"/>
        <v>0</v>
      </c>
      <c r="W9" s="67">
        <f t="shared" si="0"/>
        <v>0</v>
      </c>
      <c r="X9" s="67">
        <f t="shared" si="0"/>
        <v>12000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12000</v>
      </c>
      <c r="AC9" s="67">
        <f t="shared" si="0"/>
        <v>0</v>
      </c>
      <c r="AD9" s="67">
        <f t="shared" si="0"/>
        <v>202411.55000000002</v>
      </c>
      <c r="AE9" s="67">
        <f t="shared" si="0"/>
        <v>13240.109999999999</v>
      </c>
      <c r="AF9" s="67">
        <f t="shared" si="0"/>
        <v>10430.700000000001</v>
      </c>
      <c r="AG9" s="67">
        <f t="shared" si="0"/>
        <v>2809.4099999999989</v>
      </c>
      <c r="AH9" s="67">
        <f t="shared" si="0"/>
        <v>65327.679999999993</v>
      </c>
      <c r="AI9" s="95">
        <f t="shared" si="0"/>
        <v>0</v>
      </c>
      <c r="AJ9" s="67">
        <f t="shared" si="0"/>
        <v>65327.679999999993</v>
      </c>
      <c r="AK9" s="67">
        <f t="shared" si="0"/>
        <v>0</v>
      </c>
      <c r="AL9" s="67">
        <f t="shared" si="0"/>
        <v>68137.09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65327.679999999993</v>
      </c>
      <c r="C14" s="45">
        <f>AG9</f>
        <v>2809.4099999999989</v>
      </c>
      <c r="D14" s="45">
        <f>AK9</f>
        <v>0</v>
      </c>
      <c r="E14" s="45">
        <f>B14+C14+D14</f>
        <v>68137.09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22" priority="2" stopIfTrue="1"/>
  </conditionalFormatting>
  <conditionalFormatting sqref="B16:B20">
    <cfRule type="duplicateValues" dxfId="21" priority="3" stopIfTrue="1"/>
  </conditionalFormatting>
  <conditionalFormatting sqref="B24:B25">
    <cfRule type="duplicateValues" dxfId="20" priority="1" stopIfTrue="1"/>
  </conditionalFormatting>
  <conditionalFormatting sqref="C13:C15">
    <cfRule type="duplicateValues" dxfId="19" priority="4" stopIfTrue="1"/>
    <cfRule type="expression" dxfId="18" priority="5" stopIfTrue="1">
      <formula>AND(COUNTIF($B$9:$B$65445,C13)+COUNTIF($B$1:$B$3,C13)&gt;1,NOT(ISBLANK(C13)))</formula>
    </cfRule>
    <cfRule type="expression" dxfId="17" priority="6" stopIfTrue="1">
      <formula>AND(COUNTIF($B$20:$B$65396,C13)+COUNTIF($B$1:$B$19,C13)&gt;1,NOT(ISBLANK(C13)))</formula>
    </cfRule>
    <cfRule type="expression" dxfId="16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T4" activePane="bottomRight" state="frozen"/>
      <selection pane="topRight"/>
      <selection pane="bottomLeft"/>
      <selection pane="bottomRight" activeCell="V8" sqref="V8:X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>
        <f>U4/2</f>
        <v>519.9</v>
      </c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233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8490</v>
      </c>
      <c r="M4" s="62">
        <v>264</v>
      </c>
      <c r="N4" s="62">
        <v>66</v>
      </c>
      <c r="O4" s="62">
        <v>9.9</v>
      </c>
      <c r="P4" s="62">
        <v>180</v>
      </c>
      <c r="Q4" s="78">
        <f t="shared" ref="Q4:Q12" si="0">ROUND(SUM(M4:P4),2)</f>
        <v>519.9</v>
      </c>
      <c r="R4" s="61">
        <v>0</v>
      </c>
      <c r="S4" s="79">
        <f>L4+IFERROR(VLOOKUP($E:$E,'（居民）工资表-1月'!$E:$S,15,0),0)</f>
        <v>17770</v>
      </c>
      <c r="T4" s="80">
        <f>5000+IFERROR(VLOOKUP($E:$E,'（居民）工资表-1月'!$E:$T,16,0),0)</f>
        <v>10000</v>
      </c>
      <c r="U4" s="80">
        <f>Q4+IFERROR(VLOOKUP($E:$E,'（居民）工资表-1月'!$E:$U,17,0),0)</f>
        <v>1039.8</v>
      </c>
      <c r="V4" s="94">
        <v>2000</v>
      </c>
      <c r="W4" s="94"/>
      <c r="X4" s="94">
        <v>2000</v>
      </c>
      <c r="Y4" s="94"/>
      <c r="Z4" s="94"/>
      <c r="AA4" s="94"/>
      <c r="AB4" s="79">
        <f>ROUND(SUM(V4:AA4),2)</f>
        <v>4000</v>
      </c>
      <c r="AC4" s="79">
        <f>R4+IFERROR(VLOOKUP($E:$E,'（居民）工资表-1月'!$E:$AC,25,0),0)</f>
        <v>0</v>
      </c>
      <c r="AD4" s="81">
        <f t="shared" ref="AD4:AD12" si="1">ROUND(S4-T4-U4-AB4-AC4,2)</f>
        <v>2730.2</v>
      </c>
      <c r="AE4" s="82">
        <f>ROUND(MAX((AD4)*{0.03;0.1;0.2;0.25;0.3;0.35;0.45}-{0;2520;16920;31920;52920;85920;181920},0),2)</f>
        <v>81.91</v>
      </c>
      <c r="AF4" s="83">
        <f>IFERROR(VLOOKUP(E:E,'（居民）工资表-1月'!E:AF,28,0)+VLOOKUP(E:E,'（居民）工资表-1月'!E:AG,29,0),0)</f>
        <v>52.8</v>
      </c>
      <c r="AG4" s="83">
        <f t="shared" ref="AG4:AG12" si="2">IF((AE4-AF4)&lt;0,0,AE4-AF4)</f>
        <v>29.11</v>
      </c>
      <c r="AH4" s="86">
        <f t="shared" ref="AH4:AH12" si="3">ROUND(IF((L4-Q4-AG4)&lt;0,0,(L4-Q4-AG4)),2)</f>
        <v>7940.99</v>
      </c>
      <c r="AI4" s="87"/>
      <c r="AJ4" s="86">
        <f t="shared" ref="AJ4:AJ12" si="4">AH4+AI4</f>
        <v>7940.99</v>
      </c>
      <c r="AK4" s="88"/>
      <c r="AL4" s="86">
        <f t="shared" ref="AL4:AL12" si="5">AJ4+AG4+AK4</f>
        <v>7970.1</v>
      </c>
      <c r="AM4" s="88"/>
      <c r="AN4" s="88"/>
      <c r="AO4" s="88"/>
      <c r="AP4" s="88"/>
      <c r="AQ4" s="88"/>
      <c r="AR4" s="92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 t="shared" ref="AS4:AS12" si="7">IF(SUMPRODUCT(N(E$1:E$8=E4))&gt;1,"重复","不")</f>
        <v>不</v>
      </c>
      <c r="AT4" s="92" t="str">
        <f t="shared" ref="AT4:AT12" si="8">IF(SUMPRODUCT(N(AO$1:AO$8=AO4))&gt;1,"重复","不")</f>
        <v>重复</v>
      </c>
    </row>
    <row r="5" spans="1:46" s="15" customFormat="1" ht="18" customHeight="1">
      <c r="A5" s="29">
        <v>2</v>
      </c>
      <c r="B5" s="30" t="s">
        <v>233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61.06</v>
      </c>
      <c r="O5" s="62">
        <v>10.08</v>
      </c>
      <c r="P5" s="62">
        <v>79</v>
      </c>
      <c r="Q5" s="78">
        <f t="shared" si="0"/>
        <v>418.95</v>
      </c>
      <c r="R5" s="61">
        <v>0</v>
      </c>
      <c r="S5" s="79">
        <f>L5+IFERROR(VLOOKUP($E:$E,'（居民）工资表-1月'!$E:$S,15,0),0)</f>
        <v>14000</v>
      </c>
      <c r="T5" s="80">
        <f>5000+IFERROR(VLOOKUP($E:$E,'（居民）工资表-1月'!$E:$T,16,0),0)</f>
        <v>10000</v>
      </c>
      <c r="U5" s="80">
        <f>Q5+IFERROR(VLOOKUP($E:$E,'（居民）工资表-1月'!$E:$U,17,0),0)</f>
        <v>837.9</v>
      </c>
      <c r="V5" s="94"/>
      <c r="W5" s="94"/>
      <c r="X5" s="94">
        <v>2000</v>
      </c>
      <c r="Y5" s="94"/>
      <c r="Z5" s="94"/>
      <c r="AA5" s="94"/>
      <c r="AB5" s="79">
        <f t="shared" ref="AB5:AB12" si="9">ROUND(SUM(V5:AA5),2)</f>
        <v>2000</v>
      </c>
      <c r="AC5" s="79">
        <f>R5+IFERROR(VLOOKUP($E:$E,'（居民）工资表-1月'!$E:$AC,25,0),0)</f>
        <v>0</v>
      </c>
      <c r="AD5" s="81">
        <f t="shared" si="1"/>
        <v>1162.0999999999999</v>
      </c>
      <c r="AE5" s="82">
        <f>ROUND(MAX((AD5)*{0.03;0.1;0.2;0.25;0.3;0.35;0.45}-{0;2520;16920;31920;52920;85920;181920},0),2)</f>
        <v>34.86</v>
      </c>
      <c r="AF5" s="83">
        <f>IFERROR(VLOOKUP(E:E,'（居民）工资表-1月'!E:AF,28,0)+VLOOKUP(E:E,'（居民）工资表-1月'!E:AG,29,0),0)</f>
        <v>17.43</v>
      </c>
      <c r="AG5" s="83">
        <f t="shared" si="2"/>
        <v>17.43</v>
      </c>
      <c r="AH5" s="86">
        <f t="shared" si="3"/>
        <v>6563.62</v>
      </c>
      <c r="AI5" s="87"/>
      <c r="AJ5" s="86">
        <f t="shared" si="4"/>
        <v>6563.62</v>
      </c>
      <c r="AK5" s="88"/>
      <c r="AL5" s="86">
        <f t="shared" si="5"/>
        <v>6581.05</v>
      </c>
      <c r="AM5" s="88"/>
      <c r="AN5" s="88"/>
      <c r="AO5" s="88"/>
      <c r="AP5" s="88"/>
      <c r="AQ5" s="88"/>
      <c r="AR5" s="92" t="str">
        <f t="shared" si="6"/>
        <v>正确</v>
      </c>
      <c r="AS5" s="92" t="str">
        <f t="shared" si="7"/>
        <v>不</v>
      </c>
      <c r="AT5" s="92" t="str">
        <f t="shared" si="8"/>
        <v>重复</v>
      </c>
    </row>
    <row r="6" spans="1:46" s="15" customFormat="1" ht="18" customHeight="1">
      <c r="A6" s="29">
        <v>3</v>
      </c>
      <c r="B6" s="30" t="s">
        <v>233</v>
      </c>
      <c r="C6" s="30" t="s">
        <v>170</v>
      </c>
      <c r="D6" s="30" t="s">
        <v>150</v>
      </c>
      <c r="E6" s="284" t="s">
        <v>171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176.06</v>
      </c>
      <c r="O6" s="62">
        <v>5</v>
      </c>
      <c r="P6" s="62">
        <v>155.91999999999999</v>
      </c>
      <c r="Q6" s="78">
        <f t="shared" si="0"/>
        <v>704.02</v>
      </c>
      <c r="R6" s="61">
        <v>0</v>
      </c>
      <c r="S6" s="79">
        <f>L6+IFERROR(VLOOKUP($E:$E,'（居民）工资表-1月'!$E:$S,15,0),0)</f>
        <v>11400</v>
      </c>
      <c r="T6" s="80">
        <f>5000+IFERROR(VLOOKUP($E:$E,'（居民）工资表-1月'!$E:$T,16,0),0)</f>
        <v>10000</v>
      </c>
      <c r="U6" s="80">
        <f>Q6+IFERROR(VLOOKUP($E:$E,'（居民）工资表-1月'!$E:$U,17,0),0)</f>
        <v>1303.76</v>
      </c>
      <c r="V6" s="94"/>
      <c r="W6" s="94"/>
      <c r="X6" s="94"/>
      <c r="Y6" s="94">
        <v>3000</v>
      </c>
      <c r="Z6" s="94"/>
      <c r="AA6" s="94"/>
      <c r="AB6" s="79">
        <f t="shared" si="9"/>
        <v>3000</v>
      </c>
      <c r="AC6" s="79">
        <f>R6+IFERROR(VLOOKUP($E:$E,'（居民）工资表-1月'!$E:$AC,25,0),0)</f>
        <v>0</v>
      </c>
      <c r="AD6" s="81">
        <f t="shared" si="1"/>
        <v>-2903.76</v>
      </c>
      <c r="AE6" s="82">
        <f>ROUND(MAX((AD6)*{0.03;0.1;0.2;0.25;0.3;0.35;0.45}-{0;2520;16920;31920;52920;85920;181920},0),2)</f>
        <v>0</v>
      </c>
      <c r="AF6" s="83">
        <f>IFERROR(VLOOKUP(E:E,'（居民）工资表-1月'!E:AF,28,0)+VLOOKUP(E:E,'（居民）工资表-1月'!E:AG,29,0),0)</f>
        <v>0</v>
      </c>
      <c r="AG6" s="83">
        <f t="shared" si="2"/>
        <v>0</v>
      </c>
      <c r="AH6" s="86">
        <f t="shared" si="3"/>
        <v>4995.9799999999996</v>
      </c>
      <c r="AI6" s="87"/>
      <c r="AJ6" s="86">
        <f t="shared" si="4"/>
        <v>4995.9799999999996</v>
      </c>
      <c r="AK6" s="88"/>
      <c r="AL6" s="86">
        <f t="shared" si="5"/>
        <v>4995.9799999999996</v>
      </c>
      <c r="AM6" s="88"/>
      <c r="AN6" s="88"/>
      <c r="AO6" s="88"/>
      <c r="AP6" s="88"/>
      <c r="AQ6" s="88"/>
      <c r="AR6" s="92" t="str">
        <f t="shared" si="6"/>
        <v>正确</v>
      </c>
      <c r="AS6" s="92" t="str">
        <f t="shared" si="7"/>
        <v>不</v>
      </c>
      <c r="AT6" s="92" t="str">
        <f t="shared" si="8"/>
        <v>重复</v>
      </c>
    </row>
    <row r="7" spans="1:46" s="15" customFormat="1" ht="18" customHeight="1">
      <c r="A7" s="29">
        <v>4</v>
      </c>
      <c r="B7" s="30" t="s">
        <v>233</v>
      </c>
      <c r="C7" s="30" t="s">
        <v>163</v>
      </c>
      <c r="D7" s="30" t="s">
        <v>150</v>
      </c>
      <c r="E7" s="284" t="s">
        <v>164</v>
      </c>
      <c r="F7" s="31" t="s">
        <v>184</v>
      </c>
      <c r="G7" s="32">
        <v>18607383005</v>
      </c>
      <c r="H7" s="33"/>
      <c r="I7" s="33"/>
      <c r="J7" s="60"/>
      <c r="K7" s="33"/>
      <c r="L7" s="61">
        <v>29000</v>
      </c>
      <c r="M7" s="62">
        <v>320</v>
      </c>
      <c r="N7" s="62">
        <v>210</v>
      </c>
      <c r="O7" s="62">
        <v>12</v>
      </c>
      <c r="P7" s="62">
        <v>330</v>
      </c>
      <c r="Q7" s="78">
        <f t="shared" si="0"/>
        <v>872</v>
      </c>
      <c r="R7" s="61">
        <v>0</v>
      </c>
      <c r="S7" s="79">
        <f>L7+IFERROR(VLOOKUP($E:$E,'（居民）工资表-1月'!$E:$S,15,0),0)</f>
        <v>60000</v>
      </c>
      <c r="T7" s="80">
        <f>5000+IFERROR(VLOOKUP($E:$E,'（居民）工资表-1月'!$E:$T,16,0),0)</f>
        <v>10000</v>
      </c>
      <c r="U7" s="80">
        <f>Q7+IFERROR(VLOOKUP($E:$E,'（居民）工资表-1月'!$E:$U,17,0),0)</f>
        <v>1484</v>
      </c>
      <c r="V7" s="94">
        <v>4000</v>
      </c>
      <c r="W7" s="94">
        <v>2000</v>
      </c>
      <c r="X7" s="94"/>
      <c r="Y7" s="94"/>
      <c r="Z7" s="94"/>
      <c r="AA7" s="94"/>
      <c r="AB7" s="79">
        <f t="shared" si="9"/>
        <v>6000</v>
      </c>
      <c r="AC7" s="79">
        <f>R7+IFERROR(VLOOKUP($E:$E,'（居民）工资表-1月'!$E:$AC,25,0),0)</f>
        <v>0</v>
      </c>
      <c r="AD7" s="81">
        <f t="shared" si="1"/>
        <v>42516</v>
      </c>
      <c r="AE7" s="82">
        <f>ROUND(MAX((AD7)*{0.03;0.1;0.2;0.25;0.3;0.35;0.45}-{0;2520;16920;31920;52920;85920;181920},0),2)</f>
        <v>1731.6</v>
      </c>
      <c r="AF7" s="83">
        <f>IFERROR(VLOOKUP(E:E,'（居民）工资表-1月'!E:AF,28,0)+VLOOKUP(E:E,'（居民）工资表-1月'!E:AG,29,0),0)</f>
        <v>671.64</v>
      </c>
      <c r="AG7" s="83">
        <f t="shared" si="2"/>
        <v>1059.96</v>
      </c>
      <c r="AH7" s="86">
        <f t="shared" si="3"/>
        <v>27068.04</v>
      </c>
      <c r="AI7" s="87"/>
      <c r="AJ7" s="86">
        <f t="shared" si="4"/>
        <v>27068.04</v>
      </c>
      <c r="AK7" s="88"/>
      <c r="AL7" s="86">
        <f t="shared" si="5"/>
        <v>28128</v>
      </c>
      <c r="AM7" s="88"/>
      <c r="AN7" s="88"/>
      <c r="AO7" s="88"/>
      <c r="AP7" s="88"/>
      <c r="AQ7" s="88"/>
      <c r="AR7" s="92" t="str">
        <f t="shared" si="6"/>
        <v>正确</v>
      </c>
      <c r="AS7" s="92" t="str">
        <f t="shared" si="7"/>
        <v>不</v>
      </c>
      <c r="AT7" s="92" t="str">
        <f t="shared" si="8"/>
        <v>重复</v>
      </c>
    </row>
    <row r="8" spans="1:46" s="15" customFormat="1" ht="18" customHeight="1">
      <c r="A8" s="29">
        <v>5</v>
      </c>
      <c r="B8" s="30" t="s">
        <v>233</v>
      </c>
      <c r="C8" s="30" t="s">
        <v>168</v>
      </c>
      <c r="D8" s="30" t="s">
        <v>150</v>
      </c>
      <c r="E8" s="30" t="s">
        <v>169</v>
      </c>
      <c r="F8" s="31" t="s">
        <v>184</v>
      </c>
      <c r="G8" s="32">
        <v>13373825180</v>
      </c>
      <c r="H8" s="33"/>
      <c r="I8" s="33"/>
      <c r="J8" s="60"/>
      <c r="K8" s="33"/>
      <c r="L8" s="61">
        <v>30739</v>
      </c>
      <c r="M8" s="62">
        <v>266.24</v>
      </c>
      <c r="N8" s="62">
        <v>228.02</v>
      </c>
      <c r="O8" s="62">
        <v>12.75</v>
      </c>
      <c r="P8" s="62">
        <v>247.5</v>
      </c>
      <c r="Q8" s="78">
        <f t="shared" si="0"/>
        <v>754.51</v>
      </c>
      <c r="R8" s="61">
        <v>0</v>
      </c>
      <c r="S8" s="79">
        <f>L8+IFERROR(VLOOKUP($E:$E,'（居民）工资表-1月'!$E:$S,15,0),0)</f>
        <v>57478</v>
      </c>
      <c r="T8" s="80">
        <f>5000+IFERROR(VLOOKUP($E:$E,'（居民）工资表-1月'!$E:$T,16,0),0)</f>
        <v>10000</v>
      </c>
      <c r="U8" s="80">
        <f>Q8+IFERROR(VLOOKUP($E:$E,'（居民）工资表-1月'!$E:$U,17,0),0)</f>
        <v>1166.83</v>
      </c>
      <c r="V8" s="94">
        <v>2000</v>
      </c>
      <c r="W8" s="94">
        <v>2000</v>
      </c>
      <c r="X8" s="94">
        <v>2000</v>
      </c>
      <c r="Y8" s="94"/>
      <c r="Z8" s="94"/>
      <c r="AA8" s="94"/>
      <c r="AB8" s="79">
        <f t="shared" si="9"/>
        <v>6000</v>
      </c>
      <c r="AC8" s="79">
        <f>R8+IFERROR(VLOOKUP($E:$E,'（居民）工资表-1月'!$E:$AC,25,0),0)</f>
        <v>0</v>
      </c>
      <c r="AD8" s="81">
        <f t="shared" si="1"/>
        <v>40311.17</v>
      </c>
      <c r="AE8" s="82">
        <f>ROUND(MAX((AD8)*{0.03;0.1;0.2;0.25;0.3;0.35;0.45}-{0;2520;16920;31920;52920;85920;181920},0),2)</f>
        <v>1511.12</v>
      </c>
      <c r="AF8" s="83">
        <f>IFERROR(VLOOKUP(E:E,'（居民）工资表-1月'!E:AF,28,0)+VLOOKUP(E:E,'（居民）工资表-1月'!E:AG,29,0),0)</f>
        <v>549.79999999999995</v>
      </c>
      <c r="AG8" s="83">
        <f t="shared" si="2"/>
        <v>961.32</v>
      </c>
      <c r="AH8" s="86">
        <f t="shared" si="3"/>
        <v>29023.17</v>
      </c>
      <c r="AI8" s="87"/>
      <c r="AJ8" s="86">
        <f t="shared" si="4"/>
        <v>29023.17</v>
      </c>
      <c r="AK8" s="88"/>
      <c r="AL8" s="86">
        <f t="shared" si="5"/>
        <v>29984.49</v>
      </c>
      <c r="AM8" s="88"/>
      <c r="AN8" s="88"/>
      <c r="AO8" s="88"/>
      <c r="AP8" s="88"/>
      <c r="AQ8" s="88"/>
      <c r="AR8" s="92" t="str">
        <f t="shared" si="6"/>
        <v>正确</v>
      </c>
      <c r="AS8" s="92" t="str">
        <f t="shared" si="7"/>
        <v>不</v>
      </c>
      <c r="AT8" s="92" t="str">
        <f t="shared" si="8"/>
        <v>重复</v>
      </c>
    </row>
    <row r="9" spans="1:46" s="15" customFormat="1" ht="18" customHeight="1">
      <c r="A9" s="29">
        <v>6</v>
      </c>
      <c r="B9" s="30" t="s">
        <v>233</v>
      </c>
      <c r="C9" s="30" t="s">
        <v>179</v>
      </c>
      <c r="D9" s="30" t="s">
        <v>150</v>
      </c>
      <c r="E9" s="30" t="s">
        <v>180</v>
      </c>
      <c r="F9" s="31" t="s">
        <v>184</v>
      </c>
      <c r="G9" s="32">
        <v>18037463616</v>
      </c>
      <c r="H9" s="33"/>
      <c r="I9" s="33"/>
      <c r="J9" s="60"/>
      <c r="K9" s="33"/>
      <c r="L9" s="61">
        <v>14200</v>
      </c>
      <c r="M9" s="62">
        <v>508.64</v>
      </c>
      <c r="N9" s="62">
        <v>127.16</v>
      </c>
      <c r="O9" s="62">
        <v>19.079999999999998</v>
      </c>
      <c r="P9" s="62">
        <v>215.58</v>
      </c>
      <c r="Q9" s="78">
        <f t="shared" si="0"/>
        <v>870.46</v>
      </c>
      <c r="R9" s="61">
        <v>0</v>
      </c>
      <c r="S9" s="79">
        <f>L9+IFERROR(VLOOKUP($E:$E,'（居民）工资表-1月'!$E:$S,15,0),0)</f>
        <v>14200</v>
      </c>
      <c r="T9" s="80">
        <f>5000+IFERROR(VLOOKUP($E:$E,'（居民）工资表-1月'!$E:$T,16,0),0)</f>
        <v>5000</v>
      </c>
      <c r="U9" s="80">
        <f>Q9+IFERROR(VLOOKUP($E:$E,'（居民）工资表-1月'!$E:$U,17,0),0)</f>
        <v>870.46</v>
      </c>
      <c r="V9" s="94"/>
      <c r="W9" s="94"/>
      <c r="X9" s="94"/>
      <c r="Y9" s="94"/>
      <c r="Z9" s="94"/>
      <c r="AA9" s="94"/>
      <c r="AB9" s="79">
        <f t="shared" si="9"/>
        <v>0</v>
      </c>
      <c r="AC9" s="79">
        <f>R9+IFERROR(VLOOKUP($E:$E,'（居民）工资表-1月'!$E:$AC,25,0),0)</f>
        <v>0</v>
      </c>
      <c r="AD9" s="81">
        <f t="shared" si="1"/>
        <v>8329.5400000000009</v>
      </c>
      <c r="AE9" s="82">
        <f>ROUND(MAX((AD9)*{0.03;0.1;0.2;0.25;0.3;0.35;0.45}-{0;2520;16920;31920;52920;85920;181920},0),2)</f>
        <v>249.89</v>
      </c>
      <c r="AF9" s="83">
        <f>IFERROR(VLOOKUP(E:E,'（居民）工资表-1月'!E:AF,28,0)+VLOOKUP(E:E,'（居民）工资表-1月'!E:AG,29,0),0)</f>
        <v>0</v>
      </c>
      <c r="AG9" s="83">
        <f t="shared" si="2"/>
        <v>249.89</v>
      </c>
      <c r="AH9" s="86">
        <f t="shared" si="3"/>
        <v>13079.65</v>
      </c>
      <c r="AI9" s="87"/>
      <c r="AJ9" s="86">
        <f t="shared" si="4"/>
        <v>13079.65</v>
      </c>
      <c r="AK9" s="88"/>
      <c r="AL9" s="86">
        <f t="shared" si="5"/>
        <v>13329.54</v>
      </c>
      <c r="AM9" s="88"/>
      <c r="AN9" s="88"/>
      <c r="AO9" s="88"/>
      <c r="AP9" s="88"/>
      <c r="AQ9" s="88"/>
      <c r="AR9" s="92" t="str">
        <f t="shared" si="6"/>
        <v>正确</v>
      </c>
      <c r="AS9" s="92" t="str">
        <f t="shared" si="7"/>
        <v>不</v>
      </c>
      <c r="AT9" s="92" t="str">
        <f t="shared" si="8"/>
        <v>重复</v>
      </c>
    </row>
    <row r="10" spans="1:46" s="15" customFormat="1" ht="18" customHeight="1">
      <c r="A10" s="29">
        <v>7</v>
      </c>
      <c r="B10" s="30" t="s">
        <v>233</v>
      </c>
      <c r="C10" s="30" t="s">
        <v>181</v>
      </c>
      <c r="D10" s="30" t="s">
        <v>150</v>
      </c>
      <c r="E10" s="284" t="s">
        <v>182</v>
      </c>
      <c r="F10" s="31" t="s">
        <v>184</v>
      </c>
      <c r="G10" s="32">
        <v>18500634358</v>
      </c>
      <c r="H10" s="33"/>
      <c r="I10" s="33"/>
      <c r="J10" s="60"/>
      <c r="K10" s="33"/>
      <c r="L10" s="61">
        <v>14500</v>
      </c>
      <c r="M10" s="62">
        <v>508.64</v>
      </c>
      <c r="N10" s="62">
        <v>127.16</v>
      </c>
      <c r="O10" s="62">
        <v>19.079999999999998</v>
      </c>
      <c r="P10" s="62">
        <v>215.58</v>
      </c>
      <c r="Q10" s="78">
        <f t="shared" si="0"/>
        <v>870.46</v>
      </c>
      <c r="R10" s="61">
        <v>0</v>
      </c>
      <c r="S10" s="79">
        <f>L10+IFERROR(VLOOKUP($E:$E,'（居民）工资表-1月'!$E:$S,15,0),0)</f>
        <v>14500</v>
      </c>
      <c r="T10" s="80">
        <f>5000+IFERROR(VLOOKUP($E:$E,'（居民）工资表-1月'!$E:$T,16,0),0)</f>
        <v>5000</v>
      </c>
      <c r="U10" s="80">
        <f>Q10+IFERROR(VLOOKUP($E:$E,'（居民）工资表-1月'!$E:$U,17,0),0)</f>
        <v>870.46</v>
      </c>
      <c r="V10" s="94"/>
      <c r="W10" s="94"/>
      <c r="X10" s="94"/>
      <c r="Y10" s="94"/>
      <c r="Z10" s="94"/>
      <c r="AA10" s="94"/>
      <c r="AB10" s="79">
        <f t="shared" si="9"/>
        <v>0</v>
      </c>
      <c r="AC10" s="79">
        <f>R10+IFERROR(VLOOKUP($E:$E,'（居民）工资表-1月'!$E:$AC,25,0),0)</f>
        <v>0</v>
      </c>
      <c r="AD10" s="81">
        <f t="shared" si="1"/>
        <v>8629.5400000000009</v>
      </c>
      <c r="AE10" s="82">
        <f>ROUND(MAX((AD10)*{0.03;0.1;0.2;0.25;0.3;0.35;0.45}-{0;2520;16920;31920;52920;85920;181920},0),2)</f>
        <v>258.89</v>
      </c>
      <c r="AF10" s="83">
        <f>IFERROR(VLOOKUP(E:E,'（居民）工资表-1月'!E:AF,28,0)+VLOOKUP(E:E,'（居民）工资表-1月'!E:AG,29,0),0)</f>
        <v>0</v>
      </c>
      <c r="AG10" s="83">
        <f t="shared" si="2"/>
        <v>258.89</v>
      </c>
      <c r="AH10" s="86">
        <f t="shared" si="3"/>
        <v>13370.65</v>
      </c>
      <c r="AI10" s="87"/>
      <c r="AJ10" s="86">
        <f t="shared" si="4"/>
        <v>13370.65</v>
      </c>
      <c r="AK10" s="88"/>
      <c r="AL10" s="86">
        <f t="shared" si="5"/>
        <v>13629.54</v>
      </c>
      <c r="AM10" s="88"/>
      <c r="AN10" s="88"/>
      <c r="AO10" s="88"/>
      <c r="AP10" s="88"/>
      <c r="AQ10" s="88"/>
      <c r="AR10" s="92" t="str">
        <f t="shared" si="6"/>
        <v>正确</v>
      </c>
      <c r="AS10" s="92" t="str">
        <f t="shared" si="7"/>
        <v>不</v>
      </c>
      <c r="AT10" s="92" t="str">
        <f t="shared" si="8"/>
        <v>重复</v>
      </c>
    </row>
    <row r="11" spans="1:46" s="15" customFormat="1" ht="18" customHeight="1">
      <c r="A11" s="29">
        <v>8</v>
      </c>
      <c r="B11" s="30" t="s">
        <v>233</v>
      </c>
      <c r="C11" s="30" t="s">
        <v>173</v>
      </c>
      <c r="D11" s="30" t="s">
        <v>150</v>
      </c>
      <c r="E11" s="30" t="s">
        <v>174</v>
      </c>
      <c r="F11" s="31" t="s">
        <v>184</v>
      </c>
      <c r="G11" s="32">
        <v>18738169923</v>
      </c>
      <c r="H11" s="33"/>
      <c r="I11" s="33"/>
      <c r="J11" s="60"/>
      <c r="K11" s="33"/>
      <c r="L11" s="61">
        <v>12000</v>
      </c>
      <c r="M11" s="62">
        <v>508.64</v>
      </c>
      <c r="N11" s="62">
        <v>127.16</v>
      </c>
      <c r="O11" s="62">
        <v>19.079999999999998</v>
      </c>
      <c r="P11" s="62">
        <v>317.58</v>
      </c>
      <c r="Q11" s="78">
        <f t="shared" si="0"/>
        <v>972.46</v>
      </c>
      <c r="R11" s="61">
        <v>0</v>
      </c>
      <c r="S11" s="79">
        <f>L11+IFERROR(VLOOKUP($E:$E,'（居民）工资表-1月'!$E:$S,15,0),0)</f>
        <v>12000</v>
      </c>
      <c r="T11" s="80">
        <f>5000+IFERROR(VLOOKUP($E:$E,'（居民）工资表-1月'!$E:$T,16,0),0)</f>
        <v>5000</v>
      </c>
      <c r="U11" s="80">
        <f>Q11+IFERROR(VLOOKUP($E:$E,'（居民）工资表-1月'!$E:$U,17,0),0)</f>
        <v>972.46</v>
      </c>
      <c r="V11" s="94"/>
      <c r="W11" s="94"/>
      <c r="X11" s="94"/>
      <c r="Y11" s="94"/>
      <c r="Z11" s="94"/>
      <c r="AA11" s="94"/>
      <c r="AB11" s="79">
        <f t="shared" si="9"/>
        <v>0</v>
      </c>
      <c r="AC11" s="79">
        <f>R11+IFERROR(VLOOKUP($E:$E,'（居民）工资表-1月'!$E:$AC,25,0),0)</f>
        <v>0</v>
      </c>
      <c r="AD11" s="81">
        <f t="shared" si="1"/>
        <v>6027.54</v>
      </c>
      <c r="AE11" s="82">
        <f>ROUND(MAX((AD11)*{0.03;0.1;0.2;0.25;0.3;0.35;0.45}-{0;2520;16920;31920;52920;85920;181920},0),2)</f>
        <v>180.83</v>
      </c>
      <c r="AF11" s="83">
        <f>IFERROR(VLOOKUP(E:E,'（居民）工资表-1月'!E:AF,28,0)+VLOOKUP(E:E,'（居民）工资表-1月'!E:AG,29,0),0)</f>
        <v>0</v>
      </c>
      <c r="AG11" s="83">
        <f t="shared" si="2"/>
        <v>180.83</v>
      </c>
      <c r="AH11" s="86">
        <f t="shared" si="3"/>
        <v>10846.71</v>
      </c>
      <c r="AI11" s="87"/>
      <c r="AJ11" s="86">
        <f t="shared" si="4"/>
        <v>10846.71</v>
      </c>
      <c r="AK11" s="88"/>
      <c r="AL11" s="86">
        <f t="shared" si="5"/>
        <v>11027.54</v>
      </c>
      <c r="AM11" s="88"/>
      <c r="AN11" s="88"/>
      <c r="AO11" s="88"/>
      <c r="AP11" s="88"/>
      <c r="AQ11" s="88"/>
      <c r="AR11" s="92" t="str">
        <f t="shared" si="6"/>
        <v>正确</v>
      </c>
      <c r="AS11" s="92" t="str">
        <f t="shared" si="7"/>
        <v>不</v>
      </c>
      <c r="AT11" s="92" t="str">
        <f t="shared" si="8"/>
        <v>重复</v>
      </c>
    </row>
    <row r="12" spans="1:46" s="15" customFormat="1" ht="18" customHeight="1">
      <c r="A12" s="29">
        <v>9</v>
      </c>
      <c r="B12" s="30" t="s">
        <v>233</v>
      </c>
      <c r="C12" s="30" t="s">
        <v>177</v>
      </c>
      <c r="D12" s="30" t="s">
        <v>150</v>
      </c>
      <c r="E12" s="30" t="s">
        <v>178</v>
      </c>
      <c r="F12" s="31" t="s">
        <v>184</v>
      </c>
      <c r="G12" s="32">
        <v>15001138812</v>
      </c>
      <c r="H12" s="33"/>
      <c r="I12" s="33"/>
      <c r="J12" s="60"/>
      <c r="K12" s="33"/>
      <c r="L12" s="61">
        <v>10000</v>
      </c>
      <c r="M12" s="62">
        <v>508.64</v>
      </c>
      <c r="N12" s="62">
        <v>127.16</v>
      </c>
      <c r="O12" s="62">
        <v>19.079999999999998</v>
      </c>
      <c r="P12" s="62">
        <v>215.58</v>
      </c>
      <c r="Q12" s="78">
        <f t="shared" si="0"/>
        <v>870.46</v>
      </c>
      <c r="R12" s="61">
        <v>0</v>
      </c>
      <c r="S12" s="79">
        <f>L12+IFERROR(VLOOKUP($E:$E,'（居民）工资表-1月'!$E:$S,15,0),0)</f>
        <v>10000</v>
      </c>
      <c r="T12" s="80">
        <f>5000+IFERROR(VLOOKUP($E:$E,'（居民）工资表-1月'!$E:$T,16,0),0)</f>
        <v>5000</v>
      </c>
      <c r="U12" s="80">
        <f>Q12+IFERROR(VLOOKUP($E:$E,'（居民）工资表-1月'!$E:$U,17,0),0)</f>
        <v>870.46</v>
      </c>
      <c r="V12" s="94"/>
      <c r="W12" s="94"/>
      <c r="X12" s="94"/>
      <c r="Y12" s="94"/>
      <c r="Z12" s="94"/>
      <c r="AA12" s="94"/>
      <c r="AB12" s="79">
        <f t="shared" si="9"/>
        <v>0</v>
      </c>
      <c r="AC12" s="79">
        <f>R12+IFERROR(VLOOKUP($E:$E,'（居民）工资表-1月'!$E:$AC,25,0),0)</f>
        <v>0</v>
      </c>
      <c r="AD12" s="81">
        <f t="shared" si="1"/>
        <v>4129.54</v>
      </c>
      <c r="AE12" s="82">
        <f>ROUND(MAX((AD12)*{0.03;0.1;0.2;0.25;0.3;0.35;0.45}-{0;2520;16920;31920;52920;85920;181920},0),2)</f>
        <v>123.89</v>
      </c>
      <c r="AF12" s="83">
        <f>IFERROR(VLOOKUP(E:E,'（居民）工资表-1月'!E:AF,28,0)+VLOOKUP(E:E,'（居民）工资表-1月'!E:AG,29,0),0)</f>
        <v>0</v>
      </c>
      <c r="AG12" s="83">
        <f t="shared" si="2"/>
        <v>123.89</v>
      </c>
      <c r="AH12" s="86">
        <f t="shared" si="3"/>
        <v>9005.65</v>
      </c>
      <c r="AI12" s="87"/>
      <c r="AJ12" s="86">
        <f t="shared" si="4"/>
        <v>9005.65</v>
      </c>
      <c r="AK12" s="88"/>
      <c r="AL12" s="86">
        <f t="shared" si="5"/>
        <v>9129.5400000000009</v>
      </c>
      <c r="AM12" s="88"/>
      <c r="AN12" s="88"/>
      <c r="AO12" s="88"/>
      <c r="AP12" s="88"/>
      <c r="AQ12" s="88"/>
      <c r="AR12" s="92" t="str">
        <f t="shared" si="6"/>
        <v>正确</v>
      </c>
      <c r="AS12" s="92" t="str">
        <f t="shared" si="7"/>
        <v>不</v>
      </c>
      <c r="AT12" s="92" t="str">
        <f t="shared" si="8"/>
        <v>重复</v>
      </c>
    </row>
    <row r="13" spans="1:46" s="16" customFormat="1" ht="18" customHeight="1">
      <c r="A13" s="38"/>
      <c r="B13" s="39" t="s">
        <v>151</v>
      </c>
      <c r="C13" s="39"/>
      <c r="D13" s="40"/>
      <c r="E13" s="41"/>
      <c r="F13" s="42"/>
      <c r="G13" s="43"/>
      <c r="H13" s="42"/>
      <c r="I13" s="65"/>
      <c r="J13" s="66"/>
      <c r="K13" s="65"/>
      <c r="L13" s="67">
        <f>SUM(L4:L12)</f>
        <v>131629</v>
      </c>
      <c r="M13" s="67">
        <f t="shared" ref="M13:AL13" si="10">SUM(M4:M12)</f>
        <v>3520.65</v>
      </c>
      <c r="N13" s="67">
        <f t="shared" si="10"/>
        <v>1249.78</v>
      </c>
      <c r="O13" s="67">
        <f t="shared" si="10"/>
        <v>126.05</v>
      </c>
      <c r="P13" s="67">
        <f t="shared" si="10"/>
        <v>1956.74</v>
      </c>
      <c r="Q13" s="67">
        <f t="shared" si="10"/>
        <v>6853.22</v>
      </c>
      <c r="R13" s="67">
        <f t="shared" si="10"/>
        <v>0</v>
      </c>
      <c r="S13" s="67">
        <f t="shared" si="10"/>
        <v>211348</v>
      </c>
      <c r="T13" s="67">
        <f t="shared" si="10"/>
        <v>70000</v>
      </c>
      <c r="U13" s="67">
        <f t="shared" si="10"/>
        <v>9416.1299999999992</v>
      </c>
      <c r="V13" s="67">
        <f t="shared" si="10"/>
        <v>8000</v>
      </c>
      <c r="W13" s="67">
        <f t="shared" si="10"/>
        <v>4000</v>
      </c>
      <c r="X13" s="67">
        <f t="shared" si="10"/>
        <v>6000</v>
      </c>
      <c r="Y13" s="67">
        <f t="shared" si="10"/>
        <v>3000</v>
      </c>
      <c r="Z13" s="67">
        <f t="shared" si="10"/>
        <v>0</v>
      </c>
      <c r="AA13" s="67">
        <f t="shared" si="10"/>
        <v>0</v>
      </c>
      <c r="AB13" s="67">
        <f t="shared" si="10"/>
        <v>21000</v>
      </c>
      <c r="AC13" s="67">
        <f t="shared" si="10"/>
        <v>0</v>
      </c>
      <c r="AD13" s="67">
        <f t="shared" si="10"/>
        <v>110931.87</v>
      </c>
      <c r="AE13" s="67">
        <f t="shared" si="10"/>
        <v>4172.99</v>
      </c>
      <c r="AF13" s="67">
        <f t="shared" si="10"/>
        <v>1291.67</v>
      </c>
      <c r="AG13" s="67">
        <f t="shared" si="10"/>
        <v>2881.32</v>
      </c>
      <c r="AH13" s="67">
        <f t="shared" si="10"/>
        <v>121894.46</v>
      </c>
      <c r="AI13" s="67">
        <f t="shared" si="10"/>
        <v>0</v>
      </c>
      <c r="AJ13" s="67">
        <f t="shared" si="10"/>
        <v>121894.46</v>
      </c>
      <c r="AK13" s="67">
        <f t="shared" si="10"/>
        <v>0</v>
      </c>
      <c r="AL13" s="67">
        <f t="shared" si="10"/>
        <v>124775.78</v>
      </c>
      <c r="AM13" s="89"/>
      <c r="AN13" s="89"/>
      <c r="AO13" s="89"/>
      <c r="AP13" s="89"/>
      <c r="AQ13" s="89"/>
      <c r="AR13" s="42"/>
      <c r="AS13" s="42"/>
      <c r="AT13" s="93"/>
    </row>
    <row r="16" spans="1:46">
      <c r="AD16" s="84"/>
    </row>
    <row r="17" spans="1:35" ht="18.75" customHeight="1">
      <c r="B17" s="44" t="s">
        <v>130</v>
      </c>
      <c r="C17" s="44" t="s">
        <v>152</v>
      </c>
      <c r="D17" s="44" t="s">
        <v>60</v>
      </c>
      <c r="E17" s="44" t="s">
        <v>61</v>
      </c>
      <c r="AD17" s="13"/>
    </row>
    <row r="18" spans="1:35" ht="18.75" customHeight="1">
      <c r="B18" s="45">
        <f>AJ13</f>
        <v>121894.46</v>
      </c>
      <c r="C18" s="45">
        <f>AG13</f>
        <v>2881.32</v>
      </c>
      <c r="D18" s="45">
        <f>AK13</f>
        <v>0</v>
      </c>
      <c r="E18" s="45">
        <f>B18+C18+D18</f>
        <v>124775.78</v>
      </c>
    </row>
    <row r="19" spans="1:35">
      <c r="B19" s="46"/>
      <c r="C19" s="46"/>
      <c r="D19" s="46"/>
      <c r="E19" s="46"/>
    </row>
    <row r="20" spans="1:35" s="17" customFormat="1">
      <c r="A20" s="47" t="s">
        <v>153</v>
      </c>
      <c r="B20" s="48" t="s">
        <v>154</v>
      </c>
      <c r="C20" s="49"/>
      <c r="D20" s="49"/>
      <c r="E20" s="49"/>
      <c r="G20" s="50"/>
      <c r="J20" s="68"/>
      <c r="M20" s="69"/>
      <c r="AI20" s="90"/>
    </row>
    <row r="21" spans="1:35" s="17" customFormat="1">
      <c r="A21" s="51"/>
      <c r="B21" s="52" t="s">
        <v>155</v>
      </c>
      <c r="C21" s="49"/>
      <c r="D21" s="49"/>
      <c r="E21" s="49"/>
      <c r="G21" s="50"/>
      <c r="J21" s="68"/>
      <c r="M21" s="69"/>
      <c r="AI21" s="90"/>
    </row>
    <row r="22" spans="1:35" s="17" customFormat="1">
      <c r="A22" s="48"/>
      <c r="B22" s="52" t="s">
        <v>156</v>
      </c>
      <c r="C22" s="53"/>
      <c r="D22" s="53"/>
      <c r="E22" s="53"/>
      <c r="F22" s="53"/>
      <c r="G22" s="53"/>
      <c r="H22" s="53"/>
      <c r="I22" s="53"/>
      <c r="J22" s="70"/>
      <c r="K22" s="53"/>
      <c r="L22" s="53"/>
      <c r="M22" s="71"/>
      <c r="N22" s="53"/>
      <c r="O22" s="53"/>
      <c r="P22" s="53"/>
      <c r="AI22" s="90"/>
    </row>
    <row r="23" spans="1:35" s="17" customFormat="1" ht="13.5" customHeight="1">
      <c r="A23" s="52"/>
      <c r="B23" s="52" t="s">
        <v>157</v>
      </c>
      <c r="C23" s="54"/>
      <c r="D23" s="54"/>
      <c r="E23" s="54"/>
      <c r="F23" s="54"/>
      <c r="G23" s="54"/>
      <c r="H23" s="54"/>
      <c r="I23" s="72"/>
      <c r="J23" s="73"/>
      <c r="K23" s="72"/>
      <c r="L23" s="72"/>
      <c r="M23" s="74"/>
      <c r="N23" s="72"/>
      <c r="O23" s="72"/>
      <c r="P23" s="72"/>
      <c r="AI23" s="90"/>
    </row>
    <row r="24" spans="1:35" s="17" customFormat="1" ht="13.5" customHeight="1">
      <c r="A24" s="52"/>
      <c r="B24" s="52" t="s">
        <v>158</v>
      </c>
      <c r="C24" s="54"/>
      <c r="D24" s="54"/>
      <c r="E24" s="54"/>
      <c r="F24" s="54"/>
      <c r="G24" s="54"/>
      <c r="H24" s="54"/>
      <c r="I24" s="54"/>
      <c r="J24" s="75"/>
      <c r="K24" s="54"/>
      <c r="L24" s="72"/>
      <c r="M24" s="74"/>
      <c r="N24" s="72"/>
      <c r="O24" s="72"/>
      <c r="P24" s="72"/>
      <c r="AI24" s="90"/>
    </row>
    <row r="25" spans="1:35" s="17" customFormat="1" ht="13.5" customHeight="1">
      <c r="A25" s="52"/>
      <c r="B25" s="52" t="s">
        <v>159</v>
      </c>
      <c r="C25" s="54"/>
      <c r="D25" s="54"/>
      <c r="E25" s="54"/>
      <c r="F25" s="54"/>
      <c r="G25" s="54"/>
      <c r="H25" s="54"/>
      <c r="I25" s="72"/>
      <c r="J25" s="73"/>
      <c r="K25" s="72"/>
      <c r="L25" s="72"/>
      <c r="M25" s="74"/>
      <c r="N25" s="72"/>
      <c r="O25" s="72"/>
      <c r="P25" s="72"/>
      <c r="AI25" s="90"/>
    </row>
    <row r="27" spans="1:35" ht="11.25" customHeight="1">
      <c r="B27" s="55" t="s">
        <v>160</v>
      </c>
    </row>
    <row r="28" spans="1:35">
      <c r="B28" s="56" t="s">
        <v>161</v>
      </c>
    </row>
    <row r="29" spans="1:35">
      <c r="B29" s="56" t="s">
        <v>162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5">
    <cfRule type="duplicateValues" dxfId="15" priority="2" stopIfTrue="1"/>
  </conditionalFormatting>
  <conditionalFormatting sqref="B20:B24">
    <cfRule type="duplicateValues" dxfId="14" priority="3" stopIfTrue="1"/>
  </conditionalFormatting>
  <conditionalFormatting sqref="B28:B29">
    <cfRule type="duplicateValues" dxfId="13" priority="1" stopIfTrue="1"/>
  </conditionalFormatting>
  <conditionalFormatting sqref="C17:C19">
    <cfRule type="duplicateValues" dxfId="12" priority="4" stopIfTrue="1"/>
    <cfRule type="expression" dxfId="11" priority="5" stopIfTrue="1">
      <formula>AND(COUNTIF($B$13:$B$65449,C17)+COUNTIF($B$1:$B$3,C17)&gt;1,NOT(ISBLANK(C17)))</formula>
    </cfRule>
    <cfRule type="expression" dxfId="10" priority="6" stopIfTrue="1">
      <formula>AND(COUNTIF($B$24:$B$65400,C17)+COUNTIF($B$1:$B$23,C17)&gt;1,NOT(ISBLANK(C17)))</formula>
    </cfRule>
    <cfRule type="expression" dxfId="9" priority="7" stopIfTrue="1">
      <formula>AND(COUNTIF($B$13:$B$65438,C17)+COUNTIF($B$1:$B$3,C17)&gt;1,NOT(ISBLANK(C17)))</formula>
    </cfRule>
  </conditionalFormatting>
  <pageMargins left="0.23611111111111099" right="0.23611111111111099" top="0.74791666666666701" bottom="0.74791666666666701" header="0.31458333333333299" footer="0.31458333333333299"/>
  <pageSetup paperSize="9" scale="40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J4" activePane="bottomRight" state="frozen"/>
      <selection pane="topRight"/>
      <selection pane="bottomLeft"/>
      <selection pane="bottomRight" activeCell="L6" sqref="L6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6</v>
      </c>
      <c r="B4" s="30" t="s">
        <v>233</v>
      </c>
      <c r="C4" s="30" t="s">
        <v>179</v>
      </c>
      <c r="D4" s="30" t="s">
        <v>150</v>
      </c>
      <c r="E4" s="30" t="s">
        <v>180</v>
      </c>
      <c r="F4" s="31" t="s">
        <v>184</v>
      </c>
      <c r="G4" s="32">
        <v>18037463616</v>
      </c>
      <c r="H4" s="33"/>
      <c r="I4" s="33"/>
      <c r="J4" s="60"/>
      <c r="K4" s="33"/>
      <c r="L4" s="61">
        <v>13572.63</v>
      </c>
      <c r="M4" s="62">
        <v>255.76</v>
      </c>
      <c r="N4" s="62">
        <v>65.02</v>
      </c>
      <c r="O4" s="62">
        <v>9.59</v>
      </c>
      <c r="P4" s="62">
        <v>445.06</v>
      </c>
      <c r="Q4" s="78">
        <f t="shared" ref="Q4:Q7" si="0">ROUND(SUM(M4:P4),2)</f>
        <v>775.43</v>
      </c>
      <c r="R4" s="61">
        <v>0</v>
      </c>
      <c r="S4" s="79">
        <f>L4+IFERROR(VLOOKUP($E:$E,'（居民）工资表-2月'!$E:$S,15,0),0)</f>
        <v>27772.629999999997</v>
      </c>
      <c r="T4" s="80">
        <f>5000+IFERROR(VLOOKUP($E:$E,'（居民）工资表-2月'!$E:$T,16,0),0)</f>
        <v>10000</v>
      </c>
      <c r="U4" s="80">
        <f>Q4+IFERROR(VLOOKUP($E:$E,'（居民）工资表-2月'!$E:$U,17,0),0)</f>
        <v>1645.8899999999999</v>
      </c>
      <c r="V4" s="61"/>
      <c r="W4" s="61"/>
      <c r="X4" s="61"/>
      <c r="Y4" s="61"/>
      <c r="Z4" s="61"/>
      <c r="AA4" s="61"/>
      <c r="AB4" s="79">
        <f t="shared" ref="AB4:AB7" si="1">ROUND(SUM(V4:AA4),2)</f>
        <v>0</v>
      </c>
      <c r="AC4" s="79">
        <f>R4+IFERROR(VLOOKUP($E:$E,'（居民）工资表-2月'!$E:$AC,25,0),0)</f>
        <v>0</v>
      </c>
      <c r="AD4" s="81">
        <f t="shared" ref="AD4:AD7" si="2">ROUND(S4-T4-U4-AB4-AC4,2)</f>
        <v>16126.74</v>
      </c>
      <c r="AE4" s="82">
        <f>ROUND(MAX((AD4)*{0.03;0.1;0.2;0.25;0.3;0.35;0.45}-{0;2520;16920;31920;52920;85920;181920},0),2)</f>
        <v>483.8</v>
      </c>
      <c r="AF4" s="83">
        <f>IFERROR(VLOOKUP(E:E,'（居民）工资表-2月'!E:AF,28,0)+VLOOKUP(E:E,'（居民）工资表-2月'!E:AG,29,0),0)</f>
        <v>249.89</v>
      </c>
      <c r="AG4" s="83">
        <f t="shared" ref="AG4:AG7" si="3">IF((AE4-AF4)&lt;0,0,AE4-AF4)</f>
        <v>233.91000000000003</v>
      </c>
      <c r="AH4" s="86">
        <f t="shared" ref="AH4:AH7" si="4">ROUND(IF((L4-Q4-AG4)&lt;0,0,(L4-Q4-AG4)),2)</f>
        <v>12563.29</v>
      </c>
      <c r="AI4" s="87"/>
      <c r="AJ4" s="86">
        <f t="shared" ref="AJ4:AJ7" si="5">AH4+AI4</f>
        <v>12563.29</v>
      </c>
      <c r="AK4" s="88"/>
      <c r="AL4" s="86">
        <f t="shared" ref="AL4:AL7" si="6">AJ4+AG4+AK4</f>
        <v>12797.2</v>
      </c>
      <c r="AM4" s="88"/>
      <c r="AN4" s="88"/>
      <c r="AO4" s="88"/>
      <c r="AP4" s="88"/>
      <c r="AQ4" s="88"/>
      <c r="AR4" s="92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IF(SUMPRODUCT(N(E$1:E$3=E4))&gt;1,"重复","不")</f>
        <v>不</v>
      </c>
      <c r="AT4" s="92" t="str">
        <f>IF(SUMPRODUCT(N(AO$1:AO$3=AO4))&gt;1,"重复","不")</f>
        <v>重复</v>
      </c>
    </row>
    <row r="5" spans="1:46" s="15" customFormat="1" ht="18" customHeight="1">
      <c r="A5" s="29">
        <v>7</v>
      </c>
      <c r="B5" s="30" t="s">
        <v>233</v>
      </c>
      <c r="C5" s="30" t="s">
        <v>181</v>
      </c>
      <c r="D5" s="30" t="s">
        <v>150</v>
      </c>
      <c r="E5" s="284" t="s">
        <v>182</v>
      </c>
      <c r="F5" s="31" t="s">
        <v>184</v>
      </c>
      <c r="G5" s="32">
        <v>18500634358</v>
      </c>
      <c r="H5" s="33"/>
      <c r="I5" s="33"/>
      <c r="J5" s="60"/>
      <c r="K5" s="33"/>
      <c r="L5" s="61">
        <v>14620</v>
      </c>
      <c r="M5" s="62">
        <v>255.76</v>
      </c>
      <c r="N5" s="62">
        <v>65.02</v>
      </c>
      <c r="O5" s="62">
        <v>9.59</v>
      </c>
      <c r="P5" s="62">
        <v>445.06</v>
      </c>
      <c r="Q5" s="78">
        <f t="shared" si="0"/>
        <v>775.43</v>
      </c>
      <c r="R5" s="61">
        <v>0</v>
      </c>
      <c r="S5" s="79">
        <f>L5+IFERROR(VLOOKUP($E:$E,'（居民）工资表-2月'!$E:$S,15,0),0)</f>
        <v>29120</v>
      </c>
      <c r="T5" s="80">
        <f>5000+IFERROR(VLOOKUP($E:$E,'（居民）工资表-2月'!$E:$T,16,0),0)</f>
        <v>10000</v>
      </c>
      <c r="U5" s="80">
        <f>Q5+IFERROR(VLOOKUP($E:$E,'（居民）工资表-2月'!$E:$U,17,0),0)</f>
        <v>1645.8899999999999</v>
      </c>
      <c r="V5" s="61"/>
      <c r="W5" s="61"/>
      <c r="X5" s="61"/>
      <c r="Y5" s="61"/>
      <c r="Z5" s="61"/>
      <c r="AA5" s="61"/>
      <c r="AB5" s="79">
        <f t="shared" si="1"/>
        <v>0</v>
      </c>
      <c r="AC5" s="79">
        <f>R5+IFERROR(VLOOKUP($E:$E,'（居民）工资表-2月'!$E:$AC,25,0),0)</f>
        <v>0</v>
      </c>
      <c r="AD5" s="81">
        <f t="shared" si="2"/>
        <v>17474.11</v>
      </c>
      <c r="AE5" s="82">
        <f>ROUND(MAX((AD5)*{0.03;0.1;0.2;0.25;0.3;0.35;0.45}-{0;2520;16920;31920;52920;85920;181920},0),2)</f>
        <v>524.22</v>
      </c>
      <c r="AF5" s="83">
        <f>IFERROR(VLOOKUP(E:E,'（居民）工资表-2月'!E:AF,28,0)+VLOOKUP(E:E,'（居民）工资表-2月'!E:AG,29,0),0)</f>
        <v>258.89</v>
      </c>
      <c r="AG5" s="83">
        <f t="shared" si="3"/>
        <v>265.33000000000004</v>
      </c>
      <c r="AH5" s="86">
        <f t="shared" si="4"/>
        <v>13579.24</v>
      </c>
      <c r="AI5" s="87"/>
      <c r="AJ5" s="86">
        <f t="shared" si="5"/>
        <v>13579.24</v>
      </c>
      <c r="AK5" s="88"/>
      <c r="AL5" s="86">
        <f t="shared" si="6"/>
        <v>13844.57</v>
      </c>
      <c r="AM5" s="88"/>
      <c r="AN5" s="88"/>
      <c r="AO5" s="88"/>
      <c r="AP5" s="88"/>
      <c r="AQ5" s="88"/>
      <c r="AR5" s="92" t="str">
        <f t="shared" si="7"/>
        <v>正确</v>
      </c>
      <c r="AS5" s="92" t="str">
        <f>IF(SUMPRODUCT(N(E$1:E$3=E5))&gt;1,"重复","不")</f>
        <v>不</v>
      </c>
      <c r="AT5" s="92" t="str">
        <f>IF(SUMPRODUCT(N(AO$1:AO$3=AO5))&gt;1,"重复","不")</f>
        <v>重复</v>
      </c>
    </row>
    <row r="6" spans="1:46" s="15" customFormat="1" ht="18" customHeight="1">
      <c r="A6" s="29">
        <v>8</v>
      </c>
      <c r="B6" s="30" t="s">
        <v>233</v>
      </c>
      <c r="C6" s="30" t="s">
        <v>173</v>
      </c>
      <c r="D6" s="30" t="s">
        <v>150</v>
      </c>
      <c r="E6" s="30" t="s">
        <v>174</v>
      </c>
      <c r="F6" s="31" t="s">
        <v>184</v>
      </c>
      <c r="G6" s="32">
        <v>18738169923</v>
      </c>
      <c r="H6" s="33"/>
      <c r="I6" s="33"/>
      <c r="J6" s="60"/>
      <c r="K6" s="33"/>
      <c r="L6" s="61">
        <v>12120</v>
      </c>
      <c r="M6" s="62">
        <v>254.32</v>
      </c>
      <c r="N6" s="62">
        <v>64.66</v>
      </c>
      <c r="O6" s="62">
        <v>9.5399999999999991</v>
      </c>
      <c r="P6" s="62">
        <v>445.38</v>
      </c>
      <c r="Q6" s="78">
        <f t="shared" si="0"/>
        <v>773.9</v>
      </c>
      <c r="R6" s="61">
        <v>0</v>
      </c>
      <c r="S6" s="79">
        <f>L6+IFERROR(VLOOKUP($E:$E,'（居民）工资表-2月'!$E:$S,15,0),0)</f>
        <v>24120</v>
      </c>
      <c r="T6" s="80">
        <f>5000+IFERROR(VLOOKUP($E:$E,'（居民）工资表-2月'!$E:$T,16,0),0)</f>
        <v>10000</v>
      </c>
      <c r="U6" s="80">
        <f>Q6+IFERROR(VLOOKUP($E:$E,'（居民）工资表-2月'!$E:$U,17,0),0)</f>
        <v>1746.3600000000001</v>
      </c>
      <c r="V6" s="61"/>
      <c r="W6" s="61"/>
      <c r="X6" s="61"/>
      <c r="Y6" s="61"/>
      <c r="Z6" s="61"/>
      <c r="AA6" s="61"/>
      <c r="AB6" s="79">
        <f t="shared" si="1"/>
        <v>0</v>
      </c>
      <c r="AC6" s="79">
        <f>R6+IFERROR(VLOOKUP($E:$E,'（居民）工资表-2月'!$E:$AC,25,0),0)</f>
        <v>0</v>
      </c>
      <c r="AD6" s="81">
        <f t="shared" si="2"/>
        <v>12373.64</v>
      </c>
      <c r="AE6" s="82">
        <f>ROUND(MAX((AD6)*{0.03;0.1;0.2;0.25;0.3;0.35;0.45}-{0;2520;16920;31920;52920;85920;181920},0),2)</f>
        <v>371.21</v>
      </c>
      <c r="AF6" s="83">
        <f>IFERROR(VLOOKUP(E:E,'（居民）工资表-2月'!E:AF,28,0)+VLOOKUP(E:E,'（居民）工资表-2月'!E:AG,29,0),0)</f>
        <v>180.83</v>
      </c>
      <c r="AG6" s="83">
        <f t="shared" si="3"/>
        <v>190.37999999999997</v>
      </c>
      <c r="AH6" s="86">
        <f t="shared" si="4"/>
        <v>11155.72</v>
      </c>
      <c r="AI6" s="87"/>
      <c r="AJ6" s="86">
        <f t="shared" si="5"/>
        <v>11155.72</v>
      </c>
      <c r="AK6" s="88"/>
      <c r="AL6" s="86">
        <f t="shared" si="6"/>
        <v>11346.099999999999</v>
      </c>
      <c r="AM6" s="88"/>
      <c r="AN6" s="88"/>
      <c r="AO6" s="88"/>
      <c r="AP6" s="88"/>
      <c r="AQ6" s="88"/>
      <c r="AR6" s="92" t="str">
        <f t="shared" si="7"/>
        <v>正确</v>
      </c>
      <c r="AS6" s="92" t="str">
        <f>IF(SUMPRODUCT(N(E$1:E$3=E6))&gt;1,"重复","不")</f>
        <v>不</v>
      </c>
      <c r="AT6" s="92" t="str">
        <f>IF(SUMPRODUCT(N(AO$1:AO$3=AO6))&gt;1,"重复","不")</f>
        <v>重复</v>
      </c>
    </row>
    <row r="7" spans="1:46" s="15" customFormat="1" ht="18" customHeight="1">
      <c r="A7" s="29">
        <v>9</v>
      </c>
      <c r="B7" s="30" t="s">
        <v>233</v>
      </c>
      <c r="C7" s="30" t="s">
        <v>177</v>
      </c>
      <c r="D7" s="30" t="s">
        <v>150</v>
      </c>
      <c r="E7" s="30" t="s">
        <v>178</v>
      </c>
      <c r="F7" s="31" t="s">
        <v>184</v>
      </c>
      <c r="G7" s="32">
        <v>15001138812</v>
      </c>
      <c r="H7" s="33"/>
      <c r="I7" s="33"/>
      <c r="J7" s="60"/>
      <c r="K7" s="33"/>
      <c r="L7" s="61">
        <v>10120</v>
      </c>
      <c r="M7" s="62">
        <v>254.32</v>
      </c>
      <c r="N7" s="62">
        <v>64.66</v>
      </c>
      <c r="O7" s="62">
        <v>9.5399999999999991</v>
      </c>
      <c r="P7" s="62">
        <v>547.38</v>
      </c>
      <c r="Q7" s="78">
        <f t="shared" si="0"/>
        <v>875.9</v>
      </c>
      <c r="R7" s="61">
        <v>0</v>
      </c>
      <c r="S7" s="79">
        <f>L7+IFERROR(VLOOKUP($E:$E,'（居民）工资表-2月'!$E:$S,15,0),0)</f>
        <v>20120</v>
      </c>
      <c r="T7" s="80">
        <f>5000+IFERROR(VLOOKUP($E:$E,'（居民）工资表-2月'!$E:$T,16,0),0)</f>
        <v>10000</v>
      </c>
      <c r="U7" s="80">
        <f>Q7+IFERROR(VLOOKUP($E:$E,'（居民）工资表-2月'!$E:$U,17,0),0)</f>
        <v>1746.3600000000001</v>
      </c>
      <c r="V7" s="61"/>
      <c r="W7" s="61"/>
      <c r="X7" s="61"/>
      <c r="Y7" s="61"/>
      <c r="Z7" s="61"/>
      <c r="AA7" s="61"/>
      <c r="AB7" s="79">
        <f t="shared" si="1"/>
        <v>0</v>
      </c>
      <c r="AC7" s="79">
        <f>R7+IFERROR(VLOOKUP($E:$E,'（居民）工资表-2月'!$E:$AC,25,0),0)</f>
        <v>0</v>
      </c>
      <c r="AD7" s="81">
        <f t="shared" si="2"/>
        <v>8373.64</v>
      </c>
      <c r="AE7" s="82">
        <f>ROUND(MAX((AD7)*{0.03;0.1;0.2;0.25;0.3;0.35;0.45}-{0;2520;16920;31920;52920;85920;181920},0),2)</f>
        <v>251.21</v>
      </c>
      <c r="AF7" s="83">
        <f>IFERROR(VLOOKUP(E:E,'（居民）工资表-2月'!E:AF,28,0)+VLOOKUP(E:E,'（居民）工资表-2月'!E:AG,29,0),0)</f>
        <v>123.89</v>
      </c>
      <c r="AG7" s="83">
        <f t="shared" si="3"/>
        <v>127.32000000000001</v>
      </c>
      <c r="AH7" s="86">
        <f t="shared" si="4"/>
        <v>9116.7800000000007</v>
      </c>
      <c r="AI7" s="87"/>
      <c r="AJ7" s="86">
        <f t="shared" si="5"/>
        <v>9116.7800000000007</v>
      </c>
      <c r="AK7" s="88"/>
      <c r="AL7" s="86">
        <f t="shared" si="6"/>
        <v>9244.1</v>
      </c>
      <c r="AM7" s="88"/>
      <c r="AN7" s="88"/>
      <c r="AO7" s="88"/>
      <c r="AP7" s="88"/>
      <c r="AQ7" s="88"/>
      <c r="AR7" s="92" t="str">
        <f t="shared" si="7"/>
        <v>正确</v>
      </c>
      <c r="AS7" s="92" t="str">
        <f>IF(SUMPRODUCT(N(E$1:E$3=E7))&gt;1,"重复","不")</f>
        <v>不</v>
      </c>
      <c r="AT7" s="92" t="str">
        <f>IF(SUMPRODUCT(N(AO$1:AO$3=AO7))&gt;1,"重复","不")</f>
        <v>重复</v>
      </c>
    </row>
    <row r="8" spans="1:46" s="15" customFormat="1" ht="18" customHeight="1">
      <c r="A8" s="29"/>
      <c r="B8" s="30"/>
      <c r="C8" s="34"/>
      <c r="D8" s="30"/>
      <c r="E8" s="35"/>
      <c r="F8" s="31"/>
      <c r="G8" s="36"/>
      <c r="H8" s="37"/>
      <c r="I8" s="37"/>
      <c r="J8" s="63"/>
      <c r="K8" s="37"/>
      <c r="L8" s="64"/>
      <c r="M8" s="64"/>
      <c r="N8" s="64"/>
      <c r="O8" s="64"/>
      <c r="P8" s="64"/>
      <c r="Q8" s="78"/>
      <c r="R8" s="61"/>
      <c r="S8" s="79"/>
      <c r="T8" s="80"/>
      <c r="U8" s="80"/>
      <c r="V8" s="61"/>
      <c r="W8" s="61"/>
      <c r="X8" s="61"/>
      <c r="Y8" s="61"/>
      <c r="Z8" s="61"/>
      <c r="AA8" s="61"/>
      <c r="AB8" s="79"/>
      <c r="AC8" s="79"/>
      <c r="AD8" s="81"/>
      <c r="AE8" s="82"/>
      <c r="AF8" s="83"/>
      <c r="AG8" s="83"/>
      <c r="AH8" s="86"/>
      <c r="AI8" s="87"/>
      <c r="AJ8" s="86"/>
      <c r="AK8" s="88"/>
      <c r="AL8" s="86"/>
      <c r="AM8" s="88"/>
      <c r="AN8" s="88"/>
      <c r="AO8" s="88"/>
      <c r="AP8" s="88"/>
      <c r="AQ8" s="88"/>
      <c r="AR8" s="92"/>
      <c r="AS8" s="92"/>
      <c r="AT8" s="92"/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>SUM(L4:L8)</f>
        <v>50432.63</v>
      </c>
      <c r="M9" s="67">
        <f>SUM(M4:M8)</f>
        <v>1020.1599999999999</v>
      </c>
      <c r="N9" s="67">
        <f>SUM(N4:N8)</f>
        <v>259.36</v>
      </c>
      <c r="O9" s="67">
        <f>SUM(O4:O8)</f>
        <v>38.26</v>
      </c>
      <c r="P9" s="67">
        <f>SUM(P4:P8)</f>
        <v>1882.88</v>
      </c>
      <c r="Q9" s="67">
        <f>SUM(Q4:Q8)</f>
        <v>3200.66</v>
      </c>
      <c r="R9" s="67">
        <f>SUM(R4:R8)</f>
        <v>0</v>
      </c>
      <c r="S9" s="67">
        <f>SUM(S4:S8)</f>
        <v>101132.63</v>
      </c>
      <c r="T9" s="67">
        <f>SUM(T4:T8)</f>
        <v>40000</v>
      </c>
      <c r="U9" s="67">
        <f>SUM(U4:U8)</f>
        <v>6784.5</v>
      </c>
      <c r="V9" s="67">
        <f>SUM(V4:V8)</f>
        <v>0</v>
      </c>
      <c r="W9" s="67">
        <f>SUM(W4:W8)</f>
        <v>0</v>
      </c>
      <c r="X9" s="67">
        <f>SUM(X4:X8)</f>
        <v>0</v>
      </c>
      <c r="Y9" s="67">
        <f>SUM(Y4:Y8)</f>
        <v>0</v>
      </c>
      <c r="Z9" s="67">
        <f>SUM(Z4:Z8)</f>
        <v>0</v>
      </c>
      <c r="AA9" s="67">
        <f>SUM(AA4:AA8)</f>
        <v>0</v>
      </c>
      <c r="AB9" s="67">
        <f>SUM(AB4:AB8)</f>
        <v>0</v>
      </c>
      <c r="AC9" s="67">
        <f>SUM(AC4:AC8)</f>
        <v>0</v>
      </c>
      <c r="AD9" s="67">
        <f>SUM(AD4:AD8)</f>
        <v>54348.13</v>
      </c>
      <c r="AE9" s="67">
        <f>SUM(AE4:AE8)</f>
        <v>1630.44</v>
      </c>
      <c r="AF9" s="67">
        <f>SUM(AF4:AF8)</f>
        <v>813.5</v>
      </c>
      <c r="AG9" s="67">
        <f>SUM(AG4:AG8)</f>
        <v>816.94</v>
      </c>
      <c r="AH9" s="67">
        <f>SUM(AH4:AH8)</f>
        <v>46415.03</v>
      </c>
      <c r="AI9" s="67">
        <f>SUM(AI4:AI8)</f>
        <v>0</v>
      </c>
      <c r="AJ9" s="67">
        <f>SUM(AJ4:AJ8)</f>
        <v>46415.03</v>
      </c>
      <c r="AK9" s="67">
        <f>SUM(AK4:AK8)</f>
        <v>0</v>
      </c>
      <c r="AL9" s="67">
        <f>SUM(AL4:AL8)</f>
        <v>47231.969999999994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46415.03</v>
      </c>
      <c r="C14" s="45">
        <f>AG9</f>
        <v>816.94</v>
      </c>
      <c r="D14" s="45">
        <f>AK9</f>
        <v>0</v>
      </c>
      <c r="E14" s="45">
        <f>B14+C14+D14</f>
        <v>47231.97</v>
      </c>
    </row>
    <row r="15" spans="1:46">
      <c r="B15" s="46"/>
      <c r="C15" s="46"/>
      <c r="D15" s="46"/>
      <c r="E15" s="46">
        <f>社保1!BC19</f>
        <v>7004.5599999999959</v>
      </c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8" priority="2" stopIfTrue="1"/>
  </conditionalFormatting>
  <conditionalFormatting sqref="B16:B20">
    <cfRule type="duplicateValues" dxfId="7" priority="3" stopIfTrue="1"/>
  </conditionalFormatting>
  <conditionalFormatting sqref="B24:B25">
    <cfRule type="duplicateValues" dxfId="6" priority="1" stopIfTrue="1"/>
  </conditionalFormatting>
  <conditionalFormatting sqref="C13:C15">
    <cfRule type="duplicateValues" dxfId="5" priority="4" stopIfTrue="1"/>
    <cfRule type="expression" dxfId="4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2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2"/>
  <sheetViews>
    <sheetView topLeftCell="J1" workbookViewId="0">
      <selection activeCell="O15" sqref="O15"/>
    </sheetView>
  </sheetViews>
  <sheetFormatPr defaultColWidth="9" defaultRowHeight="13.5"/>
  <cols>
    <col min="1" max="9" width="9" hidden="1" customWidth="1"/>
  </cols>
  <sheetData>
    <row r="1" spans="1:41" s="8" customFormat="1" ht="16.5" customHeight="1">
      <c r="A1" s="390" t="s">
        <v>18</v>
      </c>
      <c r="B1" s="390" t="s">
        <v>186</v>
      </c>
      <c r="C1" s="392" t="s">
        <v>42</v>
      </c>
      <c r="D1" s="390" t="s">
        <v>187</v>
      </c>
      <c r="E1" s="390" t="s">
        <v>188</v>
      </c>
      <c r="F1" s="393" t="s">
        <v>39</v>
      </c>
      <c r="G1" s="395" t="s">
        <v>189</v>
      </c>
      <c r="H1" s="392" t="s">
        <v>41</v>
      </c>
      <c r="I1" s="392" t="s">
        <v>190</v>
      </c>
      <c r="J1" s="389" t="s">
        <v>43</v>
      </c>
      <c r="K1" s="389" t="s">
        <v>191</v>
      </c>
      <c r="L1" s="389" t="s">
        <v>192</v>
      </c>
      <c r="M1" s="389" t="s">
        <v>193</v>
      </c>
      <c r="N1" s="389" t="s">
        <v>194</v>
      </c>
      <c r="O1" s="389" t="s">
        <v>195</v>
      </c>
      <c r="P1" s="389" t="s">
        <v>196</v>
      </c>
      <c r="Q1" s="396" t="s">
        <v>197</v>
      </c>
      <c r="R1" s="389" t="s">
        <v>198</v>
      </c>
      <c r="S1" s="389" t="s">
        <v>199</v>
      </c>
      <c r="T1" s="388" t="s">
        <v>200</v>
      </c>
      <c r="U1" s="388"/>
      <c r="V1" s="388"/>
      <c r="W1" s="388"/>
      <c r="X1" s="388"/>
      <c r="Y1" s="388"/>
      <c r="Z1" s="389" t="s">
        <v>201</v>
      </c>
      <c r="AA1" s="389" t="s">
        <v>202</v>
      </c>
      <c r="AB1" s="389"/>
      <c r="AC1" s="389"/>
      <c r="AD1" s="397" t="s">
        <v>203</v>
      </c>
      <c r="AE1" s="390" t="s">
        <v>204</v>
      </c>
      <c r="AF1" s="390" t="s">
        <v>205</v>
      </c>
      <c r="AG1" s="390" t="s">
        <v>206</v>
      </c>
      <c r="AH1" s="390" t="s">
        <v>207</v>
      </c>
      <c r="AI1" s="390" t="s">
        <v>208</v>
      </c>
      <c r="AJ1" s="390" t="s">
        <v>23</v>
      </c>
      <c r="AK1" s="399" t="s">
        <v>209</v>
      </c>
      <c r="AL1" s="400" t="s">
        <v>210</v>
      </c>
      <c r="AM1" s="400" t="s">
        <v>211</v>
      </c>
      <c r="AN1" s="401" t="s">
        <v>212</v>
      </c>
      <c r="AO1" s="401" t="s">
        <v>213</v>
      </c>
    </row>
    <row r="2" spans="1:41" s="9" customFormat="1" ht="49.5">
      <c r="A2" s="391"/>
      <c r="B2" s="391"/>
      <c r="C2" s="392"/>
      <c r="D2" s="391"/>
      <c r="E2" s="391"/>
      <c r="F2" s="394"/>
      <c r="G2" s="395"/>
      <c r="H2" s="392"/>
      <c r="I2" s="392"/>
      <c r="J2" s="389"/>
      <c r="K2" s="389"/>
      <c r="L2" s="389"/>
      <c r="M2" s="389"/>
      <c r="N2" s="389"/>
      <c r="O2" s="389"/>
      <c r="P2" s="389"/>
      <c r="Q2" s="396"/>
      <c r="R2" s="389"/>
      <c r="S2" s="389"/>
      <c r="T2" s="12" t="s">
        <v>214</v>
      </c>
      <c r="U2" s="12" t="s">
        <v>215</v>
      </c>
      <c r="V2" s="12" t="s">
        <v>216</v>
      </c>
      <c r="W2" s="12" t="s">
        <v>217</v>
      </c>
      <c r="X2" s="12" t="s">
        <v>218</v>
      </c>
      <c r="Y2" s="12" t="s">
        <v>219</v>
      </c>
      <c r="Z2" s="389"/>
      <c r="AA2" s="12" t="s">
        <v>220</v>
      </c>
      <c r="AB2" s="12" t="s">
        <v>221</v>
      </c>
      <c r="AC2" s="12" t="s">
        <v>222</v>
      </c>
      <c r="AD2" s="398"/>
      <c r="AE2" s="391"/>
      <c r="AF2" s="391"/>
      <c r="AG2" s="391"/>
      <c r="AH2" s="391"/>
      <c r="AI2" s="391"/>
      <c r="AJ2" s="391"/>
      <c r="AK2" s="399"/>
      <c r="AL2" s="400"/>
      <c r="AM2" s="400"/>
      <c r="AN2" s="401"/>
      <c r="AO2" s="402"/>
    </row>
    <row r="3" spans="1:41" s="10" customFormat="1" ht="12">
      <c r="F3" s="10" t="s">
        <v>149</v>
      </c>
      <c r="J3" s="10" t="s">
        <v>237</v>
      </c>
      <c r="K3" s="10" t="s">
        <v>238</v>
      </c>
      <c r="L3" s="10">
        <v>13997516515</v>
      </c>
      <c r="N3" s="10" t="s">
        <v>239</v>
      </c>
      <c r="O3" s="10" t="s">
        <v>240</v>
      </c>
      <c r="P3" s="10" t="s">
        <v>241</v>
      </c>
      <c r="R3" s="10" t="s">
        <v>239</v>
      </c>
      <c r="S3" s="10" t="s">
        <v>227</v>
      </c>
      <c r="T3" s="10">
        <v>202201</v>
      </c>
      <c r="U3" s="10">
        <v>1800</v>
      </c>
      <c r="V3" s="10">
        <v>3676</v>
      </c>
      <c r="W3" s="10">
        <v>1800</v>
      </c>
      <c r="X3" s="10">
        <v>3488.4</v>
      </c>
      <c r="Y3" s="10">
        <v>3676</v>
      </c>
      <c r="Z3" s="10" t="s">
        <v>227</v>
      </c>
      <c r="AA3" s="10">
        <v>202201</v>
      </c>
      <c r="AB3" s="10">
        <v>0.05</v>
      </c>
      <c r="AC3" s="10">
        <v>1720</v>
      </c>
    </row>
    <row r="4" spans="1:41" s="10" customFormat="1" ht="12">
      <c r="F4" s="10" t="s">
        <v>149</v>
      </c>
      <c r="J4" s="10" t="s">
        <v>242</v>
      </c>
      <c r="K4" s="10" t="s">
        <v>243</v>
      </c>
      <c r="L4" s="10">
        <v>17764403230</v>
      </c>
      <c r="N4" s="10" t="s">
        <v>244</v>
      </c>
      <c r="O4" s="10" t="s">
        <v>244</v>
      </c>
      <c r="P4" s="10" t="s">
        <v>241</v>
      </c>
      <c r="R4" s="10" t="s">
        <v>244</v>
      </c>
      <c r="S4" s="10" t="s">
        <v>227</v>
      </c>
      <c r="T4" s="10">
        <v>202201</v>
      </c>
      <c r="U4" s="10">
        <v>3430</v>
      </c>
      <c r="V4" s="10">
        <v>3430</v>
      </c>
      <c r="W4" s="10">
        <v>3430</v>
      </c>
      <c r="X4" s="10">
        <v>3430</v>
      </c>
      <c r="Y4" s="10">
        <v>3430</v>
      </c>
      <c r="Z4" s="10" t="s">
        <v>227</v>
      </c>
      <c r="AA4" s="10">
        <v>202201</v>
      </c>
      <c r="AB4" s="10">
        <v>0.05</v>
      </c>
      <c r="AC4" s="10">
        <v>1650</v>
      </c>
    </row>
    <row r="5" spans="1:41" s="10" customFormat="1" ht="12">
      <c r="F5" s="10" t="s">
        <v>149</v>
      </c>
      <c r="J5" s="10" t="s">
        <v>245</v>
      </c>
      <c r="K5" s="10" t="s">
        <v>246</v>
      </c>
      <c r="L5" s="10">
        <v>15656127587</v>
      </c>
      <c r="N5" s="10" t="s">
        <v>244</v>
      </c>
      <c r="O5" s="10" t="s">
        <v>244</v>
      </c>
      <c r="P5" s="10" t="s">
        <v>247</v>
      </c>
      <c r="R5" s="10" t="s">
        <v>244</v>
      </c>
      <c r="S5" s="10" t="s">
        <v>227</v>
      </c>
      <c r="T5" s="10">
        <v>202201</v>
      </c>
      <c r="U5" s="10">
        <v>3430</v>
      </c>
      <c r="V5" s="10">
        <v>3430</v>
      </c>
      <c r="W5" s="10">
        <v>3430</v>
      </c>
      <c r="X5" s="10">
        <v>3430</v>
      </c>
      <c r="Y5" s="10">
        <v>3430</v>
      </c>
      <c r="Z5" s="10" t="s">
        <v>227</v>
      </c>
      <c r="AA5" s="10">
        <v>202201</v>
      </c>
      <c r="AB5" s="10">
        <v>0.05</v>
      </c>
      <c r="AC5" s="10">
        <v>1650</v>
      </c>
    </row>
    <row r="6" spans="1:41" s="10" customFormat="1" ht="12">
      <c r="F6" s="10" t="s">
        <v>149</v>
      </c>
      <c r="J6" s="10" t="s">
        <v>248</v>
      </c>
      <c r="K6" s="10" t="s">
        <v>249</v>
      </c>
      <c r="L6" s="10">
        <v>15375381802</v>
      </c>
      <c r="N6" s="10" t="s">
        <v>244</v>
      </c>
      <c r="O6" s="10" t="s">
        <v>244</v>
      </c>
      <c r="P6" s="10" t="s">
        <v>241</v>
      </c>
      <c r="R6" s="10" t="s">
        <v>244</v>
      </c>
      <c r="S6" s="10" t="s">
        <v>227</v>
      </c>
      <c r="T6" s="10">
        <v>202201</v>
      </c>
      <c r="U6" s="10">
        <v>3430</v>
      </c>
      <c r="V6" s="10">
        <v>3430</v>
      </c>
      <c r="W6" s="10">
        <v>3430</v>
      </c>
      <c r="X6" s="10">
        <v>3430</v>
      </c>
      <c r="Y6" s="10">
        <v>3430</v>
      </c>
      <c r="Z6" s="10" t="s">
        <v>227</v>
      </c>
      <c r="AA6" s="10">
        <v>202201</v>
      </c>
      <c r="AB6" s="10">
        <v>0.05</v>
      </c>
      <c r="AC6" s="10">
        <v>1650</v>
      </c>
    </row>
    <row r="7" spans="1:41" s="10" customFormat="1" ht="12">
      <c r="F7" s="10" t="s">
        <v>149</v>
      </c>
      <c r="J7" s="10" t="s">
        <v>250</v>
      </c>
      <c r="K7" s="10" t="s">
        <v>251</v>
      </c>
      <c r="L7" s="10">
        <v>17775340176</v>
      </c>
      <c r="N7" s="10" t="s">
        <v>244</v>
      </c>
      <c r="O7" s="10" t="s">
        <v>244</v>
      </c>
      <c r="P7" s="10" t="s">
        <v>241</v>
      </c>
      <c r="R7" s="10" t="s">
        <v>244</v>
      </c>
      <c r="S7" s="10" t="s">
        <v>227</v>
      </c>
      <c r="T7" s="10">
        <v>202201</v>
      </c>
      <c r="U7" s="10">
        <v>3430</v>
      </c>
      <c r="V7" s="10">
        <v>3430</v>
      </c>
      <c r="W7" s="10">
        <v>3430</v>
      </c>
      <c r="X7" s="10">
        <v>3430</v>
      </c>
      <c r="Y7" s="10">
        <v>3430</v>
      </c>
      <c r="Z7" s="10" t="s">
        <v>227</v>
      </c>
      <c r="AA7" s="10">
        <v>202201</v>
      </c>
      <c r="AB7" s="10">
        <v>0.05</v>
      </c>
      <c r="AC7" s="10">
        <v>1650</v>
      </c>
    </row>
    <row r="8" spans="1:41" s="10" customFormat="1" ht="12">
      <c r="F8" s="10" t="s">
        <v>149</v>
      </c>
      <c r="J8" s="10" t="s">
        <v>252</v>
      </c>
      <c r="K8" s="10" t="s">
        <v>253</v>
      </c>
      <c r="L8" s="10">
        <v>18375326103</v>
      </c>
      <c r="N8" s="10" t="s">
        <v>244</v>
      </c>
      <c r="O8" s="10" t="s">
        <v>244</v>
      </c>
      <c r="P8" s="10" t="s">
        <v>241</v>
      </c>
      <c r="R8" s="10" t="s">
        <v>244</v>
      </c>
      <c r="S8" s="10" t="s">
        <v>227</v>
      </c>
      <c r="T8" s="10">
        <v>202201</v>
      </c>
      <c r="U8" s="10">
        <v>3430</v>
      </c>
      <c r="V8" s="10">
        <v>3430</v>
      </c>
      <c r="W8" s="10">
        <v>3430</v>
      </c>
      <c r="X8" s="10">
        <v>3430</v>
      </c>
      <c r="Y8" s="10">
        <v>3430</v>
      </c>
      <c r="Z8" s="10" t="s">
        <v>227</v>
      </c>
      <c r="AA8" s="10">
        <v>202201</v>
      </c>
      <c r="AB8" s="10">
        <v>0.05</v>
      </c>
      <c r="AC8" s="10">
        <v>1650</v>
      </c>
    </row>
    <row r="9" spans="1:41" s="11" customFormat="1" ht="12">
      <c r="F9" s="11" t="s">
        <v>149</v>
      </c>
      <c r="J9" s="11" t="s">
        <v>254</v>
      </c>
      <c r="K9" s="11" t="s">
        <v>255</v>
      </c>
      <c r="L9" s="11">
        <v>18895324958</v>
      </c>
      <c r="N9" s="11" t="s">
        <v>244</v>
      </c>
      <c r="O9" s="11" t="s">
        <v>244</v>
      </c>
      <c r="P9" s="11" t="s">
        <v>247</v>
      </c>
      <c r="R9" s="11" t="s">
        <v>244</v>
      </c>
      <c r="S9" s="11" t="s">
        <v>227</v>
      </c>
      <c r="T9" s="11">
        <v>202201</v>
      </c>
      <c r="U9" s="11">
        <v>3430</v>
      </c>
      <c r="V9" s="11">
        <v>3430</v>
      </c>
      <c r="W9" s="11">
        <v>3430</v>
      </c>
      <c r="X9" s="11">
        <v>3430</v>
      </c>
      <c r="Y9" s="11">
        <v>3430</v>
      </c>
      <c r="Z9" s="11" t="s">
        <v>227</v>
      </c>
      <c r="AA9" s="11">
        <v>202201</v>
      </c>
      <c r="AB9" s="11">
        <v>0.12</v>
      </c>
      <c r="AC9" s="11">
        <v>11000</v>
      </c>
      <c r="AJ9" s="11" t="s">
        <v>256</v>
      </c>
    </row>
    <row r="10" spans="1:41" s="10" customFormat="1" ht="12">
      <c r="F10" s="10" t="s">
        <v>149</v>
      </c>
      <c r="J10" s="10" t="s">
        <v>257</v>
      </c>
      <c r="K10" s="10" t="s">
        <v>258</v>
      </c>
      <c r="L10" s="10">
        <v>18255196660</v>
      </c>
      <c r="N10" s="10" t="s">
        <v>244</v>
      </c>
      <c r="O10" s="10" t="s">
        <v>244</v>
      </c>
      <c r="P10" s="10" t="s">
        <v>247</v>
      </c>
      <c r="R10" s="10" t="s">
        <v>244</v>
      </c>
      <c r="S10" s="10" t="s">
        <v>227</v>
      </c>
      <c r="T10" s="10">
        <v>202201</v>
      </c>
      <c r="U10" s="10">
        <v>3430</v>
      </c>
      <c r="V10" s="10">
        <v>3430</v>
      </c>
      <c r="W10" s="10">
        <v>3430</v>
      </c>
      <c r="X10" s="10">
        <v>3430</v>
      </c>
      <c r="Y10" s="10">
        <v>3430</v>
      </c>
      <c r="Z10" s="10" t="s">
        <v>227</v>
      </c>
      <c r="AA10" s="10">
        <v>202201</v>
      </c>
      <c r="AB10" s="10">
        <v>0.05</v>
      </c>
      <c r="AC10" s="10">
        <v>1650</v>
      </c>
    </row>
    <row r="11" spans="1:41" s="10" customFormat="1" ht="12">
      <c r="F11" s="10" t="s">
        <v>149</v>
      </c>
      <c r="J11" s="10" t="s">
        <v>259</v>
      </c>
      <c r="K11" s="10" t="s">
        <v>260</v>
      </c>
      <c r="L11" s="10">
        <v>13615514441</v>
      </c>
      <c r="N11" s="10" t="s">
        <v>244</v>
      </c>
      <c r="O11" s="10" t="s">
        <v>244</v>
      </c>
      <c r="P11" s="10" t="s">
        <v>241</v>
      </c>
      <c r="R11" s="10" t="s">
        <v>244</v>
      </c>
      <c r="S11" s="10" t="s">
        <v>227</v>
      </c>
      <c r="T11" s="10">
        <v>202201</v>
      </c>
      <c r="U11" s="10">
        <v>3430</v>
      </c>
      <c r="V11" s="10">
        <v>3430</v>
      </c>
      <c r="W11" s="10">
        <v>3430</v>
      </c>
      <c r="X11" s="10">
        <v>3430</v>
      </c>
      <c r="Y11" s="10">
        <v>3430</v>
      </c>
      <c r="Z11" s="10" t="s">
        <v>227</v>
      </c>
      <c r="AA11" s="10">
        <v>202201</v>
      </c>
      <c r="AB11" s="10">
        <v>0.05</v>
      </c>
      <c r="AC11" s="10">
        <v>1650</v>
      </c>
    </row>
    <row r="12" spans="1:41" s="10" customFormat="1" ht="12">
      <c r="F12" s="10" t="s">
        <v>149</v>
      </c>
      <c r="J12" s="10" t="s">
        <v>261</v>
      </c>
      <c r="K12" s="10" t="s">
        <v>262</v>
      </c>
      <c r="L12" s="10">
        <v>18256940817</v>
      </c>
      <c r="N12" s="10" t="s">
        <v>244</v>
      </c>
      <c r="O12" s="10" t="s">
        <v>244</v>
      </c>
      <c r="P12" s="10" t="s">
        <v>241</v>
      </c>
      <c r="R12" s="10" t="s">
        <v>244</v>
      </c>
      <c r="S12" s="10" t="s">
        <v>227</v>
      </c>
      <c r="T12" s="10">
        <v>202201</v>
      </c>
      <c r="U12" s="10">
        <v>3430</v>
      </c>
      <c r="V12" s="10">
        <v>3430</v>
      </c>
      <c r="W12" s="10">
        <v>3430</v>
      </c>
      <c r="X12" s="10">
        <v>3430</v>
      </c>
      <c r="Y12" s="10">
        <v>3430</v>
      </c>
      <c r="Z12" s="10" t="s">
        <v>227</v>
      </c>
      <c r="AA12" s="10">
        <v>202201</v>
      </c>
      <c r="AB12" s="10">
        <v>0.05</v>
      </c>
      <c r="AC12" s="10">
        <v>1650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1" type="noConversion"/>
  <conditionalFormatting sqref="J10">
    <cfRule type="duplicateValues" dxfId="1" priority="1"/>
  </conditionalFormatting>
  <conditionalFormatting sqref="J4:J7 J11:J12 J9">
    <cfRule type="duplicateValues" dxfId="0" priority="2"/>
  </conditionalFormatting>
  <dataValidations count="2">
    <dataValidation type="list" allowBlank="1" showInputMessage="1" showErrorMessage="1" sqref="H3:H12">
      <formula1>#REF!</formula1>
    </dataValidation>
    <dataValidation type="list" allowBlank="1" showInputMessage="1" showErrorMessage="1" sqref="S3:S12 Z3:Z12">
      <formula1>"新参,调入"</formula1>
    </dataValidation>
  </dataValidations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403" t="s">
        <v>263</v>
      </c>
      <c r="C1" s="403"/>
      <c r="D1" s="403"/>
      <c r="E1" s="403"/>
    </row>
    <row r="2" spans="2:5" ht="20.25">
      <c r="B2" s="1"/>
    </row>
    <row r="3" spans="2:5" ht="27.75" customHeight="1">
      <c r="B3" s="2" t="s">
        <v>264</v>
      </c>
      <c r="C3" s="3" t="s">
        <v>265</v>
      </c>
      <c r="D3" s="3" t="s">
        <v>266</v>
      </c>
      <c r="E3" s="3" t="s">
        <v>267</v>
      </c>
    </row>
    <row r="4" spans="2:5" ht="29.25" customHeight="1">
      <c r="B4" s="4">
        <v>1</v>
      </c>
      <c r="C4" s="5" t="s">
        <v>268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269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270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271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272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273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274</v>
      </c>
      <c r="D10" s="6">
        <v>0.45</v>
      </c>
      <c r="E10" s="7">
        <v>181920</v>
      </c>
    </row>
    <row r="13" spans="2:5" ht="57" customHeight="1">
      <c r="B13" s="403" t="s">
        <v>275</v>
      </c>
      <c r="C13" s="403"/>
      <c r="D13" s="403"/>
      <c r="E13" s="403"/>
    </row>
    <row r="14" spans="2:5" ht="20.25">
      <c r="B14" s="1"/>
    </row>
    <row r="15" spans="2:5" ht="27.75" customHeight="1">
      <c r="B15" s="2" t="s">
        <v>264</v>
      </c>
      <c r="C15" s="3" t="s">
        <v>276</v>
      </c>
      <c r="D15" s="3" t="s">
        <v>266</v>
      </c>
      <c r="E15" s="3" t="s">
        <v>267</v>
      </c>
    </row>
    <row r="16" spans="2:5" ht="29.25" customHeight="1">
      <c r="B16" s="4">
        <v>1</v>
      </c>
      <c r="C16" s="5" t="s">
        <v>277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278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279</v>
      </c>
      <c r="D18" s="6">
        <v>0.4</v>
      </c>
      <c r="E18" s="7">
        <v>7000</v>
      </c>
    </row>
    <row r="21" spans="2:5" ht="47.25" customHeight="1">
      <c r="B21" s="403" t="s">
        <v>280</v>
      </c>
      <c r="C21" s="403"/>
      <c r="D21" s="403"/>
      <c r="E21" s="403"/>
    </row>
    <row r="22" spans="2:5" ht="20.25">
      <c r="B22" s="1"/>
    </row>
    <row r="23" spans="2:5" ht="27.75" customHeight="1">
      <c r="B23" s="2" t="s">
        <v>264</v>
      </c>
      <c r="C23" s="3" t="s">
        <v>281</v>
      </c>
      <c r="D23" s="3" t="s">
        <v>266</v>
      </c>
      <c r="E23" s="3" t="s">
        <v>267</v>
      </c>
    </row>
    <row r="24" spans="2:5" ht="29.25" customHeight="1">
      <c r="B24" s="4">
        <v>1</v>
      </c>
      <c r="C24" s="5" t="s">
        <v>282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283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284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285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286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287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288</v>
      </c>
      <c r="D30" s="6">
        <v>0.45</v>
      </c>
      <c r="E30" s="7">
        <v>15160</v>
      </c>
    </row>
    <row r="35" spans="2:5" ht="57" customHeight="1">
      <c r="B35" s="404" t="s">
        <v>289</v>
      </c>
      <c r="C35" s="404"/>
      <c r="D35" s="404"/>
      <c r="E35" s="404"/>
    </row>
    <row r="37" spans="2:5" ht="21.75" customHeight="1">
      <c r="B37" s="2" t="s">
        <v>264</v>
      </c>
      <c r="C37" s="3" t="s">
        <v>290</v>
      </c>
      <c r="D37" s="3" t="s">
        <v>291</v>
      </c>
      <c r="E37" s="3" t="s">
        <v>267</v>
      </c>
    </row>
    <row r="38" spans="2:5" ht="21.75" customHeight="1">
      <c r="B38" s="4">
        <v>1</v>
      </c>
      <c r="C38" s="5" t="s">
        <v>282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283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284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285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286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287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288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33" customWidth="1"/>
    <col min="2" max="2" width="25" style="133" customWidth="1"/>
    <col min="3" max="3" width="7.375" style="133" customWidth="1"/>
    <col min="4" max="4" width="9.5" style="133" customWidth="1"/>
    <col min="5" max="5" width="8.25" style="133" customWidth="1"/>
    <col min="6" max="6" width="11.875" style="133" customWidth="1"/>
    <col min="7" max="7" width="16.375" style="133" customWidth="1"/>
    <col min="8" max="11" width="8.5" style="133" customWidth="1"/>
    <col min="12" max="12" width="9.125" style="133" customWidth="1"/>
    <col min="13" max="14" width="9.25" style="133" customWidth="1"/>
    <col min="15" max="15" width="7.5" style="133" customWidth="1"/>
    <col min="16" max="16" width="11.25" style="133" customWidth="1"/>
    <col min="17" max="17" width="9.125" style="133" customWidth="1"/>
    <col min="18" max="21" width="9.25" style="133" customWidth="1"/>
    <col min="22" max="22" width="9.125" style="133" customWidth="1"/>
    <col min="23" max="26" width="9.25" style="133" customWidth="1"/>
    <col min="27" max="28" width="9.125" style="133" customWidth="1"/>
    <col min="29" max="29" width="9" style="133" customWidth="1"/>
    <col min="30" max="30" width="9.125" style="133" customWidth="1"/>
    <col min="31" max="31" width="9.25" style="133" customWidth="1"/>
    <col min="32" max="32" width="8.875" style="133" customWidth="1"/>
    <col min="33" max="33" width="9.125" style="133" customWidth="1"/>
    <col min="34" max="34" width="9.25" style="133" customWidth="1"/>
    <col min="35" max="35" width="11.125" style="133" customWidth="1"/>
    <col min="36" max="36" width="9.25" style="133" customWidth="1"/>
    <col min="37" max="37" width="8.5" style="133" customWidth="1"/>
    <col min="38" max="38" width="9.125" style="133" hidden="1" customWidth="1"/>
    <col min="39" max="42" width="9.25" style="133" hidden="1" customWidth="1"/>
    <col min="43" max="43" width="9.875" style="133" customWidth="1"/>
    <col min="44" max="44" width="9.375" style="133" customWidth="1"/>
    <col min="45" max="45" width="10.25" style="139" customWidth="1"/>
    <col min="46" max="46" width="10" style="139" customWidth="1"/>
    <col min="47" max="49" width="9.25" style="139" customWidth="1"/>
    <col min="50" max="50" width="9.25" style="133" customWidth="1"/>
    <col min="51" max="51" width="5.875" style="133" customWidth="1"/>
    <col min="52" max="52" width="8.375" style="133" customWidth="1"/>
    <col min="53" max="53" width="5.875" style="133" customWidth="1"/>
    <col min="54" max="54" width="8.875" style="133" customWidth="1"/>
    <col min="55" max="55" width="10.875" style="133" customWidth="1"/>
    <col min="56" max="56" width="40.25" style="140" customWidth="1"/>
    <col min="57" max="57" width="10.625" style="133" customWidth="1"/>
    <col min="58" max="16384" width="9" style="133"/>
  </cols>
  <sheetData>
    <row r="1" spans="1:60" s="132" customFormat="1" ht="22.5" customHeight="1">
      <c r="A1" s="340" t="s">
        <v>18</v>
      </c>
      <c r="B1" s="346" t="s">
        <v>39</v>
      </c>
      <c r="C1" s="346" t="s">
        <v>40</v>
      </c>
      <c r="D1" s="340" t="s">
        <v>41</v>
      </c>
      <c r="E1" s="346" t="s">
        <v>42</v>
      </c>
      <c r="F1" s="346" t="s">
        <v>43</v>
      </c>
      <c r="G1" s="346" t="s">
        <v>44</v>
      </c>
      <c r="H1" s="346" t="s">
        <v>45</v>
      </c>
      <c r="I1" s="346" t="s">
        <v>46</v>
      </c>
      <c r="J1" s="346" t="s">
        <v>47</v>
      </c>
      <c r="K1" s="346" t="s">
        <v>48</v>
      </c>
      <c r="L1" s="339" t="s">
        <v>49</v>
      </c>
      <c r="M1" s="339"/>
      <c r="N1" s="339"/>
      <c r="O1" s="339"/>
      <c r="P1" s="339"/>
      <c r="Q1" s="339" t="s">
        <v>50</v>
      </c>
      <c r="R1" s="339"/>
      <c r="S1" s="339"/>
      <c r="T1" s="339"/>
      <c r="U1" s="339"/>
      <c r="V1" s="339" t="s">
        <v>51</v>
      </c>
      <c r="W1" s="339"/>
      <c r="X1" s="339"/>
      <c r="Y1" s="339"/>
      <c r="Z1" s="339"/>
      <c r="AA1" s="340" t="s">
        <v>52</v>
      </c>
      <c r="AB1" s="340"/>
      <c r="AC1" s="340"/>
      <c r="AD1" s="340" t="s">
        <v>53</v>
      </c>
      <c r="AE1" s="340"/>
      <c r="AF1" s="340"/>
      <c r="AG1" s="339" t="s">
        <v>54</v>
      </c>
      <c r="AH1" s="339"/>
      <c r="AI1" s="339"/>
      <c r="AJ1" s="339"/>
      <c r="AK1" s="339"/>
      <c r="AL1" s="340" t="s">
        <v>55</v>
      </c>
      <c r="AM1" s="340"/>
      <c r="AN1" s="340"/>
      <c r="AO1" s="340"/>
      <c r="AP1" s="340"/>
      <c r="AQ1" s="340" t="s">
        <v>56</v>
      </c>
      <c r="AR1" s="340"/>
      <c r="AS1" s="341" t="s">
        <v>57</v>
      </c>
      <c r="AT1" s="341"/>
      <c r="AU1" s="341"/>
      <c r="AV1" s="341"/>
      <c r="AW1" s="341"/>
      <c r="AX1" s="340" t="s">
        <v>58</v>
      </c>
      <c r="AY1" s="340"/>
      <c r="AZ1" s="340" t="s">
        <v>59</v>
      </c>
      <c r="BA1" s="340"/>
      <c r="BB1" s="340" t="s">
        <v>60</v>
      </c>
      <c r="BC1" s="340" t="s">
        <v>61</v>
      </c>
      <c r="BD1" s="349" t="s">
        <v>23</v>
      </c>
    </row>
    <row r="2" spans="1:60" ht="22.5" customHeight="1">
      <c r="A2" s="340"/>
      <c r="B2" s="347"/>
      <c r="C2" s="346"/>
      <c r="D2" s="340"/>
      <c r="E2" s="346"/>
      <c r="F2" s="348"/>
      <c r="G2" s="348"/>
      <c r="H2" s="346"/>
      <c r="I2" s="346"/>
      <c r="J2" s="346"/>
      <c r="K2" s="346"/>
      <c r="L2" s="166" t="s">
        <v>62</v>
      </c>
      <c r="M2" s="166" t="s">
        <v>63</v>
      </c>
      <c r="N2" s="166" t="s">
        <v>64</v>
      </c>
      <c r="O2" s="166" t="s">
        <v>65</v>
      </c>
      <c r="P2" s="166" t="s">
        <v>66</v>
      </c>
      <c r="Q2" s="166" t="s">
        <v>62</v>
      </c>
      <c r="R2" s="166" t="s">
        <v>63</v>
      </c>
      <c r="S2" s="166" t="s">
        <v>64</v>
      </c>
      <c r="T2" s="166" t="s">
        <v>65</v>
      </c>
      <c r="U2" s="166" t="s">
        <v>66</v>
      </c>
      <c r="V2" s="166" t="s">
        <v>62</v>
      </c>
      <c r="W2" s="166" t="s">
        <v>63</v>
      </c>
      <c r="X2" s="166" t="s">
        <v>64</v>
      </c>
      <c r="Y2" s="166" t="s">
        <v>65</v>
      </c>
      <c r="Z2" s="166" t="s">
        <v>66</v>
      </c>
      <c r="AA2" s="166" t="s">
        <v>62</v>
      </c>
      <c r="AB2" s="166" t="s">
        <v>67</v>
      </c>
      <c r="AC2" s="166" t="s">
        <v>22</v>
      </c>
      <c r="AD2" s="166" t="s">
        <v>62</v>
      </c>
      <c r="AE2" s="166" t="s">
        <v>67</v>
      </c>
      <c r="AF2" s="166" t="s">
        <v>22</v>
      </c>
      <c r="AG2" s="166" t="s">
        <v>62</v>
      </c>
      <c r="AH2" s="166" t="s">
        <v>63</v>
      </c>
      <c r="AI2" s="166" t="s">
        <v>64</v>
      </c>
      <c r="AJ2" s="166" t="s">
        <v>65</v>
      </c>
      <c r="AK2" s="166" t="s">
        <v>66</v>
      </c>
      <c r="AL2" s="166" t="s">
        <v>62</v>
      </c>
      <c r="AM2" s="166" t="s">
        <v>63</v>
      </c>
      <c r="AN2" s="166" t="s">
        <v>64</v>
      </c>
      <c r="AO2" s="166" t="s">
        <v>65</v>
      </c>
      <c r="AP2" s="166" t="s">
        <v>66</v>
      </c>
      <c r="AQ2" s="166" t="s">
        <v>68</v>
      </c>
      <c r="AR2" s="166" t="s">
        <v>69</v>
      </c>
      <c r="AS2" s="175" t="s">
        <v>70</v>
      </c>
      <c r="AT2" s="175" t="s">
        <v>71</v>
      </c>
      <c r="AU2" s="175" t="s">
        <v>72</v>
      </c>
      <c r="AV2" s="175" t="s">
        <v>73</v>
      </c>
      <c r="AW2" s="175" t="s">
        <v>30</v>
      </c>
      <c r="AX2" s="340"/>
      <c r="AY2" s="340"/>
      <c r="AZ2" s="340"/>
      <c r="BA2" s="340"/>
      <c r="BB2" s="340"/>
      <c r="BC2" s="340"/>
      <c r="BD2" s="349"/>
    </row>
    <row r="3" spans="1:60" s="134" customFormat="1" ht="18" customHeight="1">
      <c r="A3" s="141">
        <v>1</v>
      </c>
      <c r="B3" s="121" t="s">
        <v>74</v>
      </c>
      <c r="C3" s="111" t="s">
        <v>75</v>
      </c>
      <c r="D3" s="120" t="s">
        <v>76</v>
      </c>
      <c r="E3" s="121" t="s">
        <v>77</v>
      </c>
      <c r="F3" s="122" t="s">
        <v>78</v>
      </c>
      <c r="G3" s="123" t="s">
        <v>79</v>
      </c>
      <c r="H3" s="120" t="s">
        <v>80</v>
      </c>
      <c r="I3" s="120" t="s">
        <v>80</v>
      </c>
      <c r="J3" s="120" t="s">
        <v>81</v>
      </c>
      <c r="K3" s="120" t="s">
        <v>81</v>
      </c>
      <c r="L3" s="141">
        <v>3300</v>
      </c>
      <c r="M3" s="141">
        <v>0.16</v>
      </c>
      <c r="N3" s="141">
        <f t="shared" ref="N3:N8" si="0">ROUND(L3*M3,2)</f>
        <v>528</v>
      </c>
      <c r="O3" s="141">
        <v>0.08</v>
      </c>
      <c r="P3" s="141">
        <f t="shared" ref="P3:P8" si="1">ROUND(L3*O3,2)</f>
        <v>264</v>
      </c>
      <c r="Q3" s="141">
        <v>3300</v>
      </c>
      <c r="R3" s="141">
        <v>0.08</v>
      </c>
      <c r="S3" s="141">
        <f t="shared" ref="S3:S8" si="2">ROUND(Q3*R3,2)</f>
        <v>264</v>
      </c>
      <c r="T3" s="141">
        <v>0.02</v>
      </c>
      <c r="U3" s="141">
        <f t="shared" ref="U3:U8" si="3">ROUND(Q3*T3,2)</f>
        <v>66</v>
      </c>
      <c r="V3" s="141">
        <v>3300</v>
      </c>
      <c r="W3" s="141">
        <v>7.0000000000000001E-3</v>
      </c>
      <c r="X3" s="141">
        <f t="shared" ref="X3:X8" si="4">ROUND(V3*W3,2)</f>
        <v>23.1</v>
      </c>
      <c r="Y3" s="141">
        <v>3.0000000000000001E-3</v>
      </c>
      <c r="Z3" s="141">
        <f t="shared" ref="Z3:Z8" si="5">ROUND(V3*Y3,2)</f>
        <v>9.9</v>
      </c>
      <c r="AA3" s="141"/>
      <c r="AB3" s="141"/>
      <c r="AC3" s="141"/>
      <c r="AD3" s="141">
        <v>3300</v>
      </c>
      <c r="AE3" s="141">
        <v>2E-3</v>
      </c>
      <c r="AF3" s="141">
        <f t="shared" ref="AF3:AF15" si="6">ROUND(AD3*AE3,2)</f>
        <v>6.6</v>
      </c>
      <c r="AG3" s="141">
        <v>3000</v>
      </c>
      <c r="AH3" s="141">
        <v>0.1</v>
      </c>
      <c r="AI3" s="141">
        <f>ROUND(AG3*AH3,2)</f>
        <v>300</v>
      </c>
      <c r="AJ3" s="141">
        <v>0.06</v>
      </c>
      <c r="AK3" s="141">
        <f>ROUND(AG3*AJ3,2)</f>
        <v>180</v>
      </c>
      <c r="AL3" s="172"/>
      <c r="AM3" s="141"/>
      <c r="AN3" s="141"/>
      <c r="AO3" s="141"/>
      <c r="AP3" s="121" t="s">
        <v>82</v>
      </c>
      <c r="AQ3" s="176">
        <v>5</v>
      </c>
      <c r="AR3" s="141"/>
      <c r="AS3" s="177">
        <f t="shared" ref="AS3:AS15" si="7">N3+S3+X3+AC3+AF3+AN3+AQ3</f>
        <v>826.7</v>
      </c>
      <c r="AT3" s="177">
        <f t="shared" ref="AT3:AT15" si="8">P3+U3+Z3</f>
        <v>339.9</v>
      </c>
      <c r="AU3" s="177">
        <f t="shared" ref="AU3:AU15" si="9">AI3</f>
        <v>300</v>
      </c>
      <c r="AV3" s="177">
        <f t="shared" ref="AV3:AV15" si="10">AK3</f>
        <v>180</v>
      </c>
      <c r="AW3" s="177">
        <f t="shared" ref="AW3:AW15" si="11">AV3+AS3+AT3+AU3</f>
        <v>1646.6</v>
      </c>
      <c r="AX3" s="342">
        <f t="shared" ref="AX3:AX15" si="12">AS3+AT3</f>
        <v>1166.5999999999999</v>
      </c>
      <c r="AY3" s="342"/>
      <c r="AZ3" s="342">
        <f t="shared" ref="AZ3:AZ8" si="13">AU3+AV3</f>
        <v>480</v>
      </c>
      <c r="BA3" s="342"/>
      <c r="BB3" s="186">
        <v>80</v>
      </c>
      <c r="BC3" s="185">
        <f t="shared" ref="BC3:BC15" si="14">AX3+AZ3+BB3</f>
        <v>1726.6</v>
      </c>
      <c r="BD3" s="187"/>
      <c r="BE3" s="200"/>
      <c r="BF3" s="201"/>
      <c r="BG3" s="201"/>
      <c r="BH3" s="202" t="s">
        <v>82</v>
      </c>
    </row>
    <row r="4" spans="1:60" s="134" customFormat="1" ht="18" customHeight="1">
      <c r="A4" s="141"/>
      <c r="B4" s="121" t="s">
        <v>74</v>
      </c>
      <c r="C4" s="111" t="s">
        <v>75</v>
      </c>
      <c r="D4" s="120" t="s">
        <v>76</v>
      </c>
      <c r="E4" s="121" t="s">
        <v>77</v>
      </c>
      <c r="F4" s="122" t="s">
        <v>78</v>
      </c>
      <c r="G4" s="123" t="s">
        <v>79</v>
      </c>
      <c r="H4" s="120" t="s">
        <v>80</v>
      </c>
      <c r="I4" s="120" t="s">
        <v>80</v>
      </c>
      <c r="J4" s="120" t="s">
        <v>83</v>
      </c>
      <c r="K4" s="120" t="s">
        <v>83</v>
      </c>
      <c r="L4" s="141">
        <v>3300</v>
      </c>
      <c r="M4" s="141">
        <v>0.16</v>
      </c>
      <c r="N4" s="141">
        <f t="shared" si="0"/>
        <v>528</v>
      </c>
      <c r="O4" s="141">
        <v>0.08</v>
      </c>
      <c r="P4" s="141">
        <f t="shared" si="1"/>
        <v>264</v>
      </c>
      <c r="Q4" s="141">
        <v>3300</v>
      </c>
      <c r="R4" s="141">
        <v>0.08</v>
      </c>
      <c r="S4" s="141">
        <f t="shared" si="2"/>
        <v>264</v>
      </c>
      <c r="T4" s="141">
        <v>0.02</v>
      </c>
      <c r="U4" s="141">
        <f t="shared" si="3"/>
        <v>66</v>
      </c>
      <c r="V4" s="141">
        <v>3300</v>
      </c>
      <c r="W4" s="141">
        <v>7.0000000000000001E-3</v>
      </c>
      <c r="X4" s="141">
        <f t="shared" si="4"/>
        <v>23.1</v>
      </c>
      <c r="Y4" s="141">
        <v>3.0000000000000001E-3</v>
      </c>
      <c r="Z4" s="141">
        <f t="shared" si="5"/>
        <v>9.9</v>
      </c>
      <c r="AA4" s="141"/>
      <c r="AB4" s="141"/>
      <c r="AC4" s="141"/>
      <c r="AD4" s="141">
        <v>3300</v>
      </c>
      <c r="AE4" s="141">
        <v>2E-3</v>
      </c>
      <c r="AF4" s="141">
        <f t="shared" si="6"/>
        <v>6.6</v>
      </c>
      <c r="AG4" s="141">
        <v>3000</v>
      </c>
      <c r="AH4" s="141">
        <v>0.1</v>
      </c>
      <c r="AI4" s="141">
        <f>ROUND(AG4*AH4,2)</f>
        <v>300</v>
      </c>
      <c r="AJ4" s="141">
        <v>0.06</v>
      </c>
      <c r="AK4" s="141">
        <f>ROUND(AG4*AJ4,2)</f>
        <v>180</v>
      </c>
      <c r="AL4" s="172"/>
      <c r="AM4" s="141"/>
      <c r="AN4" s="141"/>
      <c r="AO4" s="141"/>
      <c r="AP4" s="121" t="s">
        <v>82</v>
      </c>
      <c r="AQ4" s="176">
        <v>5</v>
      </c>
      <c r="AR4" s="141"/>
      <c r="AS4" s="177">
        <f t="shared" si="7"/>
        <v>826.7</v>
      </c>
      <c r="AT4" s="177">
        <f t="shared" si="8"/>
        <v>339.9</v>
      </c>
      <c r="AU4" s="177">
        <f t="shared" si="9"/>
        <v>300</v>
      </c>
      <c r="AV4" s="177">
        <f t="shared" si="10"/>
        <v>180</v>
      </c>
      <c r="AW4" s="177">
        <f t="shared" si="11"/>
        <v>1646.6</v>
      </c>
      <c r="AX4" s="342">
        <f t="shared" si="12"/>
        <v>1166.5999999999999</v>
      </c>
      <c r="AY4" s="342"/>
      <c r="AZ4" s="342">
        <f t="shared" si="13"/>
        <v>480</v>
      </c>
      <c r="BA4" s="342"/>
      <c r="BB4" s="186">
        <v>80</v>
      </c>
      <c r="BC4" s="185">
        <f t="shared" si="14"/>
        <v>1726.6</v>
      </c>
      <c r="BD4" s="187"/>
      <c r="BE4" s="200"/>
      <c r="BF4" s="201"/>
      <c r="BG4" s="201"/>
      <c r="BH4" s="202" t="s">
        <v>82</v>
      </c>
    </row>
    <row r="5" spans="1:60" s="134" customFormat="1" ht="18" customHeight="1">
      <c r="A5" s="141"/>
      <c r="B5" s="121" t="s">
        <v>74</v>
      </c>
      <c r="C5" s="111" t="s">
        <v>75</v>
      </c>
      <c r="D5" s="120" t="s">
        <v>76</v>
      </c>
      <c r="E5" s="121" t="s">
        <v>77</v>
      </c>
      <c r="F5" s="122" t="s">
        <v>78</v>
      </c>
      <c r="G5" s="123" t="s">
        <v>79</v>
      </c>
      <c r="H5" s="120" t="s">
        <v>80</v>
      </c>
      <c r="I5" s="120" t="s">
        <v>80</v>
      </c>
      <c r="J5" s="120" t="s">
        <v>84</v>
      </c>
      <c r="K5" s="120" t="s">
        <v>84</v>
      </c>
      <c r="L5" s="141">
        <v>3300</v>
      </c>
      <c r="M5" s="141">
        <v>0.16</v>
      </c>
      <c r="N5" s="141">
        <f t="shared" si="0"/>
        <v>528</v>
      </c>
      <c r="O5" s="141">
        <v>0.08</v>
      </c>
      <c r="P5" s="141">
        <f t="shared" si="1"/>
        <v>264</v>
      </c>
      <c r="Q5" s="141">
        <v>3300</v>
      </c>
      <c r="R5" s="141">
        <v>0.08</v>
      </c>
      <c r="S5" s="141">
        <f t="shared" si="2"/>
        <v>264</v>
      </c>
      <c r="T5" s="141">
        <v>0.02</v>
      </c>
      <c r="U5" s="141">
        <f t="shared" si="3"/>
        <v>66</v>
      </c>
      <c r="V5" s="141">
        <v>3300</v>
      </c>
      <c r="W5" s="141">
        <v>7.0000000000000001E-3</v>
      </c>
      <c r="X5" s="141">
        <f t="shared" si="4"/>
        <v>23.1</v>
      </c>
      <c r="Y5" s="141">
        <v>3.0000000000000001E-3</v>
      </c>
      <c r="Z5" s="141">
        <f t="shared" si="5"/>
        <v>9.9</v>
      </c>
      <c r="AA5" s="141"/>
      <c r="AB5" s="141"/>
      <c r="AC5" s="141"/>
      <c r="AD5" s="141">
        <v>3300</v>
      </c>
      <c r="AE5" s="141">
        <v>2E-3</v>
      </c>
      <c r="AF5" s="141">
        <f t="shared" si="6"/>
        <v>6.6</v>
      </c>
      <c r="AG5" s="141">
        <v>3000</v>
      </c>
      <c r="AH5" s="141">
        <v>0.1</v>
      </c>
      <c r="AI5" s="141">
        <f>ROUND(AG5*AH5,2)</f>
        <v>300</v>
      </c>
      <c r="AJ5" s="141">
        <v>0.06</v>
      </c>
      <c r="AK5" s="141">
        <f>ROUND(AG5*AJ5,2)</f>
        <v>180</v>
      </c>
      <c r="AL5" s="172"/>
      <c r="AM5" s="141"/>
      <c r="AN5" s="141"/>
      <c r="AO5" s="141"/>
      <c r="AP5" s="121" t="s">
        <v>82</v>
      </c>
      <c r="AQ5" s="176">
        <v>5</v>
      </c>
      <c r="AR5" s="141"/>
      <c r="AS5" s="177">
        <f t="shared" si="7"/>
        <v>826.7</v>
      </c>
      <c r="AT5" s="177">
        <f t="shared" si="8"/>
        <v>339.9</v>
      </c>
      <c r="AU5" s="177">
        <f t="shared" si="9"/>
        <v>300</v>
      </c>
      <c r="AV5" s="177">
        <f t="shared" si="10"/>
        <v>180</v>
      </c>
      <c r="AW5" s="177">
        <f t="shared" si="11"/>
        <v>1646.6</v>
      </c>
      <c r="AX5" s="342">
        <f t="shared" si="12"/>
        <v>1166.5999999999999</v>
      </c>
      <c r="AY5" s="342"/>
      <c r="AZ5" s="342">
        <f t="shared" si="13"/>
        <v>480</v>
      </c>
      <c r="BA5" s="342"/>
      <c r="BB5" s="186">
        <v>80</v>
      </c>
      <c r="BC5" s="185">
        <f t="shared" si="14"/>
        <v>1726.6</v>
      </c>
      <c r="BD5" s="187"/>
      <c r="BE5" s="200"/>
      <c r="BF5" s="201"/>
      <c r="BG5" s="201"/>
      <c r="BH5" s="202" t="s">
        <v>82</v>
      </c>
    </row>
    <row r="6" spans="1:60" s="134" customFormat="1" ht="18" customHeight="1">
      <c r="A6" s="141">
        <v>2</v>
      </c>
      <c r="B6" s="121" t="s">
        <v>74</v>
      </c>
      <c r="C6" s="111" t="s">
        <v>85</v>
      </c>
      <c r="D6" s="120" t="s">
        <v>76</v>
      </c>
      <c r="E6" s="121" t="s">
        <v>86</v>
      </c>
      <c r="F6" s="122" t="s">
        <v>87</v>
      </c>
      <c r="G6" s="281" t="s">
        <v>88</v>
      </c>
      <c r="H6" s="120" t="s">
        <v>80</v>
      </c>
      <c r="I6" s="120" t="s">
        <v>89</v>
      </c>
      <c r="J6" s="120" t="s">
        <v>81</v>
      </c>
      <c r="K6" s="120" t="s">
        <v>89</v>
      </c>
      <c r="L6" s="141">
        <v>3803</v>
      </c>
      <c r="M6" s="141">
        <v>0.14000000000000001</v>
      </c>
      <c r="N6" s="141">
        <f t="shared" si="0"/>
        <v>532.41999999999996</v>
      </c>
      <c r="O6" s="141">
        <v>0.08</v>
      </c>
      <c r="P6" s="141">
        <f t="shared" si="1"/>
        <v>304.24</v>
      </c>
      <c r="Q6" s="141">
        <v>6175</v>
      </c>
      <c r="R6" s="141">
        <v>5.5E-2</v>
      </c>
      <c r="S6" s="141">
        <f t="shared" si="2"/>
        <v>339.63</v>
      </c>
      <c r="T6" s="141">
        <v>0.02</v>
      </c>
      <c r="U6" s="141">
        <f t="shared" si="3"/>
        <v>123.5</v>
      </c>
      <c r="V6" s="141">
        <v>3803</v>
      </c>
      <c r="W6" s="141">
        <v>3.2000000000000002E-3</v>
      </c>
      <c r="X6" s="141">
        <f t="shared" si="4"/>
        <v>12.17</v>
      </c>
      <c r="Y6" s="141">
        <v>2E-3</v>
      </c>
      <c r="Z6" s="141">
        <f t="shared" si="5"/>
        <v>7.61</v>
      </c>
      <c r="AA6" s="141">
        <v>6175</v>
      </c>
      <c r="AB6" s="141">
        <v>8.5000000000000006E-3</v>
      </c>
      <c r="AC6" s="141">
        <f t="shared" ref="AC6:AC8" si="15">ROUND(AA6*AB6,2)</f>
        <v>52.49</v>
      </c>
      <c r="AD6" s="141">
        <v>3803</v>
      </c>
      <c r="AE6" s="141">
        <v>1.6000000000000001E-3</v>
      </c>
      <c r="AF6" s="141">
        <f t="shared" si="6"/>
        <v>6.08</v>
      </c>
      <c r="AG6" s="141"/>
      <c r="AH6" s="141"/>
      <c r="AI6" s="141"/>
      <c r="AJ6" s="141"/>
      <c r="AK6" s="141"/>
      <c r="AL6" s="172"/>
      <c r="AM6" s="141"/>
      <c r="AN6" s="141"/>
      <c r="AO6" s="141"/>
      <c r="AP6" s="121"/>
      <c r="AQ6" s="176">
        <v>26.76</v>
      </c>
      <c r="AR6" s="141"/>
      <c r="AS6" s="177">
        <f t="shared" si="7"/>
        <v>969.55</v>
      </c>
      <c r="AT6" s="177">
        <f t="shared" si="8"/>
        <v>435.35</v>
      </c>
      <c r="AU6" s="177">
        <f t="shared" si="9"/>
        <v>0</v>
      </c>
      <c r="AV6" s="177">
        <f t="shared" si="10"/>
        <v>0</v>
      </c>
      <c r="AW6" s="177">
        <f t="shared" si="11"/>
        <v>1404.9</v>
      </c>
      <c r="AX6" s="342">
        <f t="shared" si="12"/>
        <v>1404.9</v>
      </c>
      <c r="AY6" s="342"/>
      <c r="AZ6" s="342">
        <f t="shared" si="13"/>
        <v>0</v>
      </c>
      <c r="BA6" s="342"/>
      <c r="BB6" s="186">
        <v>80</v>
      </c>
      <c r="BC6" s="185">
        <f t="shared" si="14"/>
        <v>1484.9</v>
      </c>
      <c r="BD6" s="187"/>
      <c r="BE6" s="203"/>
      <c r="BF6" s="203"/>
      <c r="BG6" s="203"/>
      <c r="BH6" s="203"/>
    </row>
    <row r="7" spans="1:60" s="134" customFormat="1" ht="18" customHeight="1">
      <c r="A7" s="141"/>
      <c r="B7" s="121" t="s">
        <v>74</v>
      </c>
      <c r="C7" s="111" t="s">
        <v>85</v>
      </c>
      <c r="D7" s="120" t="s">
        <v>76</v>
      </c>
      <c r="E7" s="121" t="s">
        <v>86</v>
      </c>
      <c r="F7" s="122" t="s">
        <v>87</v>
      </c>
      <c r="G7" s="281" t="s">
        <v>88</v>
      </c>
      <c r="H7" s="120" t="s">
        <v>80</v>
      </c>
      <c r="I7" s="120" t="s">
        <v>89</v>
      </c>
      <c r="J7" s="120" t="s">
        <v>83</v>
      </c>
      <c r="K7" s="120" t="s">
        <v>89</v>
      </c>
      <c r="L7" s="141">
        <v>3803</v>
      </c>
      <c r="M7" s="141">
        <v>0.14000000000000001</v>
      </c>
      <c r="N7" s="141">
        <f t="shared" si="0"/>
        <v>532.41999999999996</v>
      </c>
      <c r="O7" s="141">
        <v>0.08</v>
      </c>
      <c r="P7" s="141">
        <f t="shared" si="1"/>
        <v>304.24</v>
      </c>
      <c r="Q7" s="141">
        <v>6175</v>
      </c>
      <c r="R7" s="141">
        <v>5.5E-2</v>
      </c>
      <c r="S7" s="141">
        <f t="shared" si="2"/>
        <v>339.63</v>
      </c>
      <c r="T7" s="141">
        <v>0.02</v>
      </c>
      <c r="U7" s="141">
        <f t="shared" si="3"/>
        <v>123.5</v>
      </c>
      <c r="V7" s="141">
        <v>3803</v>
      </c>
      <c r="W7" s="141">
        <v>3.2000000000000002E-3</v>
      </c>
      <c r="X7" s="141">
        <f t="shared" si="4"/>
        <v>12.17</v>
      </c>
      <c r="Y7" s="141">
        <v>2E-3</v>
      </c>
      <c r="Z7" s="141">
        <f t="shared" si="5"/>
        <v>7.61</v>
      </c>
      <c r="AA7" s="141">
        <v>6175</v>
      </c>
      <c r="AB7" s="141">
        <v>8.5000000000000006E-3</v>
      </c>
      <c r="AC7" s="141">
        <f t="shared" si="15"/>
        <v>52.49</v>
      </c>
      <c r="AD7" s="141">
        <v>3803</v>
      </c>
      <c r="AE7" s="141">
        <v>1.6000000000000001E-3</v>
      </c>
      <c r="AF7" s="141">
        <f t="shared" si="6"/>
        <v>6.08</v>
      </c>
      <c r="AG7" s="141"/>
      <c r="AH7" s="141"/>
      <c r="AI7" s="141"/>
      <c r="AJ7" s="141"/>
      <c r="AK7" s="141"/>
      <c r="AL7" s="172"/>
      <c r="AM7" s="141"/>
      <c r="AN7" s="141"/>
      <c r="AO7" s="141"/>
      <c r="AP7" s="121"/>
      <c r="AQ7" s="176">
        <v>26.76</v>
      </c>
      <c r="AR7" s="141"/>
      <c r="AS7" s="177">
        <f t="shared" si="7"/>
        <v>969.55</v>
      </c>
      <c r="AT7" s="177">
        <f t="shared" si="8"/>
        <v>435.35</v>
      </c>
      <c r="AU7" s="177">
        <f t="shared" si="9"/>
        <v>0</v>
      </c>
      <c r="AV7" s="177">
        <f t="shared" si="10"/>
        <v>0</v>
      </c>
      <c r="AW7" s="177">
        <f t="shared" si="11"/>
        <v>1404.9</v>
      </c>
      <c r="AX7" s="342">
        <f t="shared" si="12"/>
        <v>1404.9</v>
      </c>
      <c r="AY7" s="342"/>
      <c r="AZ7" s="342">
        <f t="shared" si="13"/>
        <v>0</v>
      </c>
      <c r="BA7" s="342"/>
      <c r="BB7" s="186">
        <v>80</v>
      </c>
      <c r="BC7" s="185">
        <f t="shared" si="14"/>
        <v>1484.9</v>
      </c>
      <c r="BD7" s="187"/>
      <c r="BE7" s="203"/>
      <c r="BF7" s="203"/>
      <c r="BG7" s="203"/>
      <c r="BH7" s="203"/>
    </row>
    <row r="8" spans="1:60" s="134" customFormat="1" ht="18" customHeight="1">
      <c r="A8" s="141"/>
      <c r="B8" s="121" t="s">
        <v>74</v>
      </c>
      <c r="C8" s="111" t="s">
        <v>85</v>
      </c>
      <c r="D8" s="120" t="s">
        <v>76</v>
      </c>
      <c r="E8" s="121" t="s">
        <v>86</v>
      </c>
      <c r="F8" s="122" t="s">
        <v>87</v>
      </c>
      <c r="G8" s="281" t="s">
        <v>88</v>
      </c>
      <c r="H8" s="120" t="s">
        <v>80</v>
      </c>
      <c r="I8" s="120" t="s">
        <v>89</v>
      </c>
      <c r="J8" s="120" t="s">
        <v>84</v>
      </c>
      <c r="K8" s="120" t="s">
        <v>89</v>
      </c>
      <c r="L8" s="141">
        <v>3803</v>
      </c>
      <c r="M8" s="141">
        <v>0.14000000000000001</v>
      </c>
      <c r="N8" s="141">
        <f t="shared" si="0"/>
        <v>532.41999999999996</v>
      </c>
      <c r="O8" s="141">
        <v>0.08</v>
      </c>
      <c r="P8" s="141">
        <f t="shared" si="1"/>
        <v>304.24</v>
      </c>
      <c r="Q8" s="141">
        <v>6175</v>
      </c>
      <c r="R8" s="141">
        <v>5.5E-2</v>
      </c>
      <c r="S8" s="141">
        <f t="shared" si="2"/>
        <v>339.63</v>
      </c>
      <c r="T8" s="141">
        <v>0.02</v>
      </c>
      <c r="U8" s="141">
        <f t="shared" si="3"/>
        <v>123.5</v>
      </c>
      <c r="V8" s="141">
        <v>3803</v>
      </c>
      <c r="W8" s="141">
        <v>3.2000000000000002E-3</v>
      </c>
      <c r="X8" s="141">
        <f t="shared" si="4"/>
        <v>12.17</v>
      </c>
      <c r="Y8" s="141">
        <v>2E-3</v>
      </c>
      <c r="Z8" s="141">
        <f t="shared" si="5"/>
        <v>7.61</v>
      </c>
      <c r="AA8" s="141">
        <v>6175</v>
      </c>
      <c r="AB8" s="141">
        <v>8.5000000000000006E-3</v>
      </c>
      <c r="AC8" s="141">
        <f t="shared" si="15"/>
        <v>52.49</v>
      </c>
      <c r="AD8" s="141">
        <v>3803</v>
      </c>
      <c r="AE8" s="141">
        <v>1.6000000000000001E-3</v>
      </c>
      <c r="AF8" s="141">
        <f t="shared" si="6"/>
        <v>6.08</v>
      </c>
      <c r="AG8" s="141"/>
      <c r="AH8" s="141"/>
      <c r="AI8" s="141"/>
      <c r="AJ8" s="141"/>
      <c r="AK8" s="141"/>
      <c r="AL8" s="172"/>
      <c r="AM8" s="141"/>
      <c r="AN8" s="141"/>
      <c r="AO8" s="141"/>
      <c r="AP8" s="121"/>
      <c r="AQ8" s="176">
        <v>26.76</v>
      </c>
      <c r="AR8" s="141"/>
      <c r="AS8" s="177">
        <f t="shared" si="7"/>
        <v>969.55</v>
      </c>
      <c r="AT8" s="177">
        <f t="shared" si="8"/>
        <v>435.35</v>
      </c>
      <c r="AU8" s="177">
        <f t="shared" si="9"/>
        <v>0</v>
      </c>
      <c r="AV8" s="177">
        <f t="shared" si="10"/>
        <v>0</v>
      </c>
      <c r="AW8" s="177">
        <f t="shared" si="11"/>
        <v>1404.9</v>
      </c>
      <c r="AX8" s="342">
        <f t="shared" si="12"/>
        <v>1404.9</v>
      </c>
      <c r="AY8" s="342"/>
      <c r="AZ8" s="342">
        <f t="shared" si="13"/>
        <v>0</v>
      </c>
      <c r="BA8" s="342"/>
      <c r="BB8" s="186">
        <v>80</v>
      </c>
      <c r="BC8" s="185">
        <f t="shared" si="14"/>
        <v>1484.9</v>
      </c>
      <c r="BD8" s="187"/>
      <c r="BE8" s="203"/>
      <c r="BF8" s="203"/>
      <c r="BG8" s="203"/>
      <c r="BH8" s="203"/>
    </row>
    <row r="9" spans="1:60" s="207" customFormat="1" ht="18" customHeight="1">
      <c r="A9" s="208" t="s">
        <v>90</v>
      </c>
      <c r="B9" s="209" t="s">
        <v>74</v>
      </c>
      <c r="C9" s="106" t="s">
        <v>85</v>
      </c>
      <c r="D9" s="210" t="s">
        <v>76</v>
      </c>
      <c r="E9" s="209" t="s">
        <v>86</v>
      </c>
      <c r="F9" s="211" t="s">
        <v>87</v>
      </c>
      <c r="G9" s="282" t="s">
        <v>88</v>
      </c>
      <c r="H9" s="210" t="s">
        <v>80</v>
      </c>
      <c r="I9" s="210" t="s">
        <v>89</v>
      </c>
      <c r="J9" s="210" t="s">
        <v>91</v>
      </c>
      <c r="K9" s="210" t="s">
        <v>89</v>
      </c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13">
        <f t="shared" ref="AD9:AD11" si="16">3803-3000</f>
        <v>803</v>
      </c>
      <c r="AE9" s="213">
        <v>1.6000000000000001E-3</v>
      </c>
      <c r="AF9" s="213">
        <f t="shared" si="6"/>
        <v>1.28</v>
      </c>
      <c r="AG9" s="208"/>
      <c r="AH9" s="208"/>
      <c r="AI9" s="208"/>
      <c r="AJ9" s="208"/>
      <c r="AK9" s="208"/>
      <c r="AL9" s="214"/>
      <c r="AM9" s="208"/>
      <c r="AN9" s="208"/>
      <c r="AO9" s="208"/>
      <c r="AP9" s="209"/>
      <c r="AQ9" s="215"/>
      <c r="AR9" s="208"/>
      <c r="AS9" s="216">
        <f t="shared" si="7"/>
        <v>1.28</v>
      </c>
      <c r="AT9" s="216">
        <f t="shared" si="8"/>
        <v>0</v>
      </c>
      <c r="AU9" s="216">
        <f t="shared" si="9"/>
        <v>0</v>
      </c>
      <c r="AV9" s="216">
        <f t="shared" si="10"/>
        <v>0</v>
      </c>
      <c r="AW9" s="216">
        <f t="shared" si="11"/>
        <v>1.28</v>
      </c>
      <c r="AX9" s="343">
        <f t="shared" si="12"/>
        <v>1.28</v>
      </c>
      <c r="AY9" s="343"/>
      <c r="AZ9" s="343"/>
      <c r="BA9" s="343"/>
      <c r="BB9" s="218"/>
      <c r="BC9" s="217">
        <f t="shared" si="14"/>
        <v>1.28</v>
      </c>
      <c r="BD9" s="219" t="s">
        <v>92</v>
      </c>
      <c r="BE9" s="220"/>
      <c r="BF9" s="220"/>
      <c r="BG9" s="220"/>
      <c r="BH9" s="220"/>
    </row>
    <row r="10" spans="1:60" s="207" customFormat="1" ht="18" customHeight="1">
      <c r="A10" s="208" t="s">
        <v>90</v>
      </c>
      <c r="B10" s="209" t="s">
        <v>74</v>
      </c>
      <c r="C10" s="106" t="s">
        <v>85</v>
      </c>
      <c r="D10" s="210" t="s">
        <v>76</v>
      </c>
      <c r="E10" s="209" t="s">
        <v>86</v>
      </c>
      <c r="F10" s="211" t="s">
        <v>87</v>
      </c>
      <c r="G10" s="282" t="s">
        <v>88</v>
      </c>
      <c r="H10" s="210" t="s">
        <v>80</v>
      </c>
      <c r="I10" s="210" t="s">
        <v>89</v>
      </c>
      <c r="J10" s="210" t="s">
        <v>93</v>
      </c>
      <c r="K10" s="210" t="s">
        <v>89</v>
      </c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13">
        <f t="shared" si="16"/>
        <v>803</v>
      </c>
      <c r="AE10" s="213">
        <v>1.6000000000000001E-3</v>
      </c>
      <c r="AF10" s="213">
        <f t="shared" si="6"/>
        <v>1.28</v>
      </c>
      <c r="AG10" s="208"/>
      <c r="AH10" s="208"/>
      <c r="AI10" s="208"/>
      <c r="AJ10" s="208"/>
      <c r="AK10" s="208"/>
      <c r="AL10" s="214"/>
      <c r="AM10" s="208"/>
      <c r="AN10" s="208"/>
      <c r="AO10" s="208"/>
      <c r="AP10" s="209"/>
      <c r="AQ10" s="215"/>
      <c r="AR10" s="208"/>
      <c r="AS10" s="216">
        <f t="shared" si="7"/>
        <v>1.28</v>
      </c>
      <c r="AT10" s="216">
        <f t="shared" si="8"/>
        <v>0</v>
      </c>
      <c r="AU10" s="216">
        <f t="shared" si="9"/>
        <v>0</v>
      </c>
      <c r="AV10" s="216">
        <f t="shared" si="10"/>
        <v>0</v>
      </c>
      <c r="AW10" s="216">
        <f t="shared" si="11"/>
        <v>1.28</v>
      </c>
      <c r="AX10" s="343">
        <f t="shared" si="12"/>
        <v>1.28</v>
      </c>
      <c r="AY10" s="343"/>
      <c r="AZ10" s="343"/>
      <c r="BA10" s="343"/>
      <c r="BB10" s="218"/>
      <c r="BC10" s="217">
        <f t="shared" si="14"/>
        <v>1.28</v>
      </c>
      <c r="BD10" s="219" t="s">
        <v>92</v>
      </c>
      <c r="BE10" s="220"/>
      <c r="BF10" s="220"/>
      <c r="BG10" s="220"/>
      <c r="BH10" s="220"/>
    </row>
    <row r="11" spans="1:60" s="207" customFormat="1" ht="18" customHeight="1">
      <c r="A11" s="208" t="s">
        <v>90</v>
      </c>
      <c r="B11" s="209" t="s">
        <v>74</v>
      </c>
      <c r="C11" s="106" t="s">
        <v>85</v>
      </c>
      <c r="D11" s="210" t="s">
        <v>76</v>
      </c>
      <c r="E11" s="209" t="s">
        <v>86</v>
      </c>
      <c r="F11" s="211" t="s">
        <v>87</v>
      </c>
      <c r="G11" s="282" t="s">
        <v>88</v>
      </c>
      <c r="H11" s="210" t="s">
        <v>80</v>
      </c>
      <c r="I11" s="210" t="s">
        <v>89</v>
      </c>
      <c r="J11" s="210" t="s">
        <v>94</v>
      </c>
      <c r="K11" s="210" t="s">
        <v>89</v>
      </c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13">
        <f t="shared" si="16"/>
        <v>803</v>
      </c>
      <c r="AE11" s="213">
        <v>1.6000000000000001E-3</v>
      </c>
      <c r="AF11" s="213">
        <f t="shared" si="6"/>
        <v>1.28</v>
      </c>
      <c r="AG11" s="208"/>
      <c r="AH11" s="208"/>
      <c r="AI11" s="208"/>
      <c r="AJ11" s="208"/>
      <c r="AK11" s="208"/>
      <c r="AL11" s="214"/>
      <c r="AM11" s="208"/>
      <c r="AN11" s="208"/>
      <c r="AO11" s="208"/>
      <c r="AP11" s="209"/>
      <c r="AQ11" s="215"/>
      <c r="AR11" s="208"/>
      <c r="AS11" s="216">
        <f t="shared" si="7"/>
        <v>1.28</v>
      </c>
      <c r="AT11" s="216">
        <f t="shared" si="8"/>
        <v>0</v>
      </c>
      <c r="AU11" s="216">
        <f t="shared" si="9"/>
        <v>0</v>
      </c>
      <c r="AV11" s="216">
        <f t="shared" si="10"/>
        <v>0</v>
      </c>
      <c r="AW11" s="216">
        <f t="shared" si="11"/>
        <v>1.28</v>
      </c>
      <c r="AX11" s="343">
        <f t="shared" si="12"/>
        <v>1.28</v>
      </c>
      <c r="AY11" s="343"/>
      <c r="AZ11" s="343"/>
      <c r="BA11" s="343"/>
      <c r="BB11" s="218"/>
      <c r="BC11" s="217">
        <f t="shared" si="14"/>
        <v>1.28</v>
      </c>
      <c r="BD11" s="219" t="s">
        <v>92</v>
      </c>
      <c r="BE11" s="220"/>
      <c r="BF11" s="220"/>
      <c r="BG11" s="220"/>
      <c r="BH11" s="220"/>
    </row>
    <row r="12" spans="1:60" s="134" customFormat="1" ht="18" customHeight="1">
      <c r="A12" s="141">
        <v>3</v>
      </c>
      <c r="B12" s="121" t="s">
        <v>74</v>
      </c>
      <c r="C12" s="111" t="s">
        <v>95</v>
      </c>
      <c r="D12" s="120" t="s">
        <v>76</v>
      </c>
      <c r="E12" s="121" t="s">
        <v>86</v>
      </c>
      <c r="F12" s="122" t="s">
        <v>96</v>
      </c>
      <c r="G12" s="123" t="s">
        <v>97</v>
      </c>
      <c r="H12" s="120" t="s">
        <v>98</v>
      </c>
      <c r="I12" s="120" t="s">
        <v>98</v>
      </c>
      <c r="J12" s="120" t="s">
        <v>83</v>
      </c>
      <c r="K12" s="120" t="s">
        <v>83</v>
      </c>
      <c r="L12" s="141">
        <v>3053.05</v>
      </c>
      <c r="M12" s="141">
        <v>0.16</v>
      </c>
      <c r="N12" s="141">
        <f t="shared" ref="N12:N15" si="17">ROUND(L12*M12,2)</f>
        <v>488.49</v>
      </c>
      <c r="O12" s="141">
        <v>0.08</v>
      </c>
      <c r="P12" s="141">
        <f t="shared" ref="P12:P15" si="18">ROUND(L12*O12,2)</f>
        <v>244.24</v>
      </c>
      <c r="Q12" s="141">
        <v>3053.05</v>
      </c>
      <c r="R12" s="141">
        <v>0.06</v>
      </c>
      <c r="S12" s="141">
        <f t="shared" ref="S12:S15" si="19">ROUND(Q12*R12,2)</f>
        <v>183.18</v>
      </c>
      <c r="T12" s="141">
        <v>0.02</v>
      </c>
      <c r="U12" s="141">
        <f t="shared" ref="U12:U15" si="20">ROUND(Q12*T12,2)</f>
        <v>61.06</v>
      </c>
      <c r="V12" s="141">
        <v>3053.05</v>
      </c>
      <c r="W12" s="141">
        <v>7.0000000000000001E-3</v>
      </c>
      <c r="X12" s="141">
        <f t="shared" ref="X12:X15" si="21">ROUND(V12*W12,2)</f>
        <v>21.37</v>
      </c>
      <c r="Y12" s="141">
        <v>3.0000000000000001E-3</v>
      </c>
      <c r="Z12" s="141">
        <f t="shared" ref="Z12:Z15" si="22">ROUND(V12*Y12,2)</f>
        <v>9.16</v>
      </c>
      <c r="AA12" s="141">
        <v>3053.05</v>
      </c>
      <c r="AB12" s="141">
        <v>7.0000000000000001E-3</v>
      </c>
      <c r="AC12" s="141">
        <f t="shared" ref="AC12:AC15" si="23">ROUND(AA12*AB12,2)</f>
        <v>21.37</v>
      </c>
      <c r="AD12" s="141">
        <v>3053.05</v>
      </c>
      <c r="AE12" s="141">
        <v>2E-3</v>
      </c>
      <c r="AF12" s="141">
        <f t="shared" si="6"/>
        <v>6.11</v>
      </c>
      <c r="AG12" s="141" t="s">
        <v>99</v>
      </c>
      <c r="AH12" s="141">
        <v>0.05</v>
      </c>
      <c r="AI12" s="141">
        <f t="shared" ref="AI12:AI15" si="24">ROUND(AG12*AH12,2)</f>
        <v>79</v>
      </c>
      <c r="AJ12" s="141">
        <v>0.05</v>
      </c>
      <c r="AK12" s="141">
        <f t="shared" ref="AK12:AK15" si="25">ROUND(AG12*AJ12,2)</f>
        <v>79</v>
      </c>
      <c r="AL12" s="172"/>
      <c r="AM12" s="141"/>
      <c r="AN12" s="141"/>
      <c r="AO12" s="141"/>
      <c r="AP12" s="121"/>
      <c r="AQ12" s="176"/>
      <c r="AR12" s="141">
        <v>96</v>
      </c>
      <c r="AS12" s="177">
        <f t="shared" si="7"/>
        <v>720.52</v>
      </c>
      <c r="AT12" s="177">
        <f t="shared" si="8"/>
        <v>314.45999999999998</v>
      </c>
      <c r="AU12" s="177">
        <f t="shared" si="9"/>
        <v>79</v>
      </c>
      <c r="AV12" s="177">
        <f t="shared" si="10"/>
        <v>79</v>
      </c>
      <c r="AW12" s="177">
        <f t="shared" si="11"/>
        <v>1192.98</v>
      </c>
      <c r="AX12" s="342">
        <f t="shared" si="12"/>
        <v>1034.98</v>
      </c>
      <c r="AY12" s="342"/>
      <c r="AZ12" s="342">
        <f t="shared" ref="AZ12:AZ15" si="26">AU12+AV12</f>
        <v>158</v>
      </c>
      <c r="BA12" s="342"/>
      <c r="BB12" s="186">
        <v>80</v>
      </c>
      <c r="BC12" s="185">
        <f t="shared" si="14"/>
        <v>1272.98</v>
      </c>
      <c r="BD12" s="187"/>
      <c r="BE12" s="203"/>
      <c r="BF12" s="203"/>
      <c r="BG12" s="203"/>
      <c r="BH12" s="203"/>
    </row>
    <row r="13" spans="1:60" s="134" customFormat="1" ht="18" customHeight="1">
      <c r="A13" s="141"/>
      <c r="B13" s="121" t="s">
        <v>74</v>
      </c>
      <c r="C13" s="111" t="s">
        <v>95</v>
      </c>
      <c r="D13" s="120" t="s">
        <v>76</v>
      </c>
      <c r="E13" s="121" t="s">
        <v>86</v>
      </c>
      <c r="F13" s="122" t="s">
        <v>96</v>
      </c>
      <c r="G13" s="123" t="s">
        <v>97</v>
      </c>
      <c r="H13" s="120" t="s">
        <v>98</v>
      </c>
      <c r="I13" s="120" t="s">
        <v>98</v>
      </c>
      <c r="J13" s="120" t="s">
        <v>84</v>
      </c>
      <c r="K13" s="120" t="s">
        <v>84</v>
      </c>
      <c r="L13" s="141">
        <v>3053.05</v>
      </c>
      <c r="M13" s="141">
        <v>0.16</v>
      </c>
      <c r="N13" s="141">
        <f t="shared" si="17"/>
        <v>488.49</v>
      </c>
      <c r="O13" s="141">
        <v>0.08</v>
      </c>
      <c r="P13" s="141">
        <f t="shared" si="18"/>
        <v>244.24</v>
      </c>
      <c r="Q13" s="141">
        <v>3053.05</v>
      </c>
      <c r="R13" s="141">
        <v>0.06</v>
      </c>
      <c r="S13" s="141">
        <f t="shared" si="19"/>
        <v>183.18</v>
      </c>
      <c r="T13" s="141">
        <v>0.02</v>
      </c>
      <c r="U13" s="141">
        <f t="shared" si="20"/>
        <v>61.06</v>
      </c>
      <c r="V13" s="141">
        <v>3053.05</v>
      </c>
      <c r="W13" s="141">
        <v>7.0000000000000001E-3</v>
      </c>
      <c r="X13" s="141">
        <f t="shared" si="21"/>
        <v>21.37</v>
      </c>
      <c r="Y13" s="141">
        <v>3.0000000000000001E-3</v>
      </c>
      <c r="Z13" s="141">
        <f t="shared" si="22"/>
        <v>9.16</v>
      </c>
      <c r="AA13" s="141">
        <v>3053.05</v>
      </c>
      <c r="AB13" s="141">
        <v>7.0000000000000001E-3</v>
      </c>
      <c r="AC13" s="141">
        <f t="shared" si="23"/>
        <v>21.37</v>
      </c>
      <c r="AD13" s="141">
        <v>3053.05</v>
      </c>
      <c r="AE13" s="141">
        <v>2E-3</v>
      </c>
      <c r="AF13" s="141">
        <f t="shared" si="6"/>
        <v>6.11</v>
      </c>
      <c r="AG13" s="141" t="s">
        <v>99</v>
      </c>
      <c r="AH13" s="141">
        <v>0.05</v>
      </c>
      <c r="AI13" s="141">
        <f t="shared" si="24"/>
        <v>79</v>
      </c>
      <c r="AJ13" s="141">
        <v>0.05</v>
      </c>
      <c r="AK13" s="141">
        <f t="shared" si="25"/>
        <v>79</v>
      </c>
      <c r="AL13" s="172"/>
      <c r="AM13" s="141"/>
      <c r="AN13" s="141"/>
      <c r="AO13" s="141"/>
      <c r="AP13" s="121"/>
      <c r="AQ13" s="176"/>
      <c r="AR13" s="176"/>
      <c r="AS13" s="177">
        <f t="shared" si="7"/>
        <v>720.52</v>
      </c>
      <c r="AT13" s="177">
        <f t="shared" si="8"/>
        <v>314.45999999999998</v>
      </c>
      <c r="AU13" s="177">
        <f t="shared" si="9"/>
        <v>79</v>
      </c>
      <c r="AV13" s="177">
        <f t="shared" si="10"/>
        <v>79</v>
      </c>
      <c r="AW13" s="177">
        <f t="shared" si="11"/>
        <v>1192.98</v>
      </c>
      <c r="AX13" s="342">
        <f t="shared" si="12"/>
        <v>1034.98</v>
      </c>
      <c r="AY13" s="342"/>
      <c r="AZ13" s="342">
        <f t="shared" si="26"/>
        <v>158</v>
      </c>
      <c r="BA13" s="342"/>
      <c r="BB13" s="186">
        <v>80</v>
      </c>
      <c r="BC13" s="185">
        <f t="shared" si="14"/>
        <v>1272.98</v>
      </c>
      <c r="BD13" s="187"/>
      <c r="BE13" s="203"/>
      <c r="BF13" s="203"/>
      <c r="BG13" s="203"/>
      <c r="BH13" s="203"/>
    </row>
    <row r="14" spans="1:60" s="134" customFormat="1" ht="18" customHeight="1">
      <c r="A14" s="141"/>
      <c r="B14" s="121" t="s">
        <v>74</v>
      </c>
      <c r="C14" s="111" t="s">
        <v>95</v>
      </c>
      <c r="D14" s="120" t="s">
        <v>76</v>
      </c>
      <c r="E14" s="121" t="s">
        <v>86</v>
      </c>
      <c r="F14" s="122" t="s">
        <v>96</v>
      </c>
      <c r="G14" s="123" t="s">
        <v>97</v>
      </c>
      <c r="H14" s="120" t="s">
        <v>98</v>
      </c>
      <c r="I14" s="120" t="s">
        <v>98</v>
      </c>
      <c r="J14" s="120" t="s">
        <v>100</v>
      </c>
      <c r="K14" s="120" t="s">
        <v>100</v>
      </c>
      <c r="L14" s="141">
        <v>3053.05</v>
      </c>
      <c r="M14" s="141">
        <v>0.16</v>
      </c>
      <c r="N14" s="141">
        <f t="shared" si="17"/>
        <v>488.49</v>
      </c>
      <c r="O14" s="141">
        <v>0.08</v>
      </c>
      <c r="P14" s="141">
        <f t="shared" si="18"/>
        <v>244.24</v>
      </c>
      <c r="Q14" s="141">
        <v>3053.05</v>
      </c>
      <c r="R14" s="141">
        <v>0.06</v>
      </c>
      <c r="S14" s="141">
        <f t="shared" si="19"/>
        <v>183.18</v>
      </c>
      <c r="T14" s="141">
        <v>0.02</v>
      </c>
      <c r="U14" s="141">
        <f t="shared" si="20"/>
        <v>61.06</v>
      </c>
      <c r="V14" s="141">
        <v>3053.05</v>
      </c>
      <c r="W14" s="141">
        <v>7.0000000000000001E-3</v>
      </c>
      <c r="X14" s="141">
        <f t="shared" si="21"/>
        <v>21.37</v>
      </c>
      <c r="Y14" s="141">
        <v>3.0000000000000001E-3</v>
      </c>
      <c r="Z14" s="141">
        <f t="shared" si="22"/>
        <v>9.16</v>
      </c>
      <c r="AA14" s="141">
        <v>3053.05</v>
      </c>
      <c r="AB14" s="141">
        <v>7.0000000000000001E-3</v>
      </c>
      <c r="AC14" s="141">
        <f t="shared" si="23"/>
        <v>21.37</v>
      </c>
      <c r="AD14" s="141">
        <v>3053.05</v>
      </c>
      <c r="AE14" s="141">
        <v>2E-3</v>
      </c>
      <c r="AF14" s="141">
        <f t="shared" si="6"/>
        <v>6.11</v>
      </c>
      <c r="AG14" s="141" t="s">
        <v>99</v>
      </c>
      <c r="AH14" s="141">
        <v>0.05</v>
      </c>
      <c r="AI14" s="141">
        <f t="shared" si="24"/>
        <v>79</v>
      </c>
      <c r="AJ14" s="141">
        <v>0.05</v>
      </c>
      <c r="AK14" s="141">
        <f t="shared" si="25"/>
        <v>79</v>
      </c>
      <c r="AL14" s="172"/>
      <c r="AM14" s="141"/>
      <c r="AN14" s="141"/>
      <c r="AO14" s="141"/>
      <c r="AP14" s="121"/>
      <c r="AQ14" s="176"/>
      <c r="AR14" s="176"/>
      <c r="AS14" s="177">
        <f t="shared" si="7"/>
        <v>720.52</v>
      </c>
      <c r="AT14" s="177">
        <f t="shared" si="8"/>
        <v>314.45999999999998</v>
      </c>
      <c r="AU14" s="177">
        <f t="shared" si="9"/>
        <v>79</v>
      </c>
      <c r="AV14" s="177">
        <f t="shared" si="10"/>
        <v>79</v>
      </c>
      <c r="AW14" s="177">
        <f t="shared" si="11"/>
        <v>1192.98</v>
      </c>
      <c r="AX14" s="342">
        <f t="shared" si="12"/>
        <v>1034.98</v>
      </c>
      <c r="AY14" s="342"/>
      <c r="AZ14" s="342">
        <f t="shared" si="26"/>
        <v>158</v>
      </c>
      <c r="BA14" s="342"/>
      <c r="BB14" s="186">
        <v>80</v>
      </c>
      <c r="BC14" s="185">
        <f t="shared" si="14"/>
        <v>1272.98</v>
      </c>
      <c r="BD14" s="187"/>
      <c r="BE14" s="203"/>
      <c r="BF14" s="203"/>
      <c r="BG14" s="203"/>
      <c r="BH14" s="203"/>
    </row>
    <row r="15" spans="1:60" s="207" customFormat="1" ht="18" customHeight="1">
      <c r="A15" s="208" t="s">
        <v>90</v>
      </c>
      <c r="B15" s="209" t="s">
        <v>74</v>
      </c>
      <c r="C15" s="106" t="s">
        <v>95</v>
      </c>
      <c r="D15" s="210" t="s">
        <v>76</v>
      </c>
      <c r="E15" s="209" t="s">
        <v>86</v>
      </c>
      <c r="F15" s="211" t="s">
        <v>96</v>
      </c>
      <c r="G15" s="212" t="s">
        <v>97</v>
      </c>
      <c r="H15" s="210" t="s">
        <v>98</v>
      </c>
      <c r="I15" s="210" t="s">
        <v>98</v>
      </c>
      <c r="J15" s="210" t="s">
        <v>98</v>
      </c>
      <c r="K15" s="210" t="s">
        <v>98</v>
      </c>
      <c r="L15" s="208">
        <v>3053.05</v>
      </c>
      <c r="M15" s="208">
        <v>0.16</v>
      </c>
      <c r="N15" s="208">
        <f t="shared" si="17"/>
        <v>488.49</v>
      </c>
      <c r="O15" s="208">
        <v>0.08</v>
      </c>
      <c r="P15" s="208">
        <f t="shared" si="18"/>
        <v>244.24</v>
      </c>
      <c r="Q15" s="208">
        <v>3053.05</v>
      </c>
      <c r="R15" s="208">
        <v>0.06</v>
      </c>
      <c r="S15" s="208">
        <f t="shared" si="19"/>
        <v>183.18</v>
      </c>
      <c r="T15" s="208">
        <v>0.02</v>
      </c>
      <c r="U15" s="208">
        <f t="shared" si="20"/>
        <v>61.06</v>
      </c>
      <c r="V15" s="208">
        <v>3053.05</v>
      </c>
      <c r="W15" s="208">
        <v>7.0000000000000001E-3</v>
      </c>
      <c r="X15" s="208">
        <f t="shared" si="21"/>
        <v>21.37</v>
      </c>
      <c r="Y15" s="208">
        <v>3.0000000000000001E-3</v>
      </c>
      <c r="Z15" s="208">
        <f t="shared" si="22"/>
        <v>9.16</v>
      </c>
      <c r="AA15" s="208">
        <v>3053.05</v>
      </c>
      <c r="AB15" s="208">
        <v>7.0000000000000001E-3</v>
      </c>
      <c r="AC15" s="208">
        <f t="shared" si="23"/>
        <v>21.37</v>
      </c>
      <c r="AD15" s="208">
        <v>3053.05</v>
      </c>
      <c r="AE15" s="208">
        <v>2E-3</v>
      </c>
      <c r="AF15" s="208">
        <f t="shared" si="6"/>
        <v>6.11</v>
      </c>
      <c r="AG15" s="208" t="s">
        <v>99</v>
      </c>
      <c r="AH15" s="208">
        <v>0.05</v>
      </c>
      <c r="AI15" s="208">
        <f t="shared" si="24"/>
        <v>79</v>
      </c>
      <c r="AJ15" s="208">
        <v>0.05</v>
      </c>
      <c r="AK15" s="208">
        <f t="shared" si="25"/>
        <v>79</v>
      </c>
      <c r="AL15" s="214"/>
      <c r="AM15" s="208"/>
      <c r="AN15" s="208"/>
      <c r="AO15" s="208"/>
      <c r="AP15" s="209"/>
      <c r="AQ15" s="215"/>
      <c r="AR15" s="215"/>
      <c r="AS15" s="216">
        <f t="shared" si="7"/>
        <v>720.52</v>
      </c>
      <c r="AT15" s="216">
        <f t="shared" si="8"/>
        <v>314.45999999999998</v>
      </c>
      <c r="AU15" s="216">
        <f t="shared" si="9"/>
        <v>79</v>
      </c>
      <c r="AV15" s="216">
        <f t="shared" si="10"/>
        <v>79</v>
      </c>
      <c r="AW15" s="216">
        <f t="shared" si="11"/>
        <v>1192.98</v>
      </c>
      <c r="AX15" s="343">
        <f t="shared" si="12"/>
        <v>1034.98</v>
      </c>
      <c r="AY15" s="343"/>
      <c r="AZ15" s="343">
        <f t="shared" si="26"/>
        <v>158</v>
      </c>
      <c r="BA15" s="343"/>
      <c r="BB15" s="218">
        <v>80</v>
      </c>
      <c r="BC15" s="217">
        <f t="shared" si="14"/>
        <v>1272.98</v>
      </c>
      <c r="BD15" s="219"/>
      <c r="BE15" s="220"/>
      <c r="BF15" s="220"/>
      <c r="BG15" s="220"/>
      <c r="BH15" s="220"/>
    </row>
    <row r="16" spans="1:60" s="136" customFormat="1" ht="18" customHeight="1">
      <c r="A16" s="148"/>
      <c r="B16" s="149"/>
      <c r="C16" s="150"/>
      <c r="D16" s="151"/>
      <c r="E16" s="152"/>
      <c r="F16" s="153"/>
      <c r="G16" s="154"/>
      <c r="H16" s="155"/>
      <c r="I16" s="151"/>
      <c r="J16" s="155"/>
      <c r="K16" s="155"/>
      <c r="L16" s="167"/>
      <c r="M16" s="167"/>
      <c r="N16" s="168"/>
      <c r="O16" s="167"/>
      <c r="P16" s="167"/>
      <c r="Q16" s="167"/>
      <c r="R16" s="167"/>
      <c r="S16" s="167"/>
      <c r="T16" s="167"/>
      <c r="U16" s="167"/>
      <c r="V16" s="170"/>
      <c r="W16" s="170"/>
      <c r="X16" s="171"/>
      <c r="Y16" s="170"/>
      <c r="Z16" s="167"/>
      <c r="AA16" s="167"/>
      <c r="AB16" s="167"/>
      <c r="AC16" s="167"/>
      <c r="AD16" s="167"/>
      <c r="AE16" s="167"/>
      <c r="AF16" s="168"/>
      <c r="AG16" s="167"/>
      <c r="AH16" s="167"/>
      <c r="AI16" s="167"/>
      <c r="AJ16" s="167"/>
      <c r="AK16" s="167"/>
      <c r="AL16" s="174"/>
      <c r="AM16" s="167"/>
      <c r="AN16" s="167"/>
      <c r="AO16" s="167"/>
      <c r="AP16" s="180"/>
      <c r="AQ16" s="181"/>
      <c r="AR16" s="167"/>
      <c r="AS16" s="182"/>
      <c r="AT16" s="182"/>
      <c r="AU16" s="182"/>
      <c r="AV16" s="182"/>
      <c r="AW16" s="182"/>
      <c r="AX16" s="191"/>
      <c r="AY16" s="192"/>
      <c r="AZ16" s="191"/>
      <c r="BA16" s="192"/>
      <c r="BB16" s="193"/>
      <c r="BC16" s="191"/>
      <c r="BD16" s="195"/>
      <c r="BE16" s="133"/>
      <c r="BF16" s="133"/>
      <c r="BG16" s="133"/>
      <c r="BH16" s="133"/>
    </row>
    <row r="17" spans="1:56" ht="14.25">
      <c r="A17" s="156" t="s">
        <v>101</v>
      </c>
      <c r="B17" s="157"/>
      <c r="C17" s="158"/>
      <c r="D17" s="158"/>
      <c r="E17" s="159"/>
      <c r="F17" s="158"/>
      <c r="G17" s="158"/>
      <c r="H17" s="158"/>
      <c r="I17" s="158"/>
      <c r="J17" s="158"/>
      <c r="K17" s="158"/>
      <c r="L17" s="159">
        <f t="shared" ref="L17:BC17" si="27">SUM(L3:L15)</f>
        <v>33521.199999999997</v>
      </c>
      <c r="M17" s="159">
        <f t="shared" si="27"/>
        <v>1.54</v>
      </c>
      <c r="N17" s="159">
        <f t="shared" si="27"/>
        <v>5135.22</v>
      </c>
      <c r="O17" s="159">
        <f t="shared" si="27"/>
        <v>0.8</v>
      </c>
      <c r="P17" s="159">
        <f t="shared" si="27"/>
        <v>2681.68</v>
      </c>
      <c r="Q17" s="159">
        <f t="shared" si="27"/>
        <v>40637.199999999997</v>
      </c>
      <c r="R17" s="159">
        <f t="shared" si="27"/>
        <v>0.64500000000000002</v>
      </c>
      <c r="S17" s="159">
        <f t="shared" si="27"/>
        <v>2543.61</v>
      </c>
      <c r="T17" s="159">
        <f t="shared" si="27"/>
        <v>0.2</v>
      </c>
      <c r="U17" s="159">
        <f t="shared" si="27"/>
        <v>812.74</v>
      </c>
      <c r="V17" s="159">
        <f t="shared" si="27"/>
        <v>33521.199999999997</v>
      </c>
      <c r="W17" s="159">
        <f t="shared" si="27"/>
        <v>5.8599999999999999E-2</v>
      </c>
      <c r="X17" s="159">
        <f t="shared" si="27"/>
        <v>191.29</v>
      </c>
      <c r="Y17" s="159">
        <f t="shared" si="27"/>
        <v>2.7E-2</v>
      </c>
      <c r="Z17" s="159">
        <f t="shared" si="27"/>
        <v>89.17</v>
      </c>
      <c r="AA17" s="159">
        <f t="shared" si="27"/>
        <v>30737.200000000001</v>
      </c>
      <c r="AB17" s="159">
        <f t="shared" si="27"/>
        <v>5.3499999999999999E-2</v>
      </c>
      <c r="AC17" s="159">
        <f t="shared" si="27"/>
        <v>242.95</v>
      </c>
      <c r="AD17" s="159">
        <f t="shared" si="27"/>
        <v>35930.199999999997</v>
      </c>
      <c r="AE17" s="159">
        <f t="shared" si="27"/>
        <v>2.3599999999999999E-2</v>
      </c>
      <c r="AF17" s="159">
        <f t="shared" si="27"/>
        <v>66.319999999999993</v>
      </c>
      <c r="AG17" s="159">
        <f t="shared" si="27"/>
        <v>9000</v>
      </c>
      <c r="AH17" s="159">
        <f t="shared" si="27"/>
        <v>0.5</v>
      </c>
      <c r="AI17" s="159">
        <f t="shared" si="27"/>
        <v>1216</v>
      </c>
      <c r="AJ17" s="159">
        <f t="shared" si="27"/>
        <v>0.38</v>
      </c>
      <c r="AK17" s="159">
        <f t="shared" si="27"/>
        <v>856</v>
      </c>
      <c r="AL17" s="159">
        <f t="shared" si="27"/>
        <v>0</v>
      </c>
      <c r="AM17" s="159">
        <f t="shared" si="27"/>
        <v>0</v>
      </c>
      <c r="AN17" s="159">
        <f t="shared" si="27"/>
        <v>0</v>
      </c>
      <c r="AO17" s="159">
        <f t="shared" si="27"/>
        <v>0</v>
      </c>
      <c r="AP17" s="159">
        <f t="shared" si="27"/>
        <v>0</v>
      </c>
      <c r="AQ17" s="159">
        <f t="shared" si="27"/>
        <v>95.28</v>
      </c>
      <c r="AR17" s="159">
        <f t="shared" si="27"/>
        <v>96</v>
      </c>
      <c r="AS17" s="159">
        <f t="shared" si="27"/>
        <v>8274.67</v>
      </c>
      <c r="AT17" s="159">
        <f t="shared" si="27"/>
        <v>3583.59</v>
      </c>
      <c r="AU17" s="159">
        <f t="shared" si="27"/>
        <v>1216</v>
      </c>
      <c r="AV17" s="159">
        <f t="shared" si="27"/>
        <v>856</v>
      </c>
      <c r="AW17" s="159">
        <f t="shared" si="27"/>
        <v>13930.26</v>
      </c>
      <c r="AX17" s="159">
        <f t="shared" si="27"/>
        <v>11858.26</v>
      </c>
      <c r="AY17" s="159">
        <f t="shared" si="27"/>
        <v>0</v>
      </c>
      <c r="AZ17" s="159">
        <f t="shared" si="27"/>
        <v>2072</v>
      </c>
      <c r="BA17" s="159">
        <f t="shared" si="27"/>
        <v>0</v>
      </c>
      <c r="BB17" s="159">
        <f t="shared" si="27"/>
        <v>800</v>
      </c>
      <c r="BC17" s="159">
        <f t="shared" si="27"/>
        <v>14730.26</v>
      </c>
      <c r="BD17" s="196"/>
    </row>
    <row r="18" spans="1:56" ht="14.25">
      <c r="A18" s="160" t="s">
        <v>61</v>
      </c>
      <c r="B18" s="161"/>
      <c r="C18" s="162"/>
      <c r="D18" s="162"/>
      <c r="E18" s="163"/>
      <c r="F18" s="163"/>
      <c r="G18" s="163"/>
      <c r="H18" s="163"/>
      <c r="I18" s="163"/>
      <c r="J18" s="163"/>
      <c r="K18" s="163"/>
      <c r="L18" s="169">
        <f t="shared" ref="L18:AX18" si="28">SUM(L17:L17)</f>
        <v>33521.199999999997</v>
      </c>
      <c r="M18" s="169">
        <f t="shared" si="28"/>
        <v>1.54</v>
      </c>
      <c r="N18" s="169">
        <f t="shared" si="28"/>
        <v>5135.22</v>
      </c>
      <c r="O18" s="169">
        <f t="shared" si="28"/>
        <v>0.8</v>
      </c>
      <c r="P18" s="169">
        <f t="shared" si="28"/>
        <v>2681.68</v>
      </c>
      <c r="Q18" s="169">
        <f t="shared" si="28"/>
        <v>40637.199999999997</v>
      </c>
      <c r="R18" s="169">
        <f t="shared" si="28"/>
        <v>0.64500000000000002</v>
      </c>
      <c r="S18" s="169">
        <f t="shared" si="28"/>
        <v>2543.61</v>
      </c>
      <c r="T18" s="169">
        <f t="shared" si="28"/>
        <v>0.2</v>
      </c>
      <c r="U18" s="169">
        <f t="shared" si="28"/>
        <v>812.74</v>
      </c>
      <c r="V18" s="169">
        <f t="shared" si="28"/>
        <v>33521.199999999997</v>
      </c>
      <c r="W18" s="169">
        <f t="shared" si="28"/>
        <v>5.8599999999999999E-2</v>
      </c>
      <c r="X18" s="169">
        <f t="shared" si="28"/>
        <v>191.29</v>
      </c>
      <c r="Y18" s="169">
        <f t="shared" si="28"/>
        <v>2.7E-2</v>
      </c>
      <c r="Z18" s="169">
        <f t="shared" si="28"/>
        <v>89.17</v>
      </c>
      <c r="AA18" s="169">
        <f t="shared" si="28"/>
        <v>30737.200000000001</v>
      </c>
      <c r="AB18" s="169">
        <f t="shared" si="28"/>
        <v>5.3499999999999999E-2</v>
      </c>
      <c r="AC18" s="169">
        <f t="shared" si="28"/>
        <v>242.95</v>
      </c>
      <c r="AD18" s="169">
        <f t="shared" si="28"/>
        <v>35930.199999999997</v>
      </c>
      <c r="AE18" s="169">
        <f t="shared" si="28"/>
        <v>2.3599999999999999E-2</v>
      </c>
      <c r="AF18" s="169">
        <f t="shared" si="28"/>
        <v>66.319999999999993</v>
      </c>
      <c r="AG18" s="169">
        <f t="shared" si="28"/>
        <v>9000</v>
      </c>
      <c r="AH18" s="169">
        <f t="shared" si="28"/>
        <v>0.5</v>
      </c>
      <c r="AI18" s="169">
        <f t="shared" si="28"/>
        <v>1216</v>
      </c>
      <c r="AJ18" s="169">
        <f t="shared" si="28"/>
        <v>0.38</v>
      </c>
      <c r="AK18" s="169">
        <f t="shared" si="28"/>
        <v>856</v>
      </c>
      <c r="AL18" s="169">
        <f t="shared" si="28"/>
        <v>0</v>
      </c>
      <c r="AM18" s="169">
        <f t="shared" si="28"/>
        <v>0</v>
      </c>
      <c r="AN18" s="169">
        <f t="shared" si="28"/>
        <v>0</v>
      </c>
      <c r="AO18" s="169">
        <f t="shared" si="28"/>
        <v>0</v>
      </c>
      <c r="AP18" s="169">
        <f t="shared" si="28"/>
        <v>0</v>
      </c>
      <c r="AQ18" s="169">
        <f t="shared" si="28"/>
        <v>95.28</v>
      </c>
      <c r="AR18" s="169">
        <f t="shared" si="28"/>
        <v>96</v>
      </c>
      <c r="AS18" s="183">
        <f t="shared" si="28"/>
        <v>8274.67</v>
      </c>
      <c r="AT18" s="183">
        <f t="shared" si="28"/>
        <v>3583.59</v>
      </c>
      <c r="AU18" s="183">
        <f t="shared" si="28"/>
        <v>1216</v>
      </c>
      <c r="AV18" s="183">
        <f t="shared" si="28"/>
        <v>856</v>
      </c>
      <c r="AW18" s="183">
        <f t="shared" si="28"/>
        <v>13930.26</v>
      </c>
      <c r="AX18" s="344">
        <f t="shared" si="28"/>
        <v>11858.26</v>
      </c>
      <c r="AY18" s="344"/>
      <c r="AZ18" s="344">
        <f t="shared" ref="AZ18:BC18" si="29">SUM(AZ17:AZ17)</f>
        <v>2072</v>
      </c>
      <c r="BA18" s="344"/>
      <c r="BB18" s="169">
        <f t="shared" si="29"/>
        <v>800</v>
      </c>
      <c r="BC18" s="169">
        <f t="shared" si="29"/>
        <v>14730.26</v>
      </c>
      <c r="BD18" s="197"/>
    </row>
    <row r="19" spans="1:56" s="137" customFormat="1">
      <c r="A19" s="164"/>
      <c r="B19" s="164"/>
      <c r="C19" s="164"/>
      <c r="D19" s="164"/>
      <c r="E19" s="164"/>
      <c r="F19" s="165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84"/>
      <c r="AT19" s="184"/>
      <c r="AU19" s="184"/>
      <c r="AV19" s="184"/>
      <c r="AW19" s="184"/>
      <c r="AX19" s="164"/>
      <c r="AY19" s="164"/>
      <c r="AZ19" s="164"/>
      <c r="BA19" s="164"/>
      <c r="BB19" s="164"/>
      <c r="BC19" s="164"/>
      <c r="BD19" s="198"/>
    </row>
    <row r="20" spans="1:56" s="138" customFormat="1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33"/>
      <c r="AK20" s="133"/>
      <c r="AL20" s="133"/>
      <c r="AM20" s="133"/>
      <c r="AN20" s="133"/>
      <c r="AO20" s="133"/>
      <c r="AP20" s="133"/>
      <c r="AQ20" s="133"/>
      <c r="AR20" s="133"/>
      <c r="AS20" s="139"/>
      <c r="AT20" s="139"/>
      <c r="AU20" s="139"/>
      <c r="AV20" s="139"/>
      <c r="AW20" s="139"/>
      <c r="AX20" s="133"/>
      <c r="AY20" s="133"/>
      <c r="AZ20" s="133"/>
      <c r="BA20" s="133"/>
      <c r="BB20" s="133"/>
      <c r="BC20" s="133"/>
      <c r="BD20" s="140"/>
    </row>
    <row r="22" spans="1:56">
      <c r="AX22" s="345"/>
      <c r="AY22" s="345"/>
      <c r="BC22" s="199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1" type="noConversion"/>
  <conditionalFormatting sqref="H1:I1">
    <cfRule type="expression" dxfId="100" priority="1" stopIfTrue="1">
      <formula>AND(COUNTIF($J$1:$J$1,H1)&gt;1,NOT(ISBLANK(H1)))</formula>
    </cfRule>
  </conditionalFormatting>
  <conditionalFormatting sqref="J1">
    <cfRule type="duplicateValues" dxfId="99" priority="2" stopIfTrue="1"/>
  </conditionalFormatting>
  <conditionalFormatting sqref="K1:L1">
    <cfRule type="duplicateValues" dxfId="98" priority="3" stopIfTrue="1"/>
  </conditionalFormatting>
  <conditionalFormatting sqref="Q1">
    <cfRule type="duplicateValues" dxfId="97" priority="4" stopIfTrue="1"/>
  </conditionalFormatting>
  <conditionalFormatting sqref="V1">
    <cfRule type="duplicateValues" dxfId="96" priority="5" stopIfTrue="1"/>
  </conditionalFormatting>
  <conditionalFormatting sqref="AG1">
    <cfRule type="duplicateValues" dxfId="95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 pane="topRight"/>
      <selection pane="bottomLeft"/>
      <selection pane="bottomRight" activeCell="X5" sqref="X5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8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205" t="s">
        <v>78</v>
      </c>
      <c r="D4" s="30" t="s">
        <v>150</v>
      </c>
      <c r="E4" s="35" t="s">
        <v>79</v>
      </c>
      <c r="F4" s="31" t="str">
        <f>IF(MOD(MID(E4,17,1),2)=1,"男","女")</f>
        <v>男</v>
      </c>
      <c r="G4" s="36">
        <v>18035163638</v>
      </c>
      <c r="H4" s="37"/>
      <c r="I4" s="37"/>
      <c r="J4" s="63"/>
      <c r="K4" s="37"/>
      <c r="L4" s="64">
        <v>7700</v>
      </c>
      <c r="M4" s="64">
        <v>264</v>
      </c>
      <c r="N4" s="64">
        <v>66</v>
      </c>
      <c r="O4" s="64">
        <v>9.9</v>
      </c>
      <c r="P4" s="64">
        <v>180</v>
      </c>
      <c r="Q4" s="78">
        <f>ROUND(SUM(M4:P4),2)</f>
        <v>519.9</v>
      </c>
      <c r="R4" s="61">
        <v>0</v>
      </c>
      <c r="S4" s="79">
        <f>L4+IFERROR(VLOOKUP($E:$E,'（居民）工资表-3月'!$E:$S,15,0),0)</f>
        <v>7700</v>
      </c>
      <c r="T4" s="80">
        <f>5000+IFERROR(VLOOKUP($E:$E,'（居民）工资表-3月'!$E:$T,16,0),0)</f>
        <v>5000</v>
      </c>
      <c r="U4" s="80">
        <f>Q4+IFERROR(VLOOKUP($E:$E,'（居民）工资表-3月'!$E:$U,17,0),0)</f>
        <v>519.9</v>
      </c>
      <c r="V4" s="61"/>
      <c r="W4" s="61"/>
      <c r="X4" s="61">
        <v>4000</v>
      </c>
      <c r="Y4" s="61"/>
      <c r="Z4" s="61"/>
      <c r="AA4" s="61"/>
      <c r="AB4" s="79">
        <f>ROUND(SUM(V4:AA4),2)</f>
        <v>4000</v>
      </c>
      <c r="AC4" s="79">
        <f>R4+IFERROR(VLOOKUP($E:$E,'（居民）工资表-3月'!$E:$AC,25,0),0)</f>
        <v>0</v>
      </c>
      <c r="AD4" s="81">
        <f>ROUND(S4-T4-U4-AB4-AC4,2)</f>
        <v>-1819.9</v>
      </c>
      <c r="AE4" s="82">
        <f>ROUND(MAX((AD4)*{0.03;0.1;0.2;0.25;0.3;0.35;0.45}-{0;2520;16920;31920;52920;85920;181920},0),2)</f>
        <v>0</v>
      </c>
      <c r="AF4" s="83">
        <f>IFERROR(VLOOKUP(E:E,'（居民）工资表-3月'!E:AF,28,0)+VLOOKUP(E:E,'（居民）工资表-3月'!E:AG,29,0),0)</f>
        <v>0</v>
      </c>
      <c r="AG4" s="83">
        <f>IF((AE4-AF4)&lt;0,0,AE4-AF4)</f>
        <v>0</v>
      </c>
      <c r="AH4" s="86">
        <f>ROUND(IF((L4-Q4-AG4)&lt;0,0,(L4-Q4-AG4)),2)</f>
        <v>7180.1</v>
      </c>
      <c r="AI4" s="87"/>
      <c r="AJ4" s="86">
        <f>AH4+AI4</f>
        <v>7180.1</v>
      </c>
      <c r="AK4" s="88"/>
      <c r="AL4" s="86">
        <f>AJ4+AG4+AK4</f>
        <v>7180.1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IF(SUMPRODUCT(N(E$1:E$6=E4))&gt;1,"重复","不")</f>
        <v>不</v>
      </c>
      <c r="AT4" s="92" t="str">
        <f>IF(SUMPRODUCT(N(AO$1:AO$6=AO4))&gt;1,"重复","不")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4" t="s">
        <v>87</v>
      </c>
      <c r="D5" s="30" t="s">
        <v>150</v>
      </c>
      <c r="E5" s="283" t="s">
        <v>88</v>
      </c>
      <c r="F5" s="31" t="str">
        <f>IF(MOD(MID(E5,17,1),2)=1,"男","女")</f>
        <v>女</v>
      </c>
      <c r="G5" s="36">
        <v>13926009696</v>
      </c>
      <c r="H5" s="37"/>
      <c r="I5" s="37"/>
      <c r="J5" s="63"/>
      <c r="K5" s="37"/>
      <c r="L5" s="64">
        <v>5800</v>
      </c>
      <c r="M5" s="64">
        <v>304.24</v>
      </c>
      <c r="N5" s="64">
        <v>123.5</v>
      </c>
      <c r="O5" s="64">
        <v>7.61</v>
      </c>
      <c r="P5" s="64">
        <v>0</v>
      </c>
      <c r="Q5" s="78">
        <f>ROUND(SUM(M5:P5),2)</f>
        <v>435.35</v>
      </c>
      <c r="R5" s="61">
        <v>0</v>
      </c>
      <c r="S5" s="79">
        <f>L5+IFERROR(VLOOKUP($E:$E,'（居民）工资表-3月'!$E:$S,15,0),0)</f>
        <v>5800</v>
      </c>
      <c r="T5" s="80">
        <f>5000+IFERROR(VLOOKUP($E:$E,'（居民）工资表-3月'!$E:$T,16,0),0)</f>
        <v>5000</v>
      </c>
      <c r="U5" s="80">
        <f>Q5+IFERROR(VLOOKUP($E:$E,'（居民）工资表-3月'!$E:$U,17,0),0)</f>
        <v>435.35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R5+IFERROR(VLOOKUP($E:$E,'（居民）工资表-3月'!$E:$AC,25,0),0)</f>
        <v>0</v>
      </c>
      <c r="AD5" s="81">
        <f>ROUND(S5-T5-U5-AB5-AC5,2)</f>
        <v>364.65</v>
      </c>
      <c r="AE5" s="82">
        <f>ROUND(MAX((AD5)*{0.03;0.1;0.2;0.25;0.3;0.35;0.45}-{0;2520;16920;31920;52920;85920;181920},0),2)</f>
        <v>10.94</v>
      </c>
      <c r="AF5" s="83">
        <f>IFERROR(VLOOKUP(E:E,'（居民）工资表-3月'!E:AF,28,0)+VLOOKUP(E:E,'（居民）工资表-3月'!E:AG,29,0),0)</f>
        <v>0</v>
      </c>
      <c r="AG5" s="83">
        <f>IF((AE5-AF5)&lt;0,0,AE5-AF5)</f>
        <v>10.94</v>
      </c>
      <c r="AH5" s="86">
        <f>ROUND(IF((L5-Q5-AG5)&lt;0,0,(L5-Q5-AG5)),2)</f>
        <v>5353.71</v>
      </c>
      <c r="AI5" s="87"/>
      <c r="AJ5" s="86">
        <f>AH5+AI5</f>
        <v>5353.71</v>
      </c>
      <c r="AK5" s="88"/>
      <c r="AL5" s="86">
        <f>AJ5+AG5+AK5</f>
        <v>5364.65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IF(SUMPRODUCT(N(E$1:E$6=E5))&gt;1,"重复","不")</f>
        <v>不</v>
      </c>
      <c r="AT5" s="92" t="str">
        <f>IF(SUMPRODUCT(N(AO$1:AO$6=AO5))&gt;1,"重复","不")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tr">
        <f>IF(MOD(MID(E6,17,1),2)=1,"男","女")</f>
        <v>男</v>
      </c>
      <c r="G6" s="32">
        <v>13944441728</v>
      </c>
      <c r="H6" s="33"/>
      <c r="I6" s="33"/>
      <c r="J6" s="60"/>
      <c r="K6" s="33"/>
      <c r="L6" s="61">
        <v>4900</v>
      </c>
      <c r="M6" s="62"/>
      <c r="N6" s="62"/>
      <c r="O6" s="62"/>
      <c r="P6" s="62"/>
      <c r="Q6" s="78">
        <f>ROUND(SUM(M6:P6),2)</f>
        <v>0</v>
      </c>
      <c r="R6" s="61">
        <v>0</v>
      </c>
      <c r="S6" s="79">
        <f>L6+IFERROR(VLOOKUP($E:$E,'（居民）工资表-3月'!$E:$S,15,0),0)</f>
        <v>4900</v>
      </c>
      <c r="T6" s="80">
        <f>5000+IFERROR(VLOOKUP($E:$E,'（居民）工资表-3月'!$E:$T,16,0),0)</f>
        <v>5000</v>
      </c>
      <c r="U6" s="80">
        <f>Q6+IFERROR(VLOOKUP($E:$E,'（居民）工资表-3月'!$E:$U,17,0),0)</f>
        <v>0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R6+IFERROR(VLOOKUP($E:$E,'（居民）工资表-3月'!$E:$AC,25,0),0)</f>
        <v>0</v>
      </c>
      <c r="AD6" s="81">
        <f>ROUND(S6-T6-U6-AB6-AC6,2)</f>
        <v>-100</v>
      </c>
      <c r="AE6" s="82">
        <f>ROUND(MAX((AD6)*{0.03;0.1;0.2;0.25;0.3;0.35;0.45}-{0;2520;16920;31920;52920;85920;181920},0),2)</f>
        <v>0</v>
      </c>
      <c r="AF6" s="83">
        <f>IFERROR(VLOOKUP(E:E,'（居民）工资表-3月'!E:AF,28,0)+VLOOKUP(E:E,'（居民）工资表-3月'!E:AG,29,0),0)</f>
        <v>0</v>
      </c>
      <c r="AG6" s="83">
        <f>IF((AE6-AF6)&lt;0,0,AE6-AF6)</f>
        <v>0</v>
      </c>
      <c r="AH6" s="86">
        <f>ROUND(IF((L6-Q6-AG6)&lt;0,0,(L6-Q6-AG6)),2)</f>
        <v>4900</v>
      </c>
      <c r="AI6" s="87"/>
      <c r="AJ6" s="86">
        <f>AH6+AI6</f>
        <v>4900</v>
      </c>
      <c r="AK6" s="88"/>
      <c r="AL6" s="86">
        <f>AJ6+AG6+AK6</f>
        <v>4900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IF(SUMPRODUCT(N(E$1:E$6=E6))&gt;1,"重复","不")</f>
        <v>不</v>
      </c>
      <c r="AT6" s="92" t="str">
        <f>IF(SUMPRODUCT(N(AO$1:AO$6=AO6))&gt;1,"重复","不")</f>
        <v>重复</v>
      </c>
    </row>
    <row r="7" spans="1:46" s="16" customFormat="1" ht="18" customHeight="1">
      <c r="A7" s="38"/>
      <c r="B7" s="39" t="s">
        <v>151</v>
      </c>
      <c r="C7" s="39"/>
      <c r="D7" s="40"/>
      <c r="E7" s="41"/>
      <c r="F7" s="42"/>
      <c r="G7" s="43"/>
      <c r="H7" s="42"/>
      <c r="I7" s="65"/>
      <c r="J7" s="66"/>
      <c r="K7" s="65"/>
      <c r="L7" s="67">
        <f t="shared" ref="L7:AL7" si="0">SUM(L4:L6)</f>
        <v>18400</v>
      </c>
      <c r="M7" s="67">
        <f t="shared" si="0"/>
        <v>568.24</v>
      </c>
      <c r="N7" s="67">
        <f t="shared" si="0"/>
        <v>189.5</v>
      </c>
      <c r="O7" s="67">
        <f t="shared" si="0"/>
        <v>17.510000000000002</v>
      </c>
      <c r="P7" s="67">
        <f t="shared" si="0"/>
        <v>180</v>
      </c>
      <c r="Q7" s="67">
        <f t="shared" si="0"/>
        <v>955.25</v>
      </c>
      <c r="R7" s="67">
        <f t="shared" si="0"/>
        <v>0</v>
      </c>
      <c r="S7" s="67">
        <f t="shared" si="0"/>
        <v>18400</v>
      </c>
      <c r="T7" s="67">
        <f t="shared" si="0"/>
        <v>15000</v>
      </c>
      <c r="U7" s="67">
        <f t="shared" si="0"/>
        <v>955.25</v>
      </c>
      <c r="V7" s="67">
        <f t="shared" si="0"/>
        <v>0</v>
      </c>
      <c r="W7" s="67">
        <f t="shared" si="0"/>
        <v>0</v>
      </c>
      <c r="X7" s="67">
        <f t="shared" si="0"/>
        <v>4000</v>
      </c>
      <c r="Y7" s="67">
        <f t="shared" si="0"/>
        <v>0</v>
      </c>
      <c r="Z7" s="67">
        <f t="shared" si="0"/>
        <v>0</v>
      </c>
      <c r="AA7" s="67">
        <f t="shared" si="0"/>
        <v>0</v>
      </c>
      <c r="AB7" s="67">
        <f t="shared" si="0"/>
        <v>4000</v>
      </c>
      <c r="AC7" s="67">
        <f t="shared" si="0"/>
        <v>0</v>
      </c>
      <c r="AD7" s="67">
        <f t="shared" si="0"/>
        <v>-1555.25</v>
      </c>
      <c r="AE7" s="67">
        <f t="shared" si="0"/>
        <v>10.94</v>
      </c>
      <c r="AF7" s="67">
        <f t="shared" si="0"/>
        <v>0</v>
      </c>
      <c r="AG7" s="67">
        <f t="shared" si="0"/>
        <v>10.94</v>
      </c>
      <c r="AH7" s="67">
        <f t="shared" si="0"/>
        <v>17433.810000000001</v>
      </c>
      <c r="AI7" s="95">
        <f t="shared" si="0"/>
        <v>0</v>
      </c>
      <c r="AJ7" s="67">
        <f t="shared" si="0"/>
        <v>17433.810000000001</v>
      </c>
      <c r="AK7" s="67">
        <f t="shared" si="0"/>
        <v>0</v>
      </c>
      <c r="AL7" s="67">
        <f t="shared" si="0"/>
        <v>17444.75</v>
      </c>
      <c r="AM7" s="89"/>
      <c r="AN7" s="89"/>
      <c r="AO7" s="89"/>
      <c r="AP7" s="89"/>
      <c r="AQ7" s="89"/>
      <c r="AR7" s="42"/>
      <c r="AS7" s="42"/>
      <c r="AT7" s="93"/>
    </row>
    <row r="10" spans="1:46">
      <c r="AD10" s="84"/>
    </row>
    <row r="11" spans="1:46" ht="18.75" customHeight="1">
      <c r="B11" s="44" t="s">
        <v>130</v>
      </c>
      <c r="C11" s="44" t="s">
        <v>152</v>
      </c>
      <c r="D11" s="44" t="s">
        <v>60</v>
      </c>
      <c r="E11" s="44" t="s">
        <v>61</v>
      </c>
      <c r="AD11" s="13"/>
      <c r="AG11" s="206"/>
    </row>
    <row r="12" spans="1:46" ht="18.75" customHeight="1">
      <c r="B12" s="45">
        <f>AJ7</f>
        <v>17433.810000000001</v>
      </c>
      <c r="C12" s="45">
        <f>AG7</f>
        <v>10.94</v>
      </c>
      <c r="D12" s="45">
        <f>AK7</f>
        <v>0</v>
      </c>
      <c r="E12" s="45">
        <f>B12+C12+D12</f>
        <v>17444.75</v>
      </c>
    </row>
    <row r="13" spans="1:46">
      <c r="B13" s="46"/>
      <c r="C13" s="46"/>
      <c r="D13" s="46"/>
      <c r="E13" s="46">
        <f>社保!BC18</f>
        <v>14730.26</v>
      </c>
    </row>
    <row r="14" spans="1:46" s="17" customFormat="1">
      <c r="A14" s="47" t="s">
        <v>153</v>
      </c>
      <c r="B14" s="48" t="s">
        <v>154</v>
      </c>
      <c r="C14" s="49"/>
      <c r="D14" s="49"/>
      <c r="E14" s="49"/>
      <c r="G14" s="50"/>
      <c r="J14" s="68"/>
      <c r="M14" s="69"/>
      <c r="AI14" s="90"/>
    </row>
    <row r="15" spans="1:46" s="17" customFormat="1">
      <c r="A15" s="51"/>
      <c r="B15" s="52" t="s">
        <v>155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48"/>
      <c r="B16" s="52" t="s">
        <v>156</v>
      </c>
      <c r="C16" s="53"/>
      <c r="D16" s="53"/>
      <c r="E16" s="53"/>
      <c r="F16" s="53"/>
      <c r="G16" s="53"/>
      <c r="H16" s="53"/>
      <c r="I16" s="53"/>
      <c r="J16" s="70"/>
      <c r="K16" s="53"/>
      <c r="L16" s="53"/>
      <c r="M16" s="71"/>
      <c r="N16" s="53"/>
      <c r="O16" s="53"/>
      <c r="P16" s="53"/>
      <c r="AI16" s="90"/>
    </row>
    <row r="17" spans="1:35" s="17" customFormat="1" ht="13.5" customHeight="1">
      <c r="A17" s="52"/>
      <c r="B17" s="52" t="s">
        <v>157</v>
      </c>
      <c r="C17" s="54"/>
      <c r="D17" s="54"/>
      <c r="E17" s="54"/>
      <c r="F17" s="54"/>
      <c r="G17" s="54"/>
      <c r="H17" s="54"/>
      <c r="I17" s="72"/>
      <c r="J17" s="73"/>
      <c r="K17" s="72"/>
      <c r="L17" s="72"/>
      <c r="M17" s="74"/>
      <c r="N17" s="72"/>
      <c r="O17" s="72"/>
      <c r="P17" s="72"/>
      <c r="AI17" s="90"/>
    </row>
    <row r="18" spans="1:35" s="17" customFormat="1" ht="13.5" customHeight="1">
      <c r="A18" s="52"/>
      <c r="B18" s="52" t="s">
        <v>158</v>
      </c>
      <c r="C18" s="54"/>
      <c r="D18" s="54"/>
      <c r="E18" s="54"/>
      <c r="F18" s="54"/>
      <c r="G18" s="54"/>
      <c r="H18" s="54"/>
      <c r="I18" s="54"/>
      <c r="J18" s="75"/>
      <c r="K18" s="54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159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1" spans="1:35" ht="11.25" customHeight="1">
      <c r="B21" s="55" t="s">
        <v>160</v>
      </c>
    </row>
    <row r="22" spans="1:35">
      <c r="B22" s="56" t="s">
        <v>161</v>
      </c>
    </row>
    <row r="23" spans="1:35">
      <c r="B23" s="56" t="s">
        <v>162</v>
      </c>
    </row>
  </sheetData>
  <autoFilter ref="A3:AT7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19">
    <cfRule type="duplicateValues" dxfId="94" priority="2" stopIfTrue="1"/>
  </conditionalFormatting>
  <conditionalFormatting sqref="B14:B18">
    <cfRule type="duplicateValues" dxfId="93" priority="3" stopIfTrue="1"/>
  </conditionalFormatting>
  <conditionalFormatting sqref="B22:B23">
    <cfRule type="duplicateValues" dxfId="92" priority="1" stopIfTrue="1"/>
  </conditionalFormatting>
  <conditionalFormatting sqref="C11:C13">
    <cfRule type="duplicateValues" dxfId="91" priority="4" stopIfTrue="1"/>
    <cfRule type="expression" dxfId="90" priority="5" stopIfTrue="1">
      <formula>AND(COUNTIF($B$7:$B$65443,C11)+COUNTIF($B$1:$B$3,C11)&gt;1,NOT(ISBLANK(C11)))</formula>
    </cfRule>
    <cfRule type="expression" dxfId="89" priority="6" stopIfTrue="1">
      <formula>AND(COUNTIF($B$18:$B$65394,C11)+COUNTIF($B$1:$B$17,C11)&gt;1,NOT(ISBLANK(C11)))</formula>
    </cfRule>
    <cfRule type="expression" dxfId="88" priority="7" stopIfTrue="1">
      <formula>AND(COUNTIF($B$7:$B$65432,C11)+COUNTIF($B$1:$B$3,C11)&gt;1,NOT(ISBLANK(C11)))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N19" sqref="N19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4.12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205" t="s">
        <v>78</v>
      </c>
      <c r="D4" s="30" t="s">
        <v>150</v>
      </c>
      <c r="E4" s="35" t="s">
        <v>79</v>
      </c>
      <c r="F4" s="31" t="str">
        <f t="shared" ref="F4:F7" si="0">IF(MOD(MID(E4,17,1),2)=1,"男","女")</f>
        <v>男</v>
      </c>
      <c r="G4" s="36">
        <v>18035163638</v>
      </c>
      <c r="H4" s="37"/>
      <c r="I4" s="37"/>
      <c r="J4" s="63"/>
      <c r="K4" s="37"/>
      <c r="L4" s="64">
        <v>7700</v>
      </c>
      <c r="M4" s="64">
        <v>264</v>
      </c>
      <c r="N4" s="64">
        <v>66</v>
      </c>
      <c r="O4" s="64">
        <v>9.9</v>
      </c>
      <c r="P4" s="64">
        <v>180</v>
      </c>
      <c r="Q4" s="78">
        <f t="shared" ref="Q4:Q7" si="1">ROUND(SUM(M4:P4),2)</f>
        <v>519.9</v>
      </c>
      <c r="R4" s="61">
        <v>0</v>
      </c>
      <c r="S4" s="79">
        <f>L4+IFERROR(VLOOKUP($E:$E,'（居民）工资表-4月'!$E:$S,15,0),0)</f>
        <v>15400</v>
      </c>
      <c r="T4" s="80">
        <f>5000+IFERROR(VLOOKUP($E:$E,'（居民）工资表-4月'!$E:$T,16,0),0)</f>
        <v>10000</v>
      </c>
      <c r="U4" s="80">
        <f>Q4+IFERROR(VLOOKUP($E:$E,'（居民）工资表-4月'!$E:$U,17,0),0)</f>
        <v>1039.8</v>
      </c>
      <c r="V4" s="61"/>
      <c r="W4" s="61"/>
      <c r="X4" s="61">
        <v>5000</v>
      </c>
      <c r="Y4" s="61"/>
      <c r="Z4" s="61"/>
      <c r="AA4" s="61"/>
      <c r="AB4" s="79">
        <f t="shared" ref="AB4:AB7" si="2">ROUND(SUM(V4:AA4),2)</f>
        <v>5000</v>
      </c>
      <c r="AC4" s="79">
        <f>R4+IFERROR(VLOOKUP($E:$E,'（居民）工资表-4月'!$E:$AC,25,0),0)</f>
        <v>0</v>
      </c>
      <c r="AD4" s="81">
        <f t="shared" ref="AD4:AD7" si="3">ROUND(S4-T4-U4-AB4-AC4,2)</f>
        <v>-639.79999999999995</v>
      </c>
      <c r="AE4" s="82">
        <f>ROUND(MAX((AD4)*{0.03;0.1;0.2;0.25;0.3;0.35;0.45}-{0;2520;16920;31920;52920;85920;181920},0),2)</f>
        <v>0</v>
      </c>
      <c r="AF4" s="83">
        <f>IFERROR(VLOOKUP(E:E,'（居民）工资表-4月'!E:AF,28,0)+VLOOKUP(E:E,'（居民）工资表-4月'!E:AG,29,0),0)</f>
        <v>0</v>
      </c>
      <c r="AG4" s="83">
        <f t="shared" ref="AG4:AG7" si="4">IF((AE4-AF4)&lt;0,0,AE4-AF4)</f>
        <v>0</v>
      </c>
      <c r="AH4" s="86">
        <f t="shared" ref="AH4:AH7" si="5">ROUND(IF((L4-Q4-AG4)&lt;0,0,(L4-Q4-AG4)),2)</f>
        <v>7180.1</v>
      </c>
      <c r="AI4" s="87"/>
      <c r="AJ4" s="86">
        <f t="shared" ref="AJ4:AJ7" si="6">AH4+AI4</f>
        <v>7180.1</v>
      </c>
      <c r="AK4" s="88"/>
      <c r="AL4" s="86">
        <f t="shared" ref="AL4:AL7" si="7">AJ4+AG4+AK4</f>
        <v>7180.1</v>
      </c>
      <c r="AM4" s="88"/>
      <c r="AN4" s="88"/>
      <c r="AO4" s="88"/>
      <c r="AP4" s="88"/>
      <c r="AQ4" s="88"/>
      <c r="AR4" s="92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4" t="s">
        <v>87</v>
      </c>
      <c r="D5" s="30" t="s">
        <v>150</v>
      </c>
      <c r="E5" s="283" t="s">
        <v>88</v>
      </c>
      <c r="F5" s="31" t="str">
        <f t="shared" si="0"/>
        <v>女</v>
      </c>
      <c r="G5" s="36">
        <v>13926009696</v>
      </c>
      <c r="H5" s="37"/>
      <c r="I5" s="37"/>
      <c r="J5" s="63"/>
      <c r="K5" s="37"/>
      <c r="L5" s="64">
        <v>5800</v>
      </c>
      <c r="M5" s="64">
        <v>304.24</v>
      </c>
      <c r="N5" s="64">
        <v>123.5</v>
      </c>
      <c r="O5" s="64">
        <v>7.61</v>
      </c>
      <c r="P5" s="64">
        <v>0</v>
      </c>
      <c r="Q5" s="78">
        <f t="shared" si="1"/>
        <v>435.35</v>
      </c>
      <c r="R5" s="61">
        <v>0</v>
      </c>
      <c r="S5" s="79">
        <f>L5+IFERROR(VLOOKUP($E:$E,'（居民）工资表-4月'!$E:$S,15,0),0)</f>
        <v>11600</v>
      </c>
      <c r="T5" s="80">
        <f>5000+IFERROR(VLOOKUP($E:$E,'（居民）工资表-4月'!$E:$T,16,0),0)</f>
        <v>10000</v>
      </c>
      <c r="U5" s="80">
        <f>Q5+IFERROR(VLOOKUP($E:$E,'（居民）工资表-4月'!$E:$U,17,0),0)</f>
        <v>870.7</v>
      </c>
      <c r="V5" s="61"/>
      <c r="W5" s="61"/>
      <c r="X5" s="61"/>
      <c r="Y5" s="61"/>
      <c r="Z5" s="61"/>
      <c r="AA5" s="61"/>
      <c r="AB5" s="79">
        <f t="shared" si="2"/>
        <v>0</v>
      </c>
      <c r="AC5" s="79">
        <f>R5+IFERROR(VLOOKUP($E:$E,'（居民）工资表-4月'!$E:$AC,25,0),0)</f>
        <v>0</v>
      </c>
      <c r="AD5" s="81">
        <f t="shared" si="3"/>
        <v>729.3</v>
      </c>
      <c r="AE5" s="82">
        <f>ROUND(MAX((AD5)*{0.03;0.1;0.2;0.25;0.3;0.35;0.45}-{0;2520;16920;31920;52920;85920;181920},0),2)</f>
        <v>21.88</v>
      </c>
      <c r="AF5" s="83">
        <f>IFERROR(VLOOKUP(E:E,'（居民）工资表-4月'!E:AF,28,0)+VLOOKUP(E:E,'（居民）工资表-4月'!E:AG,29,0),0)</f>
        <v>10.94</v>
      </c>
      <c r="AG5" s="83">
        <f t="shared" si="4"/>
        <v>10.94</v>
      </c>
      <c r="AH5" s="86">
        <f t="shared" si="5"/>
        <v>5353.71</v>
      </c>
      <c r="AI5" s="87"/>
      <c r="AJ5" s="86">
        <f t="shared" si="6"/>
        <v>5353.71</v>
      </c>
      <c r="AK5" s="88"/>
      <c r="AL5" s="86">
        <f t="shared" si="7"/>
        <v>5364.65</v>
      </c>
      <c r="AM5" s="88"/>
      <c r="AN5" s="88"/>
      <c r="AO5" s="88"/>
      <c r="AP5" s="88"/>
      <c r="AQ5" s="88"/>
      <c r="AR5" s="92" t="str">
        <f t="shared" si="8"/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tr">
        <f t="shared" si="0"/>
        <v>男</v>
      </c>
      <c r="G6" s="32">
        <v>13944441728</v>
      </c>
      <c r="H6" s="33"/>
      <c r="I6" s="33"/>
      <c r="J6" s="60"/>
      <c r="K6" s="33"/>
      <c r="L6" s="61">
        <v>8120</v>
      </c>
      <c r="M6" s="62">
        <f>244.24*2</f>
        <v>488.48</v>
      </c>
      <c r="N6" s="62">
        <f>61.06*2</f>
        <v>122.12</v>
      </c>
      <c r="O6" s="62">
        <f>9.16*2</f>
        <v>18.32</v>
      </c>
      <c r="P6" s="62">
        <f>79*2</f>
        <v>158</v>
      </c>
      <c r="Q6" s="78">
        <f t="shared" si="1"/>
        <v>786.92</v>
      </c>
      <c r="R6" s="61">
        <v>0</v>
      </c>
      <c r="S6" s="79">
        <f>L6+IFERROR(VLOOKUP($E:$E,'（居民）工资表-4月'!$E:$S,15,0),0)</f>
        <v>13020</v>
      </c>
      <c r="T6" s="80">
        <f>5000+IFERROR(VLOOKUP($E:$E,'（居民）工资表-4月'!$E:$T,16,0),0)</f>
        <v>10000</v>
      </c>
      <c r="U6" s="80">
        <f>Q6+IFERROR(VLOOKUP($E:$E,'（居民）工资表-4月'!$E:$U,17,0),0)</f>
        <v>786.92</v>
      </c>
      <c r="V6" s="61"/>
      <c r="W6" s="61"/>
      <c r="X6" s="61"/>
      <c r="Y6" s="61"/>
      <c r="Z6" s="61"/>
      <c r="AA6" s="61"/>
      <c r="AB6" s="79">
        <f t="shared" si="2"/>
        <v>0</v>
      </c>
      <c r="AC6" s="79">
        <f>R6+IFERROR(VLOOKUP($E:$E,'（居民）工资表-4月'!$E:$AC,25,0),0)</f>
        <v>0</v>
      </c>
      <c r="AD6" s="81">
        <f t="shared" si="3"/>
        <v>2233.08</v>
      </c>
      <c r="AE6" s="82">
        <f>ROUND(MAX((AD6)*{0.03;0.1;0.2;0.25;0.3;0.35;0.45}-{0;2520;16920;31920;52920;85920;181920},0),2)</f>
        <v>66.989999999999995</v>
      </c>
      <c r="AF6" s="83">
        <f>IFERROR(VLOOKUP(E:E,'（居民）工资表-4月'!E:AF,28,0)+VLOOKUP(E:E,'（居民）工资表-4月'!E:AG,29,0),0)</f>
        <v>0</v>
      </c>
      <c r="AG6" s="83">
        <f t="shared" si="4"/>
        <v>66.989999999999995</v>
      </c>
      <c r="AH6" s="86">
        <f t="shared" si="5"/>
        <v>7266.09</v>
      </c>
      <c r="AI6" s="87"/>
      <c r="AJ6" s="86">
        <f t="shared" si="6"/>
        <v>7266.09</v>
      </c>
      <c r="AK6" s="88"/>
      <c r="AL6" s="86">
        <f t="shared" si="7"/>
        <v>7333.08</v>
      </c>
      <c r="AM6" s="88"/>
      <c r="AN6" s="88"/>
      <c r="AO6" s="88"/>
      <c r="AP6" s="88"/>
      <c r="AQ6" s="88"/>
      <c r="AR6" s="92" t="str">
        <f t="shared" si="8"/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4" t="s">
        <v>164</v>
      </c>
      <c r="F7" s="31" t="str">
        <f t="shared" si="0"/>
        <v>男</v>
      </c>
      <c r="G7" s="32"/>
      <c r="H7" s="33"/>
      <c r="I7" s="33"/>
      <c r="J7" s="60"/>
      <c r="K7" s="33"/>
      <c r="L7" s="61">
        <v>11904.76</v>
      </c>
      <c r="M7" s="62"/>
      <c r="N7" s="62"/>
      <c r="O7" s="62"/>
      <c r="P7" s="62"/>
      <c r="Q7" s="78">
        <f t="shared" si="1"/>
        <v>0</v>
      </c>
      <c r="R7" s="61">
        <v>0</v>
      </c>
      <c r="S7" s="79">
        <f>L7+IFERROR(VLOOKUP($E:$E,'（居民）工资表-4月'!$E:$S,15,0),0)</f>
        <v>11904.76</v>
      </c>
      <c r="T7" s="80">
        <f>5000+IFERROR(VLOOKUP($E:$E,'（居民）工资表-4月'!$E:$T,16,0),0)</f>
        <v>5000</v>
      </c>
      <c r="U7" s="80">
        <f>Q7+IFERROR(VLOOKUP($E:$E,'（居民）工资表-4月'!$E:$U,17,0),0)</f>
        <v>0</v>
      </c>
      <c r="V7" s="61"/>
      <c r="W7" s="61"/>
      <c r="X7" s="61"/>
      <c r="Y7" s="61"/>
      <c r="Z7" s="61"/>
      <c r="AA7" s="61"/>
      <c r="AB7" s="79">
        <f t="shared" si="2"/>
        <v>0</v>
      </c>
      <c r="AC7" s="79">
        <f>R7+IFERROR(VLOOKUP($E:$E,'（居民）工资表-4月'!$E:$AC,25,0),0)</f>
        <v>0</v>
      </c>
      <c r="AD7" s="81">
        <f t="shared" si="3"/>
        <v>6904.76</v>
      </c>
      <c r="AE7" s="82">
        <f>ROUND(MAX((AD7)*{0.03;0.1;0.2;0.25;0.3;0.35;0.45}-{0;2520;16920;31920;52920;85920;181920},0),2)</f>
        <v>207.14</v>
      </c>
      <c r="AF7" s="83">
        <f>IFERROR(VLOOKUP(E:E,'（居民）工资表-4月'!E:AF,28,0)+VLOOKUP(E:E,'（居民）工资表-4月'!E:AG,29,0),0)</f>
        <v>0</v>
      </c>
      <c r="AG7" s="83">
        <f t="shared" si="4"/>
        <v>207.14</v>
      </c>
      <c r="AH7" s="86">
        <f t="shared" si="5"/>
        <v>11697.62</v>
      </c>
      <c r="AI7" s="87"/>
      <c r="AJ7" s="86">
        <f t="shared" si="6"/>
        <v>11697.62</v>
      </c>
      <c r="AK7" s="88"/>
      <c r="AL7" s="86">
        <f t="shared" si="7"/>
        <v>11904.76</v>
      </c>
      <c r="AM7" s="88"/>
      <c r="AN7" s="88"/>
      <c r="AO7" s="88"/>
      <c r="AP7" s="88"/>
      <c r="AQ7" s="88"/>
      <c r="AR7" s="92" t="str">
        <f t="shared" si="8"/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9">SUM(L4:L7)</f>
        <v>33524.76</v>
      </c>
      <c r="M8" s="67">
        <f t="shared" si="9"/>
        <v>1056.72</v>
      </c>
      <c r="N8" s="67">
        <f t="shared" si="9"/>
        <v>311.62</v>
      </c>
      <c r="O8" s="67">
        <f t="shared" si="9"/>
        <v>35.83</v>
      </c>
      <c r="P8" s="67">
        <f t="shared" si="9"/>
        <v>338</v>
      </c>
      <c r="Q8" s="67">
        <f t="shared" si="9"/>
        <v>1742.17</v>
      </c>
      <c r="R8" s="67">
        <f t="shared" si="9"/>
        <v>0</v>
      </c>
      <c r="S8" s="67">
        <f t="shared" si="9"/>
        <v>51924.76</v>
      </c>
      <c r="T8" s="67">
        <f t="shared" si="9"/>
        <v>35000</v>
      </c>
      <c r="U8" s="67">
        <f t="shared" si="9"/>
        <v>2697.42</v>
      </c>
      <c r="V8" s="67">
        <f t="shared" si="9"/>
        <v>0</v>
      </c>
      <c r="W8" s="67">
        <f t="shared" si="9"/>
        <v>0</v>
      </c>
      <c r="X8" s="67">
        <f t="shared" si="9"/>
        <v>5000</v>
      </c>
      <c r="Y8" s="67">
        <f t="shared" si="9"/>
        <v>0</v>
      </c>
      <c r="Z8" s="67">
        <f t="shared" si="9"/>
        <v>0</v>
      </c>
      <c r="AA8" s="67">
        <f t="shared" si="9"/>
        <v>0</v>
      </c>
      <c r="AB8" s="67">
        <f t="shared" si="9"/>
        <v>5000</v>
      </c>
      <c r="AC8" s="67">
        <f t="shared" si="9"/>
        <v>0</v>
      </c>
      <c r="AD8" s="67">
        <f t="shared" si="9"/>
        <v>9227.34</v>
      </c>
      <c r="AE8" s="67">
        <f t="shared" si="9"/>
        <v>296.01</v>
      </c>
      <c r="AF8" s="67">
        <f t="shared" si="9"/>
        <v>10.94</v>
      </c>
      <c r="AG8" s="67">
        <f t="shared" si="9"/>
        <v>285.07</v>
      </c>
      <c r="AH8" s="67">
        <f t="shared" si="9"/>
        <v>31497.520000000004</v>
      </c>
      <c r="AI8" s="95">
        <f t="shared" si="9"/>
        <v>0</v>
      </c>
      <c r="AJ8" s="67">
        <f t="shared" si="9"/>
        <v>31497.520000000004</v>
      </c>
      <c r="AK8" s="67">
        <f t="shared" si="9"/>
        <v>0</v>
      </c>
      <c r="AL8" s="67">
        <f t="shared" si="9"/>
        <v>31782.590000000004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  <c r="AG12" s="22"/>
    </row>
    <row r="13" spans="1:46" ht="18.75" customHeight="1">
      <c r="B13" s="45">
        <f>AJ8</f>
        <v>31497.520000000004</v>
      </c>
      <c r="C13" s="45">
        <f>AG8</f>
        <v>285.07</v>
      </c>
      <c r="D13" s="45">
        <f>AK8</f>
        <v>0</v>
      </c>
      <c r="E13" s="45">
        <f>B13+C13+D13</f>
        <v>31782.590000000004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87" priority="2" stopIfTrue="1"/>
  </conditionalFormatting>
  <conditionalFormatting sqref="B15:B19">
    <cfRule type="duplicateValues" dxfId="86" priority="3" stopIfTrue="1"/>
  </conditionalFormatting>
  <conditionalFormatting sqref="B23:B24">
    <cfRule type="duplicateValues" dxfId="85" priority="1" stopIfTrue="1"/>
  </conditionalFormatting>
  <conditionalFormatting sqref="C12:C14">
    <cfRule type="duplicateValues" dxfId="84" priority="4" stopIfTrue="1"/>
    <cfRule type="expression" dxfId="83" priority="5" stopIfTrue="1">
      <formula>AND(COUNTIF($B$8:$B$65444,C12)+COUNTIF($B$1:$B$3,C12)&gt;1,NOT(ISBLANK(C12)))</formula>
    </cfRule>
    <cfRule type="expression" dxfId="82" priority="6" stopIfTrue="1">
      <formula>AND(COUNTIF($B$19:$B$65395,C12)+COUNTIF($B$1:$B$18,C12)&gt;1,NOT(ISBLANK(C12)))</formula>
    </cfRule>
    <cfRule type="expression" dxfId="81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3"/>
  <sheetViews>
    <sheetView workbookViewId="0">
      <pane xSplit="11" ySplit="2" topLeftCell="AS3" activePane="bottomRight" state="frozen"/>
      <selection pane="topRight"/>
      <selection pane="bottomLeft"/>
      <selection pane="bottomRight" activeCell="AS3" sqref="AS3:AT17"/>
    </sheetView>
  </sheetViews>
  <sheetFormatPr defaultColWidth="9" defaultRowHeight="16.5"/>
  <cols>
    <col min="1" max="1" width="3.25" style="133" customWidth="1"/>
    <col min="2" max="2" width="19.25" style="133" customWidth="1"/>
    <col min="3" max="3" width="6" style="133" customWidth="1"/>
    <col min="4" max="4" width="8.5" style="133" hidden="1" customWidth="1"/>
    <col min="5" max="5" width="8.25" style="133" hidden="1" customWidth="1"/>
    <col min="6" max="6" width="11.875" style="133" customWidth="1"/>
    <col min="7" max="7" width="16.375" style="133" customWidth="1"/>
    <col min="8" max="11" width="8.5" style="133" customWidth="1"/>
    <col min="12" max="12" width="9.125" style="133" customWidth="1"/>
    <col min="13" max="14" width="9.25" style="133" customWidth="1"/>
    <col min="15" max="15" width="7.5" style="133" customWidth="1"/>
    <col min="16" max="16" width="11.25" style="133" customWidth="1"/>
    <col min="17" max="17" width="9.125" style="133" customWidth="1"/>
    <col min="18" max="21" width="9.25" style="133" customWidth="1"/>
    <col min="22" max="22" width="9.125" style="133" customWidth="1"/>
    <col min="23" max="26" width="9.25" style="133" customWidth="1"/>
    <col min="27" max="28" width="9.125" style="133" customWidth="1"/>
    <col min="29" max="29" width="9" style="133" customWidth="1"/>
    <col min="30" max="30" width="9.125" style="133" customWidth="1"/>
    <col min="31" max="31" width="9.25" style="133" customWidth="1"/>
    <col min="32" max="32" width="8.875" style="133" customWidth="1"/>
    <col min="33" max="33" width="9.125" style="133" customWidth="1"/>
    <col min="34" max="34" width="9.25" style="133" customWidth="1"/>
    <col min="35" max="35" width="11.125" style="133" customWidth="1"/>
    <col min="36" max="36" width="9.25" style="133" customWidth="1"/>
    <col min="37" max="37" width="8.25" style="133" customWidth="1"/>
    <col min="38" max="38" width="9.125" style="133" hidden="1" customWidth="1"/>
    <col min="39" max="39" width="9.25" style="133" hidden="1" customWidth="1"/>
    <col min="40" max="40" width="9.25" style="133" customWidth="1"/>
    <col min="41" max="42" width="9.25" style="133" hidden="1" customWidth="1"/>
    <col min="43" max="43" width="9.875" style="133" customWidth="1"/>
    <col min="44" max="44" width="9.375" style="133" customWidth="1"/>
    <col min="45" max="45" width="10.25" style="139" customWidth="1"/>
    <col min="46" max="46" width="10" style="139" customWidth="1"/>
    <col min="47" max="49" width="9.25" style="139" customWidth="1"/>
    <col min="50" max="50" width="9.25" style="133" customWidth="1"/>
    <col min="51" max="51" width="5.875" style="133" customWidth="1"/>
    <col min="52" max="52" width="8.375" style="133" customWidth="1"/>
    <col min="53" max="53" width="5.875" style="133" customWidth="1"/>
    <col min="54" max="54" width="8.875" style="133" customWidth="1"/>
    <col min="55" max="55" width="10.875" style="133" customWidth="1"/>
    <col min="56" max="56" width="40.25" style="140" customWidth="1"/>
    <col min="57" max="57" width="10.625" style="133" customWidth="1"/>
    <col min="58" max="16384" width="9" style="133"/>
  </cols>
  <sheetData>
    <row r="1" spans="1:60" s="132" customFormat="1" ht="22.5" customHeight="1">
      <c r="A1" s="340" t="s">
        <v>18</v>
      </c>
      <c r="B1" s="346" t="s">
        <v>39</v>
      </c>
      <c r="C1" s="346" t="s">
        <v>40</v>
      </c>
      <c r="D1" s="340" t="s">
        <v>41</v>
      </c>
      <c r="E1" s="346" t="s">
        <v>42</v>
      </c>
      <c r="F1" s="346" t="s">
        <v>43</v>
      </c>
      <c r="G1" s="346" t="s">
        <v>44</v>
      </c>
      <c r="H1" s="346" t="s">
        <v>45</v>
      </c>
      <c r="I1" s="346" t="s">
        <v>46</v>
      </c>
      <c r="J1" s="346" t="s">
        <v>47</v>
      </c>
      <c r="K1" s="346" t="s">
        <v>48</v>
      </c>
      <c r="L1" s="339" t="s">
        <v>49</v>
      </c>
      <c r="M1" s="339"/>
      <c r="N1" s="339"/>
      <c r="O1" s="339"/>
      <c r="P1" s="339"/>
      <c r="Q1" s="339" t="s">
        <v>50</v>
      </c>
      <c r="R1" s="339"/>
      <c r="S1" s="339"/>
      <c r="T1" s="339"/>
      <c r="U1" s="339"/>
      <c r="V1" s="339" t="s">
        <v>51</v>
      </c>
      <c r="W1" s="339"/>
      <c r="X1" s="339"/>
      <c r="Y1" s="339"/>
      <c r="Z1" s="339"/>
      <c r="AA1" s="340" t="s">
        <v>52</v>
      </c>
      <c r="AB1" s="340"/>
      <c r="AC1" s="340"/>
      <c r="AD1" s="340" t="s">
        <v>53</v>
      </c>
      <c r="AE1" s="340"/>
      <c r="AF1" s="340"/>
      <c r="AG1" s="339" t="s">
        <v>54</v>
      </c>
      <c r="AH1" s="339"/>
      <c r="AI1" s="339"/>
      <c r="AJ1" s="339"/>
      <c r="AK1" s="339"/>
      <c r="AL1" s="340" t="s">
        <v>55</v>
      </c>
      <c r="AM1" s="340"/>
      <c r="AN1" s="340"/>
      <c r="AO1" s="340"/>
      <c r="AP1" s="340"/>
      <c r="AQ1" s="340" t="s">
        <v>56</v>
      </c>
      <c r="AR1" s="340"/>
      <c r="AS1" s="341" t="s">
        <v>57</v>
      </c>
      <c r="AT1" s="341"/>
      <c r="AU1" s="341"/>
      <c r="AV1" s="341"/>
      <c r="AW1" s="341"/>
      <c r="AX1" s="340" t="s">
        <v>58</v>
      </c>
      <c r="AY1" s="340"/>
      <c r="AZ1" s="340" t="s">
        <v>59</v>
      </c>
      <c r="BA1" s="340"/>
      <c r="BB1" s="340" t="s">
        <v>60</v>
      </c>
      <c r="BC1" s="340" t="s">
        <v>61</v>
      </c>
      <c r="BD1" s="349" t="s">
        <v>23</v>
      </c>
    </row>
    <row r="2" spans="1:60" ht="22.5" customHeight="1">
      <c r="A2" s="340"/>
      <c r="B2" s="347"/>
      <c r="C2" s="346"/>
      <c r="D2" s="340"/>
      <c r="E2" s="346"/>
      <c r="F2" s="348"/>
      <c r="G2" s="348"/>
      <c r="H2" s="346"/>
      <c r="I2" s="346"/>
      <c r="J2" s="346"/>
      <c r="K2" s="346"/>
      <c r="L2" s="166" t="s">
        <v>62</v>
      </c>
      <c r="M2" s="166" t="s">
        <v>63</v>
      </c>
      <c r="N2" s="166" t="s">
        <v>64</v>
      </c>
      <c r="O2" s="166" t="s">
        <v>65</v>
      </c>
      <c r="P2" s="166" t="s">
        <v>66</v>
      </c>
      <c r="Q2" s="166" t="s">
        <v>62</v>
      </c>
      <c r="R2" s="166" t="s">
        <v>63</v>
      </c>
      <c r="S2" s="166" t="s">
        <v>64</v>
      </c>
      <c r="T2" s="166" t="s">
        <v>65</v>
      </c>
      <c r="U2" s="166" t="s">
        <v>66</v>
      </c>
      <c r="V2" s="166" t="s">
        <v>62</v>
      </c>
      <c r="W2" s="166" t="s">
        <v>63</v>
      </c>
      <c r="X2" s="166" t="s">
        <v>64</v>
      </c>
      <c r="Y2" s="166" t="s">
        <v>65</v>
      </c>
      <c r="Z2" s="166" t="s">
        <v>66</v>
      </c>
      <c r="AA2" s="166" t="s">
        <v>62</v>
      </c>
      <c r="AB2" s="166" t="s">
        <v>67</v>
      </c>
      <c r="AC2" s="166" t="s">
        <v>22</v>
      </c>
      <c r="AD2" s="166" t="s">
        <v>62</v>
      </c>
      <c r="AE2" s="166" t="s">
        <v>67</v>
      </c>
      <c r="AF2" s="166" t="s">
        <v>22</v>
      </c>
      <c r="AG2" s="166" t="s">
        <v>62</v>
      </c>
      <c r="AH2" s="166" t="s">
        <v>63</v>
      </c>
      <c r="AI2" s="166" t="s">
        <v>64</v>
      </c>
      <c r="AJ2" s="166" t="s">
        <v>65</v>
      </c>
      <c r="AK2" s="166" t="s">
        <v>66</v>
      </c>
      <c r="AL2" s="166" t="s">
        <v>62</v>
      </c>
      <c r="AM2" s="166" t="s">
        <v>63</v>
      </c>
      <c r="AN2" s="166" t="s">
        <v>64</v>
      </c>
      <c r="AO2" s="166" t="s">
        <v>65</v>
      </c>
      <c r="AP2" s="166" t="s">
        <v>66</v>
      </c>
      <c r="AQ2" s="166" t="s">
        <v>68</v>
      </c>
      <c r="AR2" s="166" t="s">
        <v>69</v>
      </c>
      <c r="AS2" s="175" t="s">
        <v>70</v>
      </c>
      <c r="AT2" s="175" t="s">
        <v>71</v>
      </c>
      <c r="AU2" s="175" t="s">
        <v>72</v>
      </c>
      <c r="AV2" s="175" t="s">
        <v>73</v>
      </c>
      <c r="AW2" s="175" t="s">
        <v>30</v>
      </c>
      <c r="AX2" s="340"/>
      <c r="AY2" s="340"/>
      <c r="AZ2" s="340"/>
      <c r="BA2" s="340"/>
      <c r="BB2" s="340"/>
      <c r="BC2" s="340"/>
      <c r="BD2" s="349"/>
    </row>
    <row r="3" spans="1:60" s="134" customFormat="1" ht="18" customHeight="1">
      <c r="A3" s="141">
        <v>6</v>
      </c>
      <c r="B3" s="121" t="s">
        <v>74</v>
      </c>
      <c r="C3" s="111" t="s">
        <v>172</v>
      </c>
      <c r="D3" s="120" t="s">
        <v>76</v>
      </c>
      <c r="E3" s="121" t="s">
        <v>86</v>
      </c>
      <c r="F3" s="122" t="s">
        <v>173</v>
      </c>
      <c r="G3" s="123" t="s">
        <v>174</v>
      </c>
      <c r="H3" s="120" t="s">
        <v>175</v>
      </c>
      <c r="I3" s="120" t="s">
        <v>175</v>
      </c>
      <c r="J3" s="120" t="s">
        <v>166</v>
      </c>
      <c r="K3" s="120" t="s">
        <v>166</v>
      </c>
      <c r="L3" s="141">
        <v>3179</v>
      </c>
      <c r="M3" s="141">
        <v>0.16</v>
      </c>
      <c r="N3" s="141">
        <f t="shared" ref="N3:N6" si="0">ROUND(L3*M3,2)</f>
        <v>508.64</v>
      </c>
      <c r="O3" s="141">
        <v>0.08</v>
      </c>
      <c r="P3" s="141">
        <f t="shared" ref="P3:P6" si="1">ROUND(L3*O3,2)</f>
        <v>254.32</v>
      </c>
      <c r="Q3" s="141">
        <v>3197</v>
      </c>
      <c r="R3" s="141">
        <v>0.08</v>
      </c>
      <c r="S3" s="141">
        <f t="shared" ref="S3:S8" si="2">ROUND(Q3*R3,2)</f>
        <v>255.76</v>
      </c>
      <c r="T3" s="141">
        <v>0.02</v>
      </c>
      <c r="U3" s="141">
        <f t="shared" ref="U3:U8" si="3">ROUND(Q3*T3,2)</f>
        <v>63.94</v>
      </c>
      <c r="V3" s="141">
        <v>3179</v>
      </c>
      <c r="W3" s="141">
        <v>7.0000000000000001E-3</v>
      </c>
      <c r="X3" s="141">
        <f t="shared" ref="X3:X6" si="4">ROUND(V3*W3,2)</f>
        <v>22.25</v>
      </c>
      <c r="Y3" s="141">
        <v>3.0000000000000001E-3</v>
      </c>
      <c r="Z3" s="141">
        <f t="shared" ref="Z3:Z6" si="5">ROUND(V3*Y3,2)</f>
        <v>9.5399999999999991</v>
      </c>
      <c r="AA3" s="141">
        <v>3197</v>
      </c>
      <c r="AB3" s="141">
        <v>0.01</v>
      </c>
      <c r="AC3" s="141">
        <f>ROUND(AA3*AB3,2)</f>
        <v>31.97</v>
      </c>
      <c r="AD3" s="141">
        <v>3179</v>
      </c>
      <c r="AE3" s="141">
        <v>3.5000000000000001E-3</v>
      </c>
      <c r="AF3" s="141">
        <f t="shared" ref="AF3:AF6" si="6">ROUND(AD3*AE3,2)</f>
        <v>11.13</v>
      </c>
      <c r="AG3" s="141">
        <v>3179</v>
      </c>
      <c r="AH3" s="141">
        <v>0.08</v>
      </c>
      <c r="AI3" s="141">
        <f t="shared" ref="AI3:AI6" si="7">ROUND(AG3*AH3,2)</f>
        <v>254.32</v>
      </c>
      <c r="AJ3" s="141">
        <v>0.08</v>
      </c>
      <c r="AK3" s="141">
        <f t="shared" ref="AK3:AK6" si="8">ROUND(AG3*AJ3,2)</f>
        <v>254.32</v>
      </c>
      <c r="AL3" s="172"/>
      <c r="AM3" s="141"/>
      <c r="AN3" s="141"/>
      <c r="AO3" s="141"/>
      <c r="AP3" s="121"/>
      <c r="AQ3" s="176"/>
      <c r="AR3" s="176"/>
      <c r="AS3" s="177">
        <f t="shared" ref="AS3:AS8" si="9">N3+S3+X3+AC3+AF3+AN3+AQ3</f>
        <v>829.75</v>
      </c>
      <c r="AT3" s="177">
        <f t="shared" ref="AT3:AT8" si="10">P3+U3+Z3</f>
        <v>327.8</v>
      </c>
      <c r="AU3" s="177">
        <f t="shared" ref="AU3:AU8" si="11">AI3</f>
        <v>254.32</v>
      </c>
      <c r="AV3" s="177">
        <f t="shared" ref="AV3:AV8" si="12">AK3</f>
        <v>254.32</v>
      </c>
      <c r="AW3" s="177">
        <f t="shared" ref="AW3:AW8" si="13">AV3+AS3+AT3+AU3</f>
        <v>1666.1899999999998</v>
      </c>
      <c r="AX3" s="342">
        <f t="shared" ref="AX3:AX8" si="14">AS3+AT3</f>
        <v>1157.55</v>
      </c>
      <c r="AY3" s="342"/>
      <c r="AZ3" s="342">
        <f t="shared" ref="AZ3:AZ8" si="15">AU3+AV3</f>
        <v>508.64</v>
      </c>
      <c r="BA3" s="342"/>
      <c r="BB3" s="186">
        <v>80</v>
      </c>
      <c r="BC3" s="185">
        <f t="shared" ref="BC3:BC8" si="16">AX3+AZ3+BB3</f>
        <v>1746.19</v>
      </c>
      <c r="BD3" s="187" t="s">
        <v>176</v>
      </c>
      <c r="BE3" s="203"/>
      <c r="BF3" s="203"/>
      <c r="BG3" s="203"/>
      <c r="BH3" s="203"/>
    </row>
    <row r="4" spans="1:60" s="134" customFormat="1" ht="18" customHeight="1">
      <c r="A4" s="141">
        <v>7</v>
      </c>
      <c r="B4" s="121" t="s">
        <v>74</v>
      </c>
      <c r="C4" s="111" t="s">
        <v>172</v>
      </c>
      <c r="D4" s="120" t="s">
        <v>76</v>
      </c>
      <c r="E4" s="121" t="s">
        <v>86</v>
      </c>
      <c r="F4" s="122" t="s">
        <v>177</v>
      </c>
      <c r="G4" s="123" t="s">
        <v>178</v>
      </c>
      <c r="H4" s="120" t="s">
        <v>175</v>
      </c>
      <c r="I4" s="120" t="s">
        <v>175</v>
      </c>
      <c r="J4" s="120" t="s">
        <v>166</v>
      </c>
      <c r="K4" s="120" t="s">
        <v>166</v>
      </c>
      <c r="L4" s="141">
        <v>3179</v>
      </c>
      <c r="M4" s="141">
        <v>0.16</v>
      </c>
      <c r="N4" s="141">
        <f t="shared" si="0"/>
        <v>508.64</v>
      </c>
      <c r="O4" s="141">
        <v>0.08</v>
      </c>
      <c r="P4" s="141">
        <f t="shared" si="1"/>
        <v>254.32</v>
      </c>
      <c r="Q4" s="141">
        <v>3197</v>
      </c>
      <c r="R4" s="141">
        <v>0.08</v>
      </c>
      <c r="S4" s="141">
        <f t="shared" si="2"/>
        <v>255.76</v>
      </c>
      <c r="T4" s="141">
        <v>0.02</v>
      </c>
      <c r="U4" s="141">
        <f t="shared" si="3"/>
        <v>63.94</v>
      </c>
      <c r="V4" s="141">
        <v>3179</v>
      </c>
      <c r="W4" s="141">
        <v>7.0000000000000001E-3</v>
      </c>
      <c r="X4" s="141">
        <f t="shared" si="4"/>
        <v>22.25</v>
      </c>
      <c r="Y4" s="141">
        <v>3.0000000000000001E-3</v>
      </c>
      <c r="Z4" s="141">
        <f t="shared" si="5"/>
        <v>9.5399999999999991</v>
      </c>
      <c r="AA4" s="141">
        <v>3197</v>
      </c>
      <c r="AB4" s="141">
        <v>0.01</v>
      </c>
      <c r="AC4" s="141">
        <f>ROUND(AA4*AB4,2)</f>
        <v>31.97</v>
      </c>
      <c r="AD4" s="141">
        <v>3179</v>
      </c>
      <c r="AE4" s="141">
        <v>3.5000000000000001E-3</v>
      </c>
      <c r="AF4" s="141">
        <f t="shared" si="6"/>
        <v>11.13</v>
      </c>
      <c r="AG4" s="141">
        <v>3179</v>
      </c>
      <c r="AH4" s="141">
        <v>0.08</v>
      </c>
      <c r="AI4" s="141">
        <f t="shared" si="7"/>
        <v>254.32</v>
      </c>
      <c r="AJ4" s="141">
        <v>0.08</v>
      </c>
      <c r="AK4" s="141">
        <f t="shared" si="8"/>
        <v>254.32</v>
      </c>
      <c r="AL4" s="172"/>
      <c r="AM4" s="141"/>
      <c r="AN4" s="141"/>
      <c r="AO4" s="141"/>
      <c r="AP4" s="121"/>
      <c r="AQ4" s="176"/>
      <c r="AR4" s="176"/>
      <c r="AS4" s="177">
        <f t="shared" si="9"/>
        <v>829.75</v>
      </c>
      <c r="AT4" s="177">
        <f t="shared" si="10"/>
        <v>327.8</v>
      </c>
      <c r="AU4" s="177">
        <f t="shared" si="11"/>
        <v>254.32</v>
      </c>
      <c r="AV4" s="177">
        <f t="shared" si="12"/>
        <v>254.32</v>
      </c>
      <c r="AW4" s="177">
        <f t="shared" si="13"/>
        <v>1666.1899999999998</v>
      </c>
      <c r="AX4" s="342">
        <f t="shared" si="14"/>
        <v>1157.55</v>
      </c>
      <c r="AY4" s="342"/>
      <c r="AZ4" s="342">
        <f t="shared" si="15"/>
        <v>508.64</v>
      </c>
      <c r="BA4" s="342"/>
      <c r="BB4" s="186">
        <v>80</v>
      </c>
      <c r="BC4" s="185">
        <f t="shared" si="16"/>
        <v>1746.19</v>
      </c>
      <c r="BD4" s="187" t="s">
        <v>176</v>
      </c>
      <c r="BE4" s="203"/>
      <c r="BF4" s="203"/>
      <c r="BG4" s="203"/>
      <c r="BH4" s="203"/>
    </row>
    <row r="5" spans="1:60" s="134" customFormat="1" ht="18" customHeight="1">
      <c r="A5" s="141">
        <v>8</v>
      </c>
      <c r="B5" s="121" t="s">
        <v>74</v>
      </c>
      <c r="C5" s="111" t="s">
        <v>172</v>
      </c>
      <c r="D5" s="120" t="s">
        <v>76</v>
      </c>
      <c r="E5" s="121" t="s">
        <v>86</v>
      </c>
      <c r="F5" s="122" t="s">
        <v>179</v>
      </c>
      <c r="G5" s="123" t="s">
        <v>180</v>
      </c>
      <c r="H5" s="120">
        <v>202202</v>
      </c>
      <c r="I5" s="120">
        <v>202202</v>
      </c>
      <c r="J5" s="120" t="s">
        <v>166</v>
      </c>
      <c r="K5" s="120" t="s">
        <v>166</v>
      </c>
      <c r="L5" s="141">
        <v>3179</v>
      </c>
      <c r="M5" s="141">
        <v>0.16</v>
      </c>
      <c r="N5" s="141">
        <f t="shared" si="0"/>
        <v>508.64</v>
      </c>
      <c r="O5" s="141">
        <v>0.08</v>
      </c>
      <c r="P5" s="141">
        <f t="shared" si="1"/>
        <v>254.32</v>
      </c>
      <c r="Q5" s="141">
        <v>3197</v>
      </c>
      <c r="R5" s="141">
        <v>0.08</v>
      </c>
      <c r="S5" s="141">
        <f t="shared" si="2"/>
        <v>255.76</v>
      </c>
      <c r="T5" s="141">
        <v>0.02</v>
      </c>
      <c r="U5" s="141">
        <f t="shared" si="3"/>
        <v>63.94</v>
      </c>
      <c r="V5" s="141">
        <v>3179</v>
      </c>
      <c r="W5" s="141">
        <v>7.0000000000000001E-3</v>
      </c>
      <c r="X5" s="141">
        <f t="shared" si="4"/>
        <v>22.25</v>
      </c>
      <c r="Y5" s="141">
        <v>3.0000000000000001E-3</v>
      </c>
      <c r="Z5" s="141">
        <f t="shared" si="5"/>
        <v>9.5399999999999991</v>
      </c>
      <c r="AA5" s="141">
        <v>3197</v>
      </c>
      <c r="AB5" s="141">
        <v>0.01</v>
      </c>
      <c r="AC5" s="141">
        <f>ROUND(AA5*AB5,2)</f>
        <v>31.97</v>
      </c>
      <c r="AD5" s="141">
        <v>3179</v>
      </c>
      <c r="AE5" s="141">
        <v>3.5000000000000001E-3</v>
      </c>
      <c r="AF5" s="141">
        <f t="shared" si="6"/>
        <v>11.13</v>
      </c>
      <c r="AG5" s="141">
        <v>3179</v>
      </c>
      <c r="AH5" s="141">
        <v>0.08</v>
      </c>
      <c r="AI5" s="141">
        <f t="shared" si="7"/>
        <v>254.32</v>
      </c>
      <c r="AJ5" s="141">
        <v>0.08</v>
      </c>
      <c r="AK5" s="141">
        <f t="shared" si="8"/>
        <v>254.32</v>
      </c>
      <c r="AL5" s="172"/>
      <c r="AM5" s="141"/>
      <c r="AN5" s="141"/>
      <c r="AO5" s="141"/>
      <c r="AP5" s="121"/>
      <c r="AQ5" s="176"/>
      <c r="AR5" s="176"/>
      <c r="AS5" s="177">
        <f t="shared" si="9"/>
        <v>829.75</v>
      </c>
      <c r="AT5" s="177">
        <f t="shared" si="10"/>
        <v>327.8</v>
      </c>
      <c r="AU5" s="177">
        <f t="shared" si="11"/>
        <v>254.32</v>
      </c>
      <c r="AV5" s="177">
        <f t="shared" si="12"/>
        <v>254.32</v>
      </c>
      <c r="AW5" s="177">
        <f t="shared" si="13"/>
        <v>1666.1899999999998</v>
      </c>
      <c r="AX5" s="342">
        <f t="shared" si="14"/>
        <v>1157.55</v>
      </c>
      <c r="AY5" s="342"/>
      <c r="AZ5" s="342">
        <f t="shared" si="15"/>
        <v>508.64</v>
      </c>
      <c r="BA5" s="342"/>
      <c r="BB5" s="186">
        <v>80</v>
      </c>
      <c r="BC5" s="185">
        <f t="shared" si="16"/>
        <v>1746.19</v>
      </c>
      <c r="BD5" s="187" t="s">
        <v>176</v>
      </c>
      <c r="BE5" s="203"/>
      <c r="BF5" s="203"/>
      <c r="BG5" s="203"/>
      <c r="BH5" s="203"/>
    </row>
    <row r="6" spans="1:60" s="134" customFormat="1" ht="18" customHeight="1">
      <c r="A6" s="141">
        <v>9</v>
      </c>
      <c r="B6" s="121" t="s">
        <v>74</v>
      </c>
      <c r="C6" s="111" t="s">
        <v>172</v>
      </c>
      <c r="D6" s="120" t="s">
        <v>76</v>
      </c>
      <c r="E6" s="121" t="s">
        <v>86</v>
      </c>
      <c r="F6" s="122" t="s">
        <v>181</v>
      </c>
      <c r="G6" s="281" t="s">
        <v>182</v>
      </c>
      <c r="H6" s="120">
        <v>202202</v>
      </c>
      <c r="I6" s="120">
        <v>202202</v>
      </c>
      <c r="J6" s="120" t="s">
        <v>166</v>
      </c>
      <c r="K6" s="120" t="s">
        <v>166</v>
      </c>
      <c r="L6" s="141">
        <v>3179</v>
      </c>
      <c r="M6" s="141">
        <v>0.16</v>
      </c>
      <c r="N6" s="141">
        <f t="shared" si="0"/>
        <v>508.64</v>
      </c>
      <c r="O6" s="141">
        <v>0.08</v>
      </c>
      <c r="P6" s="141">
        <f t="shared" si="1"/>
        <v>254.32</v>
      </c>
      <c r="Q6" s="141">
        <v>3197</v>
      </c>
      <c r="R6" s="141">
        <v>0.08</v>
      </c>
      <c r="S6" s="141">
        <f t="shared" si="2"/>
        <v>255.76</v>
      </c>
      <c r="T6" s="141">
        <v>0.02</v>
      </c>
      <c r="U6" s="141">
        <f t="shared" si="3"/>
        <v>63.94</v>
      </c>
      <c r="V6" s="141">
        <v>3179</v>
      </c>
      <c r="W6" s="141">
        <v>7.0000000000000001E-3</v>
      </c>
      <c r="X6" s="141">
        <f t="shared" si="4"/>
        <v>22.25</v>
      </c>
      <c r="Y6" s="141">
        <v>3.0000000000000001E-3</v>
      </c>
      <c r="Z6" s="141">
        <f t="shared" si="5"/>
        <v>9.5399999999999991</v>
      </c>
      <c r="AA6" s="141">
        <v>3197</v>
      </c>
      <c r="AB6" s="141">
        <v>0.01</v>
      </c>
      <c r="AC6" s="141">
        <f>ROUND(AA6*AB6,2)</f>
        <v>31.97</v>
      </c>
      <c r="AD6" s="141">
        <v>3179</v>
      </c>
      <c r="AE6" s="141">
        <v>3.5000000000000001E-3</v>
      </c>
      <c r="AF6" s="141">
        <f t="shared" si="6"/>
        <v>11.13</v>
      </c>
      <c r="AG6" s="141">
        <v>3179</v>
      </c>
      <c r="AH6" s="141">
        <v>0.08</v>
      </c>
      <c r="AI6" s="141">
        <f t="shared" si="7"/>
        <v>254.32</v>
      </c>
      <c r="AJ6" s="141">
        <v>0.08</v>
      </c>
      <c r="AK6" s="141">
        <f t="shared" si="8"/>
        <v>254.32</v>
      </c>
      <c r="AL6" s="172"/>
      <c r="AM6" s="141"/>
      <c r="AN6" s="141"/>
      <c r="AO6" s="141"/>
      <c r="AP6" s="121"/>
      <c r="AQ6" s="176"/>
      <c r="AR6" s="176"/>
      <c r="AS6" s="177">
        <f t="shared" si="9"/>
        <v>829.75</v>
      </c>
      <c r="AT6" s="177">
        <f t="shared" si="10"/>
        <v>327.8</v>
      </c>
      <c r="AU6" s="177">
        <f t="shared" si="11"/>
        <v>254.32</v>
      </c>
      <c r="AV6" s="177">
        <f t="shared" si="12"/>
        <v>254.32</v>
      </c>
      <c r="AW6" s="177">
        <f t="shared" si="13"/>
        <v>1666.1899999999998</v>
      </c>
      <c r="AX6" s="342">
        <f t="shared" si="14"/>
        <v>1157.55</v>
      </c>
      <c r="AY6" s="342"/>
      <c r="AZ6" s="342">
        <f t="shared" si="15"/>
        <v>508.64</v>
      </c>
      <c r="BA6" s="342"/>
      <c r="BB6" s="186">
        <v>80</v>
      </c>
      <c r="BC6" s="185">
        <f t="shared" si="16"/>
        <v>1746.19</v>
      </c>
      <c r="BD6" s="187" t="s">
        <v>176</v>
      </c>
      <c r="BE6" s="203"/>
      <c r="BF6" s="203"/>
      <c r="BG6" s="203"/>
      <c r="BH6" s="203"/>
    </row>
    <row r="7" spans="1:60" s="135" customFormat="1" ht="18" customHeight="1">
      <c r="A7" s="142" t="s">
        <v>90</v>
      </c>
      <c r="B7" s="143" t="s">
        <v>74</v>
      </c>
      <c r="C7" s="144" t="s">
        <v>172</v>
      </c>
      <c r="D7" s="145" t="s">
        <v>76</v>
      </c>
      <c r="E7" s="143" t="s">
        <v>86</v>
      </c>
      <c r="F7" s="146" t="s">
        <v>173</v>
      </c>
      <c r="G7" s="147" t="s">
        <v>174</v>
      </c>
      <c r="H7" s="145" t="s">
        <v>175</v>
      </c>
      <c r="I7" s="145" t="s">
        <v>175</v>
      </c>
      <c r="J7" s="145" t="s">
        <v>175</v>
      </c>
      <c r="K7" s="145"/>
      <c r="L7" s="142"/>
      <c r="M7" s="142"/>
      <c r="N7" s="142"/>
      <c r="O7" s="142"/>
      <c r="P7" s="142"/>
      <c r="Q7" s="142">
        <f>3197-3179</f>
        <v>18</v>
      </c>
      <c r="R7" s="142">
        <v>0.08</v>
      </c>
      <c r="S7" s="142">
        <f t="shared" si="2"/>
        <v>1.44</v>
      </c>
      <c r="T7" s="142">
        <v>0.02</v>
      </c>
      <c r="U7" s="142">
        <f t="shared" si="3"/>
        <v>0.36</v>
      </c>
      <c r="V7" s="142"/>
      <c r="W7" s="142"/>
      <c r="X7" s="142"/>
      <c r="Y7" s="142"/>
      <c r="Z7" s="142"/>
      <c r="AA7" s="142">
        <f>3197-3179</f>
        <v>18</v>
      </c>
      <c r="AB7" s="142">
        <v>0.01</v>
      </c>
      <c r="AC7" s="142">
        <f>ROUND(AA7*AB7,2)</f>
        <v>0.18</v>
      </c>
      <c r="AD7" s="142"/>
      <c r="AE7" s="142"/>
      <c r="AF7" s="142"/>
      <c r="AG7" s="142"/>
      <c r="AH7" s="142"/>
      <c r="AI7" s="142"/>
      <c r="AJ7" s="142"/>
      <c r="AK7" s="142"/>
      <c r="AL7" s="173"/>
      <c r="AM7" s="142"/>
      <c r="AN7" s="142"/>
      <c r="AO7" s="142"/>
      <c r="AP7" s="143"/>
      <c r="AQ7" s="178"/>
      <c r="AR7" s="178"/>
      <c r="AS7" s="179">
        <f t="shared" si="9"/>
        <v>1.6199999999999999</v>
      </c>
      <c r="AT7" s="179">
        <f t="shared" si="10"/>
        <v>0.36</v>
      </c>
      <c r="AU7" s="179">
        <f t="shared" si="11"/>
        <v>0</v>
      </c>
      <c r="AV7" s="179">
        <f t="shared" si="12"/>
        <v>0</v>
      </c>
      <c r="AW7" s="179">
        <f t="shared" si="13"/>
        <v>1.98</v>
      </c>
      <c r="AX7" s="377">
        <f t="shared" si="14"/>
        <v>1.98</v>
      </c>
      <c r="AY7" s="377"/>
      <c r="AZ7" s="377">
        <f t="shared" si="15"/>
        <v>0</v>
      </c>
      <c r="BA7" s="377"/>
      <c r="BB7" s="189"/>
      <c r="BC7" s="188">
        <f t="shared" si="16"/>
        <v>1.98</v>
      </c>
      <c r="BD7" s="190" t="s">
        <v>183</v>
      </c>
      <c r="BE7" s="204"/>
      <c r="BF7" s="204"/>
      <c r="BG7" s="204"/>
      <c r="BH7" s="204"/>
    </row>
    <row r="8" spans="1:60" s="135" customFormat="1" ht="18" customHeight="1">
      <c r="A8" s="142" t="s">
        <v>90</v>
      </c>
      <c r="B8" s="143" t="s">
        <v>74</v>
      </c>
      <c r="C8" s="144" t="s">
        <v>172</v>
      </c>
      <c r="D8" s="145" t="s">
        <v>76</v>
      </c>
      <c r="E8" s="143" t="s">
        <v>86</v>
      </c>
      <c r="F8" s="146" t="s">
        <v>177</v>
      </c>
      <c r="G8" s="147" t="s">
        <v>178</v>
      </c>
      <c r="H8" s="145" t="s">
        <v>175</v>
      </c>
      <c r="I8" s="145" t="s">
        <v>175</v>
      </c>
      <c r="J8" s="145" t="s">
        <v>175</v>
      </c>
      <c r="K8" s="145"/>
      <c r="L8" s="142"/>
      <c r="M8" s="142"/>
      <c r="N8" s="142"/>
      <c r="O8" s="142"/>
      <c r="P8" s="142"/>
      <c r="Q8" s="142">
        <f t="shared" ref="Q8:Q16" si="17">3197-3179</f>
        <v>18</v>
      </c>
      <c r="R8" s="142">
        <v>0.08</v>
      </c>
      <c r="S8" s="142">
        <f t="shared" si="2"/>
        <v>1.44</v>
      </c>
      <c r="T8" s="142">
        <v>0.02</v>
      </c>
      <c r="U8" s="142">
        <f t="shared" si="3"/>
        <v>0.36</v>
      </c>
      <c r="V8" s="142"/>
      <c r="W8" s="142"/>
      <c r="X8" s="142"/>
      <c r="Y8" s="142"/>
      <c r="Z8" s="142"/>
      <c r="AA8" s="142">
        <f t="shared" ref="AA8:AA16" si="18">3197-3179</f>
        <v>18</v>
      </c>
      <c r="AB8" s="142">
        <v>0.01</v>
      </c>
      <c r="AC8" s="142">
        <f>ROUND(AA8*AB8,2)</f>
        <v>0.18</v>
      </c>
      <c r="AD8" s="142"/>
      <c r="AE8" s="142"/>
      <c r="AF8" s="142"/>
      <c r="AG8" s="142"/>
      <c r="AH8" s="142"/>
      <c r="AI8" s="142"/>
      <c r="AJ8" s="142"/>
      <c r="AK8" s="142"/>
      <c r="AL8" s="173"/>
      <c r="AM8" s="142"/>
      <c r="AN8" s="142"/>
      <c r="AO8" s="142"/>
      <c r="AP8" s="143"/>
      <c r="AQ8" s="178"/>
      <c r="AR8" s="178"/>
      <c r="AS8" s="179">
        <f t="shared" si="9"/>
        <v>1.6199999999999999</v>
      </c>
      <c r="AT8" s="179">
        <f t="shared" si="10"/>
        <v>0.36</v>
      </c>
      <c r="AU8" s="179">
        <f t="shared" si="11"/>
        <v>0</v>
      </c>
      <c r="AV8" s="179">
        <f t="shared" si="12"/>
        <v>0</v>
      </c>
      <c r="AW8" s="179">
        <f t="shared" si="13"/>
        <v>1.98</v>
      </c>
      <c r="AX8" s="377">
        <f t="shared" si="14"/>
        <v>1.98</v>
      </c>
      <c r="AY8" s="377"/>
      <c r="AZ8" s="377">
        <f t="shared" si="15"/>
        <v>0</v>
      </c>
      <c r="BA8" s="377"/>
      <c r="BB8" s="189"/>
      <c r="BC8" s="188">
        <f t="shared" si="16"/>
        <v>1.98</v>
      </c>
      <c r="BD8" s="190" t="s">
        <v>183</v>
      </c>
      <c r="BE8" s="204"/>
      <c r="BF8" s="204"/>
      <c r="BG8" s="204"/>
      <c r="BH8" s="204"/>
    </row>
    <row r="9" spans="1:60" s="135" customFormat="1" ht="18" customHeight="1">
      <c r="A9" s="142" t="s">
        <v>90</v>
      </c>
      <c r="B9" s="143" t="s">
        <v>74</v>
      </c>
      <c r="C9" s="144" t="s">
        <v>172</v>
      </c>
      <c r="D9" s="145" t="s">
        <v>76</v>
      </c>
      <c r="E9" s="143" t="s">
        <v>86</v>
      </c>
      <c r="F9" s="146" t="s">
        <v>173</v>
      </c>
      <c r="G9" s="147" t="s">
        <v>174</v>
      </c>
      <c r="H9" s="145" t="s">
        <v>175</v>
      </c>
      <c r="I9" s="145" t="s">
        <v>175</v>
      </c>
      <c r="J9" s="145">
        <v>202202</v>
      </c>
      <c r="K9" s="145"/>
      <c r="L9" s="142"/>
      <c r="M9" s="142"/>
      <c r="N9" s="142"/>
      <c r="O9" s="142"/>
      <c r="P9" s="142"/>
      <c r="Q9" s="142">
        <f t="shared" si="17"/>
        <v>18</v>
      </c>
      <c r="R9" s="142">
        <v>0.08</v>
      </c>
      <c r="S9" s="142">
        <f t="shared" ref="S9:S16" si="19">ROUND(Q9*R9,2)</f>
        <v>1.44</v>
      </c>
      <c r="T9" s="142">
        <v>0.02</v>
      </c>
      <c r="U9" s="142">
        <f t="shared" ref="U9:U16" si="20">ROUND(Q9*T9,2)</f>
        <v>0.36</v>
      </c>
      <c r="V9" s="142"/>
      <c r="W9" s="142"/>
      <c r="X9" s="142"/>
      <c r="Y9" s="142"/>
      <c r="Z9" s="142"/>
      <c r="AA9" s="142">
        <f t="shared" si="18"/>
        <v>18</v>
      </c>
      <c r="AB9" s="142">
        <v>0.01</v>
      </c>
      <c r="AC9" s="142">
        <f t="shared" ref="AC9:AC16" si="21">ROUND(AA9*AB9,2)</f>
        <v>0.18</v>
      </c>
      <c r="AD9" s="142"/>
      <c r="AE9" s="142"/>
      <c r="AF9" s="142"/>
      <c r="AG9" s="142"/>
      <c r="AH9" s="142"/>
      <c r="AI9" s="142"/>
      <c r="AJ9" s="142"/>
      <c r="AK9" s="142"/>
      <c r="AL9" s="173"/>
      <c r="AM9" s="142"/>
      <c r="AN9" s="142"/>
      <c r="AO9" s="142"/>
      <c r="AP9" s="143"/>
      <c r="AQ9" s="178"/>
      <c r="AR9" s="178"/>
      <c r="AS9" s="179">
        <f t="shared" ref="AS9:AS16" si="22">N9+S9+X9+AC9+AF9+AN9+AQ9</f>
        <v>1.6199999999999999</v>
      </c>
      <c r="AT9" s="179">
        <f t="shared" ref="AT9:AT16" si="23">P9+U9+Z9</f>
        <v>0.36</v>
      </c>
      <c r="AU9" s="179">
        <f t="shared" ref="AU9:AU16" si="24">AI9</f>
        <v>0</v>
      </c>
      <c r="AV9" s="179">
        <f t="shared" ref="AV9:AV16" si="25">AK9</f>
        <v>0</v>
      </c>
      <c r="AW9" s="179">
        <f t="shared" ref="AW9:AW16" si="26">AV9+AS9+AT9+AU9</f>
        <v>1.98</v>
      </c>
      <c r="AX9" s="377">
        <f t="shared" ref="AX9:AX16" si="27">AS9+AT9</f>
        <v>1.98</v>
      </c>
      <c r="AY9" s="377"/>
      <c r="AZ9" s="377">
        <f t="shared" ref="AZ9:AZ16" si="28">AU9+AV9</f>
        <v>0</v>
      </c>
      <c r="BA9" s="377"/>
      <c r="BB9" s="189"/>
      <c r="BC9" s="188">
        <f t="shared" ref="BC9:BC16" si="29">AX9+AZ9+BB9</f>
        <v>1.98</v>
      </c>
      <c r="BD9" s="190" t="s">
        <v>183</v>
      </c>
      <c r="BE9" s="204"/>
      <c r="BF9" s="204"/>
      <c r="BG9" s="204"/>
      <c r="BH9" s="204"/>
    </row>
    <row r="10" spans="1:60" s="135" customFormat="1" ht="18" customHeight="1">
      <c r="A10" s="142" t="s">
        <v>90</v>
      </c>
      <c r="B10" s="143" t="s">
        <v>74</v>
      </c>
      <c r="C10" s="144" t="s">
        <v>172</v>
      </c>
      <c r="D10" s="145" t="s">
        <v>76</v>
      </c>
      <c r="E10" s="143" t="s">
        <v>86</v>
      </c>
      <c r="F10" s="146" t="s">
        <v>177</v>
      </c>
      <c r="G10" s="147" t="s">
        <v>178</v>
      </c>
      <c r="H10" s="145" t="s">
        <v>175</v>
      </c>
      <c r="I10" s="145" t="s">
        <v>175</v>
      </c>
      <c r="J10" s="145">
        <v>202202</v>
      </c>
      <c r="K10" s="145"/>
      <c r="L10" s="142"/>
      <c r="M10" s="142"/>
      <c r="N10" s="142"/>
      <c r="O10" s="142"/>
      <c r="P10" s="142"/>
      <c r="Q10" s="142">
        <f t="shared" si="17"/>
        <v>18</v>
      </c>
      <c r="R10" s="142">
        <v>0.08</v>
      </c>
      <c r="S10" s="142">
        <f t="shared" si="19"/>
        <v>1.44</v>
      </c>
      <c r="T10" s="142">
        <v>0.02</v>
      </c>
      <c r="U10" s="142">
        <f t="shared" si="20"/>
        <v>0.36</v>
      </c>
      <c r="V10" s="142"/>
      <c r="W10" s="142"/>
      <c r="X10" s="142"/>
      <c r="Y10" s="142"/>
      <c r="Z10" s="142"/>
      <c r="AA10" s="142">
        <f t="shared" si="18"/>
        <v>18</v>
      </c>
      <c r="AB10" s="142">
        <v>0.01</v>
      </c>
      <c r="AC10" s="142">
        <f t="shared" si="21"/>
        <v>0.18</v>
      </c>
      <c r="AD10" s="142"/>
      <c r="AE10" s="142"/>
      <c r="AF10" s="142"/>
      <c r="AG10" s="142"/>
      <c r="AH10" s="142"/>
      <c r="AI10" s="142"/>
      <c r="AJ10" s="142"/>
      <c r="AK10" s="142"/>
      <c r="AL10" s="173"/>
      <c r="AM10" s="142"/>
      <c r="AN10" s="142"/>
      <c r="AO10" s="142"/>
      <c r="AP10" s="143"/>
      <c r="AQ10" s="178"/>
      <c r="AR10" s="178"/>
      <c r="AS10" s="179">
        <f t="shared" si="22"/>
        <v>1.6199999999999999</v>
      </c>
      <c r="AT10" s="179">
        <f t="shared" si="23"/>
        <v>0.36</v>
      </c>
      <c r="AU10" s="179">
        <f t="shared" si="24"/>
        <v>0</v>
      </c>
      <c r="AV10" s="179">
        <f t="shared" si="25"/>
        <v>0</v>
      </c>
      <c r="AW10" s="179">
        <f t="shared" si="26"/>
        <v>1.98</v>
      </c>
      <c r="AX10" s="377">
        <f t="shared" si="27"/>
        <v>1.98</v>
      </c>
      <c r="AY10" s="377"/>
      <c r="AZ10" s="377">
        <f t="shared" si="28"/>
        <v>0</v>
      </c>
      <c r="BA10" s="377"/>
      <c r="BB10" s="189"/>
      <c r="BC10" s="188">
        <f t="shared" si="29"/>
        <v>1.98</v>
      </c>
      <c r="BD10" s="190" t="s">
        <v>183</v>
      </c>
      <c r="BE10" s="204"/>
      <c r="BF10" s="204"/>
      <c r="BG10" s="204"/>
      <c r="BH10" s="204"/>
    </row>
    <row r="11" spans="1:60" s="135" customFormat="1" ht="18" customHeight="1">
      <c r="A11" s="142" t="s">
        <v>90</v>
      </c>
      <c r="B11" s="143" t="s">
        <v>74</v>
      </c>
      <c r="C11" s="144" t="s">
        <v>172</v>
      </c>
      <c r="D11" s="145" t="s">
        <v>76</v>
      </c>
      <c r="E11" s="143" t="s">
        <v>86</v>
      </c>
      <c r="F11" s="146" t="s">
        <v>179</v>
      </c>
      <c r="G11" s="147" t="s">
        <v>180</v>
      </c>
      <c r="H11" s="145">
        <v>202202</v>
      </c>
      <c r="I11" s="145">
        <v>202202</v>
      </c>
      <c r="J11" s="145">
        <v>202202</v>
      </c>
      <c r="K11" s="145"/>
      <c r="L11" s="142"/>
      <c r="M11" s="142"/>
      <c r="N11" s="142"/>
      <c r="O11" s="142"/>
      <c r="P11" s="142"/>
      <c r="Q11" s="142">
        <f t="shared" si="17"/>
        <v>18</v>
      </c>
      <c r="R11" s="142">
        <v>0.08</v>
      </c>
      <c r="S11" s="142">
        <f t="shared" si="19"/>
        <v>1.44</v>
      </c>
      <c r="T11" s="142">
        <v>0.02</v>
      </c>
      <c r="U11" s="142">
        <f t="shared" si="20"/>
        <v>0.36</v>
      </c>
      <c r="V11" s="142"/>
      <c r="W11" s="142"/>
      <c r="X11" s="142"/>
      <c r="Y11" s="142"/>
      <c r="Z11" s="142"/>
      <c r="AA11" s="142">
        <f t="shared" si="18"/>
        <v>18</v>
      </c>
      <c r="AB11" s="142">
        <v>0.01</v>
      </c>
      <c r="AC11" s="142">
        <f t="shared" si="21"/>
        <v>0.18</v>
      </c>
      <c r="AD11" s="142"/>
      <c r="AE11" s="142"/>
      <c r="AF11" s="142"/>
      <c r="AG11" s="142"/>
      <c r="AH11" s="142"/>
      <c r="AI11" s="142"/>
      <c r="AJ11" s="142"/>
      <c r="AK11" s="142"/>
      <c r="AL11" s="173"/>
      <c r="AM11" s="142"/>
      <c r="AN11" s="142"/>
      <c r="AO11" s="142"/>
      <c r="AP11" s="143"/>
      <c r="AQ11" s="178"/>
      <c r="AR11" s="178"/>
      <c r="AS11" s="179">
        <f t="shared" si="22"/>
        <v>1.6199999999999999</v>
      </c>
      <c r="AT11" s="179">
        <f t="shared" si="23"/>
        <v>0.36</v>
      </c>
      <c r="AU11" s="179">
        <f t="shared" si="24"/>
        <v>0</v>
      </c>
      <c r="AV11" s="179">
        <f t="shared" si="25"/>
        <v>0</v>
      </c>
      <c r="AW11" s="179">
        <f t="shared" si="26"/>
        <v>1.98</v>
      </c>
      <c r="AX11" s="377">
        <f t="shared" si="27"/>
        <v>1.98</v>
      </c>
      <c r="AY11" s="377"/>
      <c r="AZ11" s="377">
        <f t="shared" si="28"/>
        <v>0</v>
      </c>
      <c r="BA11" s="377"/>
      <c r="BB11" s="189"/>
      <c r="BC11" s="188">
        <f t="shared" si="29"/>
        <v>1.98</v>
      </c>
      <c r="BD11" s="190" t="s">
        <v>183</v>
      </c>
      <c r="BE11" s="204"/>
      <c r="BF11" s="204"/>
      <c r="BG11" s="204"/>
      <c r="BH11" s="204"/>
    </row>
    <row r="12" spans="1:60" s="135" customFormat="1" ht="18" customHeight="1">
      <c r="A12" s="142" t="s">
        <v>90</v>
      </c>
      <c r="B12" s="143" t="s">
        <v>74</v>
      </c>
      <c r="C12" s="144" t="s">
        <v>172</v>
      </c>
      <c r="D12" s="145" t="s">
        <v>76</v>
      </c>
      <c r="E12" s="143" t="s">
        <v>86</v>
      </c>
      <c r="F12" s="146" t="s">
        <v>181</v>
      </c>
      <c r="G12" s="285" t="s">
        <v>182</v>
      </c>
      <c r="H12" s="145">
        <v>202202</v>
      </c>
      <c r="I12" s="145">
        <v>202202</v>
      </c>
      <c r="J12" s="145">
        <v>202202</v>
      </c>
      <c r="K12" s="145"/>
      <c r="L12" s="142"/>
      <c r="M12" s="142"/>
      <c r="N12" s="142"/>
      <c r="O12" s="142"/>
      <c r="P12" s="142"/>
      <c r="Q12" s="142">
        <f t="shared" si="17"/>
        <v>18</v>
      </c>
      <c r="R12" s="142">
        <v>0.08</v>
      </c>
      <c r="S12" s="142">
        <f t="shared" si="19"/>
        <v>1.44</v>
      </c>
      <c r="T12" s="142">
        <v>0.02</v>
      </c>
      <c r="U12" s="142">
        <f t="shared" si="20"/>
        <v>0.36</v>
      </c>
      <c r="V12" s="142"/>
      <c r="W12" s="142"/>
      <c r="X12" s="142"/>
      <c r="Y12" s="142"/>
      <c r="Z12" s="142"/>
      <c r="AA12" s="142">
        <f t="shared" si="18"/>
        <v>18</v>
      </c>
      <c r="AB12" s="142">
        <v>0.01</v>
      </c>
      <c r="AC12" s="142">
        <f t="shared" si="21"/>
        <v>0.18</v>
      </c>
      <c r="AD12" s="142"/>
      <c r="AE12" s="142"/>
      <c r="AF12" s="142"/>
      <c r="AG12" s="142"/>
      <c r="AH12" s="142"/>
      <c r="AI12" s="142"/>
      <c r="AJ12" s="142"/>
      <c r="AK12" s="142"/>
      <c r="AL12" s="173"/>
      <c r="AM12" s="142"/>
      <c r="AN12" s="142"/>
      <c r="AO12" s="142"/>
      <c r="AP12" s="143"/>
      <c r="AQ12" s="178"/>
      <c r="AR12" s="178"/>
      <c r="AS12" s="179">
        <f t="shared" si="22"/>
        <v>1.6199999999999999</v>
      </c>
      <c r="AT12" s="179">
        <f t="shared" si="23"/>
        <v>0.36</v>
      </c>
      <c r="AU12" s="179">
        <f t="shared" si="24"/>
        <v>0</v>
      </c>
      <c r="AV12" s="179">
        <f t="shared" si="25"/>
        <v>0</v>
      </c>
      <c r="AW12" s="179">
        <f t="shared" si="26"/>
        <v>1.98</v>
      </c>
      <c r="AX12" s="377">
        <f t="shared" si="27"/>
        <v>1.98</v>
      </c>
      <c r="AY12" s="377"/>
      <c r="AZ12" s="377">
        <f t="shared" si="28"/>
        <v>0</v>
      </c>
      <c r="BA12" s="377"/>
      <c r="BB12" s="189"/>
      <c r="BC12" s="188">
        <f t="shared" si="29"/>
        <v>1.98</v>
      </c>
      <c r="BD12" s="190" t="s">
        <v>183</v>
      </c>
      <c r="BE12" s="204"/>
      <c r="BF12" s="204"/>
      <c r="BG12" s="204"/>
      <c r="BH12" s="204"/>
    </row>
    <row r="13" spans="1:60" s="135" customFormat="1" ht="18" customHeight="1">
      <c r="A13" s="142" t="s">
        <v>90</v>
      </c>
      <c r="B13" s="143" t="s">
        <v>74</v>
      </c>
      <c r="C13" s="144" t="s">
        <v>172</v>
      </c>
      <c r="D13" s="145" t="s">
        <v>76</v>
      </c>
      <c r="E13" s="143" t="s">
        <v>86</v>
      </c>
      <c r="F13" s="146" t="s">
        <v>173</v>
      </c>
      <c r="G13" s="147" t="s">
        <v>174</v>
      </c>
      <c r="H13" s="145" t="s">
        <v>175</v>
      </c>
      <c r="I13" s="145" t="s">
        <v>175</v>
      </c>
      <c r="J13" s="145" t="s">
        <v>165</v>
      </c>
      <c r="K13" s="145"/>
      <c r="L13" s="142"/>
      <c r="M13" s="142"/>
      <c r="N13" s="142"/>
      <c r="O13" s="142"/>
      <c r="P13" s="142"/>
      <c r="Q13" s="142">
        <f t="shared" si="17"/>
        <v>18</v>
      </c>
      <c r="R13" s="142">
        <v>0.08</v>
      </c>
      <c r="S13" s="142">
        <f t="shared" si="19"/>
        <v>1.44</v>
      </c>
      <c r="T13" s="142">
        <v>0.02</v>
      </c>
      <c r="U13" s="142">
        <f t="shared" si="20"/>
        <v>0.36</v>
      </c>
      <c r="V13" s="142"/>
      <c r="W13" s="142"/>
      <c r="X13" s="142"/>
      <c r="Y13" s="142"/>
      <c r="Z13" s="142"/>
      <c r="AA13" s="142">
        <f t="shared" si="18"/>
        <v>18</v>
      </c>
      <c r="AB13" s="142">
        <v>0.01</v>
      </c>
      <c r="AC13" s="142">
        <f t="shared" si="21"/>
        <v>0.18</v>
      </c>
      <c r="AD13" s="142"/>
      <c r="AE13" s="142"/>
      <c r="AF13" s="142"/>
      <c r="AG13" s="142"/>
      <c r="AH13" s="142"/>
      <c r="AI13" s="142"/>
      <c r="AJ13" s="142"/>
      <c r="AK13" s="142"/>
      <c r="AL13" s="173"/>
      <c r="AM13" s="142"/>
      <c r="AN13" s="142"/>
      <c r="AO13" s="142"/>
      <c r="AP13" s="143"/>
      <c r="AQ13" s="178"/>
      <c r="AR13" s="178"/>
      <c r="AS13" s="179">
        <f t="shared" si="22"/>
        <v>1.6199999999999999</v>
      </c>
      <c r="AT13" s="179">
        <f t="shared" si="23"/>
        <v>0.36</v>
      </c>
      <c r="AU13" s="179">
        <f t="shared" si="24"/>
        <v>0</v>
      </c>
      <c r="AV13" s="179">
        <f t="shared" si="25"/>
        <v>0</v>
      </c>
      <c r="AW13" s="179">
        <f t="shared" si="26"/>
        <v>1.98</v>
      </c>
      <c r="AX13" s="377">
        <f t="shared" si="27"/>
        <v>1.98</v>
      </c>
      <c r="AY13" s="377"/>
      <c r="AZ13" s="377">
        <f t="shared" si="28"/>
        <v>0</v>
      </c>
      <c r="BA13" s="377"/>
      <c r="BB13" s="189"/>
      <c r="BC13" s="188">
        <f t="shared" si="29"/>
        <v>1.98</v>
      </c>
      <c r="BD13" s="190" t="s">
        <v>183</v>
      </c>
      <c r="BE13" s="204"/>
      <c r="BF13" s="204"/>
      <c r="BG13" s="204"/>
      <c r="BH13" s="204"/>
    </row>
    <row r="14" spans="1:60" s="135" customFormat="1" ht="18" customHeight="1">
      <c r="A14" s="142" t="s">
        <v>90</v>
      </c>
      <c r="B14" s="143" t="s">
        <v>74</v>
      </c>
      <c r="C14" s="144" t="s">
        <v>172</v>
      </c>
      <c r="D14" s="145" t="s">
        <v>76</v>
      </c>
      <c r="E14" s="143" t="s">
        <v>86</v>
      </c>
      <c r="F14" s="146" t="s">
        <v>177</v>
      </c>
      <c r="G14" s="147" t="s">
        <v>178</v>
      </c>
      <c r="H14" s="145" t="s">
        <v>175</v>
      </c>
      <c r="I14" s="145" t="s">
        <v>175</v>
      </c>
      <c r="J14" s="145" t="s">
        <v>165</v>
      </c>
      <c r="K14" s="145"/>
      <c r="L14" s="142"/>
      <c r="M14" s="142"/>
      <c r="N14" s="142"/>
      <c r="O14" s="142"/>
      <c r="P14" s="142"/>
      <c r="Q14" s="142">
        <f t="shared" si="17"/>
        <v>18</v>
      </c>
      <c r="R14" s="142">
        <v>0.08</v>
      </c>
      <c r="S14" s="142">
        <f t="shared" si="19"/>
        <v>1.44</v>
      </c>
      <c r="T14" s="142">
        <v>0.02</v>
      </c>
      <c r="U14" s="142">
        <f t="shared" si="20"/>
        <v>0.36</v>
      </c>
      <c r="V14" s="142"/>
      <c r="W14" s="142"/>
      <c r="X14" s="142"/>
      <c r="Y14" s="142"/>
      <c r="Z14" s="142"/>
      <c r="AA14" s="142">
        <f t="shared" si="18"/>
        <v>18</v>
      </c>
      <c r="AB14" s="142">
        <v>0.01</v>
      </c>
      <c r="AC14" s="142">
        <f t="shared" si="21"/>
        <v>0.18</v>
      </c>
      <c r="AD14" s="142"/>
      <c r="AE14" s="142"/>
      <c r="AF14" s="142"/>
      <c r="AG14" s="142"/>
      <c r="AH14" s="142"/>
      <c r="AI14" s="142"/>
      <c r="AJ14" s="142"/>
      <c r="AK14" s="142"/>
      <c r="AL14" s="173"/>
      <c r="AM14" s="142"/>
      <c r="AN14" s="142"/>
      <c r="AO14" s="142"/>
      <c r="AP14" s="143"/>
      <c r="AQ14" s="178"/>
      <c r="AR14" s="178"/>
      <c r="AS14" s="179">
        <f t="shared" si="22"/>
        <v>1.6199999999999999</v>
      </c>
      <c r="AT14" s="179">
        <f t="shared" si="23"/>
        <v>0.36</v>
      </c>
      <c r="AU14" s="179">
        <f t="shared" si="24"/>
        <v>0</v>
      </c>
      <c r="AV14" s="179">
        <f t="shared" si="25"/>
        <v>0</v>
      </c>
      <c r="AW14" s="179">
        <f t="shared" si="26"/>
        <v>1.98</v>
      </c>
      <c r="AX14" s="377">
        <f t="shared" si="27"/>
        <v>1.98</v>
      </c>
      <c r="AY14" s="377"/>
      <c r="AZ14" s="377">
        <f t="shared" si="28"/>
        <v>0</v>
      </c>
      <c r="BA14" s="377"/>
      <c r="BB14" s="189"/>
      <c r="BC14" s="188">
        <f t="shared" si="29"/>
        <v>1.98</v>
      </c>
      <c r="BD14" s="190" t="s">
        <v>183</v>
      </c>
      <c r="BE14" s="204"/>
      <c r="BF14" s="204"/>
      <c r="BG14" s="204"/>
      <c r="BH14" s="204"/>
    </row>
    <row r="15" spans="1:60" s="135" customFormat="1" ht="18" customHeight="1">
      <c r="A15" s="142" t="s">
        <v>90</v>
      </c>
      <c r="B15" s="143" t="s">
        <v>74</v>
      </c>
      <c r="C15" s="144" t="s">
        <v>172</v>
      </c>
      <c r="D15" s="145" t="s">
        <v>76</v>
      </c>
      <c r="E15" s="143" t="s">
        <v>86</v>
      </c>
      <c r="F15" s="146" t="s">
        <v>179</v>
      </c>
      <c r="G15" s="147" t="s">
        <v>180</v>
      </c>
      <c r="H15" s="145">
        <v>202202</v>
      </c>
      <c r="I15" s="145">
        <v>202202</v>
      </c>
      <c r="J15" s="145" t="s">
        <v>165</v>
      </c>
      <c r="K15" s="145"/>
      <c r="L15" s="142"/>
      <c r="M15" s="142"/>
      <c r="N15" s="142"/>
      <c r="O15" s="142"/>
      <c r="P15" s="142"/>
      <c r="Q15" s="142">
        <f t="shared" si="17"/>
        <v>18</v>
      </c>
      <c r="R15" s="142">
        <v>0.08</v>
      </c>
      <c r="S15" s="142">
        <f t="shared" si="19"/>
        <v>1.44</v>
      </c>
      <c r="T15" s="142">
        <v>0.02</v>
      </c>
      <c r="U15" s="142">
        <f t="shared" si="20"/>
        <v>0.36</v>
      </c>
      <c r="V15" s="142"/>
      <c r="W15" s="142"/>
      <c r="X15" s="142"/>
      <c r="Y15" s="142"/>
      <c r="Z15" s="142"/>
      <c r="AA15" s="142">
        <f t="shared" si="18"/>
        <v>18</v>
      </c>
      <c r="AB15" s="142">
        <v>0.01</v>
      </c>
      <c r="AC15" s="142">
        <f t="shared" si="21"/>
        <v>0.18</v>
      </c>
      <c r="AD15" s="142"/>
      <c r="AE15" s="142"/>
      <c r="AF15" s="142"/>
      <c r="AG15" s="142"/>
      <c r="AH15" s="142"/>
      <c r="AI15" s="142"/>
      <c r="AJ15" s="142"/>
      <c r="AK15" s="142"/>
      <c r="AL15" s="173"/>
      <c r="AM15" s="142"/>
      <c r="AN15" s="142"/>
      <c r="AO15" s="142"/>
      <c r="AP15" s="143"/>
      <c r="AQ15" s="178"/>
      <c r="AR15" s="178"/>
      <c r="AS15" s="179">
        <f t="shared" si="22"/>
        <v>1.6199999999999999</v>
      </c>
      <c r="AT15" s="179">
        <f t="shared" si="23"/>
        <v>0.36</v>
      </c>
      <c r="AU15" s="179">
        <f t="shared" si="24"/>
        <v>0</v>
      </c>
      <c r="AV15" s="179">
        <f t="shared" si="25"/>
        <v>0</v>
      </c>
      <c r="AW15" s="179">
        <f t="shared" si="26"/>
        <v>1.98</v>
      </c>
      <c r="AX15" s="377">
        <f t="shared" si="27"/>
        <v>1.98</v>
      </c>
      <c r="AY15" s="377"/>
      <c r="AZ15" s="377">
        <f t="shared" si="28"/>
        <v>0</v>
      </c>
      <c r="BA15" s="377"/>
      <c r="BB15" s="189"/>
      <c r="BC15" s="188">
        <f t="shared" si="29"/>
        <v>1.98</v>
      </c>
      <c r="BD15" s="190" t="s">
        <v>183</v>
      </c>
      <c r="BE15" s="204"/>
      <c r="BF15" s="204"/>
      <c r="BG15" s="204"/>
      <c r="BH15" s="204"/>
    </row>
    <row r="16" spans="1:60" s="135" customFormat="1" ht="18" customHeight="1">
      <c r="A16" s="142" t="s">
        <v>90</v>
      </c>
      <c r="B16" s="143" t="s">
        <v>74</v>
      </c>
      <c r="C16" s="144" t="s">
        <v>172</v>
      </c>
      <c r="D16" s="145" t="s">
        <v>76</v>
      </c>
      <c r="E16" s="143" t="s">
        <v>86</v>
      </c>
      <c r="F16" s="146" t="s">
        <v>181</v>
      </c>
      <c r="G16" s="285" t="s">
        <v>182</v>
      </c>
      <c r="H16" s="145">
        <v>202202</v>
      </c>
      <c r="I16" s="145">
        <v>202202</v>
      </c>
      <c r="J16" s="145" t="s">
        <v>165</v>
      </c>
      <c r="K16" s="145"/>
      <c r="L16" s="142"/>
      <c r="M16" s="142"/>
      <c r="N16" s="142"/>
      <c r="O16" s="142"/>
      <c r="P16" s="142"/>
      <c r="Q16" s="142">
        <f t="shared" si="17"/>
        <v>18</v>
      </c>
      <c r="R16" s="142">
        <v>0.08</v>
      </c>
      <c r="S16" s="142">
        <f t="shared" si="19"/>
        <v>1.44</v>
      </c>
      <c r="T16" s="142">
        <v>0.02</v>
      </c>
      <c r="U16" s="142">
        <f t="shared" si="20"/>
        <v>0.36</v>
      </c>
      <c r="V16" s="142"/>
      <c r="W16" s="142"/>
      <c r="X16" s="142"/>
      <c r="Y16" s="142"/>
      <c r="Z16" s="142"/>
      <c r="AA16" s="142">
        <f t="shared" si="18"/>
        <v>18</v>
      </c>
      <c r="AB16" s="142">
        <v>0.01</v>
      </c>
      <c r="AC16" s="142">
        <f t="shared" si="21"/>
        <v>0.18</v>
      </c>
      <c r="AD16" s="142"/>
      <c r="AE16" s="142"/>
      <c r="AF16" s="142"/>
      <c r="AG16" s="142"/>
      <c r="AH16" s="142"/>
      <c r="AI16" s="142"/>
      <c r="AJ16" s="142"/>
      <c r="AK16" s="142"/>
      <c r="AL16" s="173"/>
      <c r="AM16" s="142"/>
      <c r="AN16" s="142"/>
      <c r="AO16" s="142"/>
      <c r="AP16" s="143"/>
      <c r="AQ16" s="178"/>
      <c r="AR16" s="178"/>
      <c r="AS16" s="179">
        <f t="shared" si="22"/>
        <v>1.6199999999999999</v>
      </c>
      <c r="AT16" s="179">
        <f t="shared" si="23"/>
        <v>0.36</v>
      </c>
      <c r="AU16" s="179">
        <f t="shared" si="24"/>
        <v>0</v>
      </c>
      <c r="AV16" s="179">
        <f t="shared" si="25"/>
        <v>0</v>
      </c>
      <c r="AW16" s="179">
        <f t="shared" si="26"/>
        <v>1.98</v>
      </c>
      <c r="AX16" s="377">
        <f t="shared" si="27"/>
        <v>1.98</v>
      </c>
      <c r="AY16" s="377"/>
      <c r="AZ16" s="377">
        <f t="shared" si="28"/>
        <v>0</v>
      </c>
      <c r="BA16" s="377"/>
      <c r="BB16" s="189"/>
      <c r="BC16" s="188">
        <f t="shared" si="29"/>
        <v>1.98</v>
      </c>
      <c r="BD16" s="190" t="s">
        <v>183</v>
      </c>
      <c r="BE16" s="204"/>
      <c r="BF16" s="204"/>
      <c r="BG16" s="204"/>
      <c r="BH16" s="204"/>
    </row>
    <row r="17" spans="1:60" s="136" customFormat="1" ht="18" customHeight="1">
      <c r="A17" s="148"/>
      <c r="B17" s="149"/>
      <c r="C17" s="150"/>
      <c r="D17" s="151"/>
      <c r="E17" s="152"/>
      <c r="F17" s="153"/>
      <c r="G17" s="154"/>
      <c r="H17" s="155"/>
      <c r="I17" s="151"/>
      <c r="J17" s="155"/>
      <c r="K17" s="155"/>
      <c r="L17" s="167"/>
      <c r="M17" s="167"/>
      <c r="N17" s="168"/>
      <c r="O17" s="167"/>
      <c r="P17" s="167"/>
      <c r="Q17" s="167"/>
      <c r="R17" s="167"/>
      <c r="S17" s="167"/>
      <c r="T17" s="167"/>
      <c r="U17" s="167"/>
      <c r="V17" s="170"/>
      <c r="W17" s="170"/>
      <c r="X17" s="171"/>
      <c r="Y17" s="170"/>
      <c r="Z17" s="167"/>
      <c r="AA17" s="167"/>
      <c r="AB17" s="167"/>
      <c r="AC17" s="167"/>
      <c r="AD17" s="167"/>
      <c r="AE17" s="167"/>
      <c r="AF17" s="168"/>
      <c r="AG17" s="167"/>
      <c r="AH17" s="167"/>
      <c r="AI17" s="167"/>
      <c r="AJ17" s="167"/>
      <c r="AK17" s="167"/>
      <c r="AL17" s="174"/>
      <c r="AM17" s="167"/>
      <c r="AN17" s="167"/>
      <c r="AO17" s="167"/>
      <c r="AP17" s="180"/>
      <c r="AQ17" s="181"/>
      <c r="AR17" s="167"/>
      <c r="AS17" s="182"/>
      <c r="AT17" s="182"/>
      <c r="AU17" s="182"/>
      <c r="AV17" s="182"/>
      <c r="AW17" s="182"/>
      <c r="AX17" s="191"/>
      <c r="AY17" s="192"/>
      <c r="AZ17" s="191"/>
      <c r="BA17" s="192"/>
      <c r="BB17" s="193"/>
      <c r="BC17" s="194"/>
      <c r="BD17" s="195"/>
      <c r="BE17" s="133"/>
      <c r="BF17" s="133"/>
      <c r="BG17" s="133"/>
      <c r="BH17" s="133"/>
    </row>
    <row r="18" spans="1:60" ht="14.25">
      <c r="A18" s="156" t="s">
        <v>101</v>
      </c>
      <c r="B18" s="157"/>
      <c r="C18" s="158"/>
      <c r="D18" s="158"/>
      <c r="E18" s="159"/>
      <c r="F18" s="158"/>
      <c r="G18" s="158"/>
      <c r="H18" s="158"/>
      <c r="I18" s="158"/>
      <c r="J18" s="158"/>
      <c r="K18" s="158"/>
      <c r="L18" s="159">
        <f>SUM(L3:L17)</f>
        <v>12716</v>
      </c>
      <c r="M18" s="159">
        <f>SUM(M3:M17)</f>
        <v>0.64</v>
      </c>
      <c r="N18" s="159">
        <f>SUM(N3:N17)</f>
        <v>2034.56</v>
      </c>
      <c r="O18" s="159">
        <f>SUM(O3:O17)</f>
        <v>0.32</v>
      </c>
      <c r="P18" s="159">
        <f>SUM(P3:P17)</f>
        <v>1017.28</v>
      </c>
      <c r="Q18" s="159">
        <f>SUM(Q3:Q17)</f>
        <v>12968</v>
      </c>
      <c r="R18" s="159">
        <f>SUM(R3:R17)</f>
        <v>1.1199999999999999</v>
      </c>
      <c r="S18" s="159">
        <f>SUM(S3:S17)</f>
        <v>1037.4400000000005</v>
      </c>
      <c r="T18" s="159">
        <f>SUM(T3:T17)</f>
        <v>0.27999999999999997</v>
      </c>
      <c r="U18" s="159">
        <f>SUM(U3:U17)</f>
        <v>259.36000000000013</v>
      </c>
      <c r="V18" s="159">
        <f>SUM(V3:V17)</f>
        <v>12716</v>
      </c>
      <c r="W18" s="159">
        <f>SUM(W3:W17)</f>
        <v>2.8000000000000001E-2</v>
      </c>
      <c r="X18" s="159">
        <f>SUM(X3:X17)</f>
        <v>89</v>
      </c>
      <c r="Y18" s="159">
        <f>SUM(Y3:Y17)</f>
        <v>1.2E-2</v>
      </c>
      <c r="Z18" s="159">
        <f>SUM(Z3:Z17)</f>
        <v>38.159999999999997</v>
      </c>
      <c r="AA18" s="159">
        <f>SUM(AA3:AA17)</f>
        <v>12968</v>
      </c>
      <c r="AB18" s="159">
        <f>SUM(AB3:AB17)</f>
        <v>0.13999999999999999</v>
      </c>
      <c r="AC18" s="159">
        <f>SUM(AC3:AC17)</f>
        <v>129.68000000000006</v>
      </c>
      <c r="AD18" s="159">
        <f>SUM(AD3:AD17)</f>
        <v>12716</v>
      </c>
      <c r="AE18" s="159">
        <f>SUM(AE3:AE17)</f>
        <v>1.4E-2</v>
      </c>
      <c r="AF18" s="159">
        <f>SUM(AF3:AF17)</f>
        <v>44.52</v>
      </c>
      <c r="AG18" s="159">
        <f>SUM(AG3:AG17)</f>
        <v>12716</v>
      </c>
      <c r="AH18" s="159">
        <f>SUM(AH3:AH17)</f>
        <v>0.32</v>
      </c>
      <c r="AI18" s="159">
        <f>SUM(AI3:AI17)</f>
        <v>1017.28</v>
      </c>
      <c r="AJ18" s="159">
        <f>SUM(AJ3:AJ17)</f>
        <v>0.32</v>
      </c>
      <c r="AK18" s="159">
        <f>SUM(AK3:AK17)</f>
        <v>1017.28</v>
      </c>
      <c r="AL18" s="159">
        <f>SUM(AL3:AL17)</f>
        <v>0</v>
      </c>
      <c r="AM18" s="159">
        <f>SUM(AM3:AM17)</f>
        <v>0</v>
      </c>
      <c r="AN18" s="159">
        <f>SUM(AN3:AN17)</f>
        <v>0</v>
      </c>
      <c r="AO18" s="159">
        <f>SUM(AO3:AO17)</f>
        <v>0</v>
      </c>
      <c r="AP18" s="159">
        <f>SUM(AP3:AP17)</f>
        <v>0</v>
      </c>
      <c r="AQ18" s="159">
        <f>SUM(AQ3:AQ17)</f>
        <v>0</v>
      </c>
      <c r="AR18" s="159">
        <f>SUM(AR3:AR17)</f>
        <v>0</v>
      </c>
      <c r="AS18" s="159">
        <f>SUM(AS3:AS17)</f>
        <v>3335.1999999999989</v>
      </c>
      <c r="AT18" s="159">
        <f>SUM(AT3:AT17)</f>
        <v>1314.799999999999</v>
      </c>
      <c r="AU18" s="159">
        <f>SUM(AU3:AU17)</f>
        <v>1017.28</v>
      </c>
      <c r="AV18" s="159">
        <f>SUM(AV3:AV17)</f>
        <v>1017.28</v>
      </c>
      <c r="AW18" s="159">
        <f>SUM(AW3:AW17)</f>
        <v>6684.5599999999949</v>
      </c>
      <c r="AX18" s="159">
        <f>SUM(AX3:AX17)</f>
        <v>4649.9999999999955</v>
      </c>
      <c r="AY18" s="159">
        <f>SUM(AY3:AY17)</f>
        <v>0</v>
      </c>
      <c r="AZ18" s="159">
        <f>SUM(AZ3:AZ17)</f>
        <v>2034.56</v>
      </c>
      <c r="BA18" s="159">
        <f>SUM(BA3:BA17)</f>
        <v>0</v>
      </c>
      <c r="BB18" s="159">
        <f>SUM(BB3:BB17)</f>
        <v>320</v>
      </c>
      <c r="BC18" s="159">
        <f>SUM(BC3:BC17)</f>
        <v>7004.5599999999959</v>
      </c>
      <c r="BD18" s="196"/>
    </row>
    <row r="19" spans="1:60" ht="14.25">
      <c r="A19" s="160" t="s">
        <v>61</v>
      </c>
      <c r="B19" s="161"/>
      <c r="C19" s="162"/>
      <c r="D19" s="162"/>
      <c r="E19" s="163"/>
      <c r="F19" s="163"/>
      <c r="G19" s="163"/>
      <c r="H19" s="163"/>
      <c r="I19" s="163"/>
      <c r="J19" s="163"/>
      <c r="K19" s="163"/>
      <c r="L19" s="169">
        <f t="shared" ref="L19:AX19" si="30">SUM(L18:L18)</f>
        <v>12716</v>
      </c>
      <c r="M19" s="169">
        <f t="shared" si="30"/>
        <v>0.64</v>
      </c>
      <c r="N19" s="169">
        <f t="shared" si="30"/>
        <v>2034.56</v>
      </c>
      <c r="O19" s="169">
        <f t="shared" si="30"/>
        <v>0.32</v>
      </c>
      <c r="P19" s="169">
        <f t="shared" si="30"/>
        <v>1017.28</v>
      </c>
      <c r="Q19" s="169">
        <f t="shared" si="30"/>
        <v>12968</v>
      </c>
      <c r="R19" s="169">
        <f t="shared" si="30"/>
        <v>1.1199999999999999</v>
      </c>
      <c r="S19" s="169">
        <f t="shared" si="30"/>
        <v>1037.4400000000005</v>
      </c>
      <c r="T19" s="169">
        <f t="shared" si="30"/>
        <v>0.27999999999999997</v>
      </c>
      <c r="U19" s="169">
        <f t="shared" si="30"/>
        <v>259.36000000000013</v>
      </c>
      <c r="V19" s="169">
        <f t="shared" si="30"/>
        <v>12716</v>
      </c>
      <c r="W19" s="169">
        <f t="shared" si="30"/>
        <v>2.8000000000000001E-2</v>
      </c>
      <c r="X19" s="169">
        <f t="shared" si="30"/>
        <v>89</v>
      </c>
      <c r="Y19" s="169">
        <f t="shared" si="30"/>
        <v>1.2E-2</v>
      </c>
      <c r="Z19" s="169">
        <f t="shared" si="30"/>
        <v>38.159999999999997</v>
      </c>
      <c r="AA19" s="169">
        <f t="shared" si="30"/>
        <v>12968</v>
      </c>
      <c r="AB19" s="169">
        <f t="shared" si="30"/>
        <v>0.13999999999999999</v>
      </c>
      <c r="AC19" s="169">
        <f t="shared" si="30"/>
        <v>129.68000000000006</v>
      </c>
      <c r="AD19" s="169">
        <f t="shared" si="30"/>
        <v>12716</v>
      </c>
      <c r="AE19" s="169">
        <f t="shared" si="30"/>
        <v>1.4E-2</v>
      </c>
      <c r="AF19" s="169">
        <f t="shared" si="30"/>
        <v>44.52</v>
      </c>
      <c r="AG19" s="169">
        <f t="shared" si="30"/>
        <v>12716</v>
      </c>
      <c r="AH19" s="169">
        <f t="shared" si="30"/>
        <v>0.32</v>
      </c>
      <c r="AI19" s="169">
        <f t="shared" si="30"/>
        <v>1017.28</v>
      </c>
      <c r="AJ19" s="169">
        <f t="shared" si="30"/>
        <v>0.32</v>
      </c>
      <c r="AK19" s="169">
        <f t="shared" si="30"/>
        <v>1017.28</v>
      </c>
      <c r="AL19" s="169">
        <f t="shared" si="30"/>
        <v>0</v>
      </c>
      <c r="AM19" s="169">
        <f t="shared" si="30"/>
        <v>0</v>
      </c>
      <c r="AN19" s="169">
        <f t="shared" si="30"/>
        <v>0</v>
      </c>
      <c r="AO19" s="169">
        <f t="shared" si="30"/>
        <v>0</v>
      </c>
      <c r="AP19" s="169">
        <f t="shared" si="30"/>
        <v>0</v>
      </c>
      <c r="AQ19" s="169">
        <f t="shared" si="30"/>
        <v>0</v>
      </c>
      <c r="AR19" s="169">
        <f t="shared" si="30"/>
        <v>0</v>
      </c>
      <c r="AS19" s="183">
        <f t="shared" si="30"/>
        <v>3335.1999999999989</v>
      </c>
      <c r="AT19" s="183">
        <f t="shared" si="30"/>
        <v>1314.799999999999</v>
      </c>
      <c r="AU19" s="183">
        <f t="shared" si="30"/>
        <v>1017.28</v>
      </c>
      <c r="AV19" s="183">
        <f t="shared" si="30"/>
        <v>1017.28</v>
      </c>
      <c r="AW19" s="183">
        <f t="shared" si="30"/>
        <v>6684.5599999999949</v>
      </c>
      <c r="AX19" s="344">
        <f t="shared" si="30"/>
        <v>4649.9999999999955</v>
      </c>
      <c r="AY19" s="344"/>
      <c r="AZ19" s="344">
        <f t="shared" ref="AZ19:BC19" si="31">SUM(AZ18:AZ18)</f>
        <v>2034.56</v>
      </c>
      <c r="BA19" s="344"/>
      <c r="BB19" s="169">
        <f t="shared" si="31"/>
        <v>320</v>
      </c>
      <c r="BC19" s="169">
        <f t="shared" si="31"/>
        <v>7004.5599999999959</v>
      </c>
      <c r="BD19" s="197"/>
    </row>
    <row r="20" spans="1:60" s="137" customFormat="1">
      <c r="A20" s="164"/>
      <c r="B20" s="164"/>
      <c r="C20" s="164"/>
      <c r="D20" s="164"/>
      <c r="E20" s="164"/>
      <c r="F20" s="165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84"/>
      <c r="AT20" s="184"/>
      <c r="AU20" s="184"/>
      <c r="AV20" s="184"/>
      <c r="AW20" s="184"/>
      <c r="AX20" s="164"/>
      <c r="AY20" s="164"/>
      <c r="AZ20" s="164"/>
      <c r="BA20" s="164"/>
      <c r="BB20" s="164"/>
      <c r="BC20" s="164">
        <f>'（居民）工资表-2月'!E18</f>
        <v>124775.78</v>
      </c>
      <c r="BD20" s="198"/>
    </row>
    <row r="21" spans="1:60" s="138" customForma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33"/>
      <c r="AK21" s="133"/>
      <c r="AL21" s="133"/>
      <c r="AM21" s="133"/>
      <c r="AN21" s="133"/>
      <c r="AO21" s="133"/>
      <c r="AP21" s="133"/>
      <c r="AQ21" s="133"/>
      <c r="AR21" s="133"/>
      <c r="AS21" s="139"/>
      <c r="AT21" s="139"/>
      <c r="AU21" s="139"/>
      <c r="AV21" s="139"/>
      <c r="AW21" s="139"/>
      <c r="AX21" s="133"/>
      <c r="AY21" s="133"/>
      <c r="AZ21" s="133"/>
      <c r="BA21" s="133"/>
      <c r="BB21" s="133"/>
      <c r="BC21" s="133"/>
      <c r="BD21" s="140"/>
    </row>
    <row r="23" spans="1:60">
      <c r="AX23" s="345"/>
      <c r="AY23" s="345"/>
      <c r="BC23" s="199"/>
    </row>
  </sheetData>
  <mergeCells count="56">
    <mergeCell ref="BB1:BB2"/>
    <mergeCell ref="BC1:BC2"/>
    <mergeCell ref="BD1:BD2"/>
    <mergeCell ref="AX1:AY2"/>
    <mergeCell ref="AZ1:BA2"/>
    <mergeCell ref="AX19:AY19"/>
    <mergeCell ref="AZ19:BA19"/>
    <mergeCell ref="AX23:AY2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X14:AY14"/>
    <mergeCell ref="AZ14:BA14"/>
    <mergeCell ref="AX15:AY15"/>
    <mergeCell ref="AZ15:BA15"/>
    <mergeCell ref="AX16:AY16"/>
    <mergeCell ref="AZ16:BA16"/>
    <mergeCell ref="AX11:AY11"/>
    <mergeCell ref="AZ11:BA11"/>
    <mergeCell ref="AX12:AY12"/>
    <mergeCell ref="AZ12:BA12"/>
    <mergeCell ref="AX13:AY13"/>
    <mergeCell ref="AZ13:BA13"/>
    <mergeCell ref="AX8:AY8"/>
    <mergeCell ref="AZ8:BA8"/>
    <mergeCell ref="AX9:AY9"/>
    <mergeCell ref="AZ9:BA9"/>
    <mergeCell ref="AX10:AY10"/>
    <mergeCell ref="AZ10:BA10"/>
    <mergeCell ref="AX7:AY7"/>
    <mergeCell ref="AZ7:BA7"/>
    <mergeCell ref="AX4:AY4"/>
    <mergeCell ref="AZ4:BA4"/>
    <mergeCell ref="AX5:AY5"/>
    <mergeCell ref="AZ5:BA5"/>
    <mergeCell ref="AX6:AY6"/>
    <mergeCell ref="AZ6:BA6"/>
    <mergeCell ref="AX3:AY3"/>
    <mergeCell ref="AZ3:BA3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11" type="noConversion"/>
  <conditionalFormatting sqref="H1:I1">
    <cfRule type="expression" dxfId="80" priority="1" stopIfTrue="1">
      <formula>AND(COUNTIF($J$1:$J$1,H1)&gt;1,NOT(ISBLANK(H1)))</formula>
    </cfRule>
  </conditionalFormatting>
  <conditionalFormatting sqref="J1">
    <cfRule type="duplicateValues" dxfId="79" priority="2" stopIfTrue="1"/>
  </conditionalFormatting>
  <conditionalFormatting sqref="K1:L1">
    <cfRule type="duplicateValues" dxfId="78" priority="3" stopIfTrue="1"/>
  </conditionalFormatting>
  <conditionalFormatting sqref="Q1">
    <cfRule type="duplicateValues" dxfId="77" priority="4" stopIfTrue="1"/>
  </conditionalFormatting>
  <conditionalFormatting sqref="V1">
    <cfRule type="duplicateValues" dxfId="76" priority="5" stopIfTrue="1"/>
  </conditionalFormatting>
  <conditionalFormatting sqref="AG1">
    <cfRule type="duplicateValues" dxfId="75" priority="6" stopIfTrue="1"/>
  </conditionalFormatting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 pane="topRight"/>
      <selection pane="bottomLeft"/>
      <selection pane="bottomRight" activeCell="M7" sqref="M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8980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L4+IFERROR(VLOOKUP($E:$E,'（居民）工资表-5月'!$E:$S,15,0),0)</f>
        <v>24380</v>
      </c>
      <c r="T4" s="80">
        <f>5000+IFERROR(VLOOKUP($E:$E,'（居民）工资表-5月'!$E:$T,16,0),0)</f>
        <v>15000</v>
      </c>
      <c r="U4" s="80">
        <f>Q4+IFERROR(VLOOKUP($E:$E,'（居民）工资表-5月'!$E:$U,17,0),0)</f>
        <v>1559.6999999999998</v>
      </c>
      <c r="V4" s="61"/>
      <c r="W4" s="61"/>
      <c r="X4" s="61">
        <v>6000</v>
      </c>
      <c r="Y4" s="61"/>
      <c r="Z4" s="61"/>
      <c r="AA4" s="61"/>
      <c r="AB4" s="79">
        <f>ROUND(SUM(V4:AA4),2)</f>
        <v>6000</v>
      </c>
      <c r="AC4" s="79">
        <f>R4+IFERROR(VLOOKUP($E:$E,'（居民）工资表-5月'!$E:$AC,25,0),0)</f>
        <v>0</v>
      </c>
      <c r="AD4" s="81">
        <f>ROUND(S4-T4-U4-AB4-AC4,2)</f>
        <v>1820.3</v>
      </c>
      <c r="AE4" s="82">
        <f>ROUND(MAX((AD4)*{0.03;0.1;0.2;0.25;0.3;0.35;0.45}-{0;2520;16920;31920;52920;85920;181920},0),2)</f>
        <v>54.61</v>
      </c>
      <c r="AF4" s="83">
        <f>IFERROR(VLOOKUP(E:E,'（居民）工资表-5月'!E:AF,28,0)+VLOOKUP(E:E,'（居民）工资表-5月'!E:AG,29,0),0)</f>
        <v>0</v>
      </c>
      <c r="AG4" s="83">
        <f>IF((AE4-AF4)&lt;0,0,AE4-AF4)</f>
        <v>54.61</v>
      </c>
      <c r="AH4" s="86">
        <f>ROUND(IF((L4-Q4-AG4)&lt;0,0,(L4-Q4-AG4)),2)</f>
        <v>8405.49</v>
      </c>
      <c r="AI4" s="87"/>
      <c r="AJ4" s="86">
        <f>AH4+AI4</f>
        <v>8405.49</v>
      </c>
      <c r="AK4" s="88"/>
      <c r="AL4" s="86">
        <f>AJ4+AG4+AK4</f>
        <v>8460.1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87</v>
      </c>
      <c r="D5" s="30" t="s">
        <v>150</v>
      </c>
      <c r="E5" s="284" t="s">
        <v>88</v>
      </c>
      <c r="F5" s="31" t="s">
        <v>185</v>
      </c>
      <c r="G5" s="32">
        <v>13926009696</v>
      </c>
      <c r="H5" s="33"/>
      <c r="I5" s="33"/>
      <c r="J5" s="60"/>
      <c r="K5" s="33"/>
      <c r="L5" s="61">
        <v>5800</v>
      </c>
      <c r="M5" s="62">
        <v>304.24</v>
      </c>
      <c r="N5" s="62">
        <v>123.5</v>
      </c>
      <c r="O5" s="62">
        <v>7.61</v>
      </c>
      <c r="P5" s="62">
        <v>0</v>
      </c>
      <c r="Q5" s="78">
        <f>ROUND(SUM(M5:P5),2)</f>
        <v>435.35</v>
      </c>
      <c r="R5" s="61">
        <v>0</v>
      </c>
      <c r="S5" s="79">
        <f>L5+IFERROR(VLOOKUP($E:$E,'（居民）工资表-5月'!$E:$S,15,0),0)</f>
        <v>17400</v>
      </c>
      <c r="T5" s="80">
        <f>5000+IFERROR(VLOOKUP($E:$E,'（居民）工资表-5月'!$E:$T,16,0),0)</f>
        <v>15000</v>
      </c>
      <c r="U5" s="80">
        <f>Q5+IFERROR(VLOOKUP($E:$E,'（居民）工资表-5月'!$E:$U,17,0),0)</f>
        <v>1306.0500000000002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R5+IFERROR(VLOOKUP($E:$E,'（居民）工资表-5月'!$E:$AC,25,0),0)</f>
        <v>0</v>
      </c>
      <c r="AD5" s="81">
        <f>ROUND(S5-T5-U5-AB5-AC5,2)</f>
        <v>1093.95</v>
      </c>
      <c r="AE5" s="82">
        <f>ROUND(MAX((AD5)*{0.03;0.1;0.2;0.25;0.3;0.35;0.45}-{0;2520;16920;31920;52920;85920;181920},0),2)</f>
        <v>32.82</v>
      </c>
      <c r="AF5" s="83">
        <f>IFERROR(VLOOKUP(E:E,'（居民）工资表-5月'!E:AF,28,0)+VLOOKUP(E:E,'（居民）工资表-5月'!E:AG,29,0),0)</f>
        <v>21.88</v>
      </c>
      <c r="AG5" s="83">
        <f>IF((AE5-AF5)&lt;0,0,AE5-AF5)</f>
        <v>10.940000000000001</v>
      </c>
      <c r="AH5" s="86">
        <f>ROUND(IF((L5-Q5-AG5)&lt;0,0,(L5-Q5-AG5)),2)</f>
        <v>5353.71</v>
      </c>
      <c r="AI5" s="87"/>
      <c r="AJ5" s="86">
        <f>AH5+AI5</f>
        <v>5353.71</v>
      </c>
      <c r="AK5" s="88"/>
      <c r="AL5" s="86">
        <f>AJ5+AG5+AK5</f>
        <v>5364.65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">
        <v>184</v>
      </c>
      <c r="G6" s="32">
        <v>13944441728</v>
      </c>
      <c r="H6" s="33"/>
      <c r="I6" s="33"/>
      <c r="J6" s="60"/>
      <c r="K6" s="33"/>
      <c r="L6" s="61">
        <v>8120</v>
      </c>
      <c r="M6" s="62">
        <v>488.48</v>
      </c>
      <c r="N6" s="62">
        <v>122.12</v>
      </c>
      <c r="O6" s="62">
        <v>18.32</v>
      </c>
      <c r="P6" s="62">
        <v>158</v>
      </c>
      <c r="Q6" s="78">
        <f>ROUND(SUM(M6:P6),2)</f>
        <v>786.92</v>
      </c>
      <c r="R6" s="61">
        <v>0</v>
      </c>
      <c r="S6" s="79">
        <f>L6+IFERROR(VLOOKUP($E:$E,'（居民）工资表-5月'!$E:$S,15,0),0)</f>
        <v>21140</v>
      </c>
      <c r="T6" s="80">
        <f>5000+IFERROR(VLOOKUP($E:$E,'（居民）工资表-5月'!$E:$T,16,0),0)</f>
        <v>15000</v>
      </c>
      <c r="U6" s="80">
        <f>Q6+IFERROR(VLOOKUP($E:$E,'（居民）工资表-5月'!$E:$U,17,0),0)</f>
        <v>1573.84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R6+IFERROR(VLOOKUP($E:$E,'（居民）工资表-5月'!$E:$AC,25,0),0)</f>
        <v>0</v>
      </c>
      <c r="AD6" s="81">
        <f>ROUND(S6-T6-U6-AB6-AC6,2)</f>
        <v>4566.16</v>
      </c>
      <c r="AE6" s="82">
        <f>ROUND(MAX((AD6)*{0.03;0.1;0.2;0.25;0.3;0.35;0.45}-{0;2520;16920;31920;52920;85920;181920},0),2)</f>
        <v>136.97999999999999</v>
      </c>
      <c r="AF6" s="83">
        <f>IFERROR(VLOOKUP(E:E,'（居民）工资表-5月'!E:AF,28,0)+VLOOKUP(E:E,'（居民）工资表-5月'!E:AG,29,0),0)</f>
        <v>66.989999999999995</v>
      </c>
      <c r="AG6" s="83">
        <f>IF((AE6-AF6)&lt;0,0,AE6-AF6)</f>
        <v>69.989999999999995</v>
      </c>
      <c r="AH6" s="86">
        <f>ROUND(IF((L6-Q6-AG6)&lt;0,0,(L6-Q6-AG6)),2)</f>
        <v>7263.09</v>
      </c>
      <c r="AI6" s="87"/>
      <c r="AJ6" s="86">
        <f>AH6+AI6</f>
        <v>7263.09</v>
      </c>
      <c r="AK6" s="88"/>
      <c r="AL6" s="86">
        <f>AJ6+AG6+AK6</f>
        <v>7333.08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4" t="s">
        <v>164</v>
      </c>
      <c r="F7" s="31" t="s">
        <v>184</v>
      </c>
      <c r="G7" s="32"/>
      <c r="H7" s="33"/>
      <c r="I7" s="33"/>
      <c r="J7" s="60"/>
      <c r="K7" s="33"/>
      <c r="L7" s="61">
        <v>25000</v>
      </c>
      <c r="M7" s="62">
        <f>320*2</f>
        <v>640</v>
      </c>
      <c r="N7" s="62">
        <f>80*2+86.67</f>
        <v>246.67</v>
      </c>
      <c r="O7" s="62">
        <f>12*2</f>
        <v>24</v>
      </c>
      <c r="P7" s="62">
        <v>400</v>
      </c>
      <c r="Q7" s="78">
        <f>ROUND(SUM(M7:P7),2)</f>
        <v>1310.67</v>
      </c>
      <c r="R7" s="61">
        <v>0</v>
      </c>
      <c r="S7" s="79">
        <f>L7+IFERROR(VLOOKUP($E:$E,'（居民）工资表-5月'!$E:$S,15,0),0)</f>
        <v>36904.76</v>
      </c>
      <c r="T7" s="80">
        <f>5000+IFERROR(VLOOKUP($E:$E,'（居民）工资表-5月'!$E:$T,16,0),0)</f>
        <v>10000</v>
      </c>
      <c r="U7" s="80">
        <f>Q7+IFERROR(VLOOKUP($E:$E,'（居民）工资表-5月'!$E:$U,17,0),0)</f>
        <v>1310.67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R7+IFERROR(VLOOKUP($E:$E,'（居民）工资表-5月'!$E:$AC,25,0),0)</f>
        <v>0</v>
      </c>
      <c r="AD7" s="81">
        <f>ROUND(S7-T7-U7-AB7-AC7,2)</f>
        <v>25594.09</v>
      </c>
      <c r="AE7" s="82">
        <f>ROUND(MAX((AD7)*{0.03;0.1;0.2;0.25;0.3;0.35;0.45}-{0;2520;16920;31920;52920;85920;181920},0),2)</f>
        <v>767.82</v>
      </c>
      <c r="AF7" s="83">
        <f>IFERROR(VLOOKUP(E:E,'（居民）工资表-5月'!E:AF,28,0)+VLOOKUP(E:E,'（居民）工资表-5月'!E:AG,29,0),0)</f>
        <v>207.14</v>
      </c>
      <c r="AG7" s="83">
        <f>IF((AE7-AF7)&lt;0,0,AE7-AF7)</f>
        <v>560.68000000000006</v>
      </c>
      <c r="AH7" s="86">
        <f>ROUND(IF((L7-Q7-AG7)&lt;0,0,(L7-Q7-AG7)),2)</f>
        <v>23128.65</v>
      </c>
      <c r="AI7" s="87"/>
      <c r="AJ7" s="86">
        <f>AH7+AI7</f>
        <v>23128.65</v>
      </c>
      <c r="AK7" s="88"/>
      <c r="AL7" s="86">
        <f>AJ7+AG7+AK7</f>
        <v>23689.33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47900</v>
      </c>
      <c r="M8" s="67">
        <f t="shared" si="0"/>
        <v>1696.72</v>
      </c>
      <c r="N8" s="67">
        <f t="shared" si="0"/>
        <v>558.29</v>
      </c>
      <c r="O8" s="67">
        <f t="shared" si="0"/>
        <v>59.83</v>
      </c>
      <c r="P8" s="67">
        <f t="shared" si="0"/>
        <v>738</v>
      </c>
      <c r="Q8" s="67">
        <f t="shared" si="0"/>
        <v>3052.84</v>
      </c>
      <c r="R8" s="67">
        <f t="shared" si="0"/>
        <v>0</v>
      </c>
      <c r="S8" s="67">
        <f t="shared" si="0"/>
        <v>99824.760000000009</v>
      </c>
      <c r="T8" s="67">
        <f t="shared" si="0"/>
        <v>55000</v>
      </c>
      <c r="U8" s="67">
        <f t="shared" si="0"/>
        <v>5750.26</v>
      </c>
      <c r="V8" s="67">
        <f t="shared" si="0"/>
        <v>0</v>
      </c>
      <c r="W8" s="67">
        <f t="shared" si="0"/>
        <v>0</v>
      </c>
      <c r="X8" s="67">
        <f t="shared" si="0"/>
        <v>6000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6000</v>
      </c>
      <c r="AC8" s="67">
        <f t="shared" si="0"/>
        <v>0</v>
      </c>
      <c r="AD8" s="67">
        <f t="shared" si="0"/>
        <v>33074.5</v>
      </c>
      <c r="AE8" s="67">
        <f t="shared" si="0"/>
        <v>992.23</v>
      </c>
      <c r="AF8" s="67">
        <f t="shared" si="0"/>
        <v>296.01</v>
      </c>
      <c r="AG8" s="67">
        <f t="shared" si="0"/>
        <v>696.22</v>
      </c>
      <c r="AH8" s="67">
        <f t="shared" si="0"/>
        <v>44150.94</v>
      </c>
      <c r="AI8" s="95">
        <f t="shared" si="0"/>
        <v>0</v>
      </c>
      <c r="AJ8" s="67">
        <f t="shared" si="0"/>
        <v>44150.94</v>
      </c>
      <c r="AK8" s="67">
        <f t="shared" si="0"/>
        <v>0</v>
      </c>
      <c r="AL8" s="67">
        <f t="shared" si="0"/>
        <v>44847.16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44150.94</v>
      </c>
      <c r="C13" s="45">
        <f>AG8</f>
        <v>696.22</v>
      </c>
      <c r="D13" s="45">
        <f>AK8</f>
        <v>0</v>
      </c>
      <c r="E13" s="45">
        <f>B13+C13+D13</f>
        <v>44847.16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74" priority="2" stopIfTrue="1"/>
  </conditionalFormatting>
  <conditionalFormatting sqref="B15:B19">
    <cfRule type="duplicateValues" dxfId="73" priority="3" stopIfTrue="1"/>
  </conditionalFormatting>
  <conditionalFormatting sqref="B23:B24">
    <cfRule type="duplicateValues" dxfId="72" priority="1" stopIfTrue="1"/>
  </conditionalFormatting>
  <conditionalFormatting sqref="C12:C14">
    <cfRule type="duplicateValues" dxfId="71" priority="4" stopIfTrue="1"/>
    <cfRule type="expression" dxfId="70" priority="5" stopIfTrue="1">
      <formula>AND(COUNTIF($B$8:$B$65444,C12)+COUNTIF($B$1:$B$3,C12)&gt;1,NOT(ISBLANK(C12)))</formula>
    </cfRule>
    <cfRule type="expression" dxfId="69" priority="6" stopIfTrue="1">
      <formula>AND(COUNTIF($B$19:$B$65395,C12)+COUNTIF($B$1:$B$18,C12)&gt;1,NOT(ISBLANK(C12)))</formula>
    </cfRule>
    <cfRule type="expression" dxfId="68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7700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L4+IFERROR(VLOOKUP($E:$E,'（居民）工资表-6月'!$E:$S,15,0),0)</f>
        <v>32080</v>
      </c>
      <c r="T4" s="80">
        <f>5000+IFERROR(VLOOKUP($E:$E,'（居民）工资表-6月'!$E:$T,16,0),0)</f>
        <v>20000</v>
      </c>
      <c r="U4" s="80">
        <f>Q4+IFERROR(VLOOKUP($E:$E,'（居民）工资表-6月'!$E:$U,17,0),0)</f>
        <v>2079.6</v>
      </c>
      <c r="V4" s="61"/>
      <c r="W4" s="61"/>
      <c r="X4" s="61">
        <v>7000</v>
      </c>
      <c r="Y4" s="61"/>
      <c r="Z4" s="61"/>
      <c r="AA4" s="61"/>
      <c r="AB4" s="79">
        <f>ROUND(SUM(V4:AA4),2)</f>
        <v>7000</v>
      </c>
      <c r="AC4" s="79">
        <f>R4+IFERROR(VLOOKUP($E:$E,'（居民）工资表-6月'!$E:$AC,25,0),0)</f>
        <v>0</v>
      </c>
      <c r="AD4" s="81">
        <f>ROUND(S4-T4-U4-AB4-AC4,2)</f>
        <v>3000.4</v>
      </c>
      <c r="AE4" s="82">
        <f>ROUND(MAX((AD4)*{0.03;0.1;0.2;0.25;0.3;0.35;0.45}-{0;2520;16920;31920;52920;85920;181920},0),2)</f>
        <v>90.01</v>
      </c>
      <c r="AF4" s="83">
        <f>IFERROR(VLOOKUP(E:E,'（居民）工资表-6月'!E:AF,28,0)+VLOOKUP(E:E,'（居民）工资表-6月'!E:AG,29,0),0)</f>
        <v>54.61</v>
      </c>
      <c r="AG4" s="83">
        <f>IF((AE4-AF4)&lt;0,0,AE4-AF4)</f>
        <v>35.400000000000006</v>
      </c>
      <c r="AH4" s="86">
        <f>ROUND(IF((L4-Q4-AG4)&lt;0,0,(L4-Q4-AG4)),2)</f>
        <v>7144.7</v>
      </c>
      <c r="AI4" s="87"/>
      <c r="AJ4" s="86">
        <f>AH4+AI4</f>
        <v>7144.7</v>
      </c>
      <c r="AK4" s="88"/>
      <c r="AL4" s="86">
        <f>AJ4+AG4+AK4</f>
        <v>7180.0999999999995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87</v>
      </c>
      <c r="D5" s="30" t="s">
        <v>150</v>
      </c>
      <c r="E5" s="284" t="s">
        <v>88</v>
      </c>
      <c r="F5" s="31" t="s">
        <v>185</v>
      </c>
      <c r="G5" s="32">
        <v>13926009696</v>
      </c>
      <c r="H5" s="33"/>
      <c r="I5" s="33"/>
      <c r="J5" s="60"/>
      <c r="K5" s="33"/>
      <c r="L5" s="61">
        <v>4745.4545454545496</v>
      </c>
      <c r="M5" s="62">
        <v>304.24</v>
      </c>
      <c r="N5" s="62">
        <v>123.5</v>
      </c>
      <c r="O5" s="62">
        <v>7.61</v>
      </c>
      <c r="P5" s="62">
        <v>0</v>
      </c>
      <c r="Q5" s="78">
        <f>ROUND(SUM(M5:P5),2)</f>
        <v>435.35</v>
      </c>
      <c r="R5" s="61">
        <v>0</v>
      </c>
      <c r="S5" s="79">
        <f>L5+IFERROR(VLOOKUP($E:$E,'（居民）工资表-6月'!$E:$S,15,0),0)</f>
        <v>22145.454545454551</v>
      </c>
      <c r="T5" s="80">
        <f>5000+IFERROR(VLOOKUP($E:$E,'（居民）工资表-6月'!$E:$T,16,0),0)</f>
        <v>20000</v>
      </c>
      <c r="U5" s="80">
        <f>Q5+IFERROR(VLOOKUP($E:$E,'（居民）工资表-6月'!$E:$U,17,0),0)</f>
        <v>1741.4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R5+IFERROR(VLOOKUP($E:$E,'（居民）工资表-6月'!$E:$AC,25,0),0)</f>
        <v>0</v>
      </c>
      <c r="AD5" s="81">
        <f>ROUND(S5-T5-U5-AB5-AC5,2)</f>
        <v>404.05</v>
      </c>
      <c r="AE5" s="82">
        <f>ROUND(MAX((AD5)*{0.03;0.1;0.2;0.25;0.3;0.35;0.45}-{0;2520;16920;31920;52920;85920;181920},0),2)</f>
        <v>12.12</v>
      </c>
      <c r="AF5" s="83">
        <f>IFERROR(VLOOKUP(E:E,'（居民）工资表-6月'!E:AF,28,0)+VLOOKUP(E:E,'（居民）工资表-6月'!E:AG,29,0),0)</f>
        <v>32.82</v>
      </c>
      <c r="AG5" s="83">
        <f>IF((AE5-AF5)&lt;0,0,AE5-AF5)</f>
        <v>0</v>
      </c>
      <c r="AH5" s="86">
        <f>ROUND(IF((L5-Q5-AG5)&lt;0,0,(L5-Q5-AG5)),2)</f>
        <v>4310.1000000000004</v>
      </c>
      <c r="AI5" s="87"/>
      <c r="AJ5" s="86">
        <f>AH5+AI5</f>
        <v>4310.1000000000004</v>
      </c>
      <c r="AK5" s="88"/>
      <c r="AL5" s="86">
        <f>AJ5+AG5+AK5</f>
        <v>4310.1000000000004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">
        <v>184</v>
      </c>
      <c r="G6" s="32">
        <v>13944441728</v>
      </c>
      <c r="H6" s="33"/>
      <c r="I6" s="33"/>
      <c r="J6" s="60"/>
      <c r="K6" s="33"/>
      <c r="L6" s="61">
        <v>7000</v>
      </c>
      <c r="M6" s="62">
        <v>244.24</v>
      </c>
      <c r="N6" s="62">
        <v>61.06</v>
      </c>
      <c r="O6" s="62">
        <v>9.16</v>
      </c>
      <c r="P6" s="62">
        <v>79</v>
      </c>
      <c r="Q6" s="78">
        <f>ROUND(SUM(M6:P6),2)</f>
        <v>393.46</v>
      </c>
      <c r="R6" s="61">
        <v>0</v>
      </c>
      <c r="S6" s="79">
        <f>L6+IFERROR(VLOOKUP($E:$E,'（居民）工资表-6月'!$E:$S,15,0),0)</f>
        <v>28140</v>
      </c>
      <c r="T6" s="80">
        <f>5000+IFERROR(VLOOKUP($E:$E,'（居民）工资表-6月'!$E:$T,16,0),0)</f>
        <v>20000</v>
      </c>
      <c r="U6" s="80">
        <f>Q6+IFERROR(VLOOKUP($E:$E,'（居民）工资表-6月'!$E:$U,17,0),0)</f>
        <v>1967.3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R6+IFERROR(VLOOKUP($E:$E,'（居民）工资表-6月'!$E:$AC,25,0),0)</f>
        <v>0</v>
      </c>
      <c r="AD6" s="81">
        <f>ROUND(S6-T6-U6-AB6-AC6,2)</f>
        <v>6172.7</v>
      </c>
      <c r="AE6" s="82">
        <f>ROUND(MAX((AD6)*{0.03;0.1;0.2;0.25;0.3;0.35;0.45}-{0;2520;16920;31920;52920;85920;181920},0),2)</f>
        <v>185.18</v>
      </c>
      <c r="AF6" s="83">
        <f>IFERROR(VLOOKUP(E:E,'（居民）工资表-6月'!E:AF,28,0)+VLOOKUP(E:E,'（居民）工资表-6月'!E:AG,29,0),0)</f>
        <v>136.97999999999999</v>
      </c>
      <c r="AG6" s="83">
        <f>IF((AE6-AF6)&lt;0,0,AE6-AF6)</f>
        <v>48.200000000000017</v>
      </c>
      <c r="AH6" s="86">
        <f>ROUND(IF((L6-Q6-AG6)&lt;0,0,(L6-Q6-AG6)),2)</f>
        <v>6558.34</v>
      </c>
      <c r="AI6" s="87"/>
      <c r="AJ6" s="86">
        <f>AH6+AI6</f>
        <v>6558.34</v>
      </c>
      <c r="AK6" s="88"/>
      <c r="AL6" s="86">
        <f>AJ6+AG6+AK6</f>
        <v>6606.54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4" t="s">
        <v>164</v>
      </c>
      <c r="F7" s="31" t="s">
        <v>184</v>
      </c>
      <c r="G7" s="32">
        <v>18607383005</v>
      </c>
      <c r="H7" s="33"/>
      <c r="I7" s="33"/>
      <c r="J7" s="60"/>
      <c r="K7" s="33"/>
      <c r="L7" s="61">
        <v>24800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L7+IFERROR(VLOOKUP($E:$E,'（居民）工资表-6月'!$E:$S,15,0),0)</f>
        <v>61704.76</v>
      </c>
      <c r="T7" s="80">
        <f>5000+IFERROR(VLOOKUP($E:$E,'（居民）工资表-6月'!$E:$T,16,0),0)</f>
        <v>15000</v>
      </c>
      <c r="U7" s="80">
        <f>Q7+IFERROR(VLOOKUP($E:$E,'（居民）工资表-6月'!$E:$U,17,0),0)</f>
        <v>1922.67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R7+IFERROR(VLOOKUP($E:$E,'（居民）工资表-6月'!$E:$AC,25,0),0)</f>
        <v>0</v>
      </c>
      <c r="AD7" s="81">
        <f>ROUND(S7-T7-U7-AB7-AC7,2)</f>
        <v>44782.09</v>
      </c>
      <c r="AE7" s="82">
        <f>ROUND(MAX((AD7)*{0.03;0.1;0.2;0.25;0.3;0.35;0.45}-{0;2520;16920;31920;52920;85920;181920},0),2)</f>
        <v>1958.21</v>
      </c>
      <c r="AF7" s="83">
        <f>IFERROR(VLOOKUP(E:E,'（居民）工资表-6月'!E:AF,28,0)+VLOOKUP(E:E,'（居民）工资表-6月'!E:AG,29,0),0)</f>
        <v>767.82</v>
      </c>
      <c r="AG7" s="83">
        <f>IF((AE7-AF7)&lt;0,0,AE7-AF7)</f>
        <v>1190.3899999999999</v>
      </c>
      <c r="AH7" s="86">
        <f>ROUND(IF((L7-Q7-AG7)&lt;0,0,(L7-Q7-AG7)),2)</f>
        <v>22997.61</v>
      </c>
      <c r="AI7" s="87"/>
      <c r="AJ7" s="86">
        <f>AH7+AI7</f>
        <v>22997.61</v>
      </c>
      <c r="AK7" s="88"/>
      <c r="AL7" s="86">
        <f>AJ7+AG7+AK7</f>
        <v>24188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170</v>
      </c>
      <c r="D8" s="30" t="s">
        <v>150</v>
      </c>
      <c r="E8" s="284" t="s">
        <v>171</v>
      </c>
      <c r="F8" s="31" t="str">
        <f>IF(MOD(MID(E8,17,1),2)=1,"男","女")</f>
        <v>女</v>
      </c>
      <c r="G8" s="32">
        <v>15360550807</v>
      </c>
      <c r="H8" s="33"/>
      <c r="I8" s="33"/>
      <c r="J8" s="60"/>
      <c r="K8" s="33"/>
      <c r="L8" s="61">
        <v>3523.6363636363599</v>
      </c>
      <c r="M8" s="62"/>
      <c r="N8" s="62"/>
      <c r="O8" s="62"/>
      <c r="P8" s="62"/>
      <c r="Q8" s="78">
        <f>ROUND(SUM(M8:P8),2)</f>
        <v>0</v>
      </c>
      <c r="R8" s="61">
        <v>0</v>
      </c>
      <c r="S8" s="79">
        <f>L8+IFERROR(VLOOKUP($E:$E,'（居民）工资表-6月'!$E:$S,15,0),0)</f>
        <v>3523.6363636363599</v>
      </c>
      <c r="T8" s="80">
        <f>5000+IFERROR(VLOOKUP($E:$E,'（居民）工资表-6月'!$E:$T,16,0),0)</f>
        <v>5000</v>
      </c>
      <c r="U8" s="80">
        <f>Q8+IFERROR(VLOOKUP($E:$E,'（居民）工资表-6月'!$E:$U,17,0),0)</f>
        <v>0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R8+IFERROR(VLOOKUP($E:$E,'（居民）工资表-6月'!$E:$AC,25,0),0)</f>
        <v>0</v>
      </c>
      <c r="AD8" s="81">
        <f>ROUND(S8-T8-U8-AB8-AC8,2)</f>
        <v>-1476.36</v>
      </c>
      <c r="AE8" s="82">
        <f>ROUND(MAX((AD8)*{0.03;0.1;0.2;0.25;0.3;0.35;0.45}-{0;2520;16920;31920;52920;85920;181920},0),2)</f>
        <v>0</v>
      </c>
      <c r="AF8" s="83">
        <f>IFERROR(VLOOKUP(E:E,'（居民）工资表-6月'!E:AF,28,0)+VLOOKUP(E:E,'（居民）工资表-6月'!E:AG,29,0),0)</f>
        <v>0</v>
      </c>
      <c r="AG8" s="83">
        <f>IF((AE8-AF8)&lt;0,0,AE8-AF8)</f>
        <v>0</v>
      </c>
      <c r="AH8" s="86">
        <f>ROUND(IF((L8-Q8-AG8)&lt;0,0,(L8-Q8-AG8)),2)</f>
        <v>3523.64</v>
      </c>
      <c r="AI8" s="87"/>
      <c r="AJ8" s="86">
        <f>AH8+AI8</f>
        <v>3523.64</v>
      </c>
      <c r="AK8" s="88"/>
      <c r="AL8" s="86">
        <f>AJ8+AG8+AK8</f>
        <v>3523.64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47769.090909090897</v>
      </c>
      <c r="M9" s="67">
        <f t="shared" si="0"/>
        <v>1132.48</v>
      </c>
      <c r="N9" s="67">
        <f t="shared" si="0"/>
        <v>330.56</v>
      </c>
      <c r="O9" s="67">
        <f t="shared" si="0"/>
        <v>38.67</v>
      </c>
      <c r="P9" s="67">
        <f t="shared" si="0"/>
        <v>459</v>
      </c>
      <c r="Q9" s="67">
        <f t="shared" si="0"/>
        <v>1960.71</v>
      </c>
      <c r="R9" s="67">
        <f t="shared" si="0"/>
        <v>0</v>
      </c>
      <c r="S9" s="67">
        <f t="shared" si="0"/>
        <v>147593.85090909092</v>
      </c>
      <c r="T9" s="67">
        <f t="shared" si="0"/>
        <v>80000</v>
      </c>
      <c r="U9" s="67">
        <f t="shared" si="0"/>
        <v>7710.97</v>
      </c>
      <c r="V9" s="67">
        <f t="shared" si="0"/>
        <v>0</v>
      </c>
      <c r="W9" s="67">
        <f t="shared" si="0"/>
        <v>0</v>
      </c>
      <c r="X9" s="67">
        <f t="shared" si="0"/>
        <v>7000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7000</v>
      </c>
      <c r="AC9" s="67">
        <f t="shared" si="0"/>
        <v>0</v>
      </c>
      <c r="AD9" s="67">
        <f t="shared" si="0"/>
        <v>52882.879999999997</v>
      </c>
      <c r="AE9" s="67">
        <f t="shared" si="0"/>
        <v>2245.52</v>
      </c>
      <c r="AF9" s="67">
        <f t="shared" si="0"/>
        <v>992.23</v>
      </c>
      <c r="AG9" s="67">
        <f t="shared" si="0"/>
        <v>1273.9899999999998</v>
      </c>
      <c r="AH9" s="67">
        <f t="shared" si="0"/>
        <v>44534.39</v>
      </c>
      <c r="AI9" s="95">
        <f t="shared" si="0"/>
        <v>0</v>
      </c>
      <c r="AJ9" s="67">
        <f t="shared" si="0"/>
        <v>44534.39</v>
      </c>
      <c r="AK9" s="67">
        <f t="shared" si="0"/>
        <v>0</v>
      </c>
      <c r="AL9" s="67">
        <f t="shared" si="0"/>
        <v>45808.380000000005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44534.39</v>
      </c>
      <c r="C14" s="45">
        <f>AG9</f>
        <v>1273.9899999999998</v>
      </c>
      <c r="D14" s="45">
        <f>AK9</f>
        <v>0</v>
      </c>
      <c r="E14" s="45">
        <f>B14+C14+D14</f>
        <v>45808.38</v>
      </c>
    </row>
    <row r="15" spans="1:46">
      <c r="B15" s="46"/>
      <c r="C15" s="46"/>
      <c r="D15" s="46"/>
      <c r="E15" s="46">
        <f>社保1!BC19</f>
        <v>7004.5599999999959</v>
      </c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67" priority="2" stopIfTrue="1"/>
  </conditionalFormatting>
  <conditionalFormatting sqref="B16:B20">
    <cfRule type="duplicateValues" dxfId="66" priority="3" stopIfTrue="1"/>
  </conditionalFormatting>
  <conditionalFormatting sqref="B24:B25">
    <cfRule type="duplicateValues" dxfId="65" priority="1" stopIfTrue="1"/>
  </conditionalFormatting>
  <conditionalFormatting sqref="C13:C15">
    <cfRule type="duplicateValues" dxfId="64" priority="4" stopIfTrue="1"/>
    <cfRule type="expression" dxfId="63" priority="5" stopIfTrue="1">
      <formula>AND(COUNTIF($B$9:$B$65445,C13)+COUNTIF($B$1:$B$3,C13)&gt;1,NOT(ISBLANK(C13)))</formula>
    </cfRule>
    <cfRule type="expression" dxfId="62" priority="6" stopIfTrue="1">
      <formula>AND(COUNTIF($B$20:$B$65396,C13)+COUNTIF($B$1:$B$19,C13)&gt;1,NOT(ISBLANK(C13)))</formula>
    </cfRule>
    <cfRule type="expression" dxfId="61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01" hidden="1" customWidth="1"/>
    <col min="2" max="2" width="9.375" style="102" hidden="1" customWidth="1"/>
    <col min="3" max="3" width="9.625" style="102" hidden="1" customWidth="1"/>
    <col min="4" max="4" width="13.125" style="102" hidden="1" customWidth="1"/>
    <col min="5" max="5" width="25.75" style="101" hidden="1" customWidth="1"/>
    <col min="6" max="6" width="29.375" style="101" hidden="1" customWidth="1"/>
    <col min="7" max="7" width="10.25" style="103" hidden="1" customWidth="1"/>
    <col min="8" max="9" width="8.5" style="101" hidden="1" customWidth="1"/>
    <col min="10" max="10" width="8.5" style="101" customWidth="1"/>
    <col min="11" max="11" width="18" style="101" customWidth="1"/>
    <col min="12" max="12" width="11.25" style="101" customWidth="1"/>
    <col min="13" max="13" width="12.25" style="101" customWidth="1"/>
    <col min="14" max="14" width="8.5" style="101" customWidth="1"/>
    <col min="15" max="15" width="10.25" style="101" customWidth="1"/>
    <col min="16" max="16" width="8.5" style="101" customWidth="1"/>
    <col min="17" max="17" width="8.5" style="104" customWidth="1"/>
    <col min="18" max="18" width="10.25" style="102" customWidth="1"/>
    <col min="19" max="19" width="12.25" style="101" customWidth="1"/>
    <col min="20" max="23" width="12.5" style="101" customWidth="1"/>
    <col min="24" max="24" width="10.75" style="101" customWidth="1"/>
    <col min="25" max="25" width="12.5" style="101" customWidth="1"/>
    <col min="26" max="26" width="14.125" style="101" customWidth="1"/>
    <col min="27" max="27" width="12.5" style="101" customWidth="1"/>
    <col min="28" max="28" width="16.25" style="101" customWidth="1"/>
    <col min="29" max="29" width="12.5" style="101" customWidth="1"/>
    <col min="30" max="30" width="16.125" style="101" customWidth="1"/>
    <col min="31" max="31" width="12.25" style="101" customWidth="1"/>
    <col min="32" max="33" width="16.125" style="101" customWidth="1"/>
    <col min="34" max="34" width="20.5" style="101" customWidth="1"/>
    <col min="35" max="35" width="8.5" style="101" customWidth="1"/>
    <col min="36" max="36" width="5" style="101" customWidth="1"/>
    <col min="37" max="37" width="10.25" style="101" customWidth="1"/>
    <col min="38" max="38" width="14.25" style="105" customWidth="1"/>
    <col min="39" max="39" width="11.5" style="105" customWidth="1"/>
    <col min="40" max="40" width="13.875" style="105" customWidth="1"/>
    <col min="41" max="41" width="13.625" style="105" customWidth="1"/>
    <col min="42" max="16384" width="9" style="101"/>
  </cols>
  <sheetData>
    <row r="1" spans="1:41" s="96" customFormat="1" ht="16.5">
      <c r="A1" s="380" t="s">
        <v>18</v>
      </c>
      <c r="B1" s="379" t="s">
        <v>186</v>
      </c>
      <c r="C1" s="380" t="s">
        <v>42</v>
      </c>
      <c r="D1" s="380" t="s">
        <v>187</v>
      </c>
      <c r="E1" s="380" t="s">
        <v>188</v>
      </c>
      <c r="F1" s="379" t="s">
        <v>39</v>
      </c>
      <c r="G1" s="381" t="s">
        <v>189</v>
      </c>
      <c r="H1" s="380" t="s">
        <v>41</v>
      </c>
      <c r="I1" s="380" t="s">
        <v>190</v>
      </c>
      <c r="J1" s="379" t="s">
        <v>43</v>
      </c>
      <c r="K1" s="379" t="s">
        <v>191</v>
      </c>
      <c r="L1" s="379" t="s">
        <v>192</v>
      </c>
      <c r="M1" s="379" t="s">
        <v>193</v>
      </c>
      <c r="N1" s="379" t="s">
        <v>194</v>
      </c>
      <c r="O1" s="379" t="s">
        <v>195</v>
      </c>
      <c r="P1" s="379" t="s">
        <v>196</v>
      </c>
      <c r="Q1" s="382" t="s">
        <v>197</v>
      </c>
      <c r="R1" s="379" t="s">
        <v>198</v>
      </c>
      <c r="S1" s="383" t="s">
        <v>199</v>
      </c>
      <c r="T1" s="378" t="s">
        <v>200</v>
      </c>
      <c r="U1" s="378"/>
      <c r="V1" s="378"/>
      <c r="W1" s="378"/>
      <c r="X1" s="378"/>
      <c r="Y1" s="378"/>
      <c r="Z1" s="383" t="s">
        <v>201</v>
      </c>
      <c r="AA1" s="379" t="s">
        <v>202</v>
      </c>
      <c r="AB1" s="379"/>
      <c r="AC1" s="379"/>
      <c r="AD1" s="380" t="s">
        <v>203</v>
      </c>
      <c r="AE1" s="380" t="s">
        <v>204</v>
      </c>
      <c r="AF1" s="380" t="s">
        <v>205</v>
      </c>
      <c r="AG1" s="380" t="s">
        <v>206</v>
      </c>
      <c r="AH1" s="380" t="s">
        <v>207</v>
      </c>
      <c r="AI1" s="380" t="s">
        <v>208</v>
      </c>
      <c r="AJ1" s="380" t="s">
        <v>23</v>
      </c>
      <c r="AK1" s="384" t="s">
        <v>209</v>
      </c>
      <c r="AL1" s="385" t="s">
        <v>210</v>
      </c>
      <c r="AM1" s="385" t="s">
        <v>211</v>
      </c>
      <c r="AN1" s="386" t="s">
        <v>212</v>
      </c>
      <c r="AO1" s="386" t="s">
        <v>213</v>
      </c>
    </row>
    <row r="2" spans="1:41" s="97" customFormat="1" ht="24">
      <c r="A2" s="380"/>
      <c r="B2" s="379"/>
      <c r="C2" s="380"/>
      <c r="D2" s="380"/>
      <c r="E2" s="380"/>
      <c r="F2" s="379"/>
      <c r="G2" s="381"/>
      <c r="H2" s="380"/>
      <c r="I2" s="380"/>
      <c r="J2" s="379"/>
      <c r="K2" s="379"/>
      <c r="L2" s="379"/>
      <c r="M2" s="379"/>
      <c r="N2" s="379"/>
      <c r="O2" s="379"/>
      <c r="P2" s="379"/>
      <c r="Q2" s="382"/>
      <c r="R2" s="379"/>
      <c r="S2" s="383"/>
      <c r="T2" s="125" t="s">
        <v>214</v>
      </c>
      <c r="U2" s="125" t="s">
        <v>215</v>
      </c>
      <c r="V2" s="125" t="s">
        <v>216</v>
      </c>
      <c r="W2" s="125" t="s">
        <v>217</v>
      </c>
      <c r="X2" s="125" t="s">
        <v>218</v>
      </c>
      <c r="Y2" s="125" t="s">
        <v>219</v>
      </c>
      <c r="Z2" s="383"/>
      <c r="AA2" s="125" t="s">
        <v>220</v>
      </c>
      <c r="AB2" s="125" t="s">
        <v>221</v>
      </c>
      <c r="AC2" s="125" t="s">
        <v>222</v>
      </c>
      <c r="AD2" s="380"/>
      <c r="AE2" s="380"/>
      <c r="AF2" s="380"/>
      <c r="AG2" s="380"/>
      <c r="AH2" s="380"/>
      <c r="AI2" s="380"/>
      <c r="AJ2" s="380"/>
      <c r="AK2" s="384"/>
      <c r="AL2" s="385"/>
      <c r="AM2" s="385"/>
      <c r="AN2" s="386"/>
      <c r="AO2" s="387"/>
    </row>
    <row r="3" spans="1:41" s="98" customFormat="1" ht="14.25">
      <c r="A3" s="106">
        <v>1</v>
      </c>
      <c r="B3" s="107">
        <v>44306</v>
      </c>
      <c r="C3" s="108"/>
      <c r="D3" s="108" t="s">
        <v>223</v>
      </c>
      <c r="E3" s="106"/>
      <c r="F3" s="109" t="s">
        <v>74</v>
      </c>
      <c r="G3" s="109"/>
      <c r="H3" s="106" t="s">
        <v>76</v>
      </c>
      <c r="I3" s="106"/>
      <c r="J3" s="117" t="s">
        <v>163</v>
      </c>
      <c r="K3" s="286" t="s">
        <v>164</v>
      </c>
      <c r="L3" s="106">
        <v>18607383005</v>
      </c>
      <c r="M3" s="109"/>
      <c r="N3" s="106" t="s">
        <v>224</v>
      </c>
      <c r="O3" s="106" t="s">
        <v>167</v>
      </c>
      <c r="P3" s="106" t="s">
        <v>225</v>
      </c>
      <c r="Q3" s="107">
        <v>44296</v>
      </c>
      <c r="R3" s="106" t="s">
        <v>226</v>
      </c>
      <c r="S3" s="109" t="s">
        <v>227</v>
      </c>
      <c r="T3" s="126">
        <v>2021.05</v>
      </c>
      <c r="U3" s="106">
        <v>4000</v>
      </c>
      <c r="V3" s="106">
        <v>4000</v>
      </c>
      <c r="W3" s="106">
        <v>4000</v>
      </c>
      <c r="X3" s="106">
        <v>4000</v>
      </c>
      <c r="Y3" s="106">
        <v>4000</v>
      </c>
      <c r="Z3" s="109" t="s">
        <v>227</v>
      </c>
      <c r="AA3" s="129" t="s">
        <v>228</v>
      </c>
      <c r="AB3" s="129" t="s">
        <v>229</v>
      </c>
      <c r="AC3" s="129" t="s">
        <v>230</v>
      </c>
      <c r="AD3" s="106" t="s">
        <v>231</v>
      </c>
      <c r="AE3" s="106"/>
      <c r="AF3" s="106"/>
      <c r="AG3" s="106"/>
      <c r="AH3" s="106"/>
      <c r="AI3" s="106"/>
      <c r="AJ3" s="106"/>
      <c r="AK3" s="10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pans="1:41" s="99" customFormat="1">
      <c r="A4" s="106"/>
      <c r="B4" s="107"/>
      <c r="C4" s="110"/>
      <c r="D4" s="108"/>
      <c r="E4" s="111"/>
      <c r="F4" s="109"/>
      <c r="G4" s="112"/>
      <c r="H4" s="111"/>
      <c r="I4" s="111"/>
      <c r="J4" s="118"/>
      <c r="K4" s="118"/>
      <c r="L4" s="111"/>
      <c r="M4" s="112"/>
      <c r="N4" s="111"/>
      <c r="O4" s="111"/>
      <c r="P4" s="106"/>
      <c r="Q4" s="113"/>
      <c r="R4" s="106"/>
      <c r="S4" s="109"/>
      <c r="T4" s="127"/>
      <c r="U4" s="111"/>
      <c r="V4" s="111"/>
      <c r="W4" s="111"/>
      <c r="X4" s="111"/>
      <c r="Y4" s="111"/>
      <c r="Z4" s="109"/>
      <c r="AA4" s="130"/>
      <c r="AB4" s="130"/>
      <c r="AC4" s="130"/>
      <c r="AD4" s="111"/>
      <c r="AE4" s="111"/>
      <c r="AF4" s="111"/>
      <c r="AG4" s="111"/>
      <c r="AH4" s="111"/>
      <c r="AI4" s="111"/>
      <c r="AJ4" s="111"/>
      <c r="AK4" s="10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pans="1:41" s="99" customFormat="1">
      <c r="A5" s="111"/>
      <c r="B5" s="113"/>
      <c r="C5" s="110"/>
      <c r="D5" s="110"/>
      <c r="E5" s="111"/>
      <c r="F5" s="112"/>
      <c r="G5" s="112"/>
      <c r="H5" s="111"/>
      <c r="I5" s="111"/>
      <c r="J5" s="119"/>
      <c r="K5" s="119"/>
      <c r="L5" s="111"/>
      <c r="M5" s="112"/>
      <c r="N5" s="111"/>
      <c r="O5" s="111"/>
      <c r="P5" s="111"/>
      <c r="Q5" s="113"/>
      <c r="R5" s="111"/>
      <c r="S5" s="112"/>
      <c r="T5" s="111"/>
      <c r="U5" s="111"/>
      <c r="V5" s="111"/>
      <c r="W5" s="111"/>
      <c r="X5" s="111"/>
      <c r="Y5" s="111"/>
      <c r="Z5" s="112"/>
      <c r="AA5" s="130"/>
      <c r="AB5" s="130"/>
      <c r="AC5" s="130"/>
      <c r="AD5" s="111"/>
      <c r="AE5" s="111"/>
      <c r="AF5" s="111"/>
      <c r="AG5" s="111"/>
      <c r="AH5" s="111"/>
      <c r="AI5" s="111"/>
      <c r="AJ5" s="111"/>
      <c r="AK5" s="112"/>
    </row>
    <row r="6" spans="1:41" s="99" customFormat="1">
      <c r="A6" s="111"/>
      <c r="B6" s="113"/>
      <c r="C6" s="110"/>
      <c r="D6" s="110"/>
      <c r="E6" s="111"/>
      <c r="F6" s="112"/>
      <c r="G6" s="112"/>
      <c r="H6" s="111"/>
      <c r="I6" s="111"/>
      <c r="J6" s="119"/>
      <c r="K6" s="119"/>
      <c r="L6" s="111"/>
      <c r="M6" s="112"/>
      <c r="N6" s="111"/>
      <c r="O6" s="111"/>
      <c r="P6" s="111"/>
      <c r="Q6" s="113"/>
      <c r="R6" s="111"/>
      <c r="S6" s="112"/>
      <c r="T6" s="111"/>
      <c r="U6" s="111"/>
      <c r="V6" s="111"/>
      <c r="W6" s="111"/>
      <c r="X6" s="111"/>
      <c r="Y6" s="111"/>
      <c r="Z6" s="112"/>
      <c r="AA6" s="130"/>
      <c r="AB6" s="130"/>
      <c r="AC6" s="130"/>
      <c r="AD6" s="111"/>
      <c r="AE6" s="111"/>
      <c r="AF6" s="111"/>
      <c r="AG6" s="111"/>
      <c r="AH6" s="111"/>
      <c r="AI6" s="111"/>
      <c r="AJ6" s="111"/>
      <c r="AK6" s="112"/>
    </row>
    <row r="7" spans="1:41" s="99" customFormat="1">
      <c r="A7" s="111"/>
      <c r="B7" s="113"/>
      <c r="C7" s="110"/>
      <c r="D7" s="110"/>
      <c r="E7" s="111"/>
      <c r="F7" s="112"/>
      <c r="G7" s="112"/>
      <c r="H7" s="111"/>
      <c r="I7" s="111"/>
      <c r="J7" s="119"/>
      <c r="K7" s="119"/>
      <c r="L7" s="111"/>
      <c r="M7" s="112"/>
      <c r="N7" s="111"/>
      <c r="O7" s="111"/>
      <c r="P7" s="111"/>
      <c r="Q7" s="113"/>
      <c r="R7" s="111"/>
      <c r="S7" s="112"/>
      <c r="T7" s="111"/>
      <c r="U7" s="111"/>
      <c r="V7" s="111"/>
      <c r="W7" s="111"/>
      <c r="X7" s="111"/>
      <c r="Y7" s="111"/>
      <c r="Z7" s="112"/>
      <c r="AA7" s="130"/>
      <c r="AB7" s="130"/>
      <c r="AC7" s="130"/>
      <c r="AD7" s="111"/>
      <c r="AE7" s="111"/>
      <c r="AF7" s="111"/>
      <c r="AG7" s="111"/>
      <c r="AH7" s="111"/>
      <c r="AI7" s="111"/>
      <c r="AJ7" s="111"/>
      <c r="AK7" s="112"/>
    </row>
    <row r="8" spans="1:41" s="99" customFormat="1">
      <c r="A8" s="111"/>
      <c r="B8" s="113"/>
      <c r="C8" s="110"/>
      <c r="D8" s="110"/>
      <c r="E8" s="111"/>
      <c r="F8" s="112"/>
      <c r="G8" s="112"/>
      <c r="H8" s="111"/>
      <c r="I8" s="111"/>
      <c r="J8" s="119" t="s">
        <v>232</v>
      </c>
      <c r="K8" s="119"/>
      <c r="L8" s="111"/>
      <c r="M8" s="112"/>
      <c r="N8" s="111"/>
      <c r="O8" s="111"/>
      <c r="P8" s="111"/>
      <c r="Q8" s="113"/>
      <c r="R8" s="111"/>
      <c r="S8" s="112"/>
      <c r="T8" s="111"/>
      <c r="U8" s="111"/>
      <c r="V8" s="111"/>
      <c r="W8" s="111"/>
      <c r="X8" s="111"/>
      <c r="Y8" s="111"/>
      <c r="Z8" s="112"/>
      <c r="AA8" s="130"/>
      <c r="AB8" s="130"/>
      <c r="AC8" s="130"/>
      <c r="AD8" s="111"/>
      <c r="AE8" s="111"/>
      <c r="AF8" s="111"/>
      <c r="AG8" s="111"/>
      <c r="AH8" s="111"/>
      <c r="AI8" s="111"/>
      <c r="AJ8" s="111"/>
      <c r="AK8" s="112"/>
    </row>
    <row r="9" spans="1:41" s="99" customFormat="1" ht="12.75">
      <c r="A9" s="111"/>
      <c r="B9" s="113"/>
      <c r="C9" s="110"/>
      <c r="D9" s="110"/>
      <c r="E9" s="111"/>
      <c r="F9" s="112"/>
      <c r="G9" s="112"/>
      <c r="H9" s="111"/>
      <c r="I9" s="111"/>
      <c r="J9" s="111" t="s">
        <v>85</v>
      </c>
      <c r="K9" s="120" t="s">
        <v>76</v>
      </c>
      <c r="L9" s="121" t="s">
        <v>86</v>
      </c>
      <c r="M9" s="122" t="s">
        <v>87</v>
      </c>
      <c r="N9" s="281" t="s">
        <v>88</v>
      </c>
      <c r="O9" s="111"/>
      <c r="P9" s="111"/>
      <c r="Q9" s="128">
        <v>202106</v>
      </c>
      <c r="R9" s="111"/>
      <c r="S9" s="112"/>
      <c r="T9" s="111"/>
      <c r="U9" s="111"/>
      <c r="V9" s="111"/>
      <c r="W9" s="111"/>
      <c r="X9" s="111"/>
      <c r="Y9" s="111"/>
      <c r="Z9" s="112"/>
      <c r="AA9" s="130"/>
      <c r="AB9" s="130"/>
      <c r="AC9" s="130"/>
      <c r="AD9" s="111"/>
      <c r="AE9" s="111"/>
      <c r="AF9" s="111"/>
      <c r="AG9" s="111"/>
      <c r="AH9" s="111"/>
      <c r="AI9" s="111"/>
      <c r="AJ9" s="111"/>
      <c r="AK9" s="112"/>
    </row>
    <row r="10" spans="1:41" s="99" customFormat="1">
      <c r="A10" s="111"/>
      <c r="B10" s="113"/>
      <c r="C10" s="110"/>
      <c r="D10" s="110"/>
      <c r="E10" s="111"/>
      <c r="F10" s="112"/>
      <c r="G10" s="112"/>
      <c r="H10" s="111"/>
      <c r="I10" s="111"/>
      <c r="J10" s="119"/>
      <c r="K10" s="119"/>
      <c r="L10" s="111"/>
      <c r="M10" s="112"/>
      <c r="N10" s="111"/>
      <c r="O10" s="111"/>
      <c r="P10" s="111"/>
      <c r="Q10" s="113"/>
      <c r="R10" s="111"/>
      <c r="S10" s="112"/>
      <c r="T10" s="111"/>
      <c r="U10" s="111"/>
      <c r="V10" s="111"/>
      <c r="W10" s="111"/>
      <c r="X10" s="111"/>
      <c r="Y10" s="111"/>
      <c r="Z10" s="112"/>
      <c r="AA10" s="130"/>
      <c r="AB10" s="130"/>
      <c r="AC10" s="130"/>
      <c r="AD10" s="111"/>
      <c r="AE10" s="111"/>
      <c r="AF10" s="111"/>
      <c r="AG10" s="111"/>
      <c r="AH10" s="111"/>
      <c r="AI10" s="111"/>
      <c r="AJ10" s="111"/>
      <c r="AK10" s="112"/>
    </row>
    <row r="11" spans="1:41" s="99" customFormat="1">
      <c r="A11" s="111"/>
      <c r="B11" s="113"/>
      <c r="C11" s="110"/>
      <c r="D11" s="110"/>
      <c r="E11" s="111"/>
      <c r="F11" s="112"/>
      <c r="G11" s="112"/>
      <c r="H11" s="111"/>
      <c r="I11" s="111"/>
      <c r="J11" s="119"/>
      <c r="K11" s="119"/>
      <c r="L11" s="111"/>
      <c r="M11" s="112"/>
      <c r="N11" s="111"/>
      <c r="O11" s="111"/>
      <c r="P11" s="111"/>
      <c r="Q11" s="113"/>
      <c r="R11" s="111"/>
      <c r="S11" s="112"/>
      <c r="T11" s="111"/>
      <c r="U11" s="111"/>
      <c r="V11" s="111"/>
      <c r="W11" s="111"/>
      <c r="X11" s="111"/>
      <c r="Y11" s="111"/>
      <c r="Z11" s="112"/>
      <c r="AA11" s="130"/>
      <c r="AB11" s="130"/>
      <c r="AC11" s="130"/>
      <c r="AD11" s="111"/>
      <c r="AE11" s="111"/>
      <c r="AF11" s="111"/>
      <c r="AG11" s="111"/>
      <c r="AH11" s="111"/>
      <c r="AI11" s="111"/>
      <c r="AJ11" s="111"/>
      <c r="AK11" s="112"/>
    </row>
    <row r="12" spans="1:41" s="100" customFormat="1">
      <c r="A12" s="114"/>
      <c r="B12" s="115"/>
      <c r="C12" s="110"/>
      <c r="D12" s="110"/>
      <c r="E12" s="111"/>
      <c r="F12" s="112"/>
      <c r="G12" s="116"/>
      <c r="H12" s="114"/>
      <c r="I12" s="111"/>
      <c r="J12" s="119"/>
      <c r="K12" s="119"/>
      <c r="L12" s="111"/>
      <c r="M12" s="112"/>
      <c r="N12" s="114"/>
      <c r="O12" s="114"/>
      <c r="P12" s="114"/>
      <c r="Q12" s="114"/>
      <c r="R12" s="114"/>
      <c r="S12" s="112"/>
      <c r="T12" s="114"/>
      <c r="U12" s="114"/>
      <c r="V12" s="114"/>
      <c r="W12" s="114"/>
      <c r="X12" s="114"/>
      <c r="Y12" s="114"/>
      <c r="Z12" s="112"/>
      <c r="AA12" s="131"/>
      <c r="AB12" s="131"/>
      <c r="AC12" s="131"/>
      <c r="AD12" s="114"/>
      <c r="AE12" s="114"/>
      <c r="AF12" s="114"/>
      <c r="AG12" s="114"/>
      <c r="AH12" s="114"/>
      <c r="AI12" s="114"/>
      <c r="AJ12" s="114"/>
      <c r="AK12" s="112"/>
      <c r="AL12" s="99"/>
      <c r="AM12" s="99"/>
      <c r="AN12" s="99"/>
      <c r="AO12" s="99"/>
    </row>
    <row r="13" spans="1:41" s="100" customFormat="1">
      <c r="A13" s="114"/>
      <c r="B13" s="115"/>
      <c r="C13" s="110"/>
      <c r="D13" s="110"/>
      <c r="E13" s="111"/>
      <c r="F13" s="112"/>
      <c r="G13" s="116"/>
      <c r="H13" s="114"/>
      <c r="I13" s="114"/>
      <c r="J13" s="124"/>
      <c r="K13" s="124"/>
      <c r="L13" s="114"/>
      <c r="M13" s="112"/>
      <c r="N13" s="114"/>
      <c r="O13" s="114"/>
      <c r="P13" s="114"/>
      <c r="Q13" s="114"/>
      <c r="R13" s="114"/>
      <c r="S13" s="112"/>
      <c r="T13" s="114"/>
      <c r="U13" s="114"/>
      <c r="V13" s="114"/>
      <c r="W13" s="114"/>
      <c r="X13" s="114"/>
      <c r="Y13" s="114"/>
      <c r="Z13" s="112"/>
      <c r="AA13" s="131"/>
      <c r="AB13" s="131"/>
      <c r="AC13" s="131"/>
      <c r="AD13" s="114"/>
      <c r="AE13" s="114"/>
      <c r="AF13" s="114"/>
      <c r="AG13" s="114"/>
      <c r="AH13" s="114"/>
      <c r="AI13" s="114"/>
      <c r="AJ13" s="114"/>
      <c r="AK13" s="112"/>
      <c r="AL13" s="99"/>
      <c r="AM13" s="99"/>
      <c r="AN13" s="99"/>
      <c r="AO13" s="99"/>
    </row>
    <row r="14" spans="1:41" s="100" customFormat="1">
      <c r="A14" s="114"/>
      <c r="B14" s="115"/>
      <c r="C14" s="110"/>
      <c r="D14" s="110"/>
      <c r="E14" s="111"/>
      <c r="F14" s="112"/>
      <c r="G14" s="116"/>
      <c r="H14" s="114"/>
      <c r="I14" s="114"/>
      <c r="J14" s="124"/>
      <c r="K14" s="124"/>
      <c r="L14" s="114"/>
      <c r="M14" s="112"/>
      <c r="N14" s="114"/>
      <c r="O14" s="114"/>
      <c r="P14" s="114"/>
      <c r="Q14" s="114"/>
      <c r="R14" s="114"/>
      <c r="S14" s="112"/>
      <c r="T14" s="114"/>
      <c r="U14" s="114"/>
      <c r="V14" s="114"/>
      <c r="W14" s="114"/>
      <c r="X14" s="114"/>
      <c r="Y14" s="114"/>
      <c r="Z14" s="112"/>
      <c r="AA14" s="131"/>
      <c r="AB14" s="131"/>
      <c r="AC14" s="131"/>
      <c r="AD14" s="114"/>
      <c r="AE14" s="114"/>
      <c r="AF14" s="114"/>
      <c r="AG14" s="114"/>
      <c r="AH14" s="114"/>
      <c r="AI14" s="114"/>
      <c r="AJ14" s="114"/>
      <c r="AK14" s="112"/>
      <c r="AL14" s="99"/>
      <c r="AM14" s="99"/>
      <c r="AN14" s="99"/>
      <c r="AO14" s="99"/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1" type="noConversion"/>
  <conditionalFormatting sqref="J12:J14">
    <cfRule type="duplicateValues" dxfId="60" priority="3"/>
  </conditionalFormatting>
  <conditionalFormatting sqref="J5:J8 J10:J11">
    <cfRule type="duplicateValues" dxfId="59" priority="1"/>
    <cfRule type="duplicateValues" dxfId="58" priority="2"/>
  </conditionalFormatting>
  <dataValidations count="7"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M3:M8 M10:M14">
      <formula1>"是,否"</formula1>
    </dataValidation>
  </dataValidations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184</v>
      </c>
      <c r="G4" s="32">
        <v>18035163638</v>
      </c>
      <c r="H4" s="33"/>
      <c r="I4" s="33"/>
      <c r="J4" s="60"/>
      <c r="K4" s="33"/>
      <c r="L4" s="61">
        <v>8660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L4+IFERROR(VLOOKUP($E:$E,'（居民）工资表-7月'!$E:$S,15,0),0)</f>
        <v>40740</v>
      </c>
      <c r="T4" s="80">
        <f>5000+IFERROR(VLOOKUP($E:$E,'（居民）工资表-7月'!$E:$T,16,0),0)</f>
        <v>25000</v>
      </c>
      <c r="U4" s="80">
        <f>Q4+IFERROR(VLOOKUP($E:$E,'（居民）工资表-7月'!$E:$U,17,0),0)</f>
        <v>2599.5</v>
      </c>
      <c r="V4" s="61"/>
      <c r="W4" s="61"/>
      <c r="X4" s="61">
        <v>8000</v>
      </c>
      <c r="Y4" s="61"/>
      <c r="Z4" s="61"/>
      <c r="AA4" s="61"/>
      <c r="AB4" s="79">
        <f>ROUND(SUM(V4:AA4),2)</f>
        <v>8000</v>
      </c>
      <c r="AC4" s="79">
        <f>R4+IFERROR(VLOOKUP($E:$E,'（居民）工资表-7月'!$E:$AC,25,0),0)</f>
        <v>0</v>
      </c>
      <c r="AD4" s="81">
        <f>ROUND(S4-T4-U4-AB4-AC4,2)</f>
        <v>5140.5</v>
      </c>
      <c r="AE4" s="82">
        <f>ROUND(MAX((AD4)*{0.03;0.1;0.2;0.25;0.3;0.35;0.45}-{0;2520;16920;31920;52920;85920;181920},0),2)</f>
        <v>154.22</v>
      </c>
      <c r="AF4" s="83">
        <f>IFERROR(VLOOKUP(E:E,'（居民）工资表-7月'!E:AF,28,0)+VLOOKUP(E:E,'（居民）工资表-7月'!E:AG,29,0),0)</f>
        <v>90.01</v>
      </c>
      <c r="AG4" s="83">
        <f>IF((AE4-AF4)&lt;0,0,AE4-AF4)</f>
        <v>64.209999999999994</v>
      </c>
      <c r="AH4" s="86">
        <f>ROUND(IF((L4-Q4-AG4)&lt;0,0,(L4-Q4-AG4)),2)</f>
        <v>8075.89</v>
      </c>
      <c r="AI4" s="87"/>
      <c r="AJ4" s="86">
        <f>AH4+AI4</f>
        <v>8075.89</v>
      </c>
      <c r="AK4" s="88"/>
      <c r="AL4" s="86">
        <f>AJ4+AG4+AK4</f>
        <v>8140.1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184</v>
      </c>
      <c r="G5" s="32">
        <v>13944441728</v>
      </c>
      <c r="H5" s="33"/>
      <c r="I5" s="33"/>
      <c r="J5" s="60"/>
      <c r="K5" s="33"/>
      <c r="L5" s="61">
        <v>6921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L5+IFERROR(VLOOKUP($E:$E,'（居民）工资表-7月'!$E:$S,15,0),0)</f>
        <v>35061</v>
      </c>
      <c r="T5" s="80">
        <f>5000+IFERROR(VLOOKUP($E:$E,'（居民）工资表-7月'!$E:$T,16,0),0)</f>
        <v>25000</v>
      </c>
      <c r="U5" s="80">
        <f>Q5+IFERROR(VLOOKUP($E:$E,'（居民）工资表-7月'!$E:$U,17,0),0)</f>
        <v>2360.7599999999998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R5+IFERROR(VLOOKUP($E:$E,'（居民）工资表-7月'!$E:$AC,25,0),0)</f>
        <v>0</v>
      </c>
      <c r="AD5" s="81">
        <f>ROUND(S5-T5-U5-AB5-AC5,2)</f>
        <v>7700.24</v>
      </c>
      <c r="AE5" s="82">
        <f>ROUND(MAX((AD5)*{0.03;0.1;0.2;0.25;0.3;0.35;0.45}-{0;2520;16920;31920;52920;85920;181920},0),2)</f>
        <v>231.01</v>
      </c>
      <c r="AF5" s="83">
        <f>IFERROR(VLOOKUP(E:E,'（居民）工资表-7月'!E:AF,28,0)+VLOOKUP(E:E,'（居民）工资表-7月'!E:AG,29,0),0)</f>
        <v>185.18</v>
      </c>
      <c r="AG5" s="83">
        <f>IF((AE5-AF5)&lt;0,0,AE5-AF5)</f>
        <v>45.829999999999984</v>
      </c>
      <c r="AH5" s="86">
        <f>ROUND(IF((L5-Q5-AG5)&lt;0,0,(L5-Q5-AG5)),2)</f>
        <v>6481.71</v>
      </c>
      <c r="AI5" s="87"/>
      <c r="AJ5" s="86">
        <f>AH5+AI5</f>
        <v>6481.71</v>
      </c>
      <c r="AK5" s="88"/>
      <c r="AL5" s="86">
        <f>AJ5+AG5+AK5</f>
        <v>6527.54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4" t="s">
        <v>164</v>
      </c>
      <c r="F6" s="31" t="s">
        <v>184</v>
      </c>
      <c r="G6" s="32">
        <v>18607383005</v>
      </c>
      <c r="H6" s="33"/>
      <c r="I6" s="33"/>
      <c r="J6" s="60"/>
      <c r="K6" s="33"/>
      <c r="L6" s="61">
        <v>24800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L6+IFERROR(VLOOKUP($E:$E,'（居民）工资表-7月'!$E:$S,15,0),0)</f>
        <v>86504.760000000009</v>
      </c>
      <c r="T6" s="80">
        <f>5000+IFERROR(VLOOKUP($E:$E,'（居民）工资表-7月'!$E:$T,16,0),0)</f>
        <v>20000</v>
      </c>
      <c r="U6" s="80">
        <f>Q6+IFERROR(VLOOKUP($E:$E,'（居民）工资表-7月'!$E:$U,17,0),0)</f>
        <v>2534.67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R6+IFERROR(VLOOKUP($E:$E,'（居民）工资表-7月'!$E:$AC,25,0),0)</f>
        <v>0</v>
      </c>
      <c r="AD6" s="81">
        <f>ROUND(S6-T6-U6-AB6-AC6,2)</f>
        <v>63970.09</v>
      </c>
      <c r="AE6" s="82">
        <f>ROUND(MAX((AD6)*{0.03;0.1;0.2;0.25;0.3;0.35;0.45}-{0;2520;16920;31920;52920;85920;181920},0),2)</f>
        <v>3877.01</v>
      </c>
      <c r="AF6" s="83">
        <f>IFERROR(VLOOKUP(E:E,'（居民）工资表-7月'!E:AF,28,0)+VLOOKUP(E:E,'（居民）工资表-7月'!E:AG,29,0),0)</f>
        <v>1958.21</v>
      </c>
      <c r="AG6" s="83">
        <f>IF((AE6-AF6)&lt;0,0,AE6-AF6)</f>
        <v>1918.8000000000002</v>
      </c>
      <c r="AH6" s="86">
        <f>ROUND(IF((L6-Q6-AG6)&lt;0,0,(L6-Q6-AG6)),2)</f>
        <v>22269.200000000001</v>
      </c>
      <c r="AI6" s="87"/>
      <c r="AJ6" s="86">
        <f>AH6+AI6</f>
        <v>22269.200000000001</v>
      </c>
      <c r="AK6" s="88"/>
      <c r="AL6" s="86">
        <f>AJ6+AG6+AK6</f>
        <v>24188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170</v>
      </c>
      <c r="D7" s="30" t="s">
        <v>150</v>
      </c>
      <c r="E7" s="284" t="s">
        <v>171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4560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L7+IFERROR(VLOOKUP($E:$E,'（居民）工资表-7月'!$E:$S,15,0),0)</f>
        <v>8083.6363636363603</v>
      </c>
      <c r="T7" s="80">
        <f>5000+IFERROR(VLOOKUP($E:$E,'（居民）工资表-7月'!$E:$T,16,0),0)</f>
        <v>10000</v>
      </c>
      <c r="U7" s="80">
        <f>Q7+IFERROR(VLOOKUP($E:$E,'（居民）工资表-7月'!$E:$U,17,0),0)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R7+IFERROR(VLOOKUP($E:$E,'（居民）工资表-7月'!$E:$AC,25,0),0)</f>
        <v>0</v>
      </c>
      <c r="AD7" s="81">
        <f>ROUND(S7-T7-U7-AB7-AC7,2)</f>
        <v>-1916.36</v>
      </c>
      <c r="AE7" s="82">
        <f>ROUND(MAX((AD7)*{0.03;0.1;0.2;0.25;0.3;0.35;0.45}-{0;2520;16920;31920;52920;85920;181920},0),2)</f>
        <v>0</v>
      </c>
      <c r="AF7" s="83">
        <f>IFERROR(VLOOKUP(E:E,'（居民）工资表-7月'!E:AF,28,0)+VLOOKUP(E:E,'（居民）工资表-7月'!E:AG,29,0),0)</f>
        <v>0</v>
      </c>
      <c r="AG7" s="83">
        <f>IF((AE7-AF7)&lt;0,0,AE7-AF7)</f>
        <v>0</v>
      </c>
      <c r="AH7" s="86">
        <f>ROUND(IF((L7-Q7-AG7)&lt;0,0,(L7-Q7-AG7)),2)</f>
        <v>4560</v>
      </c>
      <c r="AI7" s="87"/>
      <c r="AJ7" s="86">
        <f>AH7+AI7</f>
        <v>4560</v>
      </c>
      <c r="AK7" s="88"/>
      <c r="AL7" s="86">
        <f>AJ7+AG7+AK7</f>
        <v>4560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44941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170389.39636363636</v>
      </c>
      <c r="T8" s="67">
        <f t="shared" si="0"/>
        <v>80000</v>
      </c>
      <c r="U8" s="67">
        <f t="shared" si="0"/>
        <v>7494.93</v>
      </c>
      <c r="V8" s="67">
        <f t="shared" si="0"/>
        <v>0</v>
      </c>
      <c r="W8" s="67">
        <f t="shared" si="0"/>
        <v>0</v>
      </c>
      <c r="X8" s="67">
        <f t="shared" si="0"/>
        <v>8000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8000</v>
      </c>
      <c r="AC8" s="67">
        <f t="shared" si="0"/>
        <v>0</v>
      </c>
      <c r="AD8" s="67">
        <f t="shared" si="0"/>
        <v>74894.47</v>
      </c>
      <c r="AE8" s="67">
        <f t="shared" si="0"/>
        <v>4262.24</v>
      </c>
      <c r="AF8" s="67">
        <f t="shared" si="0"/>
        <v>2233.4</v>
      </c>
      <c r="AG8" s="67">
        <f t="shared" si="0"/>
        <v>2028.8400000000001</v>
      </c>
      <c r="AH8" s="67">
        <f t="shared" si="0"/>
        <v>41386.800000000003</v>
      </c>
      <c r="AI8" s="95">
        <f t="shared" si="0"/>
        <v>0</v>
      </c>
      <c r="AJ8" s="67">
        <f t="shared" si="0"/>
        <v>41386.800000000003</v>
      </c>
      <c r="AK8" s="67">
        <f t="shared" si="0"/>
        <v>0</v>
      </c>
      <c r="AL8" s="67">
        <f t="shared" si="0"/>
        <v>43415.64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41386.800000000003</v>
      </c>
      <c r="C13" s="45">
        <f>AG8</f>
        <v>2028.8400000000001</v>
      </c>
      <c r="D13" s="45">
        <f>AK8</f>
        <v>0</v>
      </c>
      <c r="E13" s="45">
        <f>B13+C13+D13</f>
        <v>43415.64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57" priority="2" stopIfTrue="1"/>
  </conditionalFormatting>
  <conditionalFormatting sqref="B15:B19">
    <cfRule type="duplicateValues" dxfId="56" priority="3" stopIfTrue="1"/>
  </conditionalFormatting>
  <conditionalFormatting sqref="B23:B24">
    <cfRule type="duplicateValues" dxfId="55" priority="1" stopIfTrue="1"/>
  </conditionalFormatting>
  <conditionalFormatting sqref="C12:C14">
    <cfRule type="duplicateValues" dxfId="54" priority="4" stopIfTrue="1"/>
    <cfRule type="expression" dxfId="53" priority="5" stopIfTrue="1">
      <formula>AND(COUNTIF($B$8:$B$65444,C12)+COUNTIF($B$1:$B$3,C12)&gt;1,NOT(ISBLANK(C12)))</formula>
    </cfRule>
    <cfRule type="expression" dxfId="52" priority="6" stopIfTrue="1">
      <formula>AND(COUNTIF($B$19:$B$65395,C12)+COUNTIF($B$1:$B$18,C12)&gt;1,NOT(ISBLANK(C12)))</formula>
    </cfRule>
    <cfRule type="expression" dxfId="51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12</vt:i4>
      </vt:variant>
    </vt:vector>
  </HeadingPairs>
  <TitlesOfParts>
    <vt:vector size="30" baseType="lpstr">
      <vt:lpstr>付款通知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增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2022-03-08T03:26:12Z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