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aox\Desktop\"/>
    </mc:Choice>
  </mc:AlternateContent>
  <xr:revisionPtr revIDLastSave="0" documentId="13_ncr:1_{21D5EBBA-4904-4079-842B-9DB8A23BF955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账单" sheetId="9" r:id="rId1"/>
    <sheet name="财务要" sheetId="12" state="hidden" r:id="rId2"/>
    <sheet name="海淀分公司工资表" sheetId="1" r:id="rId3"/>
    <sheet name="社保" sheetId="2" r:id="rId4"/>
    <sheet name="缴费比例" sheetId="5" r:id="rId5"/>
    <sheet name="福州" sheetId="6" r:id="rId6"/>
    <sheet name="合肥" sheetId="7" r:id="rId7"/>
    <sheet name="个税系统表" sheetId="8" state="hidden" r:id="rId8"/>
    <sheet name="外地社保" sheetId="11" state="hidden" r:id="rId9"/>
    <sheet name="融科" sheetId="13" r:id="rId10"/>
  </sheets>
  <externalReferences>
    <externalReference r:id="rId11"/>
    <externalReference r:id="rId12"/>
  </externalReferences>
  <definedNames>
    <definedName name="_xlnm._FilterDatabase" localSheetId="2" hidden="1">海淀分公司工资表!$A$2:$BA$37</definedName>
    <definedName name="_xlnm._FilterDatabase" localSheetId="3" hidden="1">社保!$A$1:$AH$50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9" l="1"/>
  <c r="D6" i="9"/>
  <c r="AP4" i="1" l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3" i="1"/>
  <c r="T11" i="1"/>
  <c r="S3" i="1"/>
  <c r="M3" i="1"/>
  <c r="L4" i="1"/>
  <c r="M4" i="1"/>
  <c r="O4" i="1"/>
  <c r="P4" i="1"/>
  <c r="Q4" i="1"/>
  <c r="R4" i="1"/>
  <c r="S4" i="1"/>
  <c r="L5" i="1"/>
  <c r="O5" i="1"/>
  <c r="P5" i="1"/>
  <c r="Q5" i="1"/>
  <c r="R5" i="1"/>
  <c r="S5" i="1"/>
  <c r="L6" i="1"/>
  <c r="M6" i="1"/>
  <c r="O6" i="1"/>
  <c r="P6" i="1"/>
  <c r="Q6" i="1"/>
  <c r="R6" i="1"/>
  <c r="S6" i="1"/>
  <c r="L7" i="1"/>
  <c r="O7" i="1"/>
  <c r="P7" i="1"/>
  <c r="Q7" i="1"/>
  <c r="R7" i="1"/>
  <c r="S7" i="1"/>
  <c r="L8" i="1"/>
  <c r="O8" i="1"/>
  <c r="P8" i="1"/>
  <c r="Q8" i="1"/>
  <c r="R8" i="1"/>
  <c r="S8" i="1"/>
  <c r="L9" i="1"/>
  <c r="O9" i="1"/>
  <c r="P9" i="1"/>
  <c r="Q9" i="1"/>
  <c r="R9" i="1"/>
  <c r="S9" i="1"/>
  <c r="L10" i="1"/>
  <c r="M10" i="1"/>
  <c r="O10" i="1"/>
  <c r="P10" i="1"/>
  <c r="Q10" i="1"/>
  <c r="R10" i="1"/>
  <c r="S10" i="1"/>
  <c r="L11" i="1"/>
  <c r="O11" i="1"/>
  <c r="P11" i="1"/>
  <c r="Q11" i="1"/>
  <c r="R11" i="1"/>
  <c r="S11" i="1"/>
  <c r="L12" i="1"/>
  <c r="M12" i="1"/>
  <c r="O12" i="1"/>
  <c r="P12" i="1"/>
  <c r="Q12" i="1"/>
  <c r="R12" i="1"/>
  <c r="S12" i="1"/>
  <c r="L13" i="1"/>
  <c r="O13" i="1"/>
  <c r="P13" i="1"/>
  <c r="Q13" i="1"/>
  <c r="R13" i="1"/>
  <c r="S13" i="1"/>
  <c r="L14" i="1"/>
  <c r="M14" i="1"/>
  <c r="O14" i="1"/>
  <c r="P14" i="1"/>
  <c r="Q14" i="1"/>
  <c r="R14" i="1"/>
  <c r="S14" i="1"/>
  <c r="L15" i="1"/>
  <c r="O15" i="1"/>
  <c r="P15" i="1"/>
  <c r="Q15" i="1"/>
  <c r="R15" i="1"/>
  <c r="S15" i="1"/>
  <c r="L16" i="1"/>
  <c r="M16" i="1"/>
  <c r="O16" i="1"/>
  <c r="P16" i="1"/>
  <c r="Q16" i="1"/>
  <c r="R16" i="1"/>
  <c r="S16" i="1"/>
  <c r="L17" i="1"/>
  <c r="O17" i="1"/>
  <c r="P17" i="1"/>
  <c r="Q17" i="1"/>
  <c r="R17" i="1"/>
  <c r="S17" i="1"/>
  <c r="L18" i="1"/>
  <c r="M18" i="1"/>
  <c r="O18" i="1"/>
  <c r="P18" i="1"/>
  <c r="Q18" i="1"/>
  <c r="R18" i="1"/>
  <c r="S18" i="1"/>
  <c r="L19" i="1"/>
  <c r="O19" i="1"/>
  <c r="P19" i="1"/>
  <c r="Q19" i="1"/>
  <c r="R19" i="1"/>
  <c r="S19" i="1"/>
  <c r="L20" i="1"/>
  <c r="M20" i="1"/>
  <c r="O20" i="1"/>
  <c r="P20" i="1"/>
  <c r="Q20" i="1"/>
  <c r="R20" i="1"/>
  <c r="S20" i="1"/>
  <c r="L21" i="1"/>
  <c r="O21" i="1"/>
  <c r="P21" i="1"/>
  <c r="Q21" i="1"/>
  <c r="R21" i="1"/>
  <c r="S21" i="1"/>
  <c r="L22" i="1"/>
  <c r="M22" i="1"/>
  <c r="O22" i="1"/>
  <c r="P22" i="1"/>
  <c r="Q22" i="1"/>
  <c r="R22" i="1"/>
  <c r="S22" i="1"/>
  <c r="L23" i="1"/>
  <c r="O23" i="1"/>
  <c r="P23" i="1"/>
  <c r="Q23" i="1"/>
  <c r="R23" i="1"/>
  <c r="S23" i="1"/>
  <c r="L24" i="1"/>
  <c r="M24" i="1"/>
  <c r="O24" i="1"/>
  <c r="P24" i="1"/>
  <c r="Q24" i="1"/>
  <c r="R24" i="1"/>
  <c r="S24" i="1"/>
  <c r="L25" i="1"/>
  <c r="O25" i="1"/>
  <c r="P25" i="1"/>
  <c r="Q25" i="1"/>
  <c r="R25" i="1"/>
  <c r="S25" i="1"/>
  <c r="L26" i="1"/>
  <c r="O26" i="1"/>
  <c r="P26" i="1"/>
  <c r="Q26" i="1"/>
  <c r="R26" i="1"/>
  <c r="S26" i="1"/>
  <c r="L27" i="1"/>
  <c r="O27" i="1"/>
  <c r="P27" i="1"/>
  <c r="Q27" i="1"/>
  <c r="R27" i="1"/>
  <c r="S27" i="1"/>
  <c r="L28" i="1"/>
  <c r="M28" i="1"/>
  <c r="N28" i="1"/>
  <c r="O28" i="1"/>
  <c r="P28" i="1"/>
  <c r="Q28" i="1"/>
  <c r="R28" i="1"/>
  <c r="S28" i="1"/>
  <c r="L29" i="1"/>
  <c r="O29" i="1"/>
  <c r="P29" i="1"/>
  <c r="Q29" i="1"/>
  <c r="R29" i="1"/>
  <c r="S29" i="1"/>
  <c r="L30" i="1"/>
  <c r="M30" i="1"/>
  <c r="O30" i="1"/>
  <c r="P30" i="1"/>
  <c r="Q30" i="1"/>
  <c r="R30" i="1"/>
  <c r="S30" i="1"/>
  <c r="L31" i="1"/>
  <c r="O31" i="1"/>
  <c r="P31" i="1"/>
  <c r="Q31" i="1"/>
  <c r="R31" i="1"/>
  <c r="S31" i="1"/>
  <c r="L32" i="1"/>
  <c r="N32" i="1"/>
  <c r="O32" i="1"/>
  <c r="P32" i="1"/>
  <c r="Q32" i="1"/>
  <c r="R32" i="1"/>
  <c r="S32" i="1"/>
  <c r="L33" i="1"/>
  <c r="O33" i="1"/>
  <c r="P33" i="1"/>
  <c r="Q33" i="1"/>
  <c r="R33" i="1"/>
  <c r="S33" i="1"/>
  <c r="L34" i="1"/>
  <c r="M34" i="1"/>
  <c r="N34" i="1"/>
  <c r="O34" i="1"/>
  <c r="P34" i="1"/>
  <c r="Q34" i="1"/>
  <c r="R34" i="1"/>
  <c r="S34" i="1"/>
  <c r="L35" i="1"/>
  <c r="N35" i="1"/>
  <c r="O35" i="1"/>
  <c r="P35" i="1"/>
  <c r="Q35" i="1"/>
  <c r="R35" i="1"/>
  <c r="S35" i="1"/>
  <c r="L36" i="1"/>
  <c r="O36" i="1"/>
  <c r="P36" i="1"/>
  <c r="Q36" i="1"/>
  <c r="R36" i="1"/>
  <c r="S36" i="1"/>
  <c r="L37" i="1"/>
  <c r="N37" i="1"/>
  <c r="O37" i="1"/>
  <c r="P37" i="1"/>
  <c r="Q37" i="1"/>
  <c r="R37" i="1"/>
  <c r="S37" i="1"/>
  <c r="R3" i="1"/>
  <c r="Q3" i="1"/>
  <c r="P3" i="1"/>
  <c r="O3" i="1"/>
  <c r="L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G2" i="13"/>
  <c r="N2" i="13" s="1"/>
  <c r="H2" i="13"/>
  <c r="N3" i="1" s="1"/>
  <c r="G3" i="13"/>
  <c r="N3" i="13" s="1"/>
  <c r="T4" i="1" s="1"/>
  <c r="H3" i="13"/>
  <c r="N4" i="1" s="1"/>
  <c r="G4" i="13"/>
  <c r="M5" i="1" s="1"/>
  <c r="H4" i="13"/>
  <c r="N5" i="1" s="1"/>
  <c r="G5" i="13"/>
  <c r="H5" i="13"/>
  <c r="N6" i="1" s="1"/>
  <c r="G6" i="13"/>
  <c r="M7" i="1" s="1"/>
  <c r="H6" i="13"/>
  <c r="N7" i="1" s="1"/>
  <c r="N6" i="13"/>
  <c r="T7" i="1" s="1"/>
  <c r="G7" i="13"/>
  <c r="M8" i="1" s="1"/>
  <c r="H7" i="13"/>
  <c r="N8" i="1" s="1"/>
  <c r="N7" i="13"/>
  <c r="T8" i="1" s="1"/>
  <c r="G8" i="13"/>
  <c r="M9" i="1" s="1"/>
  <c r="H8" i="13"/>
  <c r="N9" i="1" s="1"/>
  <c r="G9" i="13"/>
  <c r="H9" i="13"/>
  <c r="N10" i="1" s="1"/>
  <c r="N9" i="13"/>
  <c r="T10" i="1" s="1"/>
  <c r="G10" i="13"/>
  <c r="M11" i="1" s="1"/>
  <c r="H10" i="13"/>
  <c r="N11" i="1" s="1"/>
  <c r="N10" i="13"/>
  <c r="G11" i="13"/>
  <c r="N11" i="13" s="1"/>
  <c r="T12" i="1" s="1"/>
  <c r="H11" i="13"/>
  <c r="N12" i="1" s="1"/>
  <c r="G12" i="13"/>
  <c r="M13" i="1" s="1"/>
  <c r="H12" i="13"/>
  <c r="N13" i="1" s="1"/>
  <c r="G13" i="13"/>
  <c r="N13" i="13" s="1"/>
  <c r="T14" i="1" s="1"/>
  <c r="H13" i="13"/>
  <c r="N14" i="1" s="1"/>
  <c r="G14" i="13"/>
  <c r="M15" i="1" s="1"/>
  <c r="H14" i="13"/>
  <c r="N15" i="1" s="1"/>
  <c r="G15" i="13"/>
  <c r="N15" i="13" s="1"/>
  <c r="T16" i="1" s="1"/>
  <c r="H15" i="13"/>
  <c r="N16" i="1" s="1"/>
  <c r="G16" i="13"/>
  <c r="M17" i="1" s="1"/>
  <c r="H16" i="13"/>
  <c r="N17" i="1" s="1"/>
  <c r="G17" i="13"/>
  <c r="H17" i="13"/>
  <c r="N18" i="1" s="1"/>
  <c r="N17" i="13"/>
  <c r="T18" i="1" s="1"/>
  <c r="G18" i="13"/>
  <c r="M19" i="1" s="1"/>
  <c r="H18" i="13"/>
  <c r="N19" i="1" s="1"/>
  <c r="N18" i="13"/>
  <c r="T19" i="1" s="1"/>
  <c r="G19" i="13"/>
  <c r="H19" i="13"/>
  <c r="N19" i="13" s="1"/>
  <c r="T20" i="1" s="1"/>
  <c r="G20" i="13"/>
  <c r="M21" i="1" s="1"/>
  <c r="H20" i="13"/>
  <c r="N21" i="1" s="1"/>
  <c r="N20" i="13"/>
  <c r="T21" i="1" s="1"/>
  <c r="N21" i="13"/>
  <c r="T22" i="1" s="1"/>
  <c r="N22" i="13"/>
  <c r="T23" i="1" s="1"/>
  <c r="N23" i="13"/>
  <c r="T24" i="1" s="1"/>
  <c r="G24" i="13"/>
  <c r="N24" i="13" s="1"/>
  <c r="T25" i="1" s="1"/>
  <c r="H24" i="13"/>
  <c r="N25" i="1" s="1"/>
  <c r="G25" i="13"/>
  <c r="N25" i="13" s="1"/>
  <c r="T26" i="1" s="1"/>
  <c r="H25" i="13"/>
  <c r="N26" i="1" s="1"/>
  <c r="G26" i="13"/>
  <c r="M27" i="1" s="1"/>
  <c r="H26" i="13"/>
  <c r="N27" i="1" s="1"/>
  <c r="G27" i="13"/>
  <c r="N27" i="13" s="1"/>
  <c r="T28" i="1" s="1"/>
  <c r="H27" i="13"/>
  <c r="G28" i="13"/>
  <c r="M29" i="1" s="1"/>
  <c r="H28" i="13"/>
  <c r="N29" i="1" s="1"/>
  <c r="G29" i="13"/>
  <c r="H29" i="13"/>
  <c r="N30" i="1" s="1"/>
  <c r="G30" i="13"/>
  <c r="M31" i="1" s="1"/>
  <c r="H30" i="13"/>
  <c r="N31" i="1" s="1"/>
  <c r="N30" i="13"/>
  <c r="T31" i="1" s="1"/>
  <c r="G31" i="13"/>
  <c r="M32" i="1" s="1"/>
  <c r="H31" i="13"/>
  <c r="N31" i="13"/>
  <c r="T32" i="1" s="1"/>
  <c r="G32" i="13"/>
  <c r="M33" i="1" s="1"/>
  <c r="H32" i="13"/>
  <c r="N33" i="1" s="1"/>
  <c r="G33" i="13"/>
  <c r="H33" i="13"/>
  <c r="N33" i="13"/>
  <c r="G34" i="13"/>
  <c r="H34" i="13"/>
  <c r="N34" i="13"/>
  <c r="T34" i="1" s="1"/>
  <c r="G35" i="13"/>
  <c r="N35" i="13" s="1"/>
  <c r="T35" i="1" s="1"/>
  <c r="H35" i="13"/>
  <c r="G36" i="13"/>
  <c r="N36" i="13" s="1"/>
  <c r="T36" i="1" s="1"/>
  <c r="H36" i="13"/>
  <c r="N36" i="1" s="1"/>
  <c r="G37" i="13"/>
  <c r="M37" i="1" s="1"/>
  <c r="H37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H23" i="13"/>
  <c r="N24" i="1" s="1"/>
  <c r="G23" i="13"/>
  <c r="O22" i="13"/>
  <c r="H22" i="13"/>
  <c r="N23" i="1" s="1"/>
  <c r="G22" i="13"/>
  <c r="M23" i="1" s="1"/>
  <c r="O21" i="13"/>
  <c r="H21" i="13"/>
  <c r="N22" i="1" s="1"/>
  <c r="G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3" i="1"/>
  <c r="M2" i="2"/>
  <c r="U3" i="1" s="1"/>
  <c r="R2" i="2"/>
  <c r="S2" i="2"/>
  <c r="O2" i="2"/>
  <c r="W3" i="1" s="1"/>
  <c r="U2" i="2"/>
  <c r="Y3" i="1" s="1"/>
  <c r="M3" i="2"/>
  <c r="U4" i="1" s="1"/>
  <c r="U3" i="2"/>
  <c r="Y4" i="1" s="1"/>
  <c r="M4" i="2"/>
  <c r="U5" i="1" s="1"/>
  <c r="R4" i="2"/>
  <c r="S4" i="2"/>
  <c r="O4" i="2"/>
  <c r="W5" i="1" s="1"/>
  <c r="U4" i="2"/>
  <c r="Y5" i="1" s="1"/>
  <c r="M5" i="2"/>
  <c r="U6" i="1" s="1"/>
  <c r="R5" i="2"/>
  <c r="S5" i="2"/>
  <c r="O5" i="2"/>
  <c r="W6" i="1" s="1"/>
  <c r="U5" i="2"/>
  <c r="Y6" i="1" s="1"/>
  <c r="M6" i="2"/>
  <c r="U7" i="1" s="1"/>
  <c r="R6" i="2"/>
  <c r="S6" i="2"/>
  <c r="O6" i="2"/>
  <c r="W7" i="1" s="1"/>
  <c r="U6" i="2"/>
  <c r="Y7" i="1" s="1"/>
  <c r="M7" i="2"/>
  <c r="R7" i="2"/>
  <c r="S7" i="2"/>
  <c r="O7" i="2"/>
  <c r="U7" i="2"/>
  <c r="M8" i="2"/>
  <c r="R8" i="2"/>
  <c r="S8" i="2"/>
  <c r="O8" i="2"/>
  <c r="U8" i="2"/>
  <c r="M9" i="2"/>
  <c r="R9" i="2"/>
  <c r="S9" i="2"/>
  <c r="O9" i="2"/>
  <c r="U9" i="2"/>
  <c r="M10" i="2"/>
  <c r="R10" i="2"/>
  <c r="S10" i="2"/>
  <c r="O10" i="2"/>
  <c r="U10" i="2"/>
  <c r="M11" i="2"/>
  <c r="U12" i="1" s="1"/>
  <c r="R11" i="2"/>
  <c r="S11" i="2"/>
  <c r="O11" i="2"/>
  <c r="W12" i="1" s="1"/>
  <c r="U11" i="2"/>
  <c r="Y12" i="1" s="1"/>
  <c r="M12" i="2"/>
  <c r="U13" i="1" s="1"/>
  <c r="R12" i="2"/>
  <c r="S12" i="2"/>
  <c r="O12" i="2"/>
  <c r="W13" i="1" s="1"/>
  <c r="U12" i="2"/>
  <c r="Y13" i="1" s="1"/>
  <c r="M13" i="2"/>
  <c r="U14" i="1" s="1"/>
  <c r="R13" i="2"/>
  <c r="S13" i="2"/>
  <c r="O13" i="2"/>
  <c r="W14" i="1" s="1"/>
  <c r="U13" i="2"/>
  <c r="Y14" i="1" s="1"/>
  <c r="M14" i="2"/>
  <c r="U15" i="1" s="1"/>
  <c r="R14" i="2"/>
  <c r="S14" i="2"/>
  <c r="O14" i="2"/>
  <c r="W15" i="1" s="1"/>
  <c r="U14" i="2"/>
  <c r="Y15" i="1" s="1"/>
  <c r="M15" i="2"/>
  <c r="U16" i="1" s="1"/>
  <c r="R15" i="2"/>
  <c r="S15" i="2"/>
  <c r="O15" i="2"/>
  <c r="W16" i="1" s="1"/>
  <c r="U15" i="2"/>
  <c r="Y16" i="1" s="1"/>
  <c r="M16" i="2"/>
  <c r="U17" i="1" s="1"/>
  <c r="R16" i="2"/>
  <c r="S16" i="2"/>
  <c r="O16" i="2"/>
  <c r="W17" i="1" s="1"/>
  <c r="U16" i="2"/>
  <c r="Y17" i="1" s="1"/>
  <c r="M17" i="2"/>
  <c r="U18" i="1" s="1"/>
  <c r="R17" i="2"/>
  <c r="S17" i="2"/>
  <c r="O17" i="2"/>
  <c r="W18" i="1" s="1"/>
  <c r="U17" i="2"/>
  <c r="Y18" i="1" s="1"/>
  <c r="M18" i="2"/>
  <c r="U19" i="1" s="1"/>
  <c r="R18" i="2"/>
  <c r="S18" i="2"/>
  <c r="O18" i="2"/>
  <c r="W19" i="1" s="1"/>
  <c r="U18" i="2"/>
  <c r="Y19" i="1" s="1"/>
  <c r="M19" i="2"/>
  <c r="U20" i="1" s="1"/>
  <c r="R19" i="2"/>
  <c r="S19" i="2"/>
  <c r="O19" i="2"/>
  <c r="W20" i="1" s="1"/>
  <c r="U19" i="2"/>
  <c r="Y20" i="1" s="1"/>
  <c r="M20" i="2"/>
  <c r="U21" i="1" s="1"/>
  <c r="R20" i="2"/>
  <c r="S20" i="2"/>
  <c r="O20" i="2"/>
  <c r="W21" i="1" s="1"/>
  <c r="U20" i="2"/>
  <c r="Y21" i="1" s="1"/>
  <c r="Z2" i="2"/>
  <c r="Z3" i="2"/>
  <c r="Z4" i="2"/>
  <c r="Z5" i="2"/>
  <c r="L2" i="2"/>
  <c r="N2" i="2"/>
  <c r="P2" i="2"/>
  <c r="Q2" i="2"/>
  <c r="L3" i="2"/>
  <c r="N3" i="2"/>
  <c r="P3" i="2"/>
  <c r="Q3" i="2"/>
  <c r="L4" i="2"/>
  <c r="N4" i="2"/>
  <c r="P4" i="2"/>
  <c r="Q4" i="2"/>
  <c r="L5" i="2"/>
  <c r="N5" i="2"/>
  <c r="P5" i="2"/>
  <c r="Q5" i="2"/>
  <c r="L6" i="2"/>
  <c r="N6" i="2"/>
  <c r="P6" i="2"/>
  <c r="Q6" i="2"/>
  <c r="L7" i="2"/>
  <c r="N7" i="2"/>
  <c r="P7" i="2"/>
  <c r="Q7" i="2"/>
  <c r="L8" i="2"/>
  <c r="N8" i="2"/>
  <c r="P8" i="2"/>
  <c r="Q8" i="2"/>
  <c r="L9" i="2"/>
  <c r="N9" i="2"/>
  <c r="P9" i="2"/>
  <c r="Q9" i="2"/>
  <c r="L10" i="2"/>
  <c r="N10" i="2"/>
  <c r="P10" i="2"/>
  <c r="Q10" i="2"/>
  <c r="L11" i="2"/>
  <c r="N11" i="2"/>
  <c r="P11" i="2"/>
  <c r="Q11" i="2"/>
  <c r="L12" i="2"/>
  <c r="N12" i="2"/>
  <c r="P12" i="2"/>
  <c r="Q12" i="2"/>
  <c r="L13" i="2"/>
  <c r="N13" i="2"/>
  <c r="P13" i="2"/>
  <c r="Q13" i="2"/>
  <c r="L14" i="2"/>
  <c r="N14" i="2"/>
  <c r="P14" i="2"/>
  <c r="Q14" i="2"/>
  <c r="L15" i="2"/>
  <c r="N15" i="2"/>
  <c r="P15" i="2"/>
  <c r="Q15" i="2"/>
  <c r="L16" i="2"/>
  <c r="N16" i="2"/>
  <c r="P16" i="2"/>
  <c r="Q16" i="2"/>
  <c r="L17" i="2"/>
  <c r="N17" i="2"/>
  <c r="P17" i="2"/>
  <c r="Q17" i="2"/>
  <c r="L18" i="2"/>
  <c r="N18" i="2"/>
  <c r="P18" i="2"/>
  <c r="Q18" i="2"/>
  <c r="L19" i="2"/>
  <c r="N19" i="2"/>
  <c r="P19" i="2"/>
  <c r="Q19" i="2"/>
  <c r="L20" i="2"/>
  <c r="N20" i="2"/>
  <c r="P20" i="2"/>
  <c r="Q20" i="2"/>
  <c r="L21" i="2"/>
  <c r="N21" i="2"/>
  <c r="P21" i="2"/>
  <c r="Q21" i="2"/>
  <c r="L22" i="2"/>
  <c r="N22" i="2"/>
  <c r="P22" i="2"/>
  <c r="Q22" i="2"/>
  <c r="L23" i="2"/>
  <c r="N23" i="2"/>
  <c r="P23" i="2"/>
  <c r="Q23" i="2"/>
  <c r="L24" i="2"/>
  <c r="N24" i="2"/>
  <c r="P24" i="2"/>
  <c r="Q24" i="2"/>
  <c r="L25" i="2"/>
  <c r="N25" i="2"/>
  <c r="P25" i="2"/>
  <c r="Q25" i="2"/>
  <c r="L26" i="2"/>
  <c r="N26" i="2"/>
  <c r="P26" i="2"/>
  <c r="Q26" i="2"/>
  <c r="L27" i="2"/>
  <c r="N27" i="2"/>
  <c r="P27" i="2"/>
  <c r="Q27" i="2"/>
  <c r="L28" i="2"/>
  <c r="N28" i="2"/>
  <c r="P28" i="2"/>
  <c r="Q28" i="2"/>
  <c r="L29" i="2"/>
  <c r="N29" i="2"/>
  <c r="P29" i="2"/>
  <c r="Q29" i="2"/>
  <c r="L30" i="2"/>
  <c r="N30" i="2"/>
  <c r="P30" i="2"/>
  <c r="Q30" i="2"/>
  <c r="L31" i="2"/>
  <c r="N31" i="2"/>
  <c r="P31" i="2"/>
  <c r="Q31" i="2"/>
  <c r="L32" i="2"/>
  <c r="N32" i="2"/>
  <c r="P32" i="2"/>
  <c r="Q32" i="2"/>
  <c r="L33" i="2"/>
  <c r="N33" i="2"/>
  <c r="P33" i="2"/>
  <c r="Q33" i="2"/>
  <c r="L34" i="2"/>
  <c r="N34" i="2"/>
  <c r="P34" i="2"/>
  <c r="Q34" i="2"/>
  <c r="L35" i="2"/>
  <c r="N35" i="2"/>
  <c r="P35" i="2"/>
  <c r="Q35" i="2"/>
  <c r="L36" i="2"/>
  <c r="N36" i="2"/>
  <c r="P36" i="2"/>
  <c r="Q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O3" i="2"/>
  <c r="R3" i="2"/>
  <c r="S3" i="2"/>
  <c r="M21" i="2"/>
  <c r="O21" i="2"/>
  <c r="R21" i="2"/>
  <c r="S21" i="2"/>
  <c r="M22" i="2"/>
  <c r="O22" i="2"/>
  <c r="R22" i="2"/>
  <c r="S22" i="2"/>
  <c r="M23" i="2"/>
  <c r="O23" i="2"/>
  <c r="R23" i="2"/>
  <c r="S23" i="2"/>
  <c r="M24" i="2"/>
  <c r="O24" i="2"/>
  <c r="R24" i="2"/>
  <c r="S24" i="2"/>
  <c r="M25" i="2"/>
  <c r="O25" i="2"/>
  <c r="R25" i="2"/>
  <c r="S25" i="2"/>
  <c r="M26" i="2"/>
  <c r="O26" i="2"/>
  <c r="R26" i="2"/>
  <c r="S26" i="2"/>
  <c r="M27" i="2"/>
  <c r="O27" i="2"/>
  <c r="R27" i="2"/>
  <c r="S27" i="2"/>
  <c r="M28" i="2"/>
  <c r="O28" i="2"/>
  <c r="R28" i="2"/>
  <c r="S28" i="2"/>
  <c r="M29" i="2"/>
  <c r="O29" i="2"/>
  <c r="R29" i="2"/>
  <c r="S29" i="2"/>
  <c r="M30" i="2"/>
  <c r="O30" i="2"/>
  <c r="R30" i="2"/>
  <c r="S30" i="2"/>
  <c r="M31" i="2"/>
  <c r="O31" i="2"/>
  <c r="R31" i="2"/>
  <c r="S31" i="2"/>
  <c r="M32" i="2"/>
  <c r="O32" i="2"/>
  <c r="R32" i="2"/>
  <c r="S32" i="2"/>
  <c r="M33" i="2"/>
  <c r="O33" i="2"/>
  <c r="R33" i="2"/>
  <c r="S33" i="2"/>
  <c r="M34" i="2"/>
  <c r="O34" i="2"/>
  <c r="R34" i="2"/>
  <c r="S34" i="2"/>
  <c r="M35" i="2"/>
  <c r="O35" i="2"/>
  <c r="R35" i="2"/>
  <c r="S35" i="2"/>
  <c r="M36" i="2"/>
  <c r="O36" i="2"/>
  <c r="R36" i="2"/>
  <c r="S36" i="2"/>
  <c r="W37" i="2"/>
  <c r="W38" i="2"/>
  <c r="W39" i="2"/>
  <c r="W40" i="2"/>
  <c r="W41" i="2"/>
  <c r="W42" i="2"/>
  <c r="W43" i="2"/>
  <c r="W44" i="2"/>
  <c r="W45" i="2"/>
  <c r="W46" i="2"/>
  <c r="M47" i="2"/>
  <c r="O47" i="2"/>
  <c r="R47" i="2"/>
  <c r="S47" i="2"/>
  <c r="M48" i="2"/>
  <c r="O48" i="2"/>
  <c r="R48" i="2"/>
  <c r="S48" i="2"/>
  <c r="M49" i="2"/>
  <c r="O49" i="2"/>
  <c r="R49" i="2"/>
  <c r="S49" i="2"/>
  <c r="M50" i="2"/>
  <c r="O50" i="2"/>
  <c r="R50" i="2"/>
  <c r="S50" i="2"/>
  <c r="T11" i="2"/>
  <c r="T12" i="2"/>
  <c r="T13" i="2"/>
  <c r="T14" i="2"/>
  <c r="T2" i="2"/>
  <c r="T3" i="2"/>
  <c r="T4" i="2"/>
  <c r="T5" i="2"/>
  <c r="T6" i="2"/>
  <c r="T7" i="2"/>
  <c r="T8" i="2"/>
  <c r="T9" i="2"/>
  <c r="T10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U34" i="2"/>
  <c r="U35" i="2"/>
  <c r="U36" i="2"/>
  <c r="B25" i="12"/>
  <c r="C20" i="12"/>
  <c r="C16" i="12" s="1"/>
  <c r="C21" i="12"/>
  <c r="C17" i="12" s="1"/>
  <c r="C22" i="12"/>
  <c r="C18" i="12" s="1"/>
  <c r="C23" i="12"/>
  <c r="C19" i="12" s="1"/>
  <c r="C25" i="12"/>
  <c r="C11" i="12"/>
  <c r="C12" i="12"/>
  <c r="C13" i="12"/>
  <c r="C14" i="12"/>
  <c r="C2" i="12"/>
  <c r="C3" i="12"/>
  <c r="C4" i="12"/>
  <c r="C5" i="12"/>
  <c r="C6" i="12"/>
  <c r="C7" i="1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47" i="2"/>
  <c r="Y47" i="2" s="1"/>
  <c r="U48" i="2"/>
  <c r="Y48" i="2" s="1"/>
  <c r="U49" i="2"/>
  <c r="Y49" i="2" s="1"/>
  <c r="U50" i="2"/>
  <c r="Y50" i="2" s="1"/>
  <c r="BC13" i="11"/>
  <c r="N3" i="11"/>
  <c r="AS3" i="11" s="1"/>
  <c r="AX3" i="11" s="1"/>
  <c r="S3" i="11"/>
  <c r="X3" i="11"/>
  <c r="AC3" i="11"/>
  <c r="AF3" i="11"/>
  <c r="P3" i="11"/>
  <c r="U3" i="11"/>
  <c r="Z3" i="11"/>
  <c r="AT3" i="11"/>
  <c r="AI3" i="11"/>
  <c r="AU3" i="11" s="1"/>
  <c r="AK3" i="11"/>
  <c r="AV3" i="11" s="1"/>
  <c r="AW3" i="11" s="1"/>
  <c r="N4" i="11"/>
  <c r="S4" i="11"/>
  <c r="X4" i="11"/>
  <c r="AS4" i="11" s="1"/>
  <c r="AX4" i="11" s="1"/>
  <c r="AF4" i="11"/>
  <c r="P4" i="11"/>
  <c r="U4" i="11"/>
  <c r="Z4" i="11"/>
  <c r="AT4" i="11"/>
  <c r="AI4" i="11"/>
  <c r="AU4" i="11" s="1"/>
  <c r="AZ4" i="11" s="1"/>
  <c r="AK4" i="11"/>
  <c r="AV4" i="11" s="1"/>
  <c r="N5" i="11"/>
  <c r="S5" i="11"/>
  <c r="X5" i="11"/>
  <c r="AS5" i="11" s="1"/>
  <c r="AX5" i="11" s="1"/>
  <c r="BC5" i="11" s="1"/>
  <c r="AF5" i="11"/>
  <c r="P5" i="11"/>
  <c r="U5" i="11"/>
  <c r="Z5" i="11"/>
  <c r="AT5" i="11"/>
  <c r="AI5" i="11"/>
  <c r="AU5" i="11" s="1"/>
  <c r="AZ5" i="11" s="1"/>
  <c r="AK5" i="11"/>
  <c r="AV5" i="11" s="1"/>
  <c r="N6" i="11"/>
  <c r="S6" i="11"/>
  <c r="X6" i="11"/>
  <c r="AS6" i="11" s="1"/>
  <c r="AX6" i="11" s="1"/>
  <c r="AF6" i="11"/>
  <c r="P6" i="11"/>
  <c r="U6" i="11"/>
  <c r="Z6" i="11"/>
  <c r="AT6" i="11"/>
  <c r="AI6" i="11"/>
  <c r="AU6" i="11" s="1"/>
  <c r="AZ6" i="11" s="1"/>
  <c r="AK6" i="11"/>
  <c r="AV6" i="11" s="1"/>
  <c r="N7" i="11"/>
  <c r="S7" i="11"/>
  <c r="X7" i="11"/>
  <c r="AS7" i="11" s="1"/>
  <c r="AX7" i="11" s="1"/>
  <c r="AF7" i="11"/>
  <c r="P7" i="11"/>
  <c r="U7" i="11"/>
  <c r="Z7" i="11"/>
  <c r="AT7" i="11"/>
  <c r="AI7" i="11"/>
  <c r="AU7" i="11" s="1"/>
  <c r="AK7" i="11"/>
  <c r="AV7" i="11" s="1"/>
  <c r="N8" i="11"/>
  <c r="S8" i="11"/>
  <c r="X8" i="11"/>
  <c r="AS8" i="11" s="1"/>
  <c r="AX8" i="11" s="1"/>
  <c r="AF8" i="11"/>
  <c r="P8" i="11"/>
  <c r="U8" i="11"/>
  <c r="Z8" i="11"/>
  <c r="AT8" i="11"/>
  <c r="AI8" i="11"/>
  <c r="AU8" i="11" s="1"/>
  <c r="AZ8" i="11" s="1"/>
  <c r="AK8" i="11"/>
  <c r="AV8" i="11" s="1"/>
  <c r="N9" i="11"/>
  <c r="S9" i="11"/>
  <c r="X9" i="11"/>
  <c r="AS9" i="11" s="1"/>
  <c r="AX9" i="11" s="1"/>
  <c r="AF9" i="11"/>
  <c r="P9" i="11"/>
  <c r="U9" i="11"/>
  <c r="Z9" i="11"/>
  <c r="AT9" i="11"/>
  <c r="AI9" i="11"/>
  <c r="AU9" i="11" s="1"/>
  <c r="AZ9" i="11" s="1"/>
  <c r="AK9" i="11"/>
  <c r="AV9" i="11" s="1"/>
  <c r="N10" i="11"/>
  <c r="S10" i="11"/>
  <c r="X10" i="11"/>
  <c r="AS10" i="11" s="1"/>
  <c r="AX10" i="11" s="1"/>
  <c r="AF10" i="11"/>
  <c r="P10" i="11"/>
  <c r="U10" i="11"/>
  <c r="Z10" i="11"/>
  <c r="AT10" i="11"/>
  <c r="AI10" i="11"/>
  <c r="AU10" i="11" s="1"/>
  <c r="AK10" i="11"/>
  <c r="AV10" i="11" s="1"/>
  <c r="N11" i="11"/>
  <c r="S11" i="11"/>
  <c r="X11" i="11"/>
  <c r="AS11" i="11" s="1"/>
  <c r="AX11" i="11" s="1"/>
  <c r="AF11" i="11"/>
  <c r="P11" i="11"/>
  <c r="U11" i="11"/>
  <c r="Z11" i="11"/>
  <c r="AT11" i="11"/>
  <c r="AI11" i="11"/>
  <c r="AU11" i="11" s="1"/>
  <c r="AK11" i="11"/>
  <c r="AV11" i="11" s="1"/>
  <c r="AW11" i="11" s="1"/>
  <c r="N12" i="11"/>
  <c r="S12" i="11"/>
  <c r="X12" i="11"/>
  <c r="AS12" i="11" s="1"/>
  <c r="AX12" i="11" s="1"/>
  <c r="AF12" i="11"/>
  <c r="P12" i="11"/>
  <c r="U12" i="11"/>
  <c r="Z12" i="11"/>
  <c r="AT12" i="11"/>
  <c r="AI12" i="11"/>
  <c r="AU12" i="11" s="1"/>
  <c r="AZ12" i="11" s="1"/>
  <c r="AK12" i="11"/>
  <c r="AV12" i="11" s="1"/>
  <c r="B4" i="12"/>
  <c r="B6" i="12"/>
  <c r="Y37" i="2"/>
  <c r="Y38" i="2"/>
  <c r="Y39" i="2"/>
  <c r="Y40" i="2"/>
  <c r="Y41" i="2"/>
  <c r="Y42" i="2"/>
  <c r="Y43" i="2"/>
  <c r="Y44" i="2"/>
  <c r="Y45" i="2"/>
  <c r="Y46" i="2"/>
  <c r="X37" i="2"/>
  <c r="X38" i="2"/>
  <c r="X39" i="2"/>
  <c r="X40" i="2"/>
  <c r="X41" i="2"/>
  <c r="X42" i="2"/>
  <c r="X43" i="2"/>
  <c r="X44" i="2"/>
  <c r="X45" i="2"/>
  <c r="X46" i="2"/>
  <c r="AL4" i="1"/>
  <c r="AM4" i="1"/>
  <c r="AN4" i="1"/>
  <c r="AO4" i="1"/>
  <c r="AL5" i="1"/>
  <c r="AM5" i="1"/>
  <c r="AN5" i="1"/>
  <c r="AO5" i="1"/>
  <c r="AL6" i="1"/>
  <c r="AM6" i="1"/>
  <c r="AN6" i="1"/>
  <c r="AO6" i="1"/>
  <c r="AL7" i="1"/>
  <c r="AM7" i="1"/>
  <c r="AN7" i="1"/>
  <c r="AO7" i="1"/>
  <c r="AL8" i="1"/>
  <c r="AM8" i="1"/>
  <c r="AN8" i="1"/>
  <c r="AO8" i="1"/>
  <c r="AL9" i="1"/>
  <c r="AM9" i="1"/>
  <c r="AN9" i="1"/>
  <c r="AO9" i="1"/>
  <c r="AL10" i="1"/>
  <c r="AM10" i="1"/>
  <c r="AN10" i="1"/>
  <c r="AO10" i="1"/>
  <c r="AL11" i="1"/>
  <c r="AM11" i="1"/>
  <c r="AN11" i="1"/>
  <c r="AO11" i="1"/>
  <c r="AL12" i="1"/>
  <c r="AM12" i="1"/>
  <c r="AN12" i="1"/>
  <c r="AO12" i="1"/>
  <c r="AL13" i="1"/>
  <c r="AM13" i="1"/>
  <c r="AN13" i="1"/>
  <c r="AO13" i="1"/>
  <c r="AL14" i="1"/>
  <c r="AM14" i="1"/>
  <c r="AN14" i="1"/>
  <c r="AO14" i="1"/>
  <c r="AL15" i="1"/>
  <c r="AM15" i="1"/>
  <c r="AN15" i="1"/>
  <c r="AO15" i="1"/>
  <c r="AL16" i="1"/>
  <c r="AM16" i="1"/>
  <c r="AN16" i="1"/>
  <c r="AO16" i="1"/>
  <c r="AL17" i="1"/>
  <c r="AM17" i="1"/>
  <c r="AN17" i="1"/>
  <c r="AO17" i="1"/>
  <c r="AL18" i="1"/>
  <c r="AM18" i="1"/>
  <c r="AN18" i="1"/>
  <c r="AO18" i="1"/>
  <c r="AL19" i="1"/>
  <c r="AM19" i="1"/>
  <c r="AN19" i="1"/>
  <c r="AO19" i="1"/>
  <c r="AL20" i="1"/>
  <c r="AM20" i="1"/>
  <c r="AN20" i="1"/>
  <c r="AO20" i="1"/>
  <c r="AL21" i="1"/>
  <c r="AM21" i="1"/>
  <c r="AN21" i="1"/>
  <c r="AO21" i="1"/>
  <c r="AO3" i="1"/>
  <c r="AN3" i="1"/>
  <c r="AM3" i="1"/>
  <c r="AL3" i="1"/>
  <c r="AE4" i="1"/>
  <c r="AF4" i="1"/>
  <c r="AG4" i="1"/>
  <c r="AH4" i="1"/>
  <c r="AI4" i="1"/>
  <c r="AE5" i="1"/>
  <c r="AF5" i="1"/>
  <c r="AG5" i="1"/>
  <c r="AH5" i="1"/>
  <c r="AI5" i="1"/>
  <c r="AE6" i="1"/>
  <c r="AF6" i="1"/>
  <c r="AG6" i="1"/>
  <c r="AH6" i="1"/>
  <c r="AI6" i="1"/>
  <c r="AE7" i="1"/>
  <c r="AF7" i="1"/>
  <c r="AG7" i="1"/>
  <c r="AH7" i="1"/>
  <c r="AI7" i="1"/>
  <c r="AE8" i="1"/>
  <c r="AF8" i="1"/>
  <c r="AG8" i="1"/>
  <c r="AH8" i="1"/>
  <c r="AI8" i="1"/>
  <c r="AE9" i="1"/>
  <c r="AF9" i="1"/>
  <c r="AG9" i="1"/>
  <c r="AH9" i="1"/>
  <c r="AI9" i="1"/>
  <c r="AE10" i="1"/>
  <c r="AF10" i="1"/>
  <c r="AG10" i="1"/>
  <c r="AH10" i="1"/>
  <c r="AI10" i="1"/>
  <c r="AE11" i="1"/>
  <c r="AF11" i="1"/>
  <c r="AG11" i="1"/>
  <c r="AH11" i="1"/>
  <c r="AI11" i="1"/>
  <c r="AE12" i="1"/>
  <c r="AF12" i="1"/>
  <c r="AG12" i="1"/>
  <c r="AH12" i="1"/>
  <c r="AI12" i="1"/>
  <c r="AE13" i="1"/>
  <c r="AF13" i="1"/>
  <c r="AG13" i="1"/>
  <c r="AH13" i="1"/>
  <c r="AI13" i="1"/>
  <c r="AE14" i="1"/>
  <c r="AF14" i="1"/>
  <c r="AG14" i="1"/>
  <c r="AH14" i="1"/>
  <c r="AI14" i="1"/>
  <c r="AE15" i="1"/>
  <c r="AF15" i="1"/>
  <c r="AG15" i="1"/>
  <c r="AH15" i="1"/>
  <c r="AI15" i="1"/>
  <c r="AE16" i="1"/>
  <c r="AF16" i="1"/>
  <c r="AG16" i="1"/>
  <c r="AH16" i="1"/>
  <c r="AI16" i="1"/>
  <c r="AE17" i="1"/>
  <c r="AF17" i="1"/>
  <c r="AG17" i="1"/>
  <c r="AH17" i="1"/>
  <c r="AI17" i="1"/>
  <c r="AE18" i="1"/>
  <c r="AF18" i="1"/>
  <c r="AG18" i="1"/>
  <c r="AH18" i="1"/>
  <c r="AI18" i="1"/>
  <c r="AE19" i="1"/>
  <c r="AF19" i="1"/>
  <c r="AG19" i="1"/>
  <c r="AH19" i="1"/>
  <c r="AI19" i="1"/>
  <c r="AE20" i="1"/>
  <c r="AF20" i="1"/>
  <c r="AG20" i="1"/>
  <c r="AH20" i="1"/>
  <c r="AI20" i="1"/>
  <c r="AE21" i="1"/>
  <c r="AF21" i="1"/>
  <c r="AG21" i="1"/>
  <c r="AH21" i="1"/>
  <c r="AI21" i="1"/>
  <c r="AB4" i="1"/>
  <c r="AC4" i="1"/>
  <c r="AD4" i="1"/>
  <c r="AB5" i="1"/>
  <c r="AC5" i="1"/>
  <c r="AD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20" i="1"/>
  <c r="AC20" i="1"/>
  <c r="AD20" i="1"/>
  <c r="AB21" i="1"/>
  <c r="AC21" i="1"/>
  <c r="AD21" i="1"/>
  <c r="AF3" i="1"/>
  <c r="AG3" i="1"/>
  <c r="AH3" i="1"/>
  <c r="AI3" i="1"/>
  <c r="AE3" i="1"/>
  <c r="AC3" i="1"/>
  <c r="AD3" i="1"/>
  <c r="AB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F4" i="1"/>
  <c r="E4" i="1"/>
  <c r="BA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" i="1"/>
  <c r="E3" i="1"/>
  <c r="AZ3" i="11" l="1"/>
  <c r="AW6" i="11"/>
  <c r="T3" i="1"/>
  <c r="AW9" i="11"/>
  <c r="AZ11" i="11"/>
  <c r="BC8" i="11"/>
  <c r="AW12" i="11"/>
  <c r="AW4" i="11"/>
  <c r="AW7" i="11"/>
  <c r="AZ7" i="11"/>
  <c r="BC6" i="11"/>
  <c r="BC7" i="11"/>
  <c r="BC3" i="11"/>
  <c r="AZ10" i="11"/>
  <c r="BC10" i="11" s="1"/>
  <c r="AW10" i="11"/>
  <c r="BC9" i="11"/>
  <c r="AW5" i="11"/>
  <c r="BC12" i="11"/>
  <c r="BC4" i="11"/>
  <c r="BC11" i="11"/>
  <c r="AW8" i="11"/>
  <c r="N29" i="13"/>
  <c r="T30" i="1" s="1"/>
  <c r="N16" i="13"/>
  <c r="T17" i="1" s="1"/>
  <c r="N5" i="13"/>
  <c r="T6" i="1" s="1"/>
  <c r="N20" i="1"/>
  <c r="M36" i="1"/>
  <c r="M26" i="1"/>
  <c r="N28" i="13"/>
  <c r="T29" i="1" s="1"/>
  <c r="N4" i="13"/>
  <c r="T5" i="1" s="1"/>
  <c r="N14" i="13"/>
  <c r="T15" i="1" s="1"/>
  <c r="N12" i="13"/>
  <c r="T13" i="1" s="1"/>
  <c r="N32" i="13"/>
  <c r="T33" i="1" s="1"/>
  <c r="N8" i="13"/>
  <c r="T9" i="1" s="1"/>
  <c r="N37" i="13"/>
  <c r="T37" i="1" s="1"/>
  <c r="N26" i="13"/>
  <c r="T27" i="1" s="1"/>
  <c r="M35" i="1"/>
  <c r="M25" i="1"/>
  <c r="AK21" i="1"/>
  <c r="AK19" i="1"/>
  <c r="AK17" i="1"/>
  <c r="AK15" i="1"/>
  <c r="AK13" i="1"/>
  <c r="AK11" i="1"/>
  <c r="AK9" i="1"/>
  <c r="AK7" i="1"/>
  <c r="AK5" i="1"/>
  <c r="AC34" i="1"/>
  <c r="AG34" i="1"/>
  <c r="AM34" i="1"/>
  <c r="AE34" i="1"/>
  <c r="AI34" i="1"/>
  <c r="AO34" i="1"/>
  <c r="AB34" i="1"/>
  <c r="AF34" i="1"/>
  <c r="AL34" i="1"/>
  <c r="AD34" i="1"/>
  <c r="AH34" i="1"/>
  <c r="AN34" i="1"/>
  <c r="AC24" i="1"/>
  <c r="AG24" i="1"/>
  <c r="AM24" i="1"/>
  <c r="AD24" i="1"/>
  <c r="AH24" i="1"/>
  <c r="AN24" i="1"/>
  <c r="AE24" i="1"/>
  <c r="AI24" i="1"/>
  <c r="AO24" i="1"/>
  <c r="AB24" i="1"/>
  <c r="AF24" i="1"/>
  <c r="AL24" i="1"/>
  <c r="AK18" i="1"/>
  <c r="AK14" i="1"/>
  <c r="AC36" i="1"/>
  <c r="AG36" i="1"/>
  <c r="AM36" i="1"/>
  <c r="AE36" i="1"/>
  <c r="AI36" i="1"/>
  <c r="AO36" i="1"/>
  <c r="AB36" i="1"/>
  <c r="AF36" i="1"/>
  <c r="AL36" i="1"/>
  <c r="AN36" i="1"/>
  <c r="AD36" i="1"/>
  <c r="AH36" i="1"/>
  <c r="AC32" i="1"/>
  <c r="AG32" i="1"/>
  <c r="AM32" i="1"/>
  <c r="AE32" i="1"/>
  <c r="AI32" i="1"/>
  <c r="AO32" i="1"/>
  <c r="AB32" i="1"/>
  <c r="AF32" i="1"/>
  <c r="AL32" i="1"/>
  <c r="AN32" i="1"/>
  <c r="AD32" i="1"/>
  <c r="AH32" i="1"/>
  <c r="AC30" i="1"/>
  <c r="AG30" i="1"/>
  <c r="AM30" i="1"/>
  <c r="AE30" i="1"/>
  <c r="AI30" i="1"/>
  <c r="AO30" i="1"/>
  <c r="AB30" i="1"/>
  <c r="AF30" i="1"/>
  <c r="AL30" i="1"/>
  <c r="AD30" i="1"/>
  <c r="AH30" i="1"/>
  <c r="AN30" i="1"/>
  <c r="AC28" i="1"/>
  <c r="AG28" i="1"/>
  <c r="AM28" i="1"/>
  <c r="AE28" i="1"/>
  <c r="AI28" i="1"/>
  <c r="AO28" i="1"/>
  <c r="AB28" i="1"/>
  <c r="AF28" i="1"/>
  <c r="AL28" i="1"/>
  <c r="AN28" i="1"/>
  <c r="AD28" i="1"/>
  <c r="AH28" i="1"/>
  <c r="AC26" i="1"/>
  <c r="AG26" i="1"/>
  <c r="AM26" i="1"/>
  <c r="AE26" i="1"/>
  <c r="AI26" i="1"/>
  <c r="AO26" i="1"/>
  <c r="AB26" i="1"/>
  <c r="AF26" i="1"/>
  <c r="AL26" i="1"/>
  <c r="AD26" i="1"/>
  <c r="AH26" i="1"/>
  <c r="AN26" i="1"/>
  <c r="AC22" i="1"/>
  <c r="AG22" i="1"/>
  <c r="AM22" i="1"/>
  <c r="AD22" i="1"/>
  <c r="AH22" i="1"/>
  <c r="AN22" i="1"/>
  <c r="AE22" i="1"/>
  <c r="AI22" i="1"/>
  <c r="AO22" i="1"/>
  <c r="AB22" i="1"/>
  <c r="AF22" i="1"/>
  <c r="AL22" i="1"/>
  <c r="AC37" i="1"/>
  <c r="AG37" i="1"/>
  <c r="AM37" i="1"/>
  <c r="AE37" i="1"/>
  <c r="AI37" i="1"/>
  <c r="AO37" i="1"/>
  <c r="AB37" i="1"/>
  <c r="AF37" i="1"/>
  <c r="AL37" i="1"/>
  <c r="AD37" i="1"/>
  <c r="AH37" i="1"/>
  <c r="AN37" i="1"/>
  <c r="AC35" i="1"/>
  <c r="AG35" i="1"/>
  <c r="AM35" i="1"/>
  <c r="AE35" i="1"/>
  <c r="AI35" i="1"/>
  <c r="AO35" i="1"/>
  <c r="AB35" i="1"/>
  <c r="AF35" i="1"/>
  <c r="AL35" i="1"/>
  <c r="AH35" i="1"/>
  <c r="AN35" i="1"/>
  <c r="AD35" i="1"/>
  <c r="AC33" i="1"/>
  <c r="AG33" i="1"/>
  <c r="AM33" i="1"/>
  <c r="AE33" i="1"/>
  <c r="AI33" i="1"/>
  <c r="AO33" i="1"/>
  <c r="AB33" i="1"/>
  <c r="AF33" i="1"/>
  <c r="AL33" i="1"/>
  <c r="AD33" i="1"/>
  <c r="AH33" i="1"/>
  <c r="AN33" i="1"/>
  <c r="AC31" i="1"/>
  <c r="AG31" i="1"/>
  <c r="AM31" i="1"/>
  <c r="AE31" i="1"/>
  <c r="AI31" i="1"/>
  <c r="AO31" i="1"/>
  <c r="AB31" i="1"/>
  <c r="AF31" i="1"/>
  <c r="AL31" i="1"/>
  <c r="AH31" i="1"/>
  <c r="AN31" i="1"/>
  <c r="AD31" i="1"/>
  <c r="AC29" i="1"/>
  <c r="AG29" i="1"/>
  <c r="AM29" i="1"/>
  <c r="AE29" i="1"/>
  <c r="AI29" i="1"/>
  <c r="AO29" i="1"/>
  <c r="AB29" i="1"/>
  <c r="AF29" i="1"/>
  <c r="AL29" i="1"/>
  <c r="AD29" i="1"/>
  <c r="AH29" i="1"/>
  <c r="AN29" i="1"/>
  <c r="AC27" i="1"/>
  <c r="AG27" i="1"/>
  <c r="AM27" i="1"/>
  <c r="AE27" i="1"/>
  <c r="AI27" i="1"/>
  <c r="AO27" i="1"/>
  <c r="AB27" i="1"/>
  <c r="AF27" i="1"/>
  <c r="AL27" i="1"/>
  <c r="AH27" i="1"/>
  <c r="AN27" i="1"/>
  <c r="AD27" i="1"/>
  <c r="AC25" i="1"/>
  <c r="AG25" i="1"/>
  <c r="AM25" i="1"/>
  <c r="AD25" i="1"/>
  <c r="AE25" i="1"/>
  <c r="AI25" i="1"/>
  <c r="AO25" i="1"/>
  <c r="AB25" i="1"/>
  <c r="AF25" i="1"/>
  <c r="AL25" i="1"/>
  <c r="AH25" i="1"/>
  <c r="AN25" i="1"/>
  <c r="AC23" i="1"/>
  <c r="AG23" i="1"/>
  <c r="AM23" i="1"/>
  <c r="AD23" i="1"/>
  <c r="AH23" i="1"/>
  <c r="AN23" i="1"/>
  <c r="AE23" i="1"/>
  <c r="AI23" i="1"/>
  <c r="AO23" i="1"/>
  <c r="AB23" i="1"/>
  <c r="AF23" i="1"/>
  <c r="AL23" i="1"/>
  <c r="AK10" i="1"/>
  <c r="AK6" i="1"/>
  <c r="AK12" i="1"/>
  <c r="AK4" i="1"/>
  <c r="AK20" i="1"/>
  <c r="AK16" i="1"/>
  <c r="AK8" i="1"/>
  <c r="AP36" i="1"/>
  <c r="BA36" i="1"/>
  <c r="BA34" i="1"/>
  <c r="AP32" i="1"/>
  <c r="BA32" i="1"/>
  <c r="BA30" i="1"/>
  <c r="AP28" i="1"/>
  <c r="BA28" i="1"/>
  <c r="BA26" i="1"/>
  <c r="AP24" i="1"/>
  <c r="BA24" i="1"/>
  <c r="BA22" i="1"/>
  <c r="AP37" i="1"/>
  <c r="BA37" i="1"/>
  <c r="AP35" i="1"/>
  <c r="BA35" i="1"/>
  <c r="AT33" i="1"/>
  <c r="BA33" i="1"/>
  <c r="AT31" i="1"/>
  <c r="BA31" i="1"/>
  <c r="AP29" i="1"/>
  <c r="BA29" i="1"/>
  <c r="AT27" i="1"/>
  <c r="BA27" i="1"/>
  <c r="BA25" i="1"/>
  <c r="AT23" i="1"/>
  <c r="BA23" i="1"/>
  <c r="Y4" i="2"/>
  <c r="Y30" i="2"/>
  <c r="Y26" i="2"/>
  <c r="Y22" i="2"/>
  <c r="Y33" i="2"/>
  <c r="Y29" i="2"/>
  <c r="Y25" i="2"/>
  <c r="Y31" i="2"/>
  <c r="Y27" i="2"/>
  <c r="Y23" i="2"/>
  <c r="AK3" i="1"/>
  <c r="V4" i="1"/>
  <c r="Y6" i="2"/>
  <c r="Y11" i="2"/>
  <c r="Y17" i="2"/>
  <c r="Y5" i="2"/>
  <c r="Y16" i="2"/>
  <c r="Y28" i="2"/>
  <c r="Y18" i="2"/>
  <c r="X16" i="2"/>
  <c r="Y35" i="2"/>
  <c r="X47" i="2"/>
  <c r="Y14" i="2"/>
  <c r="Y24" i="2"/>
  <c r="Y32" i="2"/>
  <c r="Y20" i="2"/>
  <c r="Y8" i="2"/>
  <c r="X32" i="2"/>
  <c r="X26" i="2"/>
  <c r="X21" i="2"/>
  <c r="Y19" i="2"/>
  <c r="Y3" i="2"/>
  <c r="Y12" i="2"/>
  <c r="X5" i="2"/>
  <c r="W24" i="2"/>
  <c r="V22" i="2"/>
  <c r="V15" i="2"/>
  <c r="X13" i="2"/>
  <c r="V10" i="2"/>
  <c r="X9" i="2"/>
  <c r="X8" i="2"/>
  <c r="Y34" i="2"/>
  <c r="W36" i="2"/>
  <c r="W35" i="2"/>
  <c r="W33" i="2"/>
  <c r="W28" i="2"/>
  <c r="X34" i="2"/>
  <c r="X29" i="2"/>
  <c r="X24" i="2"/>
  <c r="X2" i="2"/>
  <c r="V15" i="1"/>
  <c r="X15" i="1" s="1"/>
  <c r="Z15" i="1" s="1"/>
  <c r="X10" i="2"/>
  <c r="Y36" i="2"/>
  <c r="Y15" i="2"/>
  <c r="Y7" i="2"/>
  <c r="X50" i="2"/>
  <c r="W6" i="2"/>
  <c r="V30" i="2"/>
  <c r="V28" i="2"/>
  <c r="V6" i="2"/>
  <c r="V19" i="1"/>
  <c r="X19" i="1" s="1"/>
  <c r="Z19" i="1" s="1"/>
  <c r="AQ19" i="1" s="1"/>
  <c r="AS19" i="1" s="1"/>
  <c r="V13" i="1"/>
  <c r="X13" i="1" s="1"/>
  <c r="Z13" i="1" s="1"/>
  <c r="AQ13" i="1" s="1"/>
  <c r="AS13" i="1" s="1"/>
  <c r="V12" i="1"/>
  <c r="X12" i="1" s="1"/>
  <c r="Z12" i="1" s="1"/>
  <c r="AQ12" i="1" s="1"/>
  <c r="AS12" i="1" s="1"/>
  <c r="W49" i="2"/>
  <c r="X36" i="2"/>
  <c r="X30" i="2"/>
  <c r="X28" i="2"/>
  <c r="V18" i="2"/>
  <c r="V17" i="2"/>
  <c r="X18" i="2"/>
  <c r="Y10" i="2"/>
  <c r="X48" i="2"/>
  <c r="W32" i="2"/>
  <c r="W30" i="2"/>
  <c r="W16" i="2"/>
  <c r="X22" i="2"/>
  <c r="X20" i="2"/>
  <c r="X14" i="2"/>
  <c r="X12" i="2"/>
  <c r="V2" i="2"/>
  <c r="W20" i="2"/>
  <c r="AQ11" i="1"/>
  <c r="AS11" i="1" s="1"/>
  <c r="AQ10" i="1"/>
  <c r="AS10" i="1" s="1"/>
  <c r="V5" i="1"/>
  <c r="X5" i="1" s="1"/>
  <c r="Z5" i="1" s="1"/>
  <c r="AQ5" i="1" s="1"/>
  <c r="AS5" i="1" s="1"/>
  <c r="X6" i="2"/>
  <c r="X4" i="2"/>
  <c r="W8" i="2"/>
  <c r="W48" i="2"/>
  <c r="V34" i="2"/>
  <c r="V33" i="2"/>
  <c r="V31" i="2"/>
  <c r="V26" i="2"/>
  <c r="X25" i="2"/>
  <c r="V14" i="2"/>
  <c r="V12" i="2"/>
  <c r="V20" i="1"/>
  <c r="X20" i="1" s="1"/>
  <c r="Z20" i="1" s="1"/>
  <c r="AQ20" i="1" s="1"/>
  <c r="AS20" i="1" s="1"/>
  <c r="V6" i="1"/>
  <c r="X6" i="1" s="1"/>
  <c r="Z6" i="1" s="1"/>
  <c r="AQ6" i="1" s="1"/>
  <c r="AS6" i="1" s="1"/>
  <c r="X35" i="2"/>
  <c r="X49" i="2"/>
  <c r="W47" i="2"/>
  <c r="W31" i="2"/>
  <c r="W29" i="2"/>
  <c r="W26" i="2"/>
  <c r="W4" i="2"/>
  <c r="W12" i="2"/>
  <c r="V29" i="2"/>
  <c r="V27" i="2"/>
  <c r="V24" i="2"/>
  <c r="V13" i="2"/>
  <c r="V11" i="2"/>
  <c r="V8" i="2"/>
  <c r="V21" i="1"/>
  <c r="X21" i="1" s="1"/>
  <c r="Z21" i="1" s="1"/>
  <c r="AQ21" i="1" s="1"/>
  <c r="AS21" i="1" s="1"/>
  <c r="W19" i="2"/>
  <c r="V18" i="1"/>
  <c r="X18" i="1" s="1"/>
  <c r="Z18" i="1" s="1"/>
  <c r="AQ18" i="1" s="1"/>
  <c r="AS18" i="1" s="1"/>
  <c r="V17" i="1"/>
  <c r="X17" i="1" s="1"/>
  <c r="Z17" i="1" s="1"/>
  <c r="AQ17" i="1" s="1"/>
  <c r="AS17" i="1" s="1"/>
  <c r="V16" i="1"/>
  <c r="X16" i="1" s="1"/>
  <c r="Z16" i="1" s="1"/>
  <c r="AQ16" i="1" s="1"/>
  <c r="AS16" i="1" s="1"/>
  <c r="AQ8" i="1"/>
  <c r="AS8" i="1" s="1"/>
  <c r="V7" i="1"/>
  <c r="X7" i="1" s="1"/>
  <c r="Z7" i="1" s="1"/>
  <c r="AQ7" i="1" s="1"/>
  <c r="AS7" i="1" s="1"/>
  <c r="B14" i="12"/>
  <c r="W27" i="2"/>
  <c r="W25" i="2"/>
  <c r="W22" i="2"/>
  <c r="V36" i="2"/>
  <c r="V25" i="2"/>
  <c r="V23" i="2"/>
  <c r="V20" i="2"/>
  <c r="V9" i="2"/>
  <c r="V7" i="2"/>
  <c r="V4" i="2"/>
  <c r="W13" i="2"/>
  <c r="AQ9" i="1"/>
  <c r="AS9" i="1" s="1"/>
  <c r="X33" i="2"/>
  <c r="X17" i="2"/>
  <c r="Y2" i="2"/>
  <c r="Y13" i="2"/>
  <c r="W50" i="2"/>
  <c r="W34" i="2"/>
  <c r="W23" i="2"/>
  <c r="W21" i="2"/>
  <c r="V35" i="2"/>
  <c r="V32" i="2"/>
  <c r="V21" i="2"/>
  <c r="V19" i="2"/>
  <c r="V16" i="2"/>
  <c r="V5" i="2"/>
  <c r="V3" i="2"/>
  <c r="V3" i="1"/>
  <c r="X3" i="1" s="1"/>
  <c r="Z3" i="1" s="1"/>
  <c r="V25" i="1"/>
  <c r="X31" i="2"/>
  <c r="X27" i="2"/>
  <c r="X23" i="2"/>
  <c r="X19" i="2"/>
  <c r="X15" i="2"/>
  <c r="X11" i="2"/>
  <c r="X7" i="2"/>
  <c r="X3" i="2"/>
  <c r="Y21" i="2"/>
  <c r="Y9" i="2"/>
  <c r="B13" i="12"/>
  <c r="B23" i="12"/>
  <c r="B19" i="12" s="1"/>
  <c r="B22" i="12"/>
  <c r="B18" i="12" s="1"/>
  <c r="W15" i="2"/>
  <c r="W7" i="2"/>
  <c r="W3" i="2"/>
  <c r="W2" i="2"/>
  <c r="W11" i="2"/>
  <c r="W4" i="1"/>
  <c r="W18" i="2"/>
  <c r="W10" i="2"/>
  <c r="W14" i="2"/>
  <c r="V14" i="1"/>
  <c r="X14" i="1" s="1"/>
  <c r="Z14" i="1" s="1"/>
  <c r="AQ14" i="1" s="1"/>
  <c r="AS14" i="1" s="1"/>
  <c r="V34" i="1"/>
  <c r="V30" i="1"/>
  <c r="V26" i="1"/>
  <c r="V22" i="1"/>
  <c r="W17" i="2"/>
  <c r="W9" i="2"/>
  <c r="W5" i="2"/>
  <c r="F34" i="1"/>
  <c r="E26" i="1"/>
  <c r="E37" i="1"/>
  <c r="E23" i="1"/>
  <c r="E35" i="1"/>
  <c r="E31" i="1"/>
  <c r="C15" i="12"/>
  <c r="F28" i="1"/>
  <c r="E24" i="1"/>
  <c r="AT35" i="1"/>
  <c r="W26" i="1"/>
  <c r="AT25" i="1"/>
  <c r="Y24" i="1"/>
  <c r="V23" i="1"/>
  <c r="F26" i="1"/>
  <c r="U26" i="1"/>
  <c r="U24" i="1"/>
  <c r="F24" i="1"/>
  <c r="AT26" i="1"/>
  <c r="AT24" i="1"/>
  <c r="E34" i="1"/>
  <c r="E27" i="1"/>
  <c r="AT34" i="1"/>
  <c r="AT32" i="1"/>
  <c r="F32" i="1"/>
  <c r="W34" i="1"/>
  <c r="Y32" i="1"/>
  <c r="V31" i="1"/>
  <c r="U34" i="1"/>
  <c r="U32" i="1"/>
  <c r="AT22" i="1"/>
  <c r="F22" i="1"/>
  <c r="E36" i="1"/>
  <c r="E30" i="1"/>
  <c r="AT37" i="1"/>
  <c r="V36" i="1"/>
  <c r="W32" i="1"/>
  <c r="W30" i="1"/>
  <c r="AT29" i="1"/>
  <c r="V28" i="1"/>
  <c r="W24" i="1"/>
  <c r="W22" i="1"/>
  <c r="AT30" i="1"/>
  <c r="Y28" i="1"/>
  <c r="E22" i="1"/>
  <c r="E32" i="1"/>
  <c r="E29" i="1"/>
  <c r="V37" i="1"/>
  <c r="AT36" i="1"/>
  <c r="U36" i="1"/>
  <c r="Y34" i="1"/>
  <c r="V32" i="1"/>
  <c r="U30" i="1"/>
  <c r="V29" i="1"/>
  <c r="AT28" i="1"/>
  <c r="U28" i="1"/>
  <c r="Y26" i="1"/>
  <c r="V24" i="1"/>
  <c r="U22" i="1"/>
  <c r="Y36" i="1"/>
  <c r="F36" i="1"/>
  <c r="F30" i="1"/>
  <c r="E28" i="1"/>
  <c r="W36" i="1"/>
  <c r="Y30" i="1"/>
  <c r="W28" i="1"/>
  <c r="Y22" i="1"/>
  <c r="U33" i="1"/>
  <c r="Y33" i="1"/>
  <c r="F33" i="1"/>
  <c r="W33" i="1"/>
  <c r="W27" i="1"/>
  <c r="F27" i="1"/>
  <c r="U27" i="1"/>
  <c r="Y27" i="1"/>
  <c r="AP33" i="1"/>
  <c r="AP25" i="1"/>
  <c r="E33" i="1"/>
  <c r="E25" i="1"/>
  <c r="V35" i="1"/>
  <c r="U29" i="1"/>
  <c r="Y29" i="1"/>
  <c r="F29" i="1"/>
  <c r="W29" i="1"/>
  <c r="W23" i="1"/>
  <c r="F23" i="1"/>
  <c r="AP23" i="1"/>
  <c r="U23" i="1"/>
  <c r="Y23" i="1"/>
  <c r="AP27" i="1"/>
  <c r="W35" i="1"/>
  <c r="F35" i="1"/>
  <c r="U35" i="1"/>
  <c r="Y35" i="1"/>
  <c r="U25" i="1"/>
  <c r="Y25" i="1"/>
  <c r="F25" i="1"/>
  <c r="W25" i="1"/>
  <c r="C26" i="12"/>
  <c r="U37" i="1"/>
  <c r="Y37" i="1"/>
  <c r="F37" i="1"/>
  <c r="W37" i="1"/>
  <c r="V33" i="1"/>
  <c r="W31" i="1"/>
  <c r="F31" i="1"/>
  <c r="U31" i="1"/>
  <c r="Y31" i="1"/>
  <c r="V27" i="1"/>
  <c r="AP31" i="1"/>
  <c r="AP34" i="1"/>
  <c r="AP30" i="1"/>
  <c r="AP26" i="1"/>
  <c r="AP22" i="1"/>
  <c r="AQ15" i="1" l="1"/>
  <c r="AS15" i="1" s="1"/>
  <c r="AV13" i="1"/>
  <c r="N38" i="13"/>
  <c r="AV7" i="1"/>
  <c r="AV8" i="1"/>
  <c r="AV10" i="1"/>
  <c r="AV11" i="1"/>
  <c r="AV12" i="1"/>
  <c r="AV17" i="1"/>
  <c r="AV14" i="1"/>
  <c r="AV16" i="1"/>
  <c r="AV5" i="1"/>
  <c r="AV21" i="1"/>
  <c r="AV18" i="1"/>
  <c r="AV15" i="1"/>
  <c r="AV31" i="1"/>
  <c r="AV20" i="1"/>
  <c r="AV9" i="1"/>
  <c r="AV6" i="1"/>
  <c r="AV19" i="1"/>
  <c r="AK23" i="1"/>
  <c r="AK22" i="1"/>
  <c r="AK29" i="1"/>
  <c r="AK33" i="1"/>
  <c r="AK37" i="1"/>
  <c r="AK26" i="1"/>
  <c r="AK30" i="1"/>
  <c r="AK36" i="1"/>
  <c r="AK24" i="1"/>
  <c r="AK25" i="1"/>
  <c r="AK27" i="1"/>
  <c r="AK31" i="1"/>
  <c r="AK35" i="1"/>
  <c r="AK28" i="1"/>
  <c r="AK32" i="1"/>
  <c r="AK34" i="1"/>
  <c r="D5" i="9"/>
  <c r="D7" i="9"/>
  <c r="D19" i="9"/>
  <c r="D13" i="9"/>
  <c r="D12" i="9"/>
  <c r="D18" i="9"/>
  <c r="B21" i="12"/>
  <c r="B17" i="12" s="1"/>
  <c r="X4" i="1"/>
  <c r="Z4" i="1" s="1"/>
  <c r="AQ4" i="1" s="1"/>
  <c r="B11" i="12"/>
  <c r="X30" i="1"/>
  <c r="Z30" i="1" s="1"/>
  <c r="AQ30" i="1" s="1"/>
  <c r="AS30" i="1" s="1"/>
  <c r="B20" i="12"/>
  <c r="B16" i="12" s="1"/>
  <c r="B12" i="12"/>
  <c r="X26" i="1"/>
  <c r="Z26" i="1" s="1"/>
  <c r="AQ26" i="1" s="1"/>
  <c r="AS26" i="1" s="1"/>
  <c r="X36" i="1"/>
  <c r="Z36" i="1" s="1"/>
  <c r="AQ36" i="1" s="1"/>
  <c r="AS36" i="1" s="1"/>
  <c r="X22" i="1"/>
  <c r="X34" i="1"/>
  <c r="Z34" i="1" s="1"/>
  <c r="AQ34" i="1" s="1"/>
  <c r="AS34" i="1" s="1"/>
  <c r="Z22" i="1"/>
  <c r="AQ22" i="1" s="1"/>
  <c r="AS22" i="1" s="1"/>
  <c r="X29" i="1"/>
  <c r="Z29" i="1" s="1"/>
  <c r="AQ29" i="1" s="1"/>
  <c r="AS29" i="1" s="1"/>
  <c r="X24" i="1"/>
  <c r="Z24" i="1" s="1"/>
  <c r="AQ24" i="1" s="1"/>
  <c r="AS24" i="1" s="1"/>
  <c r="X32" i="1"/>
  <c r="Z32" i="1" s="1"/>
  <c r="AQ32" i="1" s="1"/>
  <c r="AS32" i="1" s="1"/>
  <c r="X28" i="1"/>
  <c r="Z28" i="1" s="1"/>
  <c r="AQ28" i="1" s="1"/>
  <c r="AS28" i="1" s="1"/>
  <c r="X35" i="1"/>
  <c r="Z35" i="1" s="1"/>
  <c r="AQ35" i="1" s="1"/>
  <c r="AS35" i="1" s="1"/>
  <c r="X31" i="1"/>
  <c r="Z31" i="1" s="1"/>
  <c r="AQ31" i="1" s="1"/>
  <c r="AS31" i="1" s="1"/>
  <c r="X23" i="1"/>
  <c r="Z23" i="1" s="1"/>
  <c r="AQ23" i="1" s="1"/>
  <c r="AS23" i="1" s="1"/>
  <c r="B7" i="12"/>
  <c r="X33" i="1"/>
  <c r="Z33" i="1" s="1"/>
  <c r="AQ33" i="1" s="1"/>
  <c r="AS33" i="1" s="1"/>
  <c r="X27" i="1"/>
  <c r="Z27" i="1" s="1"/>
  <c r="AQ27" i="1" s="1"/>
  <c r="AS27" i="1" s="1"/>
  <c r="B3" i="12"/>
  <c r="X37" i="1"/>
  <c r="Z37" i="1" s="1"/>
  <c r="AQ37" i="1" s="1"/>
  <c r="AS37" i="1" s="1"/>
  <c r="X25" i="1"/>
  <c r="Z25" i="1" s="1"/>
  <c r="AQ25" i="1" s="1"/>
  <c r="AS25" i="1" s="1"/>
  <c r="AQ3" i="1"/>
  <c r="AV29" i="1" l="1"/>
  <c r="AV33" i="1"/>
  <c r="AV25" i="1"/>
  <c r="AS4" i="1"/>
  <c r="AV4" i="1"/>
  <c r="AV32" i="1"/>
  <c r="AS3" i="1"/>
  <c r="AV3" i="1"/>
  <c r="AV23" i="1"/>
  <c r="AV26" i="1"/>
  <c r="AV34" i="1"/>
  <c r="AV36" i="1"/>
  <c r="AV30" i="1"/>
  <c r="AV22" i="1"/>
  <c r="AV35" i="1"/>
  <c r="AV28" i="1"/>
  <c r="AV37" i="1"/>
  <c r="AV24" i="1"/>
  <c r="AV27" i="1"/>
  <c r="D14" i="9"/>
  <c r="D15" i="9" s="1"/>
  <c r="D16" i="9" s="1"/>
  <c r="B26" i="12"/>
  <c r="B15" i="12"/>
  <c r="D20" i="9"/>
  <c r="D21" i="9" s="1"/>
  <c r="D22" i="9" s="1"/>
  <c r="B5" i="12"/>
  <c r="D4" i="9" l="1"/>
  <c r="B2" i="12"/>
  <c r="D9" i="9" l="1"/>
  <c r="D10" i="9" l="1"/>
  <c r="D2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</author>
  </authors>
  <commentList>
    <comment ref="B1" authorId="0" shapeId="0" xr:uid="{00000000-0006-0000-0800-000001000000}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 shapeId="0" xr:uid="{00000000-0006-0000-0800-000002000000}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 shapeId="0" xr:uid="{00000000-0006-0000-0800-000003000000}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 shapeId="0" xr:uid="{00000000-0006-0000-0800-000004000000}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 shapeId="0" xr:uid="{00000000-0006-0000-0800-000005000000}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 shapeId="0" xr:uid="{00000000-0006-0000-0800-000006000000}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 shapeId="0" xr:uid="{00000000-0006-0000-0800-000007000000}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sharedStrings.xml><?xml version="1.0" encoding="utf-8"?>
<sst xmlns="http://schemas.openxmlformats.org/spreadsheetml/2006/main" count="1500" uniqueCount="461">
  <si>
    <t>姓名</t>
  </si>
  <si>
    <t>吕金吉</t>
  </si>
  <si>
    <t>冯伟</t>
  </si>
  <si>
    <t>韩金亮</t>
  </si>
  <si>
    <t>130821199905146019</t>
  </si>
  <si>
    <t>412827199808210557</t>
  </si>
  <si>
    <t>130227198705054815</t>
  </si>
  <si>
    <t>序号</t>
  </si>
  <si>
    <t>客户简称</t>
  </si>
  <si>
    <t>*姓名</t>
  </si>
  <si>
    <t>*身份证号码</t>
  </si>
  <si>
    <t>*性别</t>
  </si>
  <si>
    <t>*联系电话</t>
  </si>
  <si>
    <t>入职日期</t>
  </si>
  <si>
    <t>离职日期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</si>
  <si>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</si>
  <si>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</si>
  <si>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</si>
  <si>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</si>
  <si>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</si>
  <si>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</si>
  <si>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</si>
  <si>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净工资</t>
  </si>
  <si>
    <t>其他税后调整</t>
  </si>
  <si>
    <t>实发工资</t>
  </si>
  <si>
    <t>服务费</t>
  </si>
  <si>
    <t>身份证号码验证</t>
  </si>
  <si>
    <t>养老个人</t>
  </si>
  <si>
    <t>医疗个人</t>
  </si>
  <si>
    <t>失业个人</t>
  </si>
  <si>
    <t>公积金个人</t>
  </si>
  <si>
    <t>大病医疗</t>
  </si>
  <si>
    <t>合计</t>
  </si>
  <si>
    <t>412724199710057916</t>
  </si>
  <si>
    <t>马志伟</t>
  </si>
  <si>
    <t>141125199606160072</t>
  </si>
  <si>
    <t>牛金星</t>
  </si>
  <si>
    <t>411324200004062817</t>
  </si>
  <si>
    <t>徐文洋</t>
  </si>
  <si>
    <t>130823200009026519</t>
  </si>
  <si>
    <t>132201199308201220</t>
  </si>
  <si>
    <t>姚聪</t>
  </si>
  <si>
    <t>142724199311042121</t>
  </si>
  <si>
    <t>周江</t>
  </si>
  <si>
    <t>421222200004074811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</si>
  <si>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</si>
  <si>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</si>
  <si>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</si>
  <si>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</si>
  <si>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</si>
  <si>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</si>
  <si>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</si>
  <si>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</si>
  <si>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</si>
  <si>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</si>
  <si>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</si>
  <si>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</si>
  <si>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</si>
  <si>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</si>
  <si>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</si>
  <si>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</si>
  <si>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</si>
  <si>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</si>
  <si>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智慧融科</t>
    <phoneticPr fontId="2" type="noConversion"/>
  </si>
  <si>
    <t>参保地</t>
    <phoneticPr fontId="2" type="noConversion"/>
  </si>
  <si>
    <t>北京</t>
    <phoneticPr fontId="2" type="noConversion"/>
  </si>
  <si>
    <t>合肥</t>
  </si>
  <si>
    <t>合肥</t>
    <phoneticPr fontId="2" type="noConversion"/>
  </si>
  <si>
    <t>福州</t>
  </si>
  <si>
    <t>福州</t>
    <phoneticPr fontId="2" type="noConversion"/>
  </si>
  <si>
    <t>公司</t>
  </si>
  <si>
    <t>养老单位</t>
  </si>
  <si>
    <t>失业单位</t>
  </si>
  <si>
    <t>工伤单位</t>
  </si>
  <si>
    <t>医疗单位</t>
  </si>
  <si>
    <t>个人大病</t>
  </si>
  <si>
    <t>公积金单位</t>
  </si>
  <si>
    <t>北京</t>
    <phoneticPr fontId="2" type="noConversion"/>
  </si>
  <si>
    <t>城市</t>
  </si>
  <si>
    <t>险种</t>
  </si>
  <si>
    <t>增减类型</t>
  </si>
  <si>
    <t>增员截止时间</t>
  </si>
  <si>
    <t>企业缴纳比例</t>
  </si>
  <si>
    <t>企业缴纳常量</t>
  </si>
  <si>
    <t>个人缴纳比例</t>
  </si>
  <si>
    <t>个人缴纳常量</t>
  </si>
  <si>
    <t>企业最高基数</t>
  </si>
  <si>
    <t>企业最低基数</t>
  </si>
  <si>
    <t>个人最高基数</t>
  </si>
  <si>
    <t>个人最低基数</t>
  </si>
  <si>
    <t>补缴月数</t>
  </si>
  <si>
    <t>增员材料</t>
  </si>
  <si>
    <t>养老保险</t>
  </si>
  <si>
    <t>当月增当月，当月减当月</t>
  </si>
  <si>
    <t xml:space="preserve"> 17日</t>
  </si>
  <si>
    <t>0.16</t>
  </si>
  <si>
    <t>18379</t>
  </si>
  <si>
    <t>1800</t>
  </si>
  <si>
    <t>正确身份证号码所对应的姓名。身份证扫面件 备注：减员截点时间是18号减养老失业工伤公积金，减当月，医疗生育减员截点时间是23号减次月 医疗生育当月操作当月生效次月扣款并补缴单月。当月操作增减员不产生费用</t>
  </si>
  <si>
    <t>医疗保险</t>
  </si>
  <si>
    <t>当月增当月，当月减次月</t>
  </si>
  <si>
    <t>0.08</t>
  </si>
  <si>
    <t>3676</t>
  </si>
  <si>
    <t>失业保险</t>
  </si>
  <si>
    <t>0.005</t>
  </si>
  <si>
    <t>工伤保险</t>
  </si>
  <si>
    <t>0.0035</t>
  </si>
  <si>
    <t xml:space="preserve"> 17442</t>
  </si>
  <si>
    <t>3488.4</t>
  </si>
  <si>
    <t>生育保险</t>
  </si>
  <si>
    <t xml:space="preserve"> 0.007</t>
  </si>
  <si>
    <t>公积金</t>
  </si>
  <si>
    <t>5%</t>
  </si>
  <si>
    <t xml:space="preserve">24120 </t>
  </si>
  <si>
    <t>1720</t>
  </si>
  <si>
    <t>7%</t>
  </si>
  <si>
    <t>12%</t>
  </si>
  <si>
    <t>增减类型</t>
    <phoneticPr fontId="2" type="noConversion"/>
  </si>
  <si>
    <t>当月增次月，当月减次月</t>
  </si>
  <si>
    <t xml:space="preserve"> 18日</t>
  </si>
  <si>
    <t>17925.42</t>
  </si>
  <si>
    <t>3429.11</t>
  </si>
  <si>
    <t>身份证复印件、一寸白底彩照一张</t>
  </si>
  <si>
    <t>0.064</t>
  </si>
  <si>
    <t>0.002</t>
  </si>
  <si>
    <t>大病</t>
  </si>
  <si>
    <t>15</t>
  </si>
  <si>
    <t>24207</t>
  </si>
  <si>
    <t>1650</t>
  </si>
  <si>
    <t>合肥2</t>
    <phoneticPr fontId="2" type="noConversion"/>
  </si>
  <si>
    <t>当月增当月，当月减当月（生育医疗当月减次月）</t>
    <phoneticPr fontId="2" type="noConversion"/>
  </si>
  <si>
    <t>公民身分证号码</t>
  </si>
  <si>
    <t>养老基数</t>
  </si>
  <si>
    <t>失业基数</t>
  </si>
  <si>
    <t>工伤基数</t>
  </si>
  <si>
    <t>医疗基数</t>
  </si>
  <si>
    <t xml:space="preserve">公积金基数 </t>
  </si>
  <si>
    <t>应发工资</t>
    <phoneticPr fontId="2" type="noConversion"/>
  </si>
  <si>
    <t>客户简称</t>
    <phoneticPr fontId="2" type="noConversion"/>
  </si>
  <si>
    <t>缴费城市</t>
    <phoneticPr fontId="2" type="noConversion"/>
  </si>
  <si>
    <t>服务费</t>
    <phoneticPr fontId="2" type="noConversion"/>
  </si>
  <si>
    <t>范冰澎</t>
    <phoneticPr fontId="2" type="noConversion"/>
  </si>
  <si>
    <t>出生日期</t>
    <phoneticPr fontId="2" type="noConversion"/>
  </si>
  <si>
    <t>个税</t>
  </si>
  <si>
    <t>需支付费用（含税）</t>
    <phoneticPr fontId="2" type="noConversion"/>
  </si>
  <si>
    <t>盖春歌</t>
    <phoneticPr fontId="2" type="noConversion"/>
  </si>
  <si>
    <t>盖春歌</t>
    <phoneticPr fontId="2" type="noConversion"/>
  </si>
  <si>
    <t>范冰澎</t>
    <phoneticPr fontId="2" type="noConversion"/>
  </si>
  <si>
    <t>企业应支付费用合计（税前）</t>
    <phoneticPr fontId="2" type="noConversion"/>
  </si>
  <si>
    <t>银行手续费</t>
    <phoneticPr fontId="2" type="noConversion"/>
  </si>
  <si>
    <t>平安银行</t>
  </si>
  <si>
    <t>农行北京曙光支行</t>
  </si>
  <si>
    <t>农业银行</t>
  </si>
  <si>
    <t>中国农业银行股份有限公司邯郸滏西南大街分理处</t>
  </si>
  <si>
    <t>招商银行北京分行西二旗支行</t>
  </si>
  <si>
    <t>招商银行</t>
  </si>
  <si>
    <t>招商银行北京分行圆明园西路</t>
  </si>
  <si>
    <t>招商银行北京常营支行</t>
  </si>
  <si>
    <t>交通银行北京自贸试验区永丰支行</t>
  </si>
  <si>
    <t>交通银行</t>
  </si>
  <si>
    <t>平安银行合肥经开区支行</t>
  </si>
  <si>
    <t>6230521720016259673</t>
  </si>
  <si>
    <t>6214831051657291</t>
  </si>
  <si>
    <t>6214831053101116</t>
  </si>
  <si>
    <t>6214830172698242</t>
  </si>
  <si>
    <t>6222620910057797478</t>
  </si>
  <si>
    <t>开户行信息</t>
    <phoneticPr fontId="2" type="noConversion"/>
  </si>
  <si>
    <t>开户银行名称</t>
    <phoneticPr fontId="2" type="noConversion"/>
  </si>
  <si>
    <t>累计子女教育支出扣除</t>
  </si>
  <si>
    <t>累计继续教育支出扣除</t>
  </si>
  <si>
    <t>累计住房贷款利息支出扣除</t>
  </si>
  <si>
    <t>累计住房租金支出扣除</t>
  </si>
  <si>
    <t>累计赡养老人支出扣除</t>
  </si>
  <si>
    <t>工号</t>
  </si>
  <si>
    <t>证件类型</t>
  </si>
  <si>
    <t>证件号码</t>
  </si>
  <si>
    <t>税款所属期起</t>
  </si>
  <si>
    <t>税款所属期止</t>
  </si>
  <si>
    <t>所得项目</t>
  </si>
  <si>
    <t>本期收入</t>
  </si>
  <si>
    <t>本期费用</t>
  </si>
  <si>
    <t>本期免税收入</t>
  </si>
  <si>
    <t>本期基本养老保险费</t>
  </si>
  <si>
    <t>本期基本医疗保险费</t>
  </si>
  <si>
    <t>本期失业保险费</t>
  </si>
  <si>
    <t>本期住房公积金</t>
  </si>
  <si>
    <t>本期企业(职业)年金</t>
  </si>
  <si>
    <t>本期商业健康保险费</t>
  </si>
  <si>
    <t>本期税延养老保险费</t>
  </si>
  <si>
    <t>本期其他扣除(其他)</t>
  </si>
  <si>
    <t>累计免税收入</t>
  </si>
  <si>
    <t>累计准予扣除的捐赠</t>
  </si>
  <si>
    <t>累计应纳税所得额</t>
  </si>
  <si>
    <t>税率</t>
  </si>
  <si>
    <t>速算扣除数</t>
  </si>
  <si>
    <t>累计应纳税额</t>
  </si>
  <si>
    <t>累计减免税额</t>
  </si>
  <si>
    <t>累计应扣缴税额</t>
  </si>
  <si>
    <t>累计已预缴税额</t>
  </si>
  <si>
    <t>累计应补(退)税额</t>
  </si>
  <si>
    <t>备注</t>
  </si>
  <si>
    <t/>
  </si>
  <si>
    <t>居民身份证</t>
  </si>
  <si>
    <t>正常工资薪金</t>
  </si>
  <si>
    <t>范冰澎</t>
  </si>
  <si>
    <t>盖春歌</t>
  </si>
  <si>
    <t>员工实发工资</t>
    <phoneticPr fontId="2" type="noConversion"/>
  </si>
  <si>
    <t>单位大病</t>
    <phoneticPr fontId="2" type="noConversion"/>
  </si>
  <si>
    <t>6222620910057473468</t>
    <phoneticPr fontId="2" type="noConversion"/>
  </si>
  <si>
    <t>交通银行北京兴华大街支行</t>
    <phoneticPr fontId="2" type="noConversion"/>
  </si>
  <si>
    <t>6222620910057473476</t>
    <phoneticPr fontId="2" type="noConversion"/>
  </si>
  <si>
    <t>6217000010156167879</t>
  </si>
  <si>
    <t>建设银行</t>
  </si>
  <si>
    <t>建设银行北京西红门支行</t>
    <phoneticPr fontId="2" type="noConversion"/>
  </si>
  <si>
    <t>6228480019040027377</t>
    <phoneticPr fontId="7" type="noConversion"/>
  </si>
  <si>
    <t>6214836012550188</t>
  </si>
  <si>
    <t>招商银行福州分行白马支行</t>
    <phoneticPr fontId="2" type="noConversion"/>
  </si>
  <si>
    <t>6214835499497715</t>
  </si>
  <si>
    <t>招商银行高新区支行</t>
  </si>
  <si>
    <t>6214835495617746</t>
  </si>
  <si>
    <t>招商银行合肥分行南七支行</t>
  </si>
  <si>
    <t>6225880160071339</t>
  </si>
  <si>
    <t>招商银行北京分行大运村支行</t>
  </si>
  <si>
    <t>6217856300036425414</t>
  </si>
  <si>
    <t>中国银行</t>
    <phoneticPr fontId="2" type="noConversion"/>
  </si>
  <si>
    <t>中国银行合肥政府广场支行</t>
    <phoneticPr fontId="2" type="noConversion"/>
  </si>
  <si>
    <t>6230580000327022104</t>
    <phoneticPr fontId="2" type="noConversion"/>
  </si>
  <si>
    <t>6214835515640959</t>
  </si>
  <si>
    <t>招商银行合肥分行高新区支行</t>
  </si>
  <si>
    <t>6222620250005047795</t>
    <phoneticPr fontId="2" type="noConversion"/>
  </si>
  <si>
    <t>交通银行合肥滨湖支行</t>
  </si>
  <si>
    <t>6214835511496612</t>
  </si>
  <si>
    <t>招商银行合肥分行创新大道支行</t>
  </si>
  <si>
    <t>6214835474458013</t>
  </si>
  <si>
    <t>招商银行合肥繁华大道支行</t>
  </si>
  <si>
    <t>李雪</t>
  </si>
  <si>
    <t>130626199508200027</t>
  </si>
  <si>
    <t>李磊</t>
  </si>
  <si>
    <t>23102619820427581X</t>
  </si>
  <si>
    <t>于晓东</t>
  </si>
  <si>
    <t>220222197206090235</t>
  </si>
  <si>
    <t>李政操</t>
  </si>
  <si>
    <t>110105198011178613</t>
  </si>
  <si>
    <t>边城</t>
  </si>
  <si>
    <t>110108198503296316</t>
  </si>
  <si>
    <t>于海东</t>
  </si>
  <si>
    <t>130821198507157973</t>
  </si>
  <si>
    <t>徐川</t>
  </si>
  <si>
    <t>21010419830521172X</t>
  </si>
  <si>
    <t>高桂桂</t>
  </si>
  <si>
    <t>14262219831204322X</t>
  </si>
  <si>
    <t>肖庆</t>
  </si>
  <si>
    <t>130927199411211216</t>
  </si>
  <si>
    <t>高寒</t>
  </si>
  <si>
    <t>130602199410271838</t>
  </si>
  <si>
    <t>梁朋</t>
  </si>
  <si>
    <t>429006198407125763</t>
  </si>
  <si>
    <t>张峪沙</t>
  </si>
  <si>
    <t>130682199509173180</t>
  </si>
  <si>
    <t>吴杨</t>
  </si>
  <si>
    <t>620502198412121055</t>
  </si>
  <si>
    <t>赵云峰</t>
  </si>
  <si>
    <t>342601199310204632</t>
  </si>
  <si>
    <t>郭正荣</t>
  </si>
  <si>
    <t>340825199510124311</t>
  </si>
  <si>
    <t>王润</t>
  </si>
  <si>
    <t>10000</t>
  </si>
  <si>
    <t>智慧融科</t>
    <phoneticPr fontId="2" type="noConversion"/>
  </si>
  <si>
    <t>北京</t>
    <phoneticPr fontId="2" type="noConversion"/>
  </si>
  <si>
    <t>合肥</t>
    <phoneticPr fontId="2" type="noConversion"/>
  </si>
  <si>
    <t>缴费起始时间</t>
    <phoneticPr fontId="2" type="noConversion"/>
  </si>
  <si>
    <t>本月账单时间</t>
    <phoneticPr fontId="2" type="noConversion"/>
  </si>
  <si>
    <t>翼水数科</t>
    <phoneticPr fontId="2" type="noConversion"/>
  </si>
  <si>
    <t>服务费</t>
    <phoneticPr fontId="2" type="noConversion"/>
  </si>
  <si>
    <t>智慧融科</t>
    <phoneticPr fontId="2" type="noConversion"/>
  </si>
  <si>
    <t>福州</t>
    <phoneticPr fontId="2" type="noConversion"/>
  </si>
  <si>
    <t>合肥</t>
    <phoneticPr fontId="2" type="noConversion"/>
  </si>
  <si>
    <t>合肥2</t>
    <phoneticPr fontId="2" type="noConversion"/>
  </si>
  <si>
    <t>社保、公积金</t>
    <phoneticPr fontId="2" type="noConversion"/>
  </si>
  <si>
    <t>工资、管理服务费</t>
    <phoneticPr fontId="2" type="noConversion"/>
  </si>
  <si>
    <t>小计</t>
    <phoneticPr fontId="2" type="noConversion"/>
  </si>
  <si>
    <t>税金(6.72%)</t>
    <phoneticPr fontId="2" type="noConversion"/>
  </si>
  <si>
    <t xml:space="preserve">2022年    </t>
    <phoneticPr fontId="2" type="noConversion"/>
  </si>
  <si>
    <t>月账单</t>
    <phoneticPr fontId="2" type="noConversion"/>
  </si>
  <si>
    <t>备注</t>
    <phoneticPr fontId="2" type="noConversion"/>
  </si>
  <si>
    <t>1月未付企业部分，本月甲方补付</t>
    <phoneticPr fontId="2" type="noConversion"/>
  </si>
  <si>
    <t>1月已付个人费用，本月甲方不付款</t>
    <phoneticPr fontId="2" type="noConversion"/>
  </si>
  <si>
    <t>社保（单位+个人）</t>
    <phoneticPr fontId="2" type="noConversion"/>
  </si>
  <si>
    <t>公积金（单位+个人）</t>
    <phoneticPr fontId="2" type="noConversion"/>
  </si>
  <si>
    <t>社保(单位+个人）</t>
    <phoneticPr fontId="2" type="noConversion"/>
  </si>
  <si>
    <t>公积金(单位+个人）</t>
    <phoneticPr fontId="2" type="noConversion"/>
  </si>
  <si>
    <t>计提（全部按照工资表）</t>
    <phoneticPr fontId="7" type="noConversion"/>
  </si>
  <si>
    <t>备注：工资表明细（含五险一金及个税扣除的工资表）</t>
    <phoneticPr fontId="7" type="noConversion"/>
  </si>
  <si>
    <t>社保单位（北京+外地）</t>
    <phoneticPr fontId="7" type="noConversion"/>
  </si>
  <si>
    <t>社保个人（北京+外地）</t>
    <phoneticPr fontId="7" type="noConversion"/>
  </si>
  <si>
    <t>公积金单位（北京+外地）</t>
    <phoneticPr fontId="7" type="noConversion"/>
  </si>
  <si>
    <t>公积金个人（北京+外地）</t>
    <phoneticPr fontId="7" type="noConversion"/>
  </si>
  <si>
    <t>支付（全部按照出账明细）</t>
    <phoneticPr fontId="7" type="noConversion"/>
  </si>
  <si>
    <t>备注：给出账的五险一金明细</t>
    <phoneticPr fontId="7" type="noConversion"/>
  </si>
  <si>
    <t>社保单位（北京）</t>
    <phoneticPr fontId="7" type="noConversion"/>
  </si>
  <si>
    <t>社保个人（北京）</t>
    <phoneticPr fontId="7" type="noConversion"/>
  </si>
  <si>
    <t>公积金单位（北京）</t>
    <phoneticPr fontId="7" type="noConversion"/>
  </si>
  <si>
    <t>公积金个人（北京）</t>
    <phoneticPr fontId="7" type="noConversion"/>
  </si>
  <si>
    <t>社保单位（外地）</t>
    <phoneticPr fontId="7" type="noConversion"/>
  </si>
  <si>
    <t>社保个人（外地）</t>
    <phoneticPr fontId="7" type="noConversion"/>
  </si>
  <si>
    <t>公积金单位（外地）</t>
    <phoneticPr fontId="7" type="noConversion"/>
  </si>
  <si>
    <t>公积金个人（外地）</t>
    <phoneticPr fontId="7" type="noConversion"/>
  </si>
  <si>
    <t>易才服务费（外地）</t>
    <phoneticPr fontId="7" type="noConversion"/>
  </si>
  <si>
    <t>社保合计</t>
  </si>
  <si>
    <t>社保个人合计</t>
    <phoneticPr fontId="2" type="noConversion"/>
  </si>
  <si>
    <t>社保单位</t>
    <phoneticPr fontId="2" type="noConversion"/>
  </si>
  <si>
    <t>社保个人</t>
  </si>
  <si>
    <t>社保个人</t>
    <phoneticPr fontId="2" type="noConversion"/>
  </si>
  <si>
    <t>北京</t>
    <phoneticPr fontId="2" type="noConversion"/>
  </si>
  <si>
    <t>缴费公司</t>
    <phoneticPr fontId="2" type="noConversion"/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</si>
  <si>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</si>
  <si>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</si>
  <si>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</si>
  <si>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</si>
  <si>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</si>
  <si>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</si>
  <si>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</si>
  <si>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</si>
  <si>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</si>
  <si>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</si>
  <si>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住房公积金</t>
  </si>
  <si>
    <t>补充医疗保险</t>
  </si>
  <si>
    <t>缴纳小计</t>
  </si>
  <si>
    <t>公积金合计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</si>
  <si>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</si>
  <si>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</si>
  <si>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</si>
  <si>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</si>
  <si>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</si>
  <si>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</si>
  <si>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</si>
  <si>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</si>
  <si>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个人</t>
  </si>
  <si>
    <t>社保公司</t>
  </si>
  <si>
    <t>公积金公司</t>
  </si>
  <si>
    <t>小计</t>
  </si>
  <si>
    <t>北京创联致信科技有限公司海淀分公司</t>
  </si>
  <si>
    <t>代理</t>
  </si>
  <si>
    <t>易才</t>
  </si>
  <si>
    <t>202203</t>
  </si>
  <si>
    <t>2月付3月</t>
    <phoneticPr fontId="2" type="noConversion"/>
  </si>
  <si>
    <t>当月新增</t>
    <phoneticPr fontId="2" type="noConversion"/>
  </si>
  <si>
    <t>社保单位（外地）新增</t>
    <phoneticPr fontId="7" type="noConversion"/>
  </si>
  <si>
    <t>社保个人（外地）新增</t>
    <phoneticPr fontId="7" type="noConversion"/>
  </si>
  <si>
    <t>公积金单位（外地）新增</t>
    <phoneticPr fontId="7" type="noConversion"/>
  </si>
  <si>
    <t>公积金个人（外地）新增</t>
    <phoneticPr fontId="7" type="noConversion"/>
  </si>
  <si>
    <t>易才服务费（外地）新增</t>
    <phoneticPr fontId="7" type="noConversion"/>
  </si>
  <si>
    <t>实发工资</t>
    <phoneticPr fontId="2" type="noConversion"/>
  </si>
  <si>
    <t>个税</t>
    <phoneticPr fontId="2" type="noConversion"/>
  </si>
  <si>
    <t>北京小计</t>
    <phoneticPr fontId="2" type="noConversion"/>
  </si>
  <si>
    <t>易才小计</t>
    <phoneticPr fontId="2" type="noConversion"/>
  </si>
  <si>
    <t>社保公积金合计</t>
    <phoneticPr fontId="2" type="noConversion"/>
  </si>
  <si>
    <t>基本工资比例</t>
  </si>
  <si>
    <t>浮动工资比例</t>
  </si>
  <si>
    <t>基本工资</t>
  </si>
  <si>
    <t>月度绩效工资</t>
  </si>
  <si>
    <t>入职当月考勤调整</t>
  </si>
  <si>
    <t>补助</t>
  </si>
  <si>
    <t>节假日加班</t>
  </si>
  <si>
    <t>体检费</t>
  </si>
  <si>
    <t>跟投扣除</t>
  </si>
  <si>
    <t>李阳彤</t>
  </si>
  <si>
    <t>参保地</t>
  </si>
  <si>
    <t>年薪</t>
  </si>
  <si>
    <t>应发合计</t>
  </si>
  <si>
    <t>单位:元</t>
  </si>
  <si>
    <t>北京</t>
  </si>
  <si>
    <t>员工更改卡号，退上月已付手续费</t>
    <phoneticPr fontId="2" type="noConversion"/>
  </si>
  <si>
    <t>1月多扣社保公积金费用，本月调整</t>
    <phoneticPr fontId="2" type="noConversion"/>
  </si>
  <si>
    <t>吴珊珊</t>
  </si>
  <si>
    <t>230119198310170043</t>
  </si>
  <si>
    <t>李哲</t>
  </si>
  <si>
    <t>411328199112012112</t>
  </si>
  <si>
    <t>谢靖</t>
  </si>
  <si>
    <t>142725199311081637</t>
  </si>
  <si>
    <t>徐春光</t>
  </si>
  <si>
    <t>370786198610223614</t>
  </si>
  <si>
    <t>孟亚君</t>
  </si>
  <si>
    <t>410182199103032601</t>
  </si>
  <si>
    <t>王占波</t>
  </si>
  <si>
    <t>230621199303030257</t>
  </si>
  <si>
    <t>王立君</t>
  </si>
  <si>
    <t>150430197910241634</t>
  </si>
  <si>
    <t>杨一妃</t>
  </si>
  <si>
    <t>230828199211278023</t>
  </si>
  <si>
    <t>张帆</t>
  </si>
  <si>
    <t>360429199010201015</t>
  </si>
  <si>
    <t>张静</t>
  </si>
  <si>
    <t>姚继新</t>
  </si>
  <si>
    <t>130303199411200310</t>
  </si>
  <si>
    <t>赵卓凯</t>
  </si>
  <si>
    <t>120104197905206813</t>
  </si>
  <si>
    <t>刘学江</t>
  </si>
  <si>
    <t>610631198312260010</t>
  </si>
  <si>
    <t>社保、公积金（3月预付款）</t>
    <phoneticPr fontId="2" type="noConversion"/>
  </si>
  <si>
    <t>总计金额</t>
    <phoneticPr fontId="2" type="noConversion"/>
  </si>
  <si>
    <t>智慧融科</t>
    <phoneticPr fontId="2" type="noConversion"/>
  </si>
  <si>
    <t>交通银行</t>
    <phoneticPr fontId="2" type="noConversion"/>
  </si>
  <si>
    <t>光大银行</t>
    <phoneticPr fontId="2" type="noConversion"/>
  </si>
  <si>
    <t>招商银行</t>
    <phoneticPr fontId="2" type="noConversion"/>
  </si>
  <si>
    <t>342427198605132216</t>
  </si>
  <si>
    <t>342427198605132216</t>
    <phoneticPr fontId="2" type="noConversion"/>
  </si>
  <si>
    <t>511221198205020014</t>
  </si>
  <si>
    <t>合肥2</t>
  </si>
  <si>
    <t>18856890927</t>
  </si>
  <si>
    <t>13395519887</t>
  </si>
  <si>
    <t>18911192317</t>
  </si>
  <si>
    <t>18911981013</t>
  </si>
  <si>
    <t>19910781969</t>
  </si>
  <si>
    <t>13693243019</t>
  </si>
  <si>
    <t>18618402589</t>
  </si>
  <si>
    <t>18201448811</t>
  </si>
  <si>
    <t>13321196617</t>
  </si>
  <si>
    <t>16619731949</t>
  </si>
  <si>
    <t>15210049806</t>
  </si>
  <si>
    <t>13021834809</t>
  </si>
  <si>
    <t>13513002402</t>
  </si>
  <si>
    <t>15932021518</t>
  </si>
  <si>
    <t>620502198412121055</t>
    <phoneticPr fontId="2" type="noConversion"/>
  </si>
  <si>
    <t>交通银行北京五棵松支行</t>
    <phoneticPr fontId="2" type="noConversion"/>
  </si>
  <si>
    <t>6226660203163080</t>
    <phoneticPr fontId="2" type="noConversion"/>
  </si>
  <si>
    <t>光大银行北京新源支行</t>
  </si>
  <si>
    <t>光大银行北京新源支行</t>
    <phoneticPr fontId="2" type="noConversion"/>
  </si>
  <si>
    <t>6226220221161895</t>
    <phoneticPr fontId="2" type="noConversion"/>
  </si>
  <si>
    <t>中国民生银行股份有限公司上海市北支行</t>
    <phoneticPr fontId="2" type="noConversion"/>
  </si>
  <si>
    <t>6222600910055840852</t>
    <phoneticPr fontId="2" type="noConversion"/>
  </si>
  <si>
    <t>交通银行北太平庄支行</t>
    <phoneticPr fontId="2" type="noConversion"/>
  </si>
  <si>
    <t>6225880136182632</t>
    <phoneticPr fontId="2" type="noConversion"/>
  </si>
  <si>
    <t>6214920204835696</t>
    <phoneticPr fontId="2" type="noConversion"/>
  </si>
  <si>
    <t>6222600910033774017</t>
    <phoneticPr fontId="2" type="noConversion"/>
  </si>
  <si>
    <t>交通银行北京上地支行</t>
    <phoneticPr fontId="2" type="noConversion"/>
  </si>
  <si>
    <t>6214830190551225</t>
    <phoneticPr fontId="2" type="noConversion"/>
  </si>
  <si>
    <t>招商银行北京回龙观支行</t>
    <phoneticPr fontId="2" type="noConversion"/>
  </si>
  <si>
    <t>民生银行</t>
    <phoneticPr fontId="2" type="noConversion"/>
  </si>
  <si>
    <t>光大银行</t>
    <phoneticPr fontId="2" type="noConversion"/>
  </si>
  <si>
    <t>交通银行</t>
    <phoneticPr fontId="2" type="noConversion"/>
  </si>
  <si>
    <t>招商银行</t>
    <phoneticPr fontId="2" type="noConversion"/>
  </si>
  <si>
    <t>2022-02-01</t>
  </si>
  <si>
    <t>2022-02-28</t>
  </si>
  <si>
    <t>6222620250019452635</t>
    <phoneticPr fontId="2" type="noConversion"/>
  </si>
  <si>
    <t>交通银行合肥高新区支行</t>
    <phoneticPr fontId="2" type="noConversion"/>
  </si>
  <si>
    <t>6222620250020066820</t>
  </si>
  <si>
    <t>交通银行合肥滨湖新区支行</t>
  </si>
  <si>
    <t>6226660204557926</t>
  </si>
  <si>
    <t>6222620910057630331</t>
  </si>
  <si>
    <t>交通银行北京市分行营业部</t>
  </si>
  <si>
    <t>招商银行北京分行北三环支行</t>
  </si>
  <si>
    <t>6214831001716619</t>
  </si>
  <si>
    <t>招商银行北三环支行</t>
  </si>
  <si>
    <t>6214830180853656</t>
  </si>
  <si>
    <t>招商银行北京分行西直门支行</t>
  </si>
  <si>
    <t>6214830180853672</t>
  </si>
  <si>
    <t>招商银行北京分行西直门分行</t>
  </si>
  <si>
    <t>6214831052580138</t>
  </si>
  <si>
    <t>招商银行股份有限公司北京公益西桥支行</t>
  </si>
  <si>
    <t>银行帐号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</si>
</sst>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76" formatCode="0.00_);[Red]\(0.00\)"/>
    <numFmt numFmtId="177" formatCode="0.00_ "/>
    <numFmt numFmtId="178" formatCode="#,##0_);[Red]\(#,##0\)"/>
    <numFmt numFmtId="179" formatCode="#,##0.00_);[Red]\(#,##0.00\)"/>
    <numFmt numFmtId="180" formatCode="[$-F800]dddd\,\ mmmm\ dd\,\ yyyy"/>
    <numFmt numFmtId="181" formatCode="0.0000_);[Red]\(0.0000\)"/>
    <numFmt numFmtId="182" formatCode="0.00_);\(0.00\)"/>
    <numFmt numFmtId="183" formatCode="yyyy/mm"/>
    <numFmt numFmtId="184" formatCode="0.00;[Red]0.00"/>
  </numFmts>
  <fonts count="6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Geneva"/>
      <family val="1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Helv"/>
      <family val="2"/>
    </font>
    <font>
      <sz val="11"/>
      <color indexed="60"/>
      <name val="宋体"/>
      <family val="3"/>
      <charset val="134"/>
    </font>
    <font>
      <sz val="12"/>
      <color indexed="8"/>
      <name val="Verdana"/>
      <family val="2"/>
    </font>
    <font>
      <b/>
      <sz val="15"/>
      <color indexed="56"/>
      <name val="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6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9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微软雅黑"/>
      <family val="2"/>
      <charset val="134"/>
    </font>
    <font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6"/>
      <name val="Arial"/>
      <family val="2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10.5"/>
      <color rgb="FF191F25"/>
      <name val="Segoe UI"/>
      <family val="2"/>
    </font>
    <font>
      <sz val="11"/>
      <color indexed="8"/>
      <name val="微软雅黑"/>
      <family val="2"/>
      <charset val="134"/>
    </font>
    <font>
      <b/>
      <sz val="11"/>
      <color indexed="10"/>
      <name val="宋体"/>
      <family val="3"/>
      <charset val="134"/>
    </font>
    <font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78">
    <xf numFmtId="180" fontId="0" fillId="0" borderId="0">
      <alignment vertical="center"/>
    </xf>
    <xf numFmtId="180" fontId="3" fillId="0" borderId="0">
      <alignment vertical="center"/>
    </xf>
    <xf numFmtId="180" fontId="24" fillId="0" borderId="12" applyNumberFormat="0" applyFill="0" applyAlignment="0" applyProtection="0">
      <alignment vertical="center"/>
    </xf>
    <xf numFmtId="180" fontId="9" fillId="10" borderId="0" applyNumberFormat="0" applyBorder="0" applyAlignment="0" applyProtection="0">
      <alignment vertical="center"/>
    </xf>
    <xf numFmtId="180" fontId="19" fillId="8" borderId="0" applyNumberFormat="0" applyBorder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17" fillId="0" borderId="0">
      <alignment vertical="center"/>
    </xf>
    <xf numFmtId="180" fontId="23" fillId="15" borderId="11" applyNumberFormat="0" applyAlignment="0" applyProtection="0">
      <alignment vertical="center"/>
    </xf>
    <xf numFmtId="180" fontId="24" fillId="0" borderId="12" applyNumberFormat="0" applyFill="0" applyAlignment="0" applyProtection="0">
      <alignment vertical="center"/>
    </xf>
    <xf numFmtId="180" fontId="19" fillId="8" borderId="0" applyNumberFormat="0" applyBorder="0" applyAlignment="0" applyProtection="0">
      <alignment vertical="center"/>
    </xf>
    <xf numFmtId="180" fontId="9" fillId="0" borderId="0">
      <alignment vertical="center"/>
    </xf>
    <xf numFmtId="180" fontId="22" fillId="15" borderId="10" applyNumberFormat="0" applyAlignment="0" applyProtection="0">
      <alignment vertical="center"/>
    </xf>
    <xf numFmtId="180" fontId="20" fillId="0" borderId="0"/>
    <xf numFmtId="180" fontId="19" fillId="20" borderId="0" applyNumberFormat="0" applyBorder="0" applyAlignment="0" applyProtection="0">
      <alignment vertical="center"/>
    </xf>
    <xf numFmtId="180" fontId="9" fillId="0" borderId="0">
      <alignment vertical="center"/>
    </xf>
    <xf numFmtId="180" fontId="19" fillId="14" borderId="0" applyNumberFormat="0" applyBorder="0" applyAlignment="0" applyProtection="0">
      <alignment vertical="center"/>
    </xf>
    <xf numFmtId="180" fontId="9" fillId="18" borderId="0" applyNumberFormat="0" applyBorder="0" applyAlignment="0" applyProtection="0">
      <alignment vertical="center"/>
    </xf>
    <xf numFmtId="180" fontId="27" fillId="0" borderId="0" applyNumberFormat="0" applyFill="0" applyBorder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19" fillId="13" borderId="0" applyNumberFormat="0" applyBorder="0" applyAlignment="0" applyProtection="0">
      <alignment vertical="center"/>
    </xf>
    <xf numFmtId="180" fontId="3" fillId="0" borderId="0">
      <alignment vertical="center"/>
    </xf>
    <xf numFmtId="180" fontId="19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80" fontId="30" fillId="0" borderId="0"/>
    <xf numFmtId="180" fontId="9" fillId="9" borderId="8" applyNumberFormat="0" applyFont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9" fillId="18" borderId="0" applyNumberFormat="0" applyBorder="0" applyAlignment="0" applyProtection="0">
      <alignment vertical="center"/>
    </xf>
    <xf numFmtId="180" fontId="20" fillId="0" borderId="0">
      <alignment vertical="center"/>
    </xf>
    <xf numFmtId="180" fontId="9" fillId="9" borderId="8" applyNumberFormat="0" applyFont="0" applyAlignment="0" applyProtection="0">
      <alignment vertical="center"/>
    </xf>
    <xf numFmtId="180" fontId="19" fillId="24" borderId="0" applyNumberFormat="0" applyBorder="0" applyAlignment="0" applyProtection="0">
      <alignment vertical="center"/>
    </xf>
    <xf numFmtId="180" fontId="9" fillId="17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16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20" fillId="0" borderId="0">
      <alignment vertical="center"/>
    </xf>
    <xf numFmtId="180" fontId="21" fillId="2" borderId="9" applyNumberFormat="0" applyAlignment="0" applyProtection="0">
      <alignment vertical="center"/>
    </xf>
    <xf numFmtId="180" fontId="20" fillId="0" borderId="0"/>
    <xf numFmtId="180" fontId="9" fillId="9" borderId="8" applyNumberFormat="0" applyFont="0" applyAlignment="0" applyProtection="0">
      <alignment vertical="center"/>
    </xf>
    <xf numFmtId="180" fontId="24" fillId="0" borderId="12" applyNumberFormat="0" applyFill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9" fillId="18" borderId="0" applyNumberFormat="0" applyBorder="0" applyAlignment="0" applyProtection="0">
      <alignment vertical="center"/>
    </xf>
    <xf numFmtId="180" fontId="17" fillId="0" borderId="0"/>
    <xf numFmtId="180" fontId="23" fillId="15" borderId="11" applyNumberFormat="0" applyAlignment="0" applyProtection="0">
      <alignment vertical="center"/>
    </xf>
    <xf numFmtId="180" fontId="24" fillId="0" borderId="12" applyNumberFormat="0" applyFill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35" fillId="26" borderId="0" applyNumberFormat="0" applyBorder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9" fillId="16" borderId="0" applyNumberFormat="0" applyBorder="0" applyAlignment="0" applyProtection="0">
      <alignment vertical="center"/>
    </xf>
    <xf numFmtId="180" fontId="26" fillId="0" borderId="0" applyNumberFormat="0" applyFill="0" applyBorder="0" applyAlignment="0" applyProtection="0">
      <alignment vertical="center"/>
    </xf>
    <xf numFmtId="180" fontId="17" fillId="0" borderId="0"/>
    <xf numFmtId="180" fontId="25" fillId="16" borderId="0" applyNumberFormat="0" applyBorder="0" applyAlignment="0" applyProtection="0">
      <alignment vertical="center"/>
    </xf>
    <xf numFmtId="180" fontId="9" fillId="10" borderId="0" applyNumberFormat="0" applyBorder="0" applyAlignment="0" applyProtection="0">
      <alignment vertical="center"/>
    </xf>
    <xf numFmtId="180" fontId="9" fillId="14" borderId="0" applyNumberFormat="0" applyBorder="0" applyAlignment="0" applyProtection="0">
      <alignment vertical="center"/>
    </xf>
    <xf numFmtId="180" fontId="17" fillId="0" borderId="0"/>
    <xf numFmtId="180" fontId="9" fillId="10" borderId="0" applyNumberFormat="0" applyBorder="0" applyAlignment="0" applyProtection="0">
      <alignment vertical="center"/>
    </xf>
    <xf numFmtId="180" fontId="9" fillId="10" borderId="0" applyNumberFormat="0" applyBorder="0" applyAlignment="0" applyProtection="0">
      <alignment vertical="center"/>
    </xf>
    <xf numFmtId="180" fontId="9" fillId="10" borderId="0" applyNumberFormat="0" applyBorder="0" applyAlignment="0" applyProtection="0">
      <alignment vertical="center"/>
    </xf>
    <xf numFmtId="180" fontId="32" fillId="23" borderId="0" applyNumberFormat="0" applyBorder="0" applyAlignment="0" applyProtection="0">
      <alignment vertical="center"/>
    </xf>
    <xf numFmtId="180" fontId="20" fillId="0" borderId="0">
      <alignment vertical="center"/>
    </xf>
    <xf numFmtId="180" fontId="17" fillId="0" borderId="0"/>
    <xf numFmtId="180" fontId="9" fillId="10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20" fillId="0" borderId="0"/>
    <xf numFmtId="180" fontId="9" fillId="0" borderId="0"/>
    <xf numFmtId="180" fontId="9" fillId="10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23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23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23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23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23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23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23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16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16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16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19" fillId="25" borderId="0" applyNumberFormat="0" applyBorder="0" applyAlignment="0" applyProtection="0">
      <alignment vertical="center"/>
    </xf>
    <xf numFmtId="180" fontId="9" fillId="16" borderId="0" applyNumberFormat="0" applyBorder="0" applyAlignment="0" applyProtection="0">
      <alignment vertical="center"/>
    </xf>
    <xf numFmtId="180" fontId="19" fillId="25" borderId="0" applyNumberFormat="0" applyBorder="0" applyAlignment="0" applyProtection="0">
      <alignment vertical="center"/>
    </xf>
    <xf numFmtId="180" fontId="9" fillId="16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0" borderId="0">
      <alignment vertical="center"/>
    </xf>
    <xf numFmtId="180" fontId="9" fillId="18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0" borderId="0">
      <alignment vertical="center"/>
    </xf>
    <xf numFmtId="180" fontId="9" fillId="18" borderId="0" applyNumberFormat="0" applyBorder="0" applyAlignment="0" applyProtection="0">
      <alignment vertical="center"/>
    </xf>
    <xf numFmtId="180" fontId="28" fillId="19" borderId="10" applyNumberFormat="0" applyAlignment="0" applyProtection="0">
      <alignment vertical="center"/>
    </xf>
    <xf numFmtId="180" fontId="9" fillId="0" borderId="0">
      <alignment vertical="center"/>
    </xf>
    <xf numFmtId="180" fontId="9" fillId="18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0" borderId="0">
      <alignment vertical="center"/>
    </xf>
    <xf numFmtId="180" fontId="9" fillId="18" borderId="0" applyNumberFormat="0" applyBorder="0" applyAlignment="0" applyProtection="0">
      <alignment vertical="center"/>
    </xf>
    <xf numFmtId="180" fontId="9" fillId="0" borderId="0">
      <alignment vertical="center"/>
    </xf>
    <xf numFmtId="180" fontId="9" fillId="18" borderId="0" applyNumberFormat="0" applyBorder="0" applyAlignment="0" applyProtection="0">
      <alignment vertical="center"/>
    </xf>
    <xf numFmtId="180" fontId="3" fillId="0" borderId="0"/>
    <xf numFmtId="180" fontId="19" fillId="14" borderId="0" applyNumberFormat="0" applyBorder="0" applyAlignment="0" applyProtection="0">
      <alignment vertical="center"/>
    </xf>
    <xf numFmtId="180" fontId="9" fillId="18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6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20" fillId="0" borderId="0"/>
    <xf numFmtId="180" fontId="9" fillId="6" borderId="0" applyNumberFormat="0" applyBorder="0" applyAlignment="0" applyProtection="0">
      <alignment vertical="center"/>
    </xf>
    <xf numFmtId="180" fontId="9" fillId="6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9" fillId="6" borderId="0" applyNumberFormat="0" applyBorder="0" applyAlignment="0" applyProtection="0">
      <alignment vertical="center"/>
    </xf>
    <xf numFmtId="180" fontId="32" fillId="2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80" fontId="9" fillId="6" borderId="0" applyNumberFormat="0" applyBorder="0" applyAlignment="0" applyProtection="0">
      <alignment vertical="center"/>
    </xf>
    <xf numFmtId="180" fontId="19" fillId="22" borderId="0" applyNumberFormat="0" applyBorder="0" applyAlignment="0" applyProtection="0">
      <alignment vertical="center"/>
    </xf>
    <xf numFmtId="180" fontId="9" fillId="6" borderId="0" applyNumberFormat="0" applyBorder="0" applyAlignment="0" applyProtection="0">
      <alignment vertical="center"/>
    </xf>
    <xf numFmtId="180" fontId="19" fillId="22" borderId="0" applyNumberFormat="0" applyBorder="0" applyAlignment="0" applyProtection="0">
      <alignment vertical="center"/>
    </xf>
    <xf numFmtId="180" fontId="9" fillId="6" borderId="0" applyNumberFormat="0" applyBorder="0" applyAlignment="0" applyProtection="0">
      <alignment vertical="center"/>
    </xf>
    <xf numFmtId="180" fontId="9" fillId="19" borderId="0" applyNumberFormat="0" applyBorder="0" applyAlignment="0" applyProtection="0">
      <alignment vertical="center"/>
    </xf>
    <xf numFmtId="180" fontId="9" fillId="18" borderId="0" applyNumberFormat="0" applyBorder="0" applyAlignment="0" applyProtection="0">
      <alignment vertical="center"/>
    </xf>
    <xf numFmtId="180" fontId="9" fillId="19" borderId="0" applyNumberFormat="0" applyBorder="0" applyAlignment="0" applyProtection="0">
      <alignment vertical="center"/>
    </xf>
    <xf numFmtId="180" fontId="9" fillId="18" borderId="0" applyNumberFormat="0" applyBorder="0" applyAlignment="0" applyProtection="0">
      <alignment vertical="center"/>
    </xf>
    <xf numFmtId="180" fontId="9" fillId="19" borderId="0" applyNumberFormat="0" applyBorder="0" applyAlignment="0" applyProtection="0">
      <alignment vertical="center"/>
    </xf>
    <xf numFmtId="180" fontId="9" fillId="19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9" fillId="19" borderId="0" applyNumberFormat="0" applyBorder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19" fillId="24" borderId="0" applyNumberFormat="0" applyBorder="0" applyAlignment="0" applyProtection="0">
      <alignment vertical="center"/>
    </xf>
    <xf numFmtId="180" fontId="9" fillId="19" borderId="0" applyNumberFormat="0" applyBorder="0" applyAlignment="0" applyProtection="0">
      <alignment vertical="center"/>
    </xf>
    <xf numFmtId="180" fontId="19" fillId="24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9" fillId="19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9" fillId="14" borderId="0" applyNumberFormat="0" applyBorder="0" applyAlignment="0" applyProtection="0">
      <alignment vertical="center"/>
    </xf>
    <xf numFmtId="180" fontId="9" fillId="14" borderId="0" applyNumberFormat="0" applyBorder="0" applyAlignment="0" applyProtection="0">
      <alignment vertical="center"/>
    </xf>
    <xf numFmtId="180" fontId="9" fillId="14" borderId="0" applyNumberFormat="0" applyBorder="0" applyAlignment="0" applyProtection="0">
      <alignment vertical="center"/>
    </xf>
    <xf numFmtId="180" fontId="9" fillId="14" borderId="0" applyNumberFormat="0" applyBorder="0" applyAlignment="0" applyProtection="0">
      <alignment vertical="center"/>
    </xf>
    <xf numFmtId="180" fontId="9" fillId="14" borderId="0" applyNumberFormat="0" applyBorder="0" applyAlignment="0" applyProtection="0">
      <alignment vertical="center"/>
    </xf>
    <xf numFmtId="180" fontId="9" fillId="14" borderId="0" applyNumberFormat="0" applyBorder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9" fillId="22" borderId="0" applyNumberFormat="0" applyBorder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9" fillId="22" borderId="0" applyNumberFormat="0" applyBorder="0" applyAlignment="0" applyProtection="0">
      <alignment vertical="center"/>
    </xf>
    <xf numFmtId="180" fontId="9" fillId="22" borderId="0" applyNumberFormat="0" applyBorder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9" fillId="22" borderId="0" applyNumberFormat="0" applyBorder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9" fillId="22" borderId="0" applyNumberFormat="0" applyBorder="0" applyAlignment="0" applyProtection="0">
      <alignment vertical="center"/>
    </xf>
    <xf numFmtId="180" fontId="20" fillId="0" borderId="0"/>
    <xf numFmtId="180" fontId="22" fillId="15" borderId="10" applyNumberFormat="0" applyAlignment="0" applyProtection="0">
      <alignment vertical="center"/>
    </xf>
    <xf numFmtId="180" fontId="9" fillId="22" borderId="0" applyNumberFormat="0" applyBorder="0" applyAlignment="0" applyProtection="0">
      <alignment vertical="center"/>
    </xf>
    <xf numFmtId="180" fontId="9" fillId="22" borderId="0" applyNumberFormat="0" applyBorder="0" applyAlignment="0" applyProtection="0">
      <alignment vertical="center"/>
    </xf>
    <xf numFmtId="180" fontId="21" fillId="2" borderId="9" applyNumberFormat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26" fillId="0" borderId="0" applyNumberFormat="0" applyFill="0" applyBorder="0" applyAlignment="0" applyProtection="0">
      <alignment vertical="center"/>
    </xf>
    <xf numFmtId="180" fontId="9" fillId="18" borderId="0" applyNumberFormat="0" applyBorder="0" applyAlignment="0" applyProtection="0">
      <alignment vertical="center"/>
    </xf>
    <xf numFmtId="180" fontId="21" fillId="2" borderId="9" applyNumberFormat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26" fillId="0" borderId="0" applyNumberFormat="0" applyFill="0" applyBorder="0" applyAlignment="0" applyProtection="0">
      <alignment vertical="center"/>
    </xf>
    <xf numFmtId="180" fontId="9" fillId="18" borderId="0" applyNumberFormat="0" applyBorder="0" applyAlignment="0" applyProtection="0">
      <alignment vertical="center"/>
    </xf>
    <xf numFmtId="180" fontId="28" fillId="19" borderId="10" applyNumberFormat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9" fillId="18" borderId="0" applyNumberFormat="0" applyBorder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25" fillId="16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19" fillId="24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28" fillId="19" borderId="10" applyNumberFormat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9" fillId="21" borderId="0" applyNumberFormat="0" applyBorder="0" applyAlignment="0" applyProtection="0">
      <alignment vertical="center"/>
    </xf>
    <xf numFmtId="180" fontId="35" fillId="26" borderId="0" applyNumberFormat="0" applyBorder="0" applyAlignment="0" applyProtection="0">
      <alignment vertical="center"/>
    </xf>
    <xf numFmtId="180" fontId="22" fillId="15" borderId="10" applyNumberFormat="0" applyAlignment="0" applyProtection="0">
      <alignment vertical="center"/>
    </xf>
    <xf numFmtId="180" fontId="9" fillId="17" borderId="0" applyNumberFormat="0" applyBorder="0" applyAlignment="0" applyProtection="0">
      <alignment vertical="center"/>
    </xf>
    <xf numFmtId="180" fontId="9" fillId="17" borderId="0" applyNumberFormat="0" applyBorder="0" applyAlignment="0" applyProtection="0">
      <alignment vertical="center"/>
    </xf>
    <xf numFmtId="180" fontId="9" fillId="17" borderId="0" applyNumberFormat="0" applyBorder="0" applyAlignment="0" applyProtection="0">
      <alignment vertical="center"/>
    </xf>
    <xf numFmtId="180" fontId="35" fillId="26" borderId="0" applyNumberFormat="0" applyBorder="0" applyAlignment="0" applyProtection="0">
      <alignment vertical="center"/>
    </xf>
    <xf numFmtId="180" fontId="19" fillId="12" borderId="0" applyNumberFormat="0" applyBorder="0" applyAlignment="0" applyProtection="0">
      <alignment vertical="center"/>
    </xf>
    <xf numFmtId="180" fontId="9" fillId="17" borderId="0" applyNumberFormat="0" applyBorder="0" applyAlignment="0" applyProtection="0">
      <alignment vertical="center"/>
    </xf>
    <xf numFmtId="180" fontId="27" fillId="0" borderId="0" applyNumberFormat="0" applyFill="0" applyBorder="0" applyAlignment="0" applyProtection="0">
      <alignment vertical="center"/>
    </xf>
    <xf numFmtId="180" fontId="9" fillId="17" borderId="0" applyNumberFormat="0" applyBorder="0" applyAlignment="0" applyProtection="0">
      <alignment vertical="center"/>
    </xf>
    <xf numFmtId="180" fontId="19" fillId="12" borderId="0" applyNumberFormat="0" applyBorder="0" applyAlignment="0" applyProtection="0">
      <alignment vertical="center"/>
    </xf>
    <xf numFmtId="180" fontId="19" fillId="24" borderId="0" applyNumberFormat="0" applyBorder="0" applyAlignment="0" applyProtection="0">
      <alignment vertical="center"/>
    </xf>
    <xf numFmtId="180" fontId="9" fillId="17" borderId="0" applyNumberFormat="0" applyBorder="0" applyAlignment="0" applyProtection="0">
      <alignment vertical="center"/>
    </xf>
    <xf numFmtId="180" fontId="19" fillId="25" borderId="0" applyNumberFormat="0" applyBorder="0" applyAlignment="0" applyProtection="0">
      <alignment vertical="center"/>
    </xf>
    <xf numFmtId="180" fontId="19" fillId="25" borderId="0" applyNumberFormat="0" applyBorder="0" applyAlignment="0" applyProtection="0">
      <alignment vertical="center"/>
    </xf>
    <xf numFmtId="180" fontId="19" fillId="25" borderId="0" applyNumberFormat="0" applyBorder="0" applyAlignment="0" applyProtection="0">
      <alignment vertical="center"/>
    </xf>
    <xf numFmtId="180" fontId="19" fillId="25" borderId="0" applyNumberFormat="0" applyBorder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14" fillId="0" borderId="0" applyNumberFormat="0" applyFill="0" applyBorder="0" applyAlignment="0" applyProtection="0">
      <alignment vertical="center"/>
    </xf>
    <xf numFmtId="180" fontId="19" fillId="25" borderId="0" applyNumberFormat="0" applyBorder="0" applyAlignment="0" applyProtection="0">
      <alignment vertical="center"/>
    </xf>
    <xf numFmtId="180" fontId="19" fillId="14" borderId="0" applyNumberFormat="0" applyBorder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0" borderId="0">
      <alignment vertical="center"/>
    </xf>
    <xf numFmtId="180" fontId="19" fillId="14" borderId="0" applyNumberFormat="0" applyBorder="0" applyAlignment="0" applyProtection="0">
      <alignment vertical="center"/>
    </xf>
    <xf numFmtId="180" fontId="3" fillId="0" borderId="0">
      <alignment vertical="center"/>
    </xf>
    <xf numFmtId="180" fontId="19" fillId="14" borderId="0" applyNumberFormat="0" applyBorder="0" applyAlignment="0" applyProtection="0">
      <alignment vertical="center"/>
    </xf>
    <xf numFmtId="180" fontId="14" fillId="0" borderId="0" applyNumberFormat="0" applyFill="0" applyBorder="0" applyAlignment="0" applyProtection="0">
      <alignment vertical="center"/>
    </xf>
    <xf numFmtId="180" fontId="20" fillId="0" borderId="0">
      <alignment vertical="center"/>
    </xf>
    <xf numFmtId="180" fontId="19" fillId="14" borderId="0" applyNumberFormat="0" applyBorder="0" applyAlignment="0" applyProtection="0">
      <alignment vertical="center"/>
    </xf>
    <xf numFmtId="180" fontId="19" fillId="8" borderId="0" applyNumberFormat="0" applyBorder="0" applyAlignment="0" applyProtection="0">
      <alignment vertical="center"/>
    </xf>
    <xf numFmtId="180" fontId="19" fillId="22" borderId="0" applyNumberFormat="0" applyBorder="0" applyAlignment="0" applyProtection="0">
      <alignment vertical="center"/>
    </xf>
    <xf numFmtId="180" fontId="19" fillId="22" borderId="0" applyNumberFormat="0" applyBorder="0" applyAlignment="0" applyProtection="0">
      <alignment vertical="center"/>
    </xf>
    <xf numFmtId="180" fontId="19" fillId="22" borderId="0" applyNumberFormat="0" applyBorder="0" applyAlignment="0" applyProtection="0">
      <alignment vertical="center"/>
    </xf>
    <xf numFmtId="180" fontId="19" fillId="22" borderId="0" applyNumberFormat="0" applyBorder="0" applyAlignment="0" applyProtection="0">
      <alignment vertical="center"/>
    </xf>
    <xf numFmtId="180" fontId="19" fillId="22" borderId="0" applyNumberFormat="0" applyBorder="0" applyAlignment="0" applyProtection="0">
      <alignment vertical="center"/>
    </xf>
    <xf numFmtId="180" fontId="19" fillId="24" borderId="0" applyNumberFormat="0" applyBorder="0" applyAlignment="0" applyProtection="0">
      <alignment vertical="center"/>
    </xf>
    <xf numFmtId="180" fontId="19" fillId="24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19" fillId="24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19" fillId="20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9" fillId="0" borderId="0">
      <alignment vertical="center"/>
    </xf>
    <xf numFmtId="180" fontId="19" fillId="20" borderId="0" applyNumberFormat="0" applyBorder="0" applyAlignment="0" applyProtection="0">
      <alignment vertical="center"/>
    </xf>
    <xf numFmtId="180" fontId="38" fillId="0" borderId="0" applyNumberFormat="0" applyFill="0" applyBorder="0" applyAlignment="0" applyProtection="0">
      <alignment vertical="center"/>
    </xf>
    <xf numFmtId="180" fontId="19" fillId="20" borderId="0" applyNumberFormat="0" applyBorder="0" applyAlignment="0" applyProtection="0">
      <alignment vertical="center"/>
    </xf>
    <xf numFmtId="180" fontId="19" fillId="20" borderId="0" applyNumberFormat="0" applyBorder="0" applyAlignment="0" applyProtection="0">
      <alignment vertical="center"/>
    </xf>
    <xf numFmtId="180" fontId="19" fillId="20" borderId="0" applyNumberFormat="0" applyBorder="0" applyAlignment="0" applyProtection="0">
      <alignment vertical="center"/>
    </xf>
    <xf numFmtId="180" fontId="19" fillId="20" borderId="0" applyNumberFormat="0" applyBorder="0" applyAlignment="0" applyProtection="0">
      <alignment vertical="center"/>
    </xf>
    <xf numFmtId="180" fontId="14" fillId="0" borderId="0" applyNumberFormat="0" applyFill="0" applyBorder="0" applyAlignment="0" applyProtection="0">
      <alignment vertical="center"/>
    </xf>
    <xf numFmtId="177" fontId="9" fillId="0" borderId="0">
      <alignment vertical="center"/>
    </xf>
    <xf numFmtId="180" fontId="32" fillId="23" borderId="0" applyNumberFormat="0" applyBorder="0" applyAlignment="0" applyProtection="0">
      <alignment vertical="center"/>
    </xf>
    <xf numFmtId="9" fontId="9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180" fontId="37" fillId="0" borderId="15" applyNumberFormat="0" applyFill="0" applyAlignment="0" applyProtection="0">
      <alignment vertical="center"/>
    </xf>
    <xf numFmtId="180" fontId="37" fillId="0" borderId="15" applyNumberFormat="0" applyFill="0" applyAlignment="0" applyProtection="0">
      <alignment vertical="center"/>
    </xf>
    <xf numFmtId="180" fontId="37" fillId="0" borderId="15" applyNumberFormat="0" applyFill="0" applyAlignment="0" applyProtection="0">
      <alignment vertical="center"/>
    </xf>
    <xf numFmtId="180" fontId="37" fillId="0" borderId="15" applyNumberFormat="0" applyFill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37" fillId="0" borderId="15" applyNumberFormat="0" applyFill="0" applyAlignment="0" applyProtection="0">
      <alignment vertical="center"/>
    </xf>
    <xf numFmtId="180" fontId="37" fillId="0" borderId="15" applyNumberFormat="0" applyFill="0" applyAlignment="0" applyProtection="0">
      <alignment vertical="center"/>
    </xf>
    <xf numFmtId="180" fontId="37" fillId="0" borderId="15" applyNumberFormat="0" applyFill="0" applyAlignment="0" applyProtection="0">
      <alignment vertical="center"/>
    </xf>
    <xf numFmtId="180" fontId="31" fillId="0" borderId="13" applyNumberFormat="0" applyFill="0" applyAlignment="0" applyProtection="0">
      <alignment vertical="center"/>
    </xf>
    <xf numFmtId="180" fontId="31" fillId="0" borderId="13" applyNumberFormat="0" applyFill="0" applyAlignment="0" applyProtection="0">
      <alignment vertical="center"/>
    </xf>
    <xf numFmtId="180" fontId="25" fillId="16" borderId="0" applyNumberFormat="0" applyBorder="0" applyAlignment="0" applyProtection="0">
      <alignment vertical="center"/>
    </xf>
    <xf numFmtId="180" fontId="31" fillId="0" borderId="13" applyNumberFormat="0" applyFill="0" applyAlignment="0" applyProtection="0">
      <alignment vertical="center"/>
    </xf>
    <xf numFmtId="180" fontId="31" fillId="0" borderId="13" applyNumberFormat="0" applyFill="0" applyAlignment="0" applyProtection="0">
      <alignment vertical="center"/>
    </xf>
    <xf numFmtId="180" fontId="9" fillId="0" borderId="0">
      <alignment vertical="center"/>
    </xf>
    <xf numFmtId="180" fontId="31" fillId="0" borderId="13" applyNumberFormat="0" applyFill="0" applyAlignment="0" applyProtection="0">
      <alignment vertical="center"/>
    </xf>
    <xf numFmtId="180" fontId="31" fillId="0" borderId="13" applyNumberFormat="0" applyFill="0" applyAlignment="0" applyProtection="0">
      <alignment vertical="center"/>
    </xf>
    <xf numFmtId="180" fontId="31" fillId="0" borderId="13" applyNumberFormat="0" applyFill="0" applyAlignment="0" applyProtection="0">
      <alignment vertical="center"/>
    </xf>
    <xf numFmtId="180" fontId="26" fillId="0" borderId="14" applyNumberFormat="0" applyFill="0" applyAlignment="0" applyProtection="0">
      <alignment vertical="center"/>
    </xf>
    <xf numFmtId="180" fontId="25" fillId="16" borderId="0" applyNumberFormat="0" applyBorder="0" applyAlignment="0" applyProtection="0">
      <alignment vertical="center"/>
    </xf>
    <xf numFmtId="180" fontId="26" fillId="0" borderId="14" applyNumberFormat="0" applyFill="0" applyAlignment="0" applyProtection="0">
      <alignment vertical="center"/>
    </xf>
    <xf numFmtId="180" fontId="26" fillId="0" borderId="14" applyNumberFormat="0" applyFill="0" applyAlignment="0" applyProtection="0">
      <alignment vertical="center"/>
    </xf>
    <xf numFmtId="180" fontId="26" fillId="0" borderId="14" applyNumberFormat="0" applyFill="0" applyAlignment="0" applyProtection="0">
      <alignment vertical="center"/>
    </xf>
    <xf numFmtId="180" fontId="34" fillId="0" borderId="0"/>
    <xf numFmtId="180" fontId="26" fillId="0" borderId="14" applyNumberFormat="0" applyFill="0" applyAlignment="0" applyProtection="0">
      <alignment vertical="center"/>
    </xf>
    <xf numFmtId="180" fontId="26" fillId="0" borderId="14" applyNumberFormat="0" applyFill="0" applyAlignment="0" applyProtection="0">
      <alignment vertical="center"/>
    </xf>
    <xf numFmtId="180" fontId="26" fillId="0" borderId="14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80" fontId="26" fillId="0" borderId="0" applyNumberFormat="0" applyFill="0" applyBorder="0" applyAlignment="0" applyProtection="0">
      <alignment vertical="center"/>
    </xf>
    <xf numFmtId="180" fontId="26" fillId="0" borderId="0" applyNumberFormat="0" applyFill="0" applyBorder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26" fillId="0" borderId="0" applyNumberFormat="0" applyFill="0" applyBorder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26" fillId="0" borderId="0" applyNumberFormat="0" applyFill="0" applyBorder="0" applyAlignment="0" applyProtection="0">
      <alignment vertical="center"/>
    </xf>
    <xf numFmtId="180" fontId="27" fillId="0" borderId="0" applyNumberFormat="0" applyFill="0" applyBorder="0" applyAlignment="0" applyProtection="0">
      <alignment vertical="center"/>
    </xf>
    <xf numFmtId="180" fontId="33" fillId="0" borderId="0" applyNumberFormat="0" applyFill="0" applyBorder="0" applyAlignment="0" applyProtection="0">
      <alignment vertical="center"/>
    </xf>
    <xf numFmtId="180" fontId="19" fillId="13" borderId="0" applyNumberFormat="0" applyBorder="0" applyAlignment="0" applyProtection="0">
      <alignment vertical="center"/>
    </xf>
    <xf numFmtId="180" fontId="33" fillId="0" borderId="0" applyNumberFormat="0" applyFill="0" applyBorder="0" applyAlignment="0" applyProtection="0">
      <alignment vertical="center"/>
    </xf>
    <xf numFmtId="180" fontId="19" fillId="13" borderId="0" applyNumberFormat="0" applyBorder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33" fillId="0" borderId="0" applyNumberFormat="0" applyFill="0" applyBorder="0" applyAlignment="0" applyProtection="0">
      <alignment vertical="center"/>
    </xf>
    <xf numFmtId="180" fontId="33" fillId="0" borderId="0" applyNumberFormat="0" applyFill="0" applyBorder="0" applyAlignment="0" applyProtection="0">
      <alignment vertical="center"/>
    </xf>
    <xf numFmtId="180" fontId="19" fillId="8" borderId="0" applyNumberFormat="0" applyBorder="0" applyAlignment="0" applyProtection="0">
      <alignment vertical="center"/>
    </xf>
    <xf numFmtId="180" fontId="33" fillId="0" borderId="0" applyNumberFormat="0" applyFill="0" applyBorder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33" fillId="0" borderId="0" applyNumberFormat="0" applyFill="0" applyBorder="0" applyAlignment="0" applyProtection="0">
      <alignment vertical="center"/>
    </xf>
    <xf numFmtId="180" fontId="33" fillId="0" borderId="0" applyNumberFormat="0" applyFill="0" applyBorder="0" applyAlignment="0" applyProtection="0">
      <alignment vertical="center"/>
    </xf>
    <xf numFmtId="180" fontId="27" fillId="0" borderId="0" applyNumberFormat="0" applyFill="0" applyBorder="0" applyAlignment="0" applyProtection="0">
      <alignment vertical="center"/>
    </xf>
    <xf numFmtId="180" fontId="32" fillId="23" borderId="0" applyNumberFormat="0" applyBorder="0" applyAlignment="0" applyProtection="0">
      <alignment vertical="center"/>
    </xf>
    <xf numFmtId="180" fontId="32" fillId="23" borderId="0" applyNumberFormat="0" applyBorder="0" applyAlignment="0" applyProtection="0">
      <alignment vertical="center"/>
    </xf>
    <xf numFmtId="180" fontId="32" fillId="23" borderId="0" applyNumberFormat="0" applyBorder="0" applyAlignment="0" applyProtection="0">
      <alignment vertical="center"/>
    </xf>
    <xf numFmtId="180" fontId="32" fillId="23" borderId="0" applyNumberFormat="0" applyBorder="0" applyAlignment="0" applyProtection="0">
      <alignment vertical="center"/>
    </xf>
    <xf numFmtId="180" fontId="9" fillId="0" borderId="0">
      <alignment vertical="center"/>
    </xf>
    <xf numFmtId="180" fontId="20" fillId="0" borderId="0">
      <alignment vertical="center"/>
    </xf>
    <xf numFmtId="180" fontId="9" fillId="0" borderId="0">
      <alignment vertical="center"/>
    </xf>
    <xf numFmtId="180" fontId="20" fillId="0" borderId="0"/>
    <xf numFmtId="180" fontId="20" fillId="0" borderId="0">
      <alignment vertical="center"/>
    </xf>
    <xf numFmtId="180" fontId="20" fillId="0" borderId="0">
      <alignment vertical="center"/>
    </xf>
    <xf numFmtId="180" fontId="19" fillId="12" borderId="0" applyNumberFormat="0" applyBorder="0" applyAlignment="0" applyProtection="0">
      <alignment vertical="center"/>
    </xf>
    <xf numFmtId="180" fontId="9" fillId="0" borderId="0">
      <alignment vertical="center"/>
    </xf>
    <xf numFmtId="180" fontId="9" fillId="0" borderId="0">
      <alignment vertical="center"/>
    </xf>
    <xf numFmtId="180" fontId="9" fillId="0" borderId="0">
      <alignment vertical="center"/>
    </xf>
    <xf numFmtId="180" fontId="6" fillId="0" borderId="0">
      <alignment vertical="center"/>
    </xf>
    <xf numFmtId="180" fontId="36" fillId="0" borderId="0" applyNumberFormat="0" applyFill="0" applyBorder="0" applyProtection="0">
      <alignment vertical="top" wrapText="1"/>
    </xf>
    <xf numFmtId="180" fontId="6" fillId="0" borderId="0">
      <alignment vertical="center"/>
    </xf>
    <xf numFmtId="180" fontId="9" fillId="0" borderId="0"/>
    <xf numFmtId="180" fontId="9" fillId="0" borderId="0"/>
    <xf numFmtId="180" fontId="28" fillId="19" borderId="10" applyNumberFormat="0" applyAlignment="0" applyProtection="0">
      <alignment vertical="center"/>
    </xf>
    <xf numFmtId="180" fontId="6" fillId="0" borderId="0">
      <alignment vertical="center"/>
    </xf>
    <xf numFmtId="180" fontId="28" fillId="19" borderId="10" applyNumberFormat="0" applyAlignment="0" applyProtection="0">
      <alignment vertical="center"/>
    </xf>
    <xf numFmtId="180" fontId="20" fillId="0" borderId="0">
      <alignment vertical="center"/>
    </xf>
    <xf numFmtId="180" fontId="5" fillId="0" borderId="0">
      <alignment vertical="center"/>
    </xf>
    <xf numFmtId="180" fontId="9" fillId="0" borderId="0"/>
    <xf numFmtId="180" fontId="28" fillId="19" borderId="10" applyNumberFormat="0" applyAlignment="0" applyProtection="0">
      <alignment vertical="center"/>
    </xf>
    <xf numFmtId="180" fontId="6" fillId="0" borderId="0">
      <alignment vertical="center"/>
    </xf>
    <xf numFmtId="180" fontId="9" fillId="0" borderId="0"/>
    <xf numFmtId="180" fontId="19" fillId="24" borderId="0" applyNumberFormat="0" applyBorder="0" applyAlignment="0" applyProtection="0">
      <alignment vertical="center"/>
    </xf>
    <xf numFmtId="180" fontId="5" fillId="0" borderId="0">
      <alignment vertical="center"/>
    </xf>
    <xf numFmtId="180" fontId="19" fillId="24" borderId="0" applyNumberFormat="0" applyBorder="0" applyAlignment="0" applyProtection="0">
      <alignment vertical="center"/>
    </xf>
    <xf numFmtId="180" fontId="9" fillId="0" borderId="0"/>
    <xf numFmtId="180" fontId="19" fillId="24" borderId="0" applyNumberFormat="0" applyBorder="0" applyAlignment="0" applyProtection="0">
      <alignment vertical="center"/>
    </xf>
    <xf numFmtId="180" fontId="20" fillId="0" borderId="0"/>
    <xf numFmtId="180" fontId="19" fillId="24" borderId="0" applyNumberFormat="0" applyBorder="0" applyAlignment="0" applyProtection="0">
      <alignment vertical="center"/>
    </xf>
    <xf numFmtId="180" fontId="20" fillId="0" borderId="0"/>
    <xf numFmtId="180" fontId="20" fillId="0" borderId="0"/>
    <xf numFmtId="180" fontId="9" fillId="0" borderId="0">
      <alignment vertical="center"/>
    </xf>
    <xf numFmtId="180" fontId="35" fillId="26" borderId="0" applyNumberFormat="0" applyBorder="0" applyAlignment="0" applyProtection="0">
      <alignment vertical="center"/>
    </xf>
    <xf numFmtId="180" fontId="9" fillId="0" borderId="0">
      <alignment vertical="center"/>
    </xf>
    <xf numFmtId="180" fontId="9" fillId="0" borderId="0">
      <alignment vertical="center"/>
    </xf>
    <xf numFmtId="180" fontId="9" fillId="0" borderId="0">
      <alignment vertical="center"/>
    </xf>
    <xf numFmtId="180" fontId="9" fillId="0" borderId="0">
      <alignment vertical="center"/>
    </xf>
    <xf numFmtId="180" fontId="3" fillId="0" borderId="0">
      <alignment vertical="center"/>
    </xf>
    <xf numFmtId="180" fontId="19" fillId="11" borderId="0" applyNumberFormat="0" applyBorder="0" applyAlignment="0" applyProtection="0">
      <alignment vertical="center"/>
    </xf>
    <xf numFmtId="180" fontId="3" fillId="0" borderId="0">
      <alignment vertical="center"/>
    </xf>
    <xf numFmtId="180" fontId="19" fillId="11" borderId="0" applyNumberFormat="0" applyBorder="0" applyAlignment="0" applyProtection="0">
      <alignment vertical="center"/>
    </xf>
    <xf numFmtId="180" fontId="3" fillId="0" borderId="0">
      <alignment vertical="center"/>
    </xf>
    <xf numFmtId="180" fontId="20" fillId="0" borderId="0"/>
    <xf numFmtId="180" fontId="20" fillId="0" borderId="0"/>
    <xf numFmtId="180" fontId="28" fillId="19" borderId="10" applyNumberFormat="0" applyAlignment="0" applyProtection="0">
      <alignment vertical="center"/>
    </xf>
    <xf numFmtId="180" fontId="9" fillId="0" borderId="0">
      <alignment vertical="center"/>
    </xf>
    <xf numFmtId="180" fontId="20" fillId="0" borderId="0"/>
    <xf numFmtId="180" fontId="19" fillId="7" borderId="0" applyNumberFormat="0" applyBorder="0" applyAlignment="0" applyProtection="0">
      <alignment vertical="center"/>
    </xf>
    <xf numFmtId="180" fontId="17" fillId="0" borderId="0">
      <alignment vertical="center"/>
    </xf>
    <xf numFmtId="180" fontId="3" fillId="0" borderId="0">
      <alignment vertical="center"/>
    </xf>
    <xf numFmtId="180" fontId="9" fillId="9" borderId="8" applyNumberFormat="0" applyFont="0" applyAlignment="0" applyProtection="0">
      <alignment vertical="center"/>
    </xf>
    <xf numFmtId="180" fontId="14" fillId="0" borderId="0" applyNumberFormat="0" applyFill="0" applyBorder="0" applyAlignment="0" applyProtection="0">
      <alignment vertical="center"/>
    </xf>
    <xf numFmtId="180" fontId="34" fillId="0" borderId="0"/>
    <xf numFmtId="180" fontId="25" fillId="16" borderId="0" applyNumberFormat="0" applyBorder="0" applyAlignment="0" applyProtection="0">
      <alignment vertical="center"/>
    </xf>
    <xf numFmtId="180" fontId="25" fillId="16" borderId="0" applyNumberFormat="0" applyBorder="0" applyAlignment="0" applyProtection="0">
      <alignment vertical="center"/>
    </xf>
    <xf numFmtId="180" fontId="25" fillId="16" borderId="0" applyNumberFormat="0" applyBorder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21" fillId="2" borderId="9" applyNumberFormat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19" fillId="12" borderId="0" applyNumberFormat="0" applyBorder="0" applyAlignment="0" applyProtection="0">
      <alignment vertical="center"/>
    </xf>
    <xf numFmtId="180" fontId="18" fillId="0" borderId="7" applyNumberFormat="0" applyFill="0" applyAlignment="0" applyProtection="0">
      <alignment vertical="center"/>
    </xf>
    <xf numFmtId="180" fontId="21" fillId="2" borderId="9" applyNumberFormat="0" applyAlignment="0" applyProtection="0">
      <alignment vertical="center"/>
    </xf>
    <xf numFmtId="180" fontId="21" fillId="2" borderId="9" applyNumberFormat="0" applyAlignment="0" applyProtection="0">
      <alignment vertical="center"/>
    </xf>
    <xf numFmtId="180" fontId="21" fillId="2" borderId="9" applyNumberFormat="0" applyAlignment="0" applyProtection="0">
      <alignment vertical="center"/>
    </xf>
    <xf numFmtId="180" fontId="27" fillId="0" borderId="0" applyNumberFormat="0" applyFill="0" applyBorder="0" applyAlignment="0" applyProtection="0">
      <alignment vertical="center"/>
    </xf>
    <xf numFmtId="180" fontId="27" fillId="0" borderId="0" applyNumberFormat="0" applyFill="0" applyBorder="0" applyAlignment="0" applyProtection="0">
      <alignment vertical="center"/>
    </xf>
    <xf numFmtId="180" fontId="27" fillId="0" borderId="0" applyNumberFormat="0" applyFill="0" applyBorder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14" fillId="0" borderId="0" applyNumberFormat="0" applyFill="0" applyBorder="0" applyAlignment="0" applyProtection="0">
      <alignment vertical="center"/>
    </xf>
    <xf numFmtId="180" fontId="14" fillId="0" borderId="0" applyNumberFormat="0" applyFill="0" applyBorder="0" applyAlignment="0" applyProtection="0">
      <alignment vertical="center"/>
    </xf>
    <xf numFmtId="180" fontId="14" fillId="0" borderId="0" applyNumberFormat="0" applyFill="0" applyBorder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24" fillId="0" borderId="12" applyNumberFormat="0" applyFill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24" fillId="0" borderId="12" applyNumberFormat="0" applyFill="0" applyAlignment="0" applyProtection="0">
      <alignment vertical="center"/>
    </xf>
    <xf numFmtId="180" fontId="24" fillId="0" borderId="12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9" fillId="13" borderId="0" applyNumberFormat="0" applyBorder="0" applyAlignment="0" applyProtection="0">
      <alignment vertical="center"/>
    </xf>
    <xf numFmtId="180" fontId="19" fillId="13" borderId="0" applyNumberFormat="0" applyBorder="0" applyAlignment="0" applyProtection="0">
      <alignment vertical="center"/>
    </xf>
    <xf numFmtId="180" fontId="19" fillId="13" borderId="0" applyNumberFormat="0" applyBorder="0" applyAlignment="0" applyProtection="0">
      <alignment vertical="center"/>
    </xf>
    <xf numFmtId="180" fontId="19" fillId="13" borderId="0" applyNumberFormat="0" applyBorder="0" applyAlignment="0" applyProtection="0">
      <alignment vertical="center"/>
    </xf>
    <xf numFmtId="180" fontId="19" fillId="8" borderId="0" applyNumberFormat="0" applyBorder="0" applyAlignment="0" applyProtection="0">
      <alignment vertical="center"/>
    </xf>
    <xf numFmtId="180" fontId="19" fillId="8" borderId="0" applyNumberFormat="0" applyBorder="0" applyAlignment="0" applyProtection="0">
      <alignment vertical="center"/>
    </xf>
    <xf numFmtId="180" fontId="19" fillId="8" borderId="0" applyNumberFormat="0" applyBorder="0" applyAlignment="0" applyProtection="0">
      <alignment vertical="center"/>
    </xf>
    <xf numFmtId="180" fontId="28" fillId="19" borderId="10" applyNumberFormat="0" applyAlignment="0" applyProtection="0">
      <alignment vertical="center"/>
    </xf>
    <xf numFmtId="180" fontId="19" fillId="12" borderId="0" applyNumberFormat="0" applyBorder="0" applyAlignment="0" applyProtection="0">
      <alignment vertical="center"/>
    </xf>
    <xf numFmtId="180" fontId="19" fillId="12" borderId="0" applyNumberFormat="0" applyBorder="0" applyAlignment="0" applyProtection="0">
      <alignment vertical="center"/>
    </xf>
    <xf numFmtId="180" fontId="19" fillId="12" borderId="0" applyNumberFormat="0" applyBorder="0" applyAlignment="0" applyProtection="0">
      <alignment vertical="center"/>
    </xf>
    <xf numFmtId="180" fontId="19" fillId="24" borderId="0" applyNumberFormat="0" applyBorder="0" applyAlignment="0" applyProtection="0">
      <alignment vertical="center"/>
    </xf>
    <xf numFmtId="180" fontId="28" fillId="19" borderId="10" applyNumberFormat="0" applyAlignment="0" applyProtection="0">
      <alignment vertical="center"/>
    </xf>
    <xf numFmtId="180" fontId="19" fillId="24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19" fillId="11" borderId="0" applyNumberFormat="0" applyBorder="0" applyAlignment="0" applyProtection="0">
      <alignment vertical="center"/>
    </xf>
    <xf numFmtId="180" fontId="19" fillId="7" borderId="0" applyNumberFormat="0" applyBorder="0" applyAlignment="0" applyProtection="0">
      <alignment vertical="center"/>
    </xf>
    <xf numFmtId="180" fontId="19" fillId="7" borderId="0" applyNumberFormat="0" applyBorder="0" applyAlignment="0" applyProtection="0">
      <alignment vertical="center"/>
    </xf>
    <xf numFmtId="180" fontId="19" fillId="7" borderId="0" applyNumberFormat="0" applyBorder="0" applyAlignment="0" applyProtection="0">
      <alignment vertical="center"/>
    </xf>
    <xf numFmtId="180" fontId="19" fillId="7" borderId="0" applyNumberFormat="0" applyBorder="0" applyAlignment="0" applyProtection="0">
      <alignment vertical="center"/>
    </xf>
    <xf numFmtId="180" fontId="19" fillId="7" borderId="0" applyNumberFormat="0" applyBorder="0" applyAlignment="0" applyProtection="0">
      <alignment vertical="center"/>
    </xf>
    <xf numFmtId="180" fontId="19" fillId="7" borderId="0" applyNumberFormat="0" applyBorder="0" applyAlignment="0" applyProtection="0">
      <alignment vertical="center"/>
    </xf>
    <xf numFmtId="180" fontId="35" fillId="26" borderId="0" applyNumberFormat="0" applyBorder="0" applyAlignment="0" applyProtection="0">
      <alignment vertical="center"/>
    </xf>
    <xf numFmtId="180" fontId="35" fillId="26" borderId="0" applyNumberFormat="0" applyBorder="0" applyAlignment="0" applyProtection="0">
      <alignment vertical="center"/>
    </xf>
    <xf numFmtId="180" fontId="35" fillId="26" borderId="0" applyNumberFormat="0" applyBorder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23" fillId="15" borderId="11" applyNumberFormat="0" applyAlignment="0" applyProtection="0">
      <alignment vertical="center"/>
    </xf>
    <xf numFmtId="180" fontId="30" fillId="0" borderId="0"/>
    <xf numFmtId="180" fontId="28" fillId="19" borderId="10" applyNumberFormat="0" applyAlignment="0" applyProtection="0">
      <alignment vertical="center"/>
    </xf>
    <xf numFmtId="180" fontId="30" fillId="0" borderId="0"/>
    <xf numFmtId="180" fontId="28" fillId="19" borderId="10" applyNumberFormat="0" applyAlignment="0" applyProtection="0">
      <alignment vertical="center"/>
    </xf>
    <xf numFmtId="180" fontId="28" fillId="19" borderId="10" applyNumberFormat="0" applyAlignment="0" applyProtection="0">
      <alignment vertical="center"/>
    </xf>
    <xf numFmtId="180" fontId="28" fillId="19" borderId="10" applyNumberFormat="0" applyAlignment="0" applyProtection="0">
      <alignment vertical="center"/>
    </xf>
    <xf numFmtId="180" fontId="28" fillId="19" borderId="10" applyNumberFormat="0" applyAlignment="0" applyProtection="0">
      <alignment vertical="center"/>
    </xf>
    <xf numFmtId="180" fontId="39" fillId="0" borderId="0"/>
    <xf numFmtId="180" fontId="17" fillId="0" borderId="0"/>
    <xf numFmtId="180" fontId="30" fillId="0" borderId="0"/>
    <xf numFmtId="180" fontId="30" fillId="0" borderId="0"/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9" fillId="9" borderId="8" applyNumberFormat="0" applyFont="0" applyAlignment="0" applyProtection="0">
      <alignment vertical="center"/>
    </xf>
    <xf numFmtId="180" fontId="40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80" fontId="16" fillId="0" borderId="0">
      <alignment vertical="center"/>
    </xf>
    <xf numFmtId="180" fontId="20" fillId="0" borderId="0"/>
    <xf numFmtId="180" fontId="3" fillId="0" borderId="0">
      <alignment vertical="center"/>
    </xf>
    <xf numFmtId="180" fontId="3" fillId="0" borderId="0">
      <alignment vertical="center"/>
    </xf>
    <xf numFmtId="180" fontId="3" fillId="0" borderId="0">
      <alignment vertical="center"/>
    </xf>
    <xf numFmtId="180" fontId="4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8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8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80" fontId="9" fillId="0" borderId="0">
      <alignment vertical="center"/>
    </xf>
    <xf numFmtId="180" fontId="20" fillId="0" borderId="0"/>
    <xf numFmtId="9" fontId="3" fillId="0" borderId="0" applyFont="0" applyFill="0" applyBorder="0" applyAlignment="0" applyProtection="0">
      <alignment vertical="center"/>
    </xf>
    <xf numFmtId="18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80" fontId="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8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80" fontId="3" fillId="0" borderId="0">
      <alignment vertical="center"/>
    </xf>
    <xf numFmtId="180" fontId="3" fillId="0" borderId="0">
      <alignment vertical="center"/>
    </xf>
    <xf numFmtId="43" fontId="20" fillId="0" borderId="0" applyFont="0" applyFill="0" applyBorder="0" applyAlignment="0" applyProtection="0"/>
    <xf numFmtId="180" fontId="3" fillId="0" borderId="0">
      <alignment vertical="center"/>
    </xf>
    <xf numFmtId="180" fontId="9" fillId="0" borderId="0">
      <alignment vertical="center"/>
    </xf>
    <xf numFmtId="180" fontId="20" fillId="0" borderId="0"/>
    <xf numFmtId="180" fontId="20" fillId="0" borderId="0">
      <alignment vertical="center"/>
    </xf>
    <xf numFmtId="18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80" fontId="3" fillId="0" borderId="0">
      <alignment vertical="center"/>
    </xf>
    <xf numFmtId="180" fontId="3" fillId="0" borderId="0">
      <alignment vertical="center"/>
    </xf>
    <xf numFmtId="180" fontId="3" fillId="0" borderId="0">
      <alignment vertical="center"/>
    </xf>
    <xf numFmtId="180" fontId="3" fillId="0" borderId="0">
      <alignment vertical="center"/>
    </xf>
    <xf numFmtId="180" fontId="20" fillId="0" borderId="0">
      <alignment vertical="center"/>
    </xf>
    <xf numFmtId="180" fontId="17" fillId="0" borderId="0" applyBorder="0">
      <alignment vertical="center"/>
    </xf>
    <xf numFmtId="180" fontId="9" fillId="0" borderId="0">
      <alignment vertical="center"/>
    </xf>
    <xf numFmtId="180" fontId="2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7">
    <xf numFmtId="180" fontId="0" fillId="0" borderId="0" xfId="0">
      <alignment vertical="center"/>
    </xf>
    <xf numFmtId="180" fontId="3" fillId="0" borderId="0" xfId="469">
      <alignment vertical="center"/>
    </xf>
    <xf numFmtId="180" fontId="3" fillId="0" borderId="0" xfId="469" applyAlignment="1">
      <alignment vertical="center" wrapText="1"/>
    </xf>
    <xf numFmtId="180" fontId="3" fillId="0" borderId="16" xfId="469" applyBorder="1">
      <alignment vertical="center"/>
    </xf>
    <xf numFmtId="180" fontId="3" fillId="0" borderId="16" xfId="469" applyFont="1" applyBorder="1">
      <alignment vertical="center"/>
    </xf>
    <xf numFmtId="180" fontId="3" fillId="0" borderId="16" xfId="469" applyFont="1" applyBorder="1" applyAlignment="1">
      <alignment vertical="center" wrapText="1"/>
    </xf>
    <xf numFmtId="10" fontId="3" fillId="0" borderId="16" xfId="469" applyNumberFormat="1" applyFont="1" applyBorder="1" applyAlignment="1">
      <alignment vertical="center" wrapText="1"/>
    </xf>
    <xf numFmtId="10" fontId="3" fillId="0" borderId="16" xfId="469" applyNumberFormat="1" applyBorder="1">
      <alignment vertical="center"/>
    </xf>
    <xf numFmtId="10" fontId="3" fillId="0" borderId="16" xfId="469" applyNumberFormat="1" applyFill="1" applyBorder="1">
      <alignment vertical="center"/>
    </xf>
    <xf numFmtId="180" fontId="3" fillId="0" borderId="3" xfId="469" applyFont="1" applyBorder="1" applyAlignment="1">
      <alignment vertical="center" wrapText="1"/>
    </xf>
    <xf numFmtId="180" fontId="3" fillId="0" borderId="3" xfId="469" applyBorder="1">
      <alignment vertical="center"/>
    </xf>
    <xf numFmtId="180" fontId="3" fillId="0" borderId="0" xfId="469" applyFont="1" applyBorder="1" applyAlignment="1">
      <alignment vertical="center" wrapText="1"/>
    </xf>
    <xf numFmtId="180" fontId="3" fillId="0" borderId="0" xfId="469" applyNumberFormat="1">
      <alignment vertical="center"/>
    </xf>
    <xf numFmtId="180" fontId="3" fillId="0" borderId="16" xfId="469" applyNumberFormat="1" applyFont="1" applyBorder="1" applyAlignment="1">
      <alignment vertical="center" wrapText="1"/>
    </xf>
    <xf numFmtId="180" fontId="3" fillId="0" borderId="16" xfId="469" applyNumberFormat="1" applyBorder="1">
      <alignment vertical="center"/>
    </xf>
    <xf numFmtId="180" fontId="3" fillId="0" borderId="16" xfId="469" applyNumberFormat="1" applyFill="1" applyBorder="1">
      <alignment vertical="center"/>
    </xf>
    <xf numFmtId="180" fontId="45" fillId="0" borderId="2" xfId="473" applyFont="1" applyFill="1" applyBorder="1" applyAlignment="1">
      <alignment horizontal="left" vertical="center"/>
    </xf>
    <xf numFmtId="10" fontId="29" fillId="0" borderId="16" xfId="469" applyNumberFormat="1" applyFont="1" applyBorder="1">
      <alignment vertical="center"/>
    </xf>
    <xf numFmtId="180" fontId="44" fillId="27" borderId="2" xfId="1" applyFont="1" applyFill="1" applyBorder="1" applyAlignment="1">
      <alignment horizontal="left" vertical="center"/>
    </xf>
    <xf numFmtId="49" fontId="13" fillId="27" borderId="2" xfId="475" applyNumberFormat="1" applyFont="1" applyFill="1" applyBorder="1" applyAlignment="1">
      <alignment horizontal="left" vertical="center" wrapText="1"/>
    </xf>
    <xf numFmtId="180" fontId="45" fillId="0" borderId="2" xfId="476" applyFont="1" applyFill="1" applyBorder="1" applyAlignment="1">
      <alignment horizontal="left" vertical="center"/>
    </xf>
    <xf numFmtId="49" fontId="15" fillId="0" borderId="2" xfId="303" applyNumberFormat="1" applyFont="1" applyFill="1" applyBorder="1" applyAlignment="1">
      <alignment horizontal="left" vertical="center"/>
    </xf>
    <xf numFmtId="180" fontId="45" fillId="0" borderId="2" xfId="473" applyFont="1" applyFill="1" applyBorder="1" applyAlignment="1">
      <alignment horizontal="left" vertical="center"/>
    </xf>
    <xf numFmtId="180" fontId="45" fillId="0" borderId="5" xfId="476" applyFont="1" applyFill="1" applyBorder="1" applyAlignment="1">
      <alignment horizontal="left" vertical="center"/>
    </xf>
    <xf numFmtId="49" fontId="15" fillId="0" borderId="2" xfId="474" applyNumberFormat="1" applyFont="1" applyFill="1" applyBorder="1" applyAlignment="1">
      <alignment horizontal="left" vertical="center"/>
    </xf>
    <xf numFmtId="49" fontId="15" fillId="0" borderId="2" xfId="475" applyNumberFormat="1" applyFont="1" applyFill="1" applyBorder="1" applyAlignment="1">
      <alignment horizontal="left" vertical="center"/>
    </xf>
    <xf numFmtId="180" fontId="46" fillId="27" borderId="2" xfId="475" applyFont="1" applyFill="1" applyBorder="1" applyAlignment="1">
      <alignment vertical="center" wrapText="1"/>
    </xf>
    <xf numFmtId="180" fontId="5" fillId="0" borderId="5" xfId="1" applyFont="1" applyFill="1" applyBorder="1" applyAlignment="1">
      <alignment vertical="center"/>
    </xf>
    <xf numFmtId="180" fontId="44" fillId="27" borderId="2" xfId="1" applyFont="1" applyFill="1" applyBorder="1" applyAlignment="1">
      <alignment horizontal="left" vertical="center"/>
    </xf>
    <xf numFmtId="49" fontId="13" fillId="27" borderId="2" xfId="475" applyNumberFormat="1" applyFont="1" applyFill="1" applyBorder="1" applyAlignment="1">
      <alignment horizontal="left" vertical="center" wrapText="1"/>
    </xf>
    <xf numFmtId="180" fontId="45" fillId="0" borderId="2" xfId="476" applyFont="1" applyFill="1" applyBorder="1" applyAlignment="1">
      <alignment horizontal="left" vertical="center"/>
    </xf>
    <xf numFmtId="49" fontId="15" fillId="0" borderId="2" xfId="303" applyNumberFormat="1" applyFont="1" applyFill="1" applyBorder="1" applyAlignment="1">
      <alignment horizontal="left" vertical="center"/>
    </xf>
    <xf numFmtId="180" fontId="45" fillId="0" borderId="2" xfId="473" applyFont="1" applyFill="1" applyBorder="1" applyAlignment="1">
      <alignment horizontal="left" vertical="center"/>
    </xf>
    <xf numFmtId="180" fontId="45" fillId="0" borderId="5" xfId="476" applyFont="1" applyFill="1" applyBorder="1" applyAlignment="1">
      <alignment horizontal="left" vertical="center"/>
    </xf>
    <xf numFmtId="49" fontId="15" fillId="0" borderId="2" xfId="474" applyNumberFormat="1" applyFont="1" applyFill="1" applyBorder="1" applyAlignment="1">
      <alignment horizontal="left" vertical="center"/>
    </xf>
    <xf numFmtId="49" fontId="15" fillId="0" borderId="2" xfId="475" applyNumberFormat="1" applyFont="1" applyFill="1" applyBorder="1" applyAlignment="1">
      <alignment horizontal="left" vertical="center"/>
    </xf>
    <xf numFmtId="180" fontId="46" fillId="27" borderId="2" xfId="475" applyFont="1" applyFill="1" applyBorder="1" applyAlignment="1">
      <alignment vertical="center" wrapText="1"/>
    </xf>
    <xf numFmtId="180" fontId="5" fillId="0" borderId="5" xfId="1" applyFont="1" applyFill="1" applyBorder="1" applyAlignment="1">
      <alignment vertical="center"/>
    </xf>
    <xf numFmtId="49" fontId="8" fillId="0" borderId="0" xfId="465" applyNumberFormat="1" applyFont="1" applyBorder="1" applyAlignment="1" applyProtection="1">
      <alignment horizontal="left" vertical="center"/>
      <protection locked="0"/>
    </xf>
    <xf numFmtId="180" fontId="7" fillId="0" borderId="0" xfId="446" quotePrefix="1" applyNumberFormat="1" applyFont="1" applyBorder="1" applyAlignment="1">
      <alignment horizontal="left" vertical="center"/>
    </xf>
    <xf numFmtId="14" fontId="7" fillId="28" borderId="0" xfId="446" applyNumberFormat="1" applyFont="1" applyFill="1" applyBorder="1" applyAlignment="1">
      <alignment horizontal="left" vertical="center"/>
    </xf>
    <xf numFmtId="180" fontId="42" fillId="0" borderId="0" xfId="446" applyFont="1">
      <alignment vertical="center"/>
    </xf>
    <xf numFmtId="180" fontId="41" fillId="0" borderId="0" xfId="446" applyNumberFormat="1" applyFont="1" applyFill="1" applyBorder="1" applyAlignment="1">
      <alignment horizontal="left" wrapText="1"/>
    </xf>
    <xf numFmtId="180" fontId="7" fillId="28" borderId="0" xfId="446" applyNumberFormat="1" applyFont="1" applyFill="1" applyBorder="1" applyAlignment="1">
      <alignment horizontal="left" vertical="center"/>
    </xf>
    <xf numFmtId="180" fontId="7" fillId="0" borderId="0" xfId="446" quotePrefix="1" applyNumberFormat="1" applyFont="1" applyBorder="1" applyAlignment="1">
      <alignment horizontal="left" vertical="center"/>
    </xf>
    <xf numFmtId="180" fontId="42" fillId="0" borderId="0" xfId="471" applyFont="1" applyBorder="1" applyAlignment="1">
      <alignment horizontal="left" vertical="center"/>
    </xf>
    <xf numFmtId="49" fontId="42" fillId="0" borderId="0" xfId="303" applyNumberFormat="1" applyFont="1" applyFill="1" applyBorder="1" applyAlignment="1">
      <alignment horizontal="left" vertical="center"/>
    </xf>
    <xf numFmtId="180" fontId="41" fillId="0" borderId="0" xfId="446" applyNumberFormat="1" applyFont="1" applyFill="1" applyBorder="1" applyAlignment="1">
      <alignment horizontal="left"/>
    </xf>
    <xf numFmtId="180" fontId="41" fillId="0" borderId="0" xfId="446" applyFont="1" applyFill="1" applyBorder="1" applyAlignment="1">
      <alignment horizontal="left" wrapText="1"/>
    </xf>
    <xf numFmtId="176" fontId="41" fillId="27" borderId="0" xfId="446" applyNumberFormat="1" applyFont="1" applyFill="1" applyBorder="1" applyAlignment="1">
      <alignment horizontal="left" wrapText="1"/>
    </xf>
    <xf numFmtId="176" fontId="41" fillId="28" borderId="0" xfId="446" applyNumberFormat="1" applyFont="1" applyFill="1" applyBorder="1" applyAlignment="1">
      <alignment horizontal="left" wrapText="1"/>
    </xf>
    <xf numFmtId="2" fontId="41" fillId="28" borderId="0" xfId="446" applyNumberFormat="1" applyFont="1" applyFill="1" applyBorder="1" applyAlignment="1">
      <alignment horizontal="left" wrapText="1"/>
    </xf>
    <xf numFmtId="180" fontId="41" fillId="0" borderId="0" xfId="446" applyNumberFormat="1" applyFont="1" applyFill="1" applyBorder="1" applyAlignment="1">
      <alignment horizontal="left"/>
    </xf>
    <xf numFmtId="180" fontId="41" fillId="0" borderId="0" xfId="446" applyFont="1" applyFill="1" applyBorder="1" applyAlignment="1">
      <alignment horizontal="left"/>
    </xf>
    <xf numFmtId="180" fontId="42" fillId="0" borderId="0" xfId="0" applyFont="1">
      <alignment vertical="center"/>
    </xf>
    <xf numFmtId="14" fontId="7" fillId="28" borderId="0" xfId="446" applyNumberFormat="1" applyFont="1" applyFill="1" applyAlignment="1">
      <alignment horizontal="left" vertical="center"/>
    </xf>
    <xf numFmtId="2" fontId="7" fillId="28" borderId="0" xfId="446" applyNumberFormat="1" applyFont="1" applyFill="1" applyBorder="1" applyAlignment="1">
      <alignment horizontal="left" vertical="center"/>
    </xf>
    <xf numFmtId="176" fontId="7" fillId="28" borderId="0" xfId="446" applyNumberFormat="1" applyFont="1" applyFill="1" applyBorder="1" applyAlignment="1">
      <alignment horizontal="left" vertical="center"/>
    </xf>
    <xf numFmtId="180" fontId="7" fillId="0" borderId="0" xfId="446" applyNumberFormat="1" applyFont="1" applyFill="1" applyAlignment="1">
      <alignment horizontal="left" vertical="center"/>
    </xf>
    <xf numFmtId="177" fontId="7" fillId="0" borderId="0" xfId="446" applyNumberFormat="1" applyFont="1" applyFill="1" applyAlignment="1">
      <alignment horizontal="left" vertical="center"/>
    </xf>
    <xf numFmtId="180" fontId="7" fillId="0" borderId="0" xfId="446" applyFont="1" applyFill="1" applyAlignment="1">
      <alignment horizontal="left" vertical="center"/>
    </xf>
    <xf numFmtId="176" fontId="7" fillId="0" borderId="0" xfId="446" applyNumberFormat="1" applyFont="1" applyFill="1" applyAlignment="1">
      <alignment horizontal="left" vertical="center"/>
    </xf>
    <xf numFmtId="180" fontId="7" fillId="28" borderId="0" xfId="446" applyFont="1" applyFill="1" applyAlignment="1">
      <alignment horizontal="left" vertical="center"/>
    </xf>
    <xf numFmtId="176" fontId="7" fillId="27" borderId="0" xfId="446" applyNumberFormat="1" applyFont="1" applyFill="1" applyBorder="1" applyAlignment="1">
      <alignment horizontal="left" wrapText="1"/>
    </xf>
    <xf numFmtId="2" fontId="7" fillId="27" borderId="0" xfId="446" applyNumberFormat="1" applyFont="1" applyFill="1" applyAlignment="1">
      <alignment horizontal="left"/>
    </xf>
    <xf numFmtId="180" fontId="42" fillId="27" borderId="0" xfId="0" applyFont="1" applyFill="1">
      <alignment vertical="center"/>
    </xf>
    <xf numFmtId="176" fontId="47" fillId="28" borderId="0" xfId="446" applyNumberFormat="1" applyFont="1" applyFill="1" applyBorder="1" applyAlignment="1">
      <alignment horizontal="left" vertical="center" wrapText="1"/>
    </xf>
    <xf numFmtId="180" fontId="42" fillId="0" borderId="0" xfId="261" applyFont="1" applyFill="1" applyBorder="1" applyAlignment="1">
      <alignment horizontal="center" vertical="center" wrapText="1"/>
    </xf>
    <xf numFmtId="180" fontId="7" fillId="27" borderId="0" xfId="303" applyFont="1" applyFill="1" applyBorder="1" applyAlignment="1">
      <alignment horizontal="center" vertical="center"/>
    </xf>
    <xf numFmtId="180" fontId="42" fillId="3" borderId="0" xfId="303" applyFont="1" applyFill="1" applyBorder="1" applyAlignment="1">
      <alignment horizontal="center" vertical="center"/>
    </xf>
    <xf numFmtId="180" fontId="7" fillId="3" borderId="0" xfId="303" quotePrefix="1" applyNumberFormat="1" applyFont="1" applyFill="1" applyBorder="1">
      <alignment vertical="center"/>
    </xf>
    <xf numFmtId="180" fontId="4" fillId="5" borderId="16" xfId="303" applyFont="1" applyFill="1" applyBorder="1" applyAlignment="1">
      <alignment horizontal="center" vertical="center"/>
    </xf>
    <xf numFmtId="180" fontId="13" fillId="3" borderId="2" xfId="353" applyNumberFormat="1" applyFont="1" applyFill="1" applyBorder="1" applyAlignment="1" applyProtection="1">
      <alignment horizontal="center" vertical="center" wrapText="1"/>
    </xf>
    <xf numFmtId="179" fontId="12" fillId="0" borderId="0" xfId="261" applyNumberFormat="1" applyFont="1" applyFill="1" applyBorder="1" applyAlignment="1" applyProtection="1">
      <alignment horizontal="center" vertical="center"/>
    </xf>
    <xf numFmtId="178" fontId="12" fillId="0" borderId="16" xfId="261" applyNumberFormat="1" applyFont="1" applyFill="1" applyBorder="1" applyAlignment="1" applyProtection="1">
      <alignment horizontal="center" vertical="center"/>
    </xf>
    <xf numFmtId="180" fontId="4" fillId="0" borderId="16" xfId="261" applyFont="1" applyFill="1" applyBorder="1" applyAlignment="1">
      <alignment horizontal="center" vertical="center" wrapText="1"/>
    </xf>
    <xf numFmtId="180" fontId="10" fillId="4" borderId="16" xfId="261" applyNumberFormat="1" applyFont="1" applyFill="1" applyBorder="1" applyAlignment="1">
      <alignment horizontal="center" vertical="center" wrapText="1"/>
    </xf>
    <xf numFmtId="177" fontId="12" fillId="0" borderId="16" xfId="261" applyNumberFormat="1" applyFont="1" applyFill="1" applyBorder="1" applyAlignment="1">
      <alignment horizontal="center" vertical="center"/>
    </xf>
    <xf numFmtId="177" fontId="12" fillId="4" borderId="16" xfId="261" applyNumberFormat="1" applyFont="1" applyFill="1" applyBorder="1" applyAlignment="1">
      <alignment horizontal="center" vertical="center"/>
    </xf>
    <xf numFmtId="176" fontId="10" fillId="0" borderId="16" xfId="261" applyNumberFormat="1" applyFont="1" applyFill="1" applyBorder="1" applyAlignment="1">
      <alignment horizontal="center" vertical="center" wrapText="1"/>
    </xf>
    <xf numFmtId="180" fontId="10" fillId="4" borderId="16" xfId="261" applyFont="1" applyFill="1" applyBorder="1" applyAlignment="1">
      <alignment horizontal="center" vertical="center"/>
    </xf>
    <xf numFmtId="180" fontId="4" fillId="3" borderId="16" xfId="303" applyFont="1" applyFill="1" applyBorder="1" applyAlignment="1">
      <alignment horizontal="center" vertical="center"/>
    </xf>
    <xf numFmtId="180" fontId="4" fillId="5" borderId="16" xfId="303" applyNumberFormat="1" applyFont="1" applyFill="1" applyBorder="1" applyAlignment="1">
      <alignment horizontal="center" vertical="center"/>
    </xf>
    <xf numFmtId="180" fontId="10" fillId="0" borderId="16" xfId="303" applyFont="1" applyBorder="1" applyAlignment="1">
      <alignment horizontal="center" vertical="center"/>
    </xf>
    <xf numFmtId="180" fontId="4" fillId="0" borderId="0" xfId="1" applyFont="1" applyAlignment="1">
      <alignment horizontal="center" vertical="center"/>
    </xf>
    <xf numFmtId="180" fontId="4" fillId="0" borderId="0" xfId="0" applyFont="1" applyAlignment="1">
      <alignment horizontal="center" vertical="center"/>
    </xf>
    <xf numFmtId="180" fontId="4" fillId="0" borderId="16" xfId="471" applyFont="1" applyBorder="1" applyAlignment="1">
      <alignment horizontal="center" vertical="center"/>
    </xf>
    <xf numFmtId="14" fontId="12" fillId="0" borderId="16" xfId="261" applyNumberFormat="1" applyFont="1" applyFill="1" applyBorder="1" applyAlignment="1">
      <alignment horizontal="center" vertical="center"/>
    </xf>
    <xf numFmtId="180" fontId="10" fillId="0" borderId="16" xfId="303" quotePrefix="1" applyNumberFormat="1" applyFont="1" applyBorder="1" applyAlignment="1">
      <alignment horizontal="center" vertical="center"/>
    </xf>
    <xf numFmtId="180" fontId="10" fillId="3" borderId="16" xfId="303" quotePrefix="1" applyNumberFormat="1" applyFont="1" applyFill="1" applyBorder="1" applyAlignment="1">
      <alignment horizontal="center" vertical="center"/>
    </xf>
    <xf numFmtId="49" fontId="4" fillId="0" borderId="16" xfId="303" applyNumberFormat="1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180" fontId="3" fillId="0" borderId="16" xfId="469" applyNumberFormat="1" applyBorder="1" applyAlignment="1">
      <alignment vertical="center" wrapText="1"/>
    </xf>
    <xf numFmtId="177" fontId="12" fillId="29" borderId="16" xfId="261" applyNumberFormat="1" applyFont="1" applyFill="1" applyBorder="1" applyAlignment="1">
      <alignment horizontal="center" vertical="center"/>
    </xf>
    <xf numFmtId="14" fontId="10" fillId="4" borderId="16" xfId="261" applyNumberFormat="1" applyFont="1" applyFill="1" applyBorder="1" applyAlignment="1">
      <alignment horizontal="center" vertical="center" wrapText="1"/>
    </xf>
    <xf numFmtId="180" fontId="49" fillId="0" borderId="16" xfId="261" applyFont="1" applyFill="1" applyBorder="1" applyAlignment="1">
      <alignment horizontal="center" vertical="center" wrapText="1"/>
    </xf>
    <xf numFmtId="176" fontId="12" fillId="4" borderId="16" xfId="261" applyNumberFormat="1" applyFont="1" applyFill="1" applyBorder="1" applyAlignment="1" applyProtection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80" fontId="12" fillId="0" borderId="16" xfId="261" quotePrefix="1" applyNumberFormat="1" applyFont="1" applyFill="1" applyBorder="1" applyAlignment="1" applyProtection="1">
      <alignment horizontal="left" vertical="center"/>
    </xf>
    <xf numFmtId="179" fontId="12" fillId="0" borderId="16" xfId="261" applyNumberFormat="1" applyFont="1" applyFill="1" applyBorder="1" applyAlignment="1" applyProtection="1">
      <alignment horizontal="left" vertical="center"/>
    </xf>
    <xf numFmtId="180" fontId="4" fillId="0" borderId="0" xfId="1" applyFont="1" applyAlignment="1">
      <alignment horizontal="left" vertical="center"/>
    </xf>
    <xf numFmtId="180" fontId="4" fillId="0" borderId="0" xfId="0" applyFont="1" applyAlignment="1">
      <alignment horizontal="left" vertical="center"/>
    </xf>
    <xf numFmtId="182" fontId="0" fillId="0" borderId="0" xfId="0" applyNumberFormat="1" applyAlignment="1"/>
    <xf numFmtId="182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7" fillId="0" borderId="0" xfId="0" applyNumberFormat="1" applyFont="1" applyAlignment="1">
      <alignment vertical="center"/>
    </xf>
    <xf numFmtId="18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180" fontId="0" fillId="0" borderId="0" xfId="0" applyAlignment="1"/>
    <xf numFmtId="49" fontId="0" fillId="0" borderId="0" xfId="0" applyNumberFormat="1" applyAlignment="1"/>
    <xf numFmtId="49" fontId="0" fillId="0" borderId="0" xfId="0" applyNumberFormat="1" applyFill="1" applyAlignment="1"/>
    <xf numFmtId="10" fontId="0" fillId="0" borderId="0" xfId="0" applyNumberFormat="1" applyAlignment="1"/>
    <xf numFmtId="179" fontId="12" fillId="30" borderId="16" xfId="261" applyNumberFormat="1" applyFont="1" applyFill="1" applyBorder="1" applyAlignment="1" applyProtection="1">
      <alignment horizontal="center" vertical="center"/>
    </xf>
    <xf numFmtId="180" fontId="10" fillId="5" borderId="16" xfId="303" applyFont="1" applyFill="1" applyBorder="1" applyAlignment="1">
      <alignment horizontal="center" vertical="center"/>
    </xf>
    <xf numFmtId="180" fontId="4" fillId="0" borderId="16" xfId="0" applyFont="1" applyBorder="1">
      <alignment vertical="center"/>
    </xf>
    <xf numFmtId="180" fontId="4" fillId="0" borderId="16" xfId="0" applyFont="1" applyFill="1" applyBorder="1" applyAlignment="1"/>
    <xf numFmtId="49" fontId="42" fillId="3" borderId="0" xfId="303" applyNumberFormat="1" applyFont="1" applyFill="1" applyBorder="1" applyAlignment="1">
      <alignment horizontal="left" vertical="center"/>
    </xf>
    <xf numFmtId="180" fontId="7" fillId="0" borderId="0" xfId="303" quotePrefix="1" applyNumberFormat="1" applyFont="1" applyFill="1" applyBorder="1">
      <alignment vertical="center"/>
    </xf>
    <xf numFmtId="180" fontId="42" fillId="0" borderId="0" xfId="303" applyFont="1" applyFill="1" applyBorder="1" applyAlignment="1">
      <alignment horizontal="center" vertical="center"/>
    </xf>
    <xf numFmtId="180" fontId="7" fillId="0" borderId="0" xfId="303" applyFont="1" applyFill="1" applyBorder="1" applyAlignment="1">
      <alignment horizontal="center" vertical="center"/>
    </xf>
    <xf numFmtId="180" fontId="7" fillId="0" borderId="0" xfId="471" applyFont="1" applyFill="1" applyBorder="1" applyAlignment="1">
      <alignment horizontal="left" vertical="center"/>
    </xf>
    <xf numFmtId="183" fontId="7" fillId="28" borderId="0" xfId="446" applyNumberFormat="1" applyFont="1" applyFill="1" applyBorder="1" applyAlignment="1">
      <alignment horizontal="left" vertical="center"/>
    </xf>
    <xf numFmtId="14" fontId="41" fillId="28" borderId="0" xfId="446" applyNumberFormat="1" applyFont="1" applyFill="1" applyBorder="1" applyAlignment="1">
      <alignment horizontal="left" wrapText="1"/>
    </xf>
    <xf numFmtId="180" fontId="7" fillId="3" borderId="0" xfId="303" applyFont="1" applyFill="1" applyBorder="1" applyAlignment="1">
      <alignment horizontal="center" vertical="center"/>
    </xf>
    <xf numFmtId="180" fontId="42" fillId="3" borderId="0" xfId="261" applyFont="1" applyFill="1" applyBorder="1" applyAlignment="1">
      <alignment horizontal="center" vertical="center" wrapText="1"/>
    </xf>
    <xf numFmtId="14" fontId="7" fillId="3" borderId="0" xfId="446" applyNumberFormat="1" applyFont="1" applyFill="1" applyBorder="1" applyAlignment="1">
      <alignment horizontal="left" vertical="center"/>
    </xf>
    <xf numFmtId="183" fontId="7" fillId="3" borderId="0" xfId="446" applyNumberFormat="1" applyFont="1" applyFill="1" applyBorder="1" applyAlignment="1">
      <alignment horizontal="left" vertical="center"/>
    </xf>
    <xf numFmtId="2" fontId="7" fillId="3" borderId="0" xfId="446" applyNumberFormat="1" applyFont="1" applyFill="1" applyBorder="1" applyAlignment="1">
      <alignment horizontal="left" vertical="center"/>
    </xf>
    <xf numFmtId="180" fontId="42" fillId="3" borderId="0" xfId="446" applyFont="1" applyFill="1">
      <alignment vertical="center"/>
    </xf>
    <xf numFmtId="177" fontId="7" fillId="3" borderId="0" xfId="446" applyNumberFormat="1" applyFont="1" applyFill="1" applyAlignment="1">
      <alignment horizontal="left" vertical="center"/>
    </xf>
    <xf numFmtId="180" fontId="42" fillId="3" borderId="0" xfId="0" applyFont="1" applyFill="1">
      <alignment vertical="center"/>
    </xf>
    <xf numFmtId="180" fontId="50" fillId="0" borderId="25" xfId="0" applyFont="1" applyBorder="1" applyAlignment="1">
      <alignment vertical="center"/>
    </xf>
    <xf numFmtId="180" fontId="50" fillId="0" borderId="26" xfId="0" applyFont="1" applyBorder="1" applyAlignment="1">
      <alignment vertical="center"/>
    </xf>
    <xf numFmtId="180" fontId="42" fillId="3" borderId="0" xfId="471" applyFont="1" applyFill="1" applyBorder="1" applyAlignment="1">
      <alignment horizontal="left" vertical="center"/>
    </xf>
    <xf numFmtId="180" fontId="7" fillId="3" borderId="0" xfId="446" applyFont="1" applyFill="1" applyAlignment="1">
      <alignment horizontal="left" vertical="center"/>
    </xf>
    <xf numFmtId="176" fontId="7" fillId="3" borderId="0" xfId="446" applyNumberFormat="1" applyFont="1" applyFill="1" applyAlignment="1">
      <alignment horizontal="left" vertical="center"/>
    </xf>
    <xf numFmtId="2" fontId="41" fillId="31" borderId="0" xfId="446" applyNumberFormat="1" applyFont="1" applyFill="1" applyBorder="1" applyAlignment="1">
      <alignment horizontal="left" wrapText="1"/>
    </xf>
    <xf numFmtId="2" fontId="7" fillId="31" borderId="0" xfId="446" applyNumberFormat="1" applyFont="1" applyFill="1" applyBorder="1" applyAlignment="1">
      <alignment horizontal="left" vertical="center"/>
    </xf>
    <xf numFmtId="180" fontId="42" fillId="31" borderId="0" xfId="0" applyFont="1" applyFill="1">
      <alignment vertical="center"/>
    </xf>
    <xf numFmtId="180" fontId="0" fillId="0" borderId="16" xfId="0" applyBorder="1" applyAlignment="1"/>
    <xf numFmtId="180" fontId="0" fillId="0" borderId="0" xfId="0" applyBorder="1" applyAlignment="1"/>
    <xf numFmtId="2" fontId="41" fillId="33" borderId="0" xfId="446" applyNumberFormat="1" applyFont="1" applyFill="1" applyBorder="1" applyAlignment="1">
      <alignment horizontal="left" wrapText="1"/>
    </xf>
    <xf numFmtId="2" fontId="7" fillId="33" borderId="0" xfId="446" applyNumberFormat="1" applyFont="1" applyFill="1" applyBorder="1" applyAlignment="1">
      <alignment horizontal="left" vertical="center"/>
    </xf>
    <xf numFmtId="180" fontId="42" fillId="33" borderId="0" xfId="0" applyFont="1" applyFill="1">
      <alignment vertical="center"/>
    </xf>
    <xf numFmtId="180" fontId="9" fillId="0" borderId="0" xfId="0" applyFont="1" applyFill="1" applyAlignment="1">
      <alignment horizontal="center" vertical="center"/>
    </xf>
    <xf numFmtId="180" fontId="56" fillId="34" borderId="16" xfId="0" applyFont="1" applyFill="1" applyBorder="1" applyAlignment="1">
      <alignment horizontal="center" vertical="center" wrapText="1"/>
    </xf>
    <xf numFmtId="180" fontId="56" fillId="34" borderId="16" xfId="0" applyNumberFormat="1" applyFont="1" applyFill="1" applyBorder="1" applyAlignment="1">
      <alignment horizontal="center" vertical="center" wrapText="1"/>
    </xf>
    <xf numFmtId="180" fontId="9" fillId="0" borderId="0" xfId="0" applyFont="1" applyFill="1" applyAlignment="1">
      <alignment vertical="center"/>
    </xf>
    <xf numFmtId="180" fontId="57" fillId="0" borderId="16" xfId="0" applyFont="1" applyFill="1" applyBorder="1" applyAlignment="1">
      <alignment horizontal="center"/>
    </xf>
    <xf numFmtId="49" fontId="57" fillId="0" borderId="16" xfId="0" applyNumberFormat="1" applyFont="1" applyFill="1" applyBorder="1" applyAlignment="1">
      <alignment horizontal="left" vertical="center"/>
    </xf>
    <xf numFmtId="180" fontId="10" fillId="0" borderId="16" xfId="0" applyFont="1" applyFill="1" applyBorder="1" applyAlignment="1" applyProtection="1">
      <alignment horizontal="center" vertical="center"/>
      <protection locked="0"/>
    </xf>
    <xf numFmtId="49" fontId="57" fillId="0" borderId="16" xfId="0" applyNumberFormat="1" applyFont="1" applyFill="1" applyBorder="1" applyAlignment="1">
      <alignment horizontal="center"/>
    </xf>
    <xf numFmtId="49" fontId="57" fillId="0" borderId="16" xfId="0" applyNumberFormat="1" applyFont="1" applyFill="1" applyBorder="1" applyAlignment="1">
      <alignment horizontal="center" vertical="center"/>
    </xf>
    <xf numFmtId="180" fontId="58" fillId="0" borderId="16" xfId="0" applyFont="1" applyFill="1" applyBorder="1" applyAlignment="1">
      <alignment horizontal="center" vertical="center"/>
    </xf>
    <xf numFmtId="49" fontId="59" fillId="0" borderId="16" xfId="0" applyNumberFormat="1" applyFont="1" applyFill="1" applyBorder="1" applyAlignment="1">
      <alignment horizontal="center" vertical="center"/>
    </xf>
    <xf numFmtId="180" fontId="60" fillId="0" borderId="16" xfId="0" applyFont="1" applyFill="1" applyBorder="1" applyAlignment="1">
      <alignment vertical="center"/>
    </xf>
    <xf numFmtId="184" fontId="15" fillId="0" borderId="16" xfId="0" applyNumberFormat="1" applyFont="1" applyFill="1" applyBorder="1" applyAlignment="1">
      <alignment horizontal="left" vertical="center"/>
    </xf>
    <xf numFmtId="180" fontId="57" fillId="0" borderId="16" xfId="0" applyNumberFormat="1" applyFont="1" applyFill="1" applyBorder="1" applyAlignment="1">
      <alignment horizontal="center"/>
    </xf>
    <xf numFmtId="180" fontId="16" fillId="0" borderId="16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horizontal="center" vertical="center" wrapText="1"/>
    </xf>
    <xf numFmtId="49" fontId="61" fillId="0" borderId="26" xfId="0" applyNumberFormat="1" applyFont="1" applyFill="1" applyBorder="1" applyAlignment="1">
      <alignment horizontal="center"/>
    </xf>
    <xf numFmtId="180" fontId="62" fillId="0" borderId="0" xfId="0" applyFont="1" applyFill="1" applyAlignment="1">
      <alignment vertical="center"/>
    </xf>
    <xf numFmtId="180" fontId="60" fillId="0" borderId="0" xfId="0" applyFont="1" applyFill="1" applyAlignment="1">
      <alignment vertical="center"/>
    </xf>
    <xf numFmtId="180" fontId="9" fillId="0" borderId="0" xfId="0" applyFont="1" applyFill="1" applyAlignment="1"/>
    <xf numFmtId="180" fontId="63" fillId="0" borderId="0" xfId="0" applyFont="1" applyFill="1" applyAlignment="1">
      <alignment vertical="center"/>
    </xf>
    <xf numFmtId="180" fontId="9" fillId="0" borderId="0" xfId="0" applyNumberFormat="1" applyFont="1" applyFill="1" applyAlignment="1"/>
    <xf numFmtId="180" fontId="64" fillId="0" borderId="0" xfId="0" applyFont="1" applyFill="1" applyAlignment="1"/>
    <xf numFmtId="180" fontId="65" fillId="0" borderId="0" xfId="0" applyFont="1" applyFill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64" fillId="0" borderId="0" xfId="0" applyFont="1" applyFill="1" applyAlignment="1">
      <alignment vertical="center"/>
    </xf>
    <xf numFmtId="180" fontId="14" fillId="0" borderId="0" xfId="0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80" fontId="0" fillId="0" borderId="29" xfId="0" applyBorder="1" applyAlignment="1"/>
    <xf numFmtId="180" fontId="4" fillId="0" borderId="16" xfId="261" applyFont="1" applyFill="1" applyBorder="1" applyAlignment="1">
      <alignment horizontal="right" vertical="center" wrapText="1"/>
    </xf>
    <xf numFmtId="180" fontId="0" fillId="0" borderId="16" xfId="0" applyBorder="1" applyAlignment="1">
      <alignment horizontal="right"/>
    </xf>
    <xf numFmtId="180" fontId="0" fillId="0" borderId="0" xfId="0" applyBorder="1" applyAlignment="1">
      <alignment horizontal="right"/>
    </xf>
    <xf numFmtId="180" fontId="0" fillId="0" borderId="0" xfId="0" applyAlignment="1">
      <alignment horizontal="right"/>
    </xf>
    <xf numFmtId="180" fontId="0" fillId="0" borderId="29" xfId="0" applyBorder="1" applyAlignment="1">
      <alignment horizontal="right"/>
    </xf>
    <xf numFmtId="180" fontId="0" fillId="33" borderId="29" xfId="0" applyFill="1" applyBorder="1" applyAlignment="1">
      <alignment horizontal="right"/>
    </xf>
    <xf numFmtId="180" fontId="0" fillId="0" borderId="0" xfId="0" applyAlignment="1">
      <alignment horizontal="right" vertical="center"/>
    </xf>
    <xf numFmtId="180" fontId="4" fillId="0" borderId="29" xfId="261" applyFont="1" applyFill="1" applyBorder="1" applyAlignment="1">
      <alignment horizontal="right" vertical="center" wrapText="1"/>
    </xf>
    <xf numFmtId="180" fontId="49" fillId="0" borderId="29" xfId="261" applyFont="1" applyFill="1" applyBorder="1" applyAlignment="1">
      <alignment horizontal="center" vertical="center" wrapText="1"/>
    </xf>
    <xf numFmtId="180" fontId="0" fillId="0" borderId="29" xfId="0" applyFill="1" applyBorder="1" applyAlignment="1">
      <alignment horizontal="right"/>
    </xf>
    <xf numFmtId="177" fontId="0" fillId="0" borderId="29" xfId="0" applyNumberFormat="1" applyBorder="1" applyAlignment="1">
      <alignment horizontal="right"/>
    </xf>
    <xf numFmtId="180" fontId="0" fillId="0" borderId="29" xfId="0" applyFill="1" applyBorder="1" applyAlignment="1"/>
    <xf numFmtId="180" fontId="0" fillId="0" borderId="29" xfId="0" applyBorder="1">
      <alignment vertical="center"/>
    </xf>
    <xf numFmtId="180" fontId="0" fillId="31" borderId="29" xfId="0" applyFill="1" applyBorder="1" applyAlignment="1"/>
    <xf numFmtId="180" fontId="0" fillId="31" borderId="29" xfId="0" applyFill="1" applyBorder="1" applyAlignment="1">
      <alignment horizontal="right"/>
    </xf>
    <xf numFmtId="177" fontId="0" fillId="31" borderId="29" xfId="0" applyNumberFormat="1" applyFill="1" applyBorder="1" applyAlignment="1">
      <alignment horizontal="right" vertical="center" wrapText="1"/>
    </xf>
    <xf numFmtId="180" fontId="0" fillId="31" borderId="29" xfId="0" applyFill="1" applyBorder="1" applyAlignment="1">
      <alignment horizontal="right" vertical="center" wrapText="1"/>
    </xf>
    <xf numFmtId="177" fontId="12" fillId="31" borderId="16" xfId="261" applyNumberFormat="1" applyFont="1" applyFill="1" applyBorder="1" applyAlignment="1">
      <alignment horizontal="center" vertical="center"/>
    </xf>
    <xf numFmtId="180" fontId="45" fillId="0" borderId="2" xfId="476" applyFont="1" applyFill="1" applyBorder="1" applyAlignment="1">
      <alignment vertical="center"/>
    </xf>
    <xf numFmtId="49" fontId="15" fillId="0" borderId="2" xfId="303" applyNumberFormat="1" applyFont="1" applyFill="1" applyBorder="1" applyAlignment="1">
      <alignment vertical="center"/>
    </xf>
    <xf numFmtId="180" fontId="45" fillId="0" borderId="2" xfId="473" applyFont="1" applyFill="1" applyBorder="1" applyAlignment="1">
      <alignment vertical="center"/>
    </xf>
    <xf numFmtId="180" fontId="45" fillId="0" borderId="5" xfId="476" applyFont="1" applyFill="1" applyBorder="1" applyAlignment="1">
      <alignment vertical="center"/>
    </xf>
    <xf numFmtId="49" fontId="15" fillId="0" borderId="2" xfId="474" applyNumberFormat="1" applyFont="1" applyFill="1" applyBorder="1" applyAlignment="1">
      <alignment vertical="center"/>
    </xf>
    <xf numFmtId="49" fontId="15" fillId="0" borderId="2" xfId="475" applyNumberFormat="1" applyFont="1" applyFill="1" applyBorder="1" applyAlignment="1">
      <alignment vertical="center"/>
    </xf>
    <xf numFmtId="180" fontId="4" fillId="5" borderId="29" xfId="303" applyFont="1" applyFill="1" applyBorder="1" applyAlignment="1">
      <alignment horizontal="center" vertical="center"/>
    </xf>
    <xf numFmtId="180" fontId="4" fillId="5" borderId="29" xfId="303" applyNumberFormat="1" applyFont="1" applyFill="1" applyBorder="1" applyAlignment="1">
      <alignment horizontal="center" vertical="center"/>
    </xf>
    <xf numFmtId="180" fontId="42" fillId="5" borderId="29" xfId="303" applyFont="1" applyFill="1" applyBorder="1" applyAlignment="1">
      <alignment horizontal="center" vertical="center"/>
    </xf>
    <xf numFmtId="180" fontId="4" fillId="0" borderId="16" xfId="303" applyNumberFormat="1" applyFont="1" applyFill="1" applyBorder="1" applyAlignment="1">
      <alignment horizontal="center" vertical="center"/>
    </xf>
    <xf numFmtId="180" fontId="12" fillId="0" borderId="29" xfId="303" applyNumberFormat="1" applyFont="1" applyFill="1" applyBorder="1" applyAlignment="1">
      <alignment horizontal="center" vertical="center"/>
    </xf>
    <xf numFmtId="9" fontId="4" fillId="5" borderId="29" xfId="477" applyFont="1" applyFill="1" applyBorder="1" applyAlignment="1">
      <alignment horizontal="center" vertical="center"/>
    </xf>
    <xf numFmtId="9" fontId="4" fillId="0" borderId="0" xfId="477" applyFont="1" applyAlignment="1">
      <alignment horizontal="center" vertical="center"/>
    </xf>
    <xf numFmtId="179" fontId="12" fillId="0" borderId="29" xfId="261" applyNumberFormat="1" applyFont="1" applyFill="1" applyBorder="1" applyAlignment="1" applyProtection="1">
      <alignment horizontal="left" vertical="center"/>
    </xf>
    <xf numFmtId="180" fontId="4" fillId="0" borderId="29" xfId="0" applyFont="1" applyBorder="1">
      <alignment vertical="center"/>
    </xf>
    <xf numFmtId="178" fontId="12" fillId="0" borderId="29" xfId="261" applyNumberFormat="1" applyFont="1" applyFill="1" applyBorder="1" applyAlignment="1" applyProtection="1">
      <alignment horizontal="center" vertical="center"/>
    </xf>
    <xf numFmtId="180" fontId="4" fillId="0" borderId="29" xfId="261" applyFont="1" applyFill="1" applyBorder="1" applyAlignment="1">
      <alignment horizontal="center" vertical="center" wrapText="1"/>
    </xf>
    <xf numFmtId="49" fontId="4" fillId="0" borderId="29" xfId="303" applyNumberFormat="1" applyFont="1" applyFill="1" applyBorder="1" applyAlignment="1">
      <alignment horizontal="center" vertical="center"/>
    </xf>
    <xf numFmtId="180" fontId="10" fillId="4" borderId="29" xfId="261" applyNumberFormat="1" applyFont="1" applyFill="1" applyBorder="1" applyAlignment="1">
      <alignment horizontal="center" vertical="center" wrapText="1"/>
    </xf>
    <xf numFmtId="14" fontId="10" fillId="4" borderId="29" xfId="261" applyNumberFormat="1" applyFont="1" applyFill="1" applyBorder="1" applyAlignment="1">
      <alignment horizontal="center" vertical="center" wrapText="1"/>
    </xf>
    <xf numFmtId="14" fontId="12" fillId="0" borderId="29" xfId="261" applyNumberFormat="1" applyFont="1" applyFill="1" applyBorder="1" applyAlignment="1">
      <alignment horizontal="center" vertical="center"/>
    </xf>
    <xf numFmtId="177" fontId="12" fillId="29" borderId="29" xfId="261" applyNumberFormat="1" applyFont="1" applyFill="1" applyBorder="1" applyAlignment="1">
      <alignment horizontal="center" vertical="center"/>
    </xf>
    <xf numFmtId="177" fontId="48" fillId="4" borderId="29" xfId="261" applyNumberFormat="1" applyFont="1" applyFill="1" applyBorder="1" applyAlignment="1">
      <alignment horizontal="center" vertical="center"/>
    </xf>
    <xf numFmtId="177" fontId="12" fillId="0" borderId="29" xfId="261" applyNumberFormat="1" applyFont="1" applyFill="1" applyBorder="1" applyAlignment="1">
      <alignment horizontal="center" vertical="center"/>
    </xf>
    <xf numFmtId="177" fontId="12" fillId="4" borderId="29" xfId="261" applyNumberFormat="1" applyFont="1" applyFill="1" applyBorder="1" applyAlignment="1">
      <alignment horizontal="center" vertical="center"/>
    </xf>
    <xf numFmtId="176" fontId="12" fillId="4" borderId="29" xfId="261" applyNumberFormat="1" applyFont="1" applyFill="1" applyBorder="1" applyAlignment="1" applyProtection="1">
      <alignment horizontal="center" vertical="center"/>
    </xf>
    <xf numFmtId="176" fontId="10" fillId="0" borderId="29" xfId="261" applyNumberFormat="1" applyFont="1" applyFill="1" applyBorder="1" applyAlignment="1">
      <alignment horizontal="center" vertical="center" wrapText="1"/>
    </xf>
    <xf numFmtId="179" fontId="12" fillId="30" borderId="29" xfId="261" applyNumberFormat="1" applyFont="1" applyFill="1" applyBorder="1" applyAlignment="1" applyProtection="1">
      <alignment horizontal="center" vertical="center"/>
    </xf>
    <xf numFmtId="180" fontId="10" fillId="4" borderId="29" xfId="261" applyFont="1" applyFill="1" applyBorder="1" applyAlignment="1">
      <alignment horizontal="center" vertical="center"/>
    </xf>
    <xf numFmtId="180" fontId="12" fillId="0" borderId="16" xfId="261" applyNumberFormat="1" applyFont="1" applyFill="1" applyBorder="1" applyAlignment="1" applyProtection="1">
      <alignment horizontal="left" vertical="center"/>
    </xf>
    <xf numFmtId="180" fontId="4" fillId="0" borderId="16" xfId="0" quotePrefix="1" applyNumberFormat="1" applyFont="1" applyBorder="1">
      <alignment vertical="center"/>
    </xf>
    <xf numFmtId="180" fontId="4" fillId="0" borderId="0" xfId="0" quotePrefix="1" applyNumberFormat="1" applyFont="1" applyAlignment="1">
      <alignment horizontal="left" vertical="center"/>
    </xf>
    <xf numFmtId="180" fontId="4" fillId="0" borderId="16" xfId="0" applyNumberFormat="1" applyFont="1" applyFill="1" applyBorder="1" applyAlignment="1"/>
    <xf numFmtId="180" fontId="12" fillId="0" borderId="29" xfId="261" applyNumberFormat="1" applyFont="1" applyFill="1" applyBorder="1" applyAlignment="1" applyProtection="1">
      <alignment horizontal="left" vertical="center"/>
    </xf>
    <xf numFmtId="180" fontId="4" fillId="0" borderId="0" xfId="1" applyNumberFormat="1" applyFont="1" applyAlignment="1">
      <alignment horizontal="left" vertical="center"/>
    </xf>
    <xf numFmtId="180" fontId="4" fillId="0" borderId="0" xfId="0" applyNumberFormat="1" applyFont="1" applyAlignment="1">
      <alignment horizontal="left" vertical="center"/>
    </xf>
    <xf numFmtId="0" fontId="10" fillId="0" borderId="16" xfId="303" applyNumberFormat="1" applyFont="1" applyBorder="1" applyAlignment="1">
      <alignment horizontal="center" vertical="center"/>
    </xf>
    <xf numFmtId="0" fontId="10" fillId="3" borderId="16" xfId="303" applyNumberFormat="1" applyFont="1" applyFill="1" applyBorder="1" applyAlignment="1">
      <alignment horizontal="center" vertical="center"/>
    </xf>
    <xf numFmtId="0" fontId="4" fillId="0" borderId="16" xfId="303" applyNumberFormat="1" applyFont="1" applyFill="1" applyBorder="1" applyAlignment="1">
      <alignment horizontal="center" vertical="center"/>
    </xf>
    <xf numFmtId="0" fontId="12" fillId="0" borderId="16" xfId="303" applyNumberFormat="1" applyFont="1" applyFill="1" applyBorder="1" applyAlignment="1">
      <alignment horizontal="center" vertical="center"/>
    </xf>
    <xf numFmtId="0" fontId="12" fillId="0" borderId="16" xfId="303" applyNumberFormat="1" applyFont="1" applyFill="1" applyBorder="1" applyAlignment="1">
      <alignment horizontal="center"/>
    </xf>
    <xf numFmtId="0" fontId="12" fillId="0" borderId="29" xfId="303" applyNumberFormat="1" applyFont="1" applyFill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6" fontId="4" fillId="5" borderId="29" xfId="303" applyNumberFormat="1" applyFont="1" applyFill="1" applyBorder="1" applyAlignment="1">
      <alignment horizontal="center" vertical="center"/>
    </xf>
    <xf numFmtId="176" fontId="49" fillId="5" borderId="16" xfId="303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49" fillId="5" borderId="29" xfId="303" applyNumberFormat="1" applyFont="1" applyFill="1" applyBorder="1" applyAlignment="1">
      <alignment horizontal="center" vertical="center"/>
    </xf>
    <xf numFmtId="0" fontId="49" fillId="0" borderId="26" xfId="261" applyNumberFormat="1" applyFont="1" applyFill="1" applyBorder="1" applyAlignment="1">
      <alignment horizontal="center" vertical="center" wrapText="1"/>
    </xf>
    <xf numFmtId="0" fontId="0" fillId="0" borderId="16" xfId="0" applyNumberFormat="1" applyBorder="1">
      <alignment vertical="center"/>
    </xf>
    <xf numFmtId="0" fontId="0" fillId="0" borderId="29" xfId="0" applyNumberFormat="1" applyBorder="1">
      <alignment vertical="center"/>
    </xf>
    <xf numFmtId="0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180" fontId="0" fillId="0" borderId="0" xfId="0" applyAlignment="1">
      <alignment wrapText="1"/>
    </xf>
    <xf numFmtId="180" fontId="0" fillId="0" borderId="0" xfId="0" applyAlignment="1">
      <alignment vertical="center" wrapText="1"/>
    </xf>
    <xf numFmtId="49" fontId="0" fillId="3" borderId="0" xfId="0" applyNumberFormat="1" applyFill="1" applyAlignment="1"/>
    <xf numFmtId="182" fontId="0" fillId="3" borderId="0" xfId="0" applyNumberFormat="1" applyFill="1" applyAlignment="1"/>
    <xf numFmtId="182" fontId="0" fillId="33" borderId="0" xfId="0" applyNumberFormat="1" applyFill="1" applyAlignment="1"/>
    <xf numFmtId="10" fontId="0" fillId="3" borderId="0" xfId="0" applyNumberFormat="1" applyFill="1" applyAlignment="1"/>
    <xf numFmtId="180" fontId="0" fillId="3" borderId="0" xfId="0" applyFill="1">
      <alignment vertical="center"/>
    </xf>
    <xf numFmtId="10" fontId="0" fillId="33" borderId="0" xfId="0" applyNumberFormat="1" applyFill="1" applyAlignment="1"/>
    <xf numFmtId="0" fontId="66" fillId="33" borderId="29" xfId="309" applyNumberFormat="1" applyFont="1" applyFill="1" applyBorder="1" applyAlignment="1">
      <alignment horizontal="center" vertical="center" wrapText="1"/>
    </xf>
    <xf numFmtId="0" fontId="16" fillId="33" borderId="29" xfId="309" applyNumberFormat="1" applyFont="1" applyFill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/>
    </xf>
    <xf numFmtId="0" fontId="4" fillId="5" borderId="29" xfId="303" applyNumberFormat="1" applyFont="1" applyFill="1" applyBorder="1" applyAlignment="1">
      <alignment horizontal="center" vertical="center"/>
    </xf>
    <xf numFmtId="0" fontId="10" fillId="0" borderId="29" xfId="303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 applyProtection="1">
      <alignment vertical="center"/>
    </xf>
    <xf numFmtId="0" fontId="0" fillId="0" borderId="29" xfId="0" applyNumberFormat="1" applyBorder="1" applyAlignment="1">
      <alignment horizontal="right" vertical="center"/>
    </xf>
    <xf numFmtId="0" fontId="0" fillId="5" borderId="29" xfId="0" applyNumberFormat="1" applyFill="1" applyBorder="1">
      <alignment vertical="center"/>
    </xf>
    <xf numFmtId="0" fontId="4" fillId="0" borderId="29" xfId="303" applyNumberFormat="1" applyFont="1" applyFill="1" applyBorder="1" applyAlignment="1">
      <alignment horizontal="center" vertical="center"/>
    </xf>
    <xf numFmtId="0" fontId="42" fillId="5" borderId="29" xfId="303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right" vertical="center"/>
    </xf>
    <xf numFmtId="0" fontId="0" fillId="3" borderId="0" xfId="0" applyNumberFormat="1" applyFill="1" applyAlignment="1">
      <alignment horizontal="center" vertical="center"/>
    </xf>
    <xf numFmtId="0" fontId="0" fillId="3" borderId="0" xfId="0" applyNumberFormat="1" applyFill="1">
      <alignment vertical="center"/>
    </xf>
    <xf numFmtId="0" fontId="50" fillId="0" borderId="28" xfId="0" applyNumberFormat="1" applyFont="1" applyBorder="1" applyAlignment="1">
      <alignment horizontal="center" vertical="center"/>
    </xf>
    <xf numFmtId="180" fontId="50" fillId="0" borderId="27" xfId="0" applyFont="1" applyBorder="1" applyAlignment="1">
      <alignment horizontal="center" vertical="center" wrapText="1"/>
    </xf>
    <xf numFmtId="180" fontId="50" fillId="0" borderId="19" xfId="0" applyFont="1" applyBorder="1" applyAlignment="1">
      <alignment horizontal="center" vertical="center" wrapText="1"/>
    </xf>
    <xf numFmtId="180" fontId="18" fillId="3" borderId="19" xfId="261" applyFont="1" applyFill="1" applyBorder="1" applyAlignment="1">
      <alignment horizontal="center" vertical="center"/>
    </xf>
    <xf numFmtId="180" fontId="18" fillId="3" borderId="16" xfId="261" applyFont="1" applyFill="1" applyBorder="1" applyAlignment="1">
      <alignment horizontal="center" vertical="center"/>
    </xf>
    <xf numFmtId="180" fontId="0" fillId="0" borderId="29" xfId="0" applyBorder="1" applyAlignment="1">
      <alignment horizontal="center" vertical="center"/>
    </xf>
    <xf numFmtId="180" fontId="50" fillId="36" borderId="25" xfId="0" applyFont="1" applyFill="1" applyBorder="1" applyAlignment="1">
      <alignment horizontal="center" vertical="center"/>
    </xf>
    <xf numFmtId="180" fontId="50" fillId="36" borderId="28" xfId="0" applyFont="1" applyFill="1" applyBorder="1" applyAlignment="1">
      <alignment horizontal="center" vertical="center"/>
    </xf>
    <xf numFmtId="180" fontId="0" fillId="36" borderId="25" xfId="0" applyFill="1" applyBorder="1" applyAlignment="1">
      <alignment horizontal="center" vertical="center"/>
    </xf>
    <xf numFmtId="180" fontId="0" fillId="36" borderId="28" xfId="0" applyFill="1" applyBorder="1" applyAlignment="1">
      <alignment horizontal="center" vertical="center"/>
    </xf>
    <xf numFmtId="180" fontId="50" fillId="0" borderId="21" xfId="0" applyFont="1" applyBorder="1" applyAlignment="1">
      <alignment horizontal="center" vertical="center" wrapText="1"/>
    </xf>
    <xf numFmtId="180" fontId="0" fillId="0" borderId="21" xfId="0" applyFill="1" applyBorder="1" applyAlignment="1">
      <alignment horizontal="center" wrapText="1"/>
    </xf>
    <xf numFmtId="180" fontId="0" fillId="0" borderId="27" xfId="0" applyFill="1" applyBorder="1" applyAlignment="1">
      <alignment horizontal="center" wrapText="1"/>
    </xf>
    <xf numFmtId="180" fontId="0" fillId="0" borderId="19" xfId="0" applyFill="1" applyBorder="1" applyAlignment="1">
      <alignment horizontal="center" wrapText="1"/>
    </xf>
    <xf numFmtId="180" fontId="0" fillId="0" borderId="29" xfId="0" applyBorder="1" applyAlignment="1">
      <alignment horizontal="center" wrapText="1"/>
    </xf>
    <xf numFmtId="181" fontId="13" fillId="3" borderId="1" xfId="64" applyNumberFormat="1" applyFont="1" applyFill="1" applyBorder="1" applyAlignment="1" applyProtection="1">
      <alignment horizontal="center" vertical="center" wrapText="1"/>
    </xf>
    <xf numFmtId="181" fontId="13" fillId="3" borderId="4" xfId="64" applyNumberFormat="1" applyFont="1" applyFill="1" applyBorder="1" applyAlignment="1" applyProtection="1">
      <alignment horizontal="center" vertical="center" wrapText="1"/>
    </xf>
    <xf numFmtId="181" fontId="13" fillId="3" borderId="21" xfId="64" applyNumberFormat="1" applyFont="1" applyFill="1" applyBorder="1" applyAlignment="1" applyProtection="1">
      <alignment horizontal="center" vertical="center" wrapText="1"/>
    </xf>
    <xf numFmtId="181" fontId="13" fillId="3" borderId="19" xfId="64" applyNumberFormat="1" applyFont="1" applyFill="1" applyBorder="1" applyAlignment="1" applyProtection="1">
      <alignment horizontal="center" vertical="center" wrapText="1"/>
    </xf>
    <xf numFmtId="176" fontId="13" fillId="3" borderId="1" xfId="353" applyNumberFormat="1" applyFont="1" applyFill="1" applyBorder="1" applyAlignment="1" applyProtection="1">
      <alignment horizontal="center" vertical="center" wrapText="1"/>
    </xf>
    <xf numFmtId="176" fontId="13" fillId="3" borderId="4" xfId="353" applyNumberFormat="1" applyFont="1" applyFill="1" applyBorder="1" applyAlignment="1" applyProtection="1">
      <alignment horizontal="center" vertical="center" wrapText="1"/>
    </xf>
    <xf numFmtId="180" fontId="13" fillId="3" borderId="1" xfId="64" applyNumberFormat="1" applyFont="1" applyFill="1" applyBorder="1" applyAlignment="1" applyProtection="1">
      <alignment horizontal="center" vertical="center" wrapText="1"/>
    </xf>
    <xf numFmtId="180" fontId="13" fillId="3" borderId="4" xfId="64" applyNumberFormat="1" applyFont="1" applyFill="1" applyBorder="1" applyAlignment="1" applyProtection="1">
      <alignment horizontal="center" vertical="center" wrapText="1"/>
    </xf>
    <xf numFmtId="176" fontId="13" fillId="3" borderId="1" xfId="64" applyNumberFormat="1" applyFont="1" applyFill="1" applyBorder="1" applyAlignment="1" applyProtection="1">
      <alignment horizontal="center" vertical="center" wrapText="1"/>
    </xf>
    <xf numFmtId="176" fontId="13" fillId="3" borderId="4" xfId="64" applyNumberFormat="1" applyFont="1" applyFill="1" applyBorder="1" applyAlignment="1" applyProtection="1">
      <alignment horizontal="center" vertical="center" wrapText="1"/>
    </xf>
    <xf numFmtId="180" fontId="13" fillId="30" borderId="1" xfId="64" applyNumberFormat="1" applyFont="1" applyFill="1" applyBorder="1" applyAlignment="1" applyProtection="1">
      <alignment horizontal="center" vertical="center" wrapText="1"/>
    </xf>
    <xf numFmtId="180" fontId="13" fillId="30" borderId="4" xfId="64" applyNumberFormat="1" applyFont="1" applyFill="1" applyBorder="1" applyAlignment="1" applyProtection="1">
      <alignment horizontal="center" vertical="center" wrapText="1"/>
    </xf>
    <xf numFmtId="180" fontId="13" fillId="3" borderId="1" xfId="353" applyNumberFormat="1" applyFont="1" applyFill="1" applyBorder="1" applyAlignment="1" applyProtection="1">
      <alignment horizontal="center" vertical="center" wrapText="1"/>
    </xf>
    <xf numFmtId="180" fontId="13" fillId="3" borderId="4" xfId="353" applyNumberFormat="1" applyFont="1" applyFill="1" applyBorder="1" applyAlignment="1" applyProtection="1">
      <alignment horizontal="center" vertical="center" wrapText="1"/>
    </xf>
    <xf numFmtId="0" fontId="11" fillId="3" borderId="21" xfId="353" applyNumberFormat="1" applyFont="1" applyFill="1" applyBorder="1" applyAlignment="1" applyProtection="1">
      <alignment horizontal="center" vertical="center" wrapText="1"/>
    </xf>
    <xf numFmtId="0" fontId="11" fillId="3" borderId="19" xfId="353" applyNumberFormat="1" applyFont="1" applyFill="1" applyBorder="1" applyAlignment="1" applyProtection="1">
      <alignment horizontal="center" vertical="center" wrapText="1"/>
    </xf>
    <xf numFmtId="14" fontId="11" fillId="3" borderId="1" xfId="353" applyNumberFormat="1" applyFont="1" applyFill="1" applyBorder="1" applyAlignment="1" applyProtection="1">
      <alignment horizontal="center" vertical="center" wrapText="1"/>
    </xf>
    <xf numFmtId="14" fontId="11" fillId="3" borderId="4" xfId="353" applyNumberFormat="1" applyFont="1" applyFill="1" applyBorder="1" applyAlignment="1" applyProtection="1">
      <alignment horizontal="center" vertical="center" wrapText="1"/>
    </xf>
    <xf numFmtId="178" fontId="13" fillId="3" borderId="1" xfId="64" applyNumberFormat="1" applyFont="1" applyFill="1" applyBorder="1" applyAlignment="1" applyProtection="1">
      <alignment horizontal="center" vertical="center"/>
    </xf>
    <xf numFmtId="178" fontId="13" fillId="3" borderId="4" xfId="64" applyNumberFormat="1" applyFont="1" applyFill="1" applyBorder="1" applyAlignment="1" applyProtection="1">
      <alignment horizontal="center" vertical="center"/>
    </xf>
    <xf numFmtId="178" fontId="11" fillId="3" borderId="1" xfId="64" applyNumberFormat="1" applyFont="1" applyFill="1" applyBorder="1" applyAlignment="1" applyProtection="1">
      <alignment horizontal="center" vertical="center"/>
    </xf>
    <xf numFmtId="178" fontId="11" fillId="3" borderId="4" xfId="64" applyNumberFormat="1" applyFont="1" applyFill="1" applyBorder="1" applyAlignment="1" applyProtection="1">
      <alignment horizontal="center" vertical="center"/>
    </xf>
    <xf numFmtId="180" fontId="11" fillId="3" borderId="1" xfId="64" applyNumberFormat="1" applyFont="1" applyFill="1" applyBorder="1" applyAlignment="1" applyProtection="1">
      <alignment horizontal="center" vertical="center" wrapText="1"/>
    </xf>
    <xf numFmtId="180" fontId="11" fillId="3" borderId="4" xfId="64" applyNumberFormat="1" applyFont="1" applyFill="1" applyBorder="1" applyAlignment="1" applyProtection="1">
      <alignment horizontal="center" vertical="center" wrapText="1"/>
    </xf>
    <xf numFmtId="180" fontId="11" fillId="3" borderId="1" xfId="353" applyNumberFormat="1" applyFont="1" applyFill="1" applyBorder="1" applyAlignment="1" applyProtection="1">
      <alignment horizontal="center" vertical="center" wrapText="1"/>
    </xf>
    <xf numFmtId="180" fontId="11" fillId="3" borderId="4" xfId="353" applyNumberFormat="1" applyFont="1" applyFill="1" applyBorder="1" applyAlignment="1" applyProtection="1">
      <alignment horizontal="center" vertical="center" wrapText="1"/>
    </xf>
    <xf numFmtId="180" fontId="13" fillId="3" borderId="21" xfId="353" applyNumberFormat="1" applyFont="1" applyFill="1" applyBorder="1" applyAlignment="1" applyProtection="1">
      <alignment horizontal="center" vertical="center" wrapText="1"/>
    </xf>
    <xf numFmtId="180" fontId="13" fillId="3" borderId="19" xfId="353" applyNumberFormat="1" applyFont="1" applyFill="1" applyBorder="1" applyAlignment="1" applyProtection="1">
      <alignment horizontal="center" vertical="center" wrapText="1"/>
    </xf>
    <xf numFmtId="180" fontId="13" fillId="35" borderId="1" xfId="353" applyNumberFormat="1" applyFont="1" applyFill="1" applyBorder="1" applyAlignment="1" applyProtection="1">
      <alignment horizontal="center" vertical="center" wrapText="1"/>
    </xf>
    <xf numFmtId="180" fontId="13" fillId="35" borderId="4" xfId="353" applyNumberFormat="1" applyFont="1" applyFill="1" applyBorder="1" applyAlignment="1" applyProtection="1">
      <alignment horizontal="center" vertical="center" wrapText="1"/>
    </xf>
    <xf numFmtId="180" fontId="11" fillId="3" borderId="19" xfId="353" applyNumberFormat="1" applyFont="1" applyFill="1" applyBorder="1" applyAlignment="1" applyProtection="1">
      <alignment horizontal="center" vertical="center" wrapText="1"/>
    </xf>
    <xf numFmtId="180" fontId="13" fillId="3" borderId="22" xfId="353" applyNumberFormat="1" applyFont="1" applyFill="1" applyBorder="1" applyAlignment="1" applyProtection="1">
      <alignment horizontal="center" vertical="center" wrapText="1"/>
    </xf>
    <xf numFmtId="180" fontId="13" fillId="3" borderId="17" xfId="353" applyNumberFormat="1" applyFont="1" applyFill="1" applyBorder="1" applyAlignment="1" applyProtection="1">
      <alignment horizontal="center" vertical="center" wrapText="1"/>
    </xf>
    <xf numFmtId="180" fontId="13" fillId="3" borderId="24" xfId="353" applyNumberFormat="1" applyFont="1" applyFill="1" applyBorder="1" applyAlignment="1" applyProtection="1">
      <alignment horizontal="center" vertical="center" wrapText="1"/>
    </xf>
    <xf numFmtId="180" fontId="13" fillId="3" borderId="18" xfId="353" applyNumberFormat="1" applyFont="1" applyFill="1" applyBorder="1" applyAlignment="1" applyProtection="1">
      <alignment horizontal="center" vertical="center" wrapText="1"/>
    </xf>
    <xf numFmtId="9" fontId="66" fillId="33" borderId="1" xfId="477" applyFont="1" applyFill="1" applyBorder="1" applyAlignment="1">
      <alignment horizontal="center" vertical="center" wrapText="1"/>
    </xf>
    <xf numFmtId="9" fontId="66" fillId="33" borderId="19" xfId="477" applyFont="1" applyFill="1" applyBorder="1" applyAlignment="1">
      <alignment horizontal="center" vertical="center" wrapText="1"/>
    </xf>
    <xf numFmtId="176" fontId="66" fillId="33" borderId="1" xfId="309" applyNumberFormat="1" applyFont="1" applyFill="1" applyBorder="1" applyAlignment="1">
      <alignment horizontal="center" vertical="center" wrapText="1"/>
    </xf>
    <xf numFmtId="176" fontId="66" fillId="33" borderId="19" xfId="309" applyNumberFormat="1" applyFont="1" applyFill="1" applyBorder="1" applyAlignment="1">
      <alignment horizontal="center" vertical="center" wrapText="1"/>
    </xf>
    <xf numFmtId="176" fontId="16" fillId="33" borderId="1" xfId="309" applyNumberFormat="1" applyFont="1" applyFill="1" applyBorder="1" applyAlignment="1">
      <alignment horizontal="center" vertical="center" wrapText="1"/>
    </xf>
    <xf numFmtId="176" fontId="16" fillId="33" borderId="19" xfId="309" applyNumberFormat="1" applyFont="1" applyFill="1" applyBorder="1" applyAlignment="1">
      <alignment horizontal="center" vertical="center" wrapText="1"/>
    </xf>
    <xf numFmtId="176" fontId="11" fillId="3" borderId="1" xfId="353" applyNumberFormat="1" applyFont="1" applyFill="1" applyBorder="1" applyAlignment="1" applyProtection="1">
      <alignment horizontal="center" vertical="center" wrapText="1"/>
    </xf>
    <xf numFmtId="176" fontId="11" fillId="3" borderId="19" xfId="353" applyNumberFormat="1" applyFont="1" applyFill="1" applyBorder="1" applyAlignment="1" applyProtection="1">
      <alignment horizontal="center" vertical="center" wrapText="1"/>
    </xf>
    <xf numFmtId="180" fontId="13" fillId="3" borderId="23" xfId="353" applyNumberFormat="1" applyFont="1" applyFill="1" applyBorder="1" applyAlignment="1" applyProtection="1">
      <alignment horizontal="center" vertical="center" wrapText="1"/>
    </xf>
    <xf numFmtId="180" fontId="13" fillId="3" borderId="20" xfId="353" applyNumberFormat="1" applyFont="1" applyFill="1" applyBorder="1" applyAlignment="1" applyProtection="1">
      <alignment horizontal="center" vertical="center" wrapText="1"/>
    </xf>
    <xf numFmtId="180" fontId="13" fillId="32" borderId="22" xfId="353" applyNumberFormat="1" applyFont="1" applyFill="1" applyBorder="1" applyAlignment="1" applyProtection="1">
      <alignment horizontal="center" vertical="center" wrapText="1"/>
    </xf>
    <xf numFmtId="180" fontId="13" fillId="32" borderId="17" xfId="353" applyNumberFormat="1" applyFont="1" applyFill="1" applyBorder="1" applyAlignment="1" applyProtection="1">
      <alignment horizontal="center" vertical="center" wrapText="1"/>
    </xf>
    <xf numFmtId="180" fontId="4" fillId="0" borderId="30" xfId="0" applyFont="1" applyBorder="1" applyAlignment="1">
      <alignment horizontal="center" vertical="center"/>
    </xf>
    <xf numFmtId="180" fontId="4" fillId="0" borderId="0" xfId="0" applyFont="1" applyAlignment="1">
      <alignment horizontal="center" vertical="center"/>
    </xf>
    <xf numFmtId="180" fontId="11" fillId="3" borderId="1" xfId="353" applyNumberFormat="1" applyFont="1" applyFill="1" applyBorder="1" applyAlignment="1" applyProtection="1">
      <alignment horizontal="left" vertical="center" wrapText="1"/>
    </xf>
    <xf numFmtId="180" fontId="11" fillId="3" borderId="4" xfId="353" applyNumberFormat="1" applyFont="1" applyFill="1" applyBorder="1" applyAlignment="1" applyProtection="1">
      <alignment horizontal="left" vertical="center" wrapText="1"/>
    </xf>
    <xf numFmtId="180" fontId="13" fillId="3" borderId="5" xfId="353" applyNumberFormat="1" applyFont="1" applyFill="1" applyBorder="1" applyAlignment="1" applyProtection="1">
      <alignment horizontal="center" vertical="center" wrapText="1"/>
    </xf>
    <xf numFmtId="180" fontId="13" fillId="3" borderId="6" xfId="353" applyNumberFormat="1" applyFont="1" applyFill="1" applyBorder="1" applyAlignment="1" applyProtection="1">
      <alignment horizontal="center" vertical="center" wrapText="1"/>
    </xf>
    <xf numFmtId="180" fontId="13" fillId="3" borderId="3" xfId="353" applyNumberFormat="1" applyFont="1" applyFill="1" applyBorder="1" applyAlignment="1" applyProtection="1">
      <alignment horizontal="center" vertical="center" wrapText="1"/>
    </xf>
    <xf numFmtId="180" fontId="9" fillId="0" borderId="22" xfId="1" applyFont="1" applyFill="1" applyBorder="1" applyAlignment="1">
      <alignment horizontal="center" vertical="center" wrapText="1"/>
    </xf>
    <xf numFmtId="180" fontId="9" fillId="0" borderId="0" xfId="1" applyFont="1" applyFill="1" applyAlignment="1">
      <alignment horizontal="center" vertical="center" wrapText="1"/>
    </xf>
    <xf numFmtId="180" fontId="9" fillId="0" borderId="16" xfId="1" applyFont="1" applyFill="1" applyBorder="1" applyAlignment="1">
      <alignment horizontal="center" vertical="center" wrapText="1"/>
    </xf>
    <xf numFmtId="180" fontId="52" fillId="34" borderId="16" xfId="0" applyFont="1" applyFill="1" applyBorder="1" applyAlignment="1">
      <alignment horizontal="center" vertical="center" wrapText="1"/>
    </xf>
    <xf numFmtId="180" fontId="55" fillId="34" borderId="16" xfId="0" applyFont="1" applyFill="1" applyBorder="1" applyAlignment="1">
      <alignment horizontal="center" vertical="center" wrapText="1"/>
    </xf>
    <xf numFmtId="180" fontId="51" fillId="34" borderId="16" xfId="0" applyFont="1" applyFill="1" applyBorder="1" applyAlignment="1">
      <alignment horizontal="center" vertical="center" wrapText="1"/>
    </xf>
    <xf numFmtId="180" fontId="14" fillId="0" borderId="16" xfId="0" applyFont="1" applyFill="1" applyBorder="1" applyAlignment="1"/>
    <xf numFmtId="180" fontId="53" fillId="34" borderId="16" xfId="0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horizontal="center" vertical="center" wrapText="1"/>
    </xf>
    <xf numFmtId="180" fontId="51" fillId="34" borderId="16" xfId="0" applyNumberFormat="1" applyFont="1" applyFill="1" applyBorder="1" applyAlignment="1">
      <alignment horizontal="center" vertical="center" wrapText="1"/>
    </xf>
    <xf numFmtId="180" fontId="54" fillId="34" borderId="26" xfId="0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/>
    </xf>
  </cellXfs>
  <cellStyles count="478">
    <cellStyle name=" 3]_x000d__x000a_Zoomed=1_x000d__x000a_Row=128_x000d__x000a_Column=101_x000d__x000a_Height=300_x000d__x000a_Width=301_x000d__x000a_FontName=System_x000d__x000a_FontStyle=1_x000d__x000a_FontSize=12_x000d__x000a_PrtFontNa" xfId="37" xr:uid="{00000000-0005-0000-0000-000000000000}"/>
    <cellStyle name="??&amp;O龡&amp;H?_x0008_??_x0007__x0001__x0001_" xfId="42" xr:uid="{00000000-0005-0000-0000-000001000000}"/>
    <cellStyle name="??_x005f_x0011_?_x005f_x0010_?" xfId="64" xr:uid="{00000000-0005-0000-0000-000002000000}"/>
    <cellStyle name="_ET_STYLE_NoName_00_" xfId="55" xr:uid="{00000000-0005-0000-0000-000003000000}"/>
    <cellStyle name="_ET_STYLE_NoName_00__北区长促工资1004_3" xfId="65" xr:uid="{00000000-0005-0000-0000-000004000000}"/>
    <cellStyle name="_ET_STYLE_NoName_00__南区长促工资1004_5" xfId="59" xr:uid="{00000000-0005-0000-0000-000005000000}"/>
    <cellStyle name="_ET_STYLE_NoName_-01_ 3 3 3 2" xfId="6" xr:uid="{00000000-0005-0000-0000-000006000000}"/>
    <cellStyle name="0,0_x000a__x000a_NA_x000a__x000a_" xfId="68" xr:uid="{00000000-0005-0000-0000-000007000000}"/>
    <cellStyle name="0,0_x000d__x000a_NA_x000d__x000a_" xfId="23" xr:uid="{00000000-0005-0000-0000-000008000000}"/>
    <cellStyle name="20% - 强调文字颜色 1 2" xfId="3" xr:uid="{00000000-0005-0000-0000-000009000000}"/>
    <cellStyle name="20% - 强调文字颜色 1 2 2" xfId="70" xr:uid="{00000000-0005-0000-0000-00000A000000}"/>
    <cellStyle name="20% - 强调文字颜色 1 2 3" xfId="60" xr:uid="{00000000-0005-0000-0000-00000B000000}"/>
    <cellStyle name="20% - 强调文字颜色 1 3" xfId="62" xr:uid="{00000000-0005-0000-0000-00000C000000}"/>
    <cellStyle name="20% - 强调文字颜色 1 3 2" xfId="66" xr:uid="{00000000-0005-0000-0000-00000D000000}"/>
    <cellStyle name="20% - 强调文字颜色 1 4" xfId="61" xr:uid="{00000000-0005-0000-0000-00000E000000}"/>
    <cellStyle name="20% - 强调文字颜色 1 5" xfId="57" xr:uid="{00000000-0005-0000-0000-00000F000000}"/>
    <cellStyle name="20% - 强调文字颜色 2 2" xfId="72" xr:uid="{00000000-0005-0000-0000-000010000000}"/>
    <cellStyle name="20% - 强调文字颜色 2 2 2" xfId="74" xr:uid="{00000000-0005-0000-0000-000011000000}"/>
    <cellStyle name="20% - 强调文字颜色 2 2 3" xfId="76" xr:uid="{00000000-0005-0000-0000-000012000000}"/>
    <cellStyle name="20% - 强调文字颜色 2 3" xfId="78" xr:uid="{00000000-0005-0000-0000-000013000000}"/>
    <cellStyle name="20% - 强调文字颜色 2 3 2" xfId="80" xr:uid="{00000000-0005-0000-0000-000014000000}"/>
    <cellStyle name="20% - 强调文字颜色 2 4" xfId="82" xr:uid="{00000000-0005-0000-0000-000015000000}"/>
    <cellStyle name="20% - 强调文字颜色 2 5" xfId="84" xr:uid="{00000000-0005-0000-0000-000016000000}"/>
    <cellStyle name="20% - 强调文字颜色 3 2" xfId="86" xr:uid="{00000000-0005-0000-0000-000017000000}"/>
    <cellStyle name="20% - 强调文字颜色 3 2 2" xfId="88" xr:uid="{00000000-0005-0000-0000-000018000000}"/>
    <cellStyle name="20% - 强调文字颜色 3 2 3" xfId="90" xr:uid="{00000000-0005-0000-0000-000019000000}"/>
    <cellStyle name="20% - 强调文字颜色 3 3" xfId="33" xr:uid="{00000000-0005-0000-0000-00001A000000}"/>
    <cellStyle name="20% - 强调文字颜色 3 3 2" xfId="53" xr:uid="{00000000-0005-0000-0000-00001B000000}"/>
    <cellStyle name="20% - 强调文字颜色 3 4" xfId="93" xr:uid="{00000000-0005-0000-0000-00001C000000}"/>
    <cellStyle name="20% - 强调文字颜色 3 5" xfId="95" xr:uid="{00000000-0005-0000-0000-00001D000000}"/>
    <cellStyle name="20% - 强调文字颜色 4 2" xfId="98" xr:uid="{00000000-0005-0000-0000-00001E000000}"/>
    <cellStyle name="20% - 强调文字颜色 4 2 2" xfId="101" xr:uid="{00000000-0005-0000-0000-00001F000000}"/>
    <cellStyle name="20% - 强调文字颜色 4 2 3" xfId="104" xr:uid="{00000000-0005-0000-0000-000020000000}"/>
    <cellStyle name="20% - 强调文字颜色 4 3" xfId="107" xr:uid="{00000000-0005-0000-0000-000021000000}"/>
    <cellStyle name="20% - 强调文字颜色 4 3 2" xfId="109" xr:uid="{00000000-0005-0000-0000-000022000000}"/>
    <cellStyle name="20% - 强调文字颜色 4 4" xfId="112" xr:uid="{00000000-0005-0000-0000-000023000000}"/>
    <cellStyle name="20% - 强调文字颜色 4 5" xfId="16" xr:uid="{00000000-0005-0000-0000-000024000000}"/>
    <cellStyle name="20% - 强调文字颜色 5 2" xfId="114" xr:uid="{00000000-0005-0000-0000-000025000000}"/>
    <cellStyle name="20% - 强调文字颜色 5 2 2" xfId="117" xr:uid="{00000000-0005-0000-0000-000026000000}"/>
    <cellStyle name="20% - 强调文字颜色 5 2 3" xfId="118" xr:uid="{00000000-0005-0000-0000-000027000000}"/>
    <cellStyle name="20% - 强调文字颜色 5 3" xfId="120" xr:uid="{00000000-0005-0000-0000-000028000000}"/>
    <cellStyle name="20% - 强调文字颜色 5 3 2" xfId="123" xr:uid="{00000000-0005-0000-0000-000029000000}"/>
    <cellStyle name="20% - 强调文字颜色 5 4" xfId="125" xr:uid="{00000000-0005-0000-0000-00002A000000}"/>
    <cellStyle name="20% - 强调文字颜色 5 5" xfId="127" xr:uid="{00000000-0005-0000-0000-00002B000000}"/>
    <cellStyle name="20% - 强调文字颜色 6 2" xfId="128" xr:uid="{00000000-0005-0000-0000-00002C000000}"/>
    <cellStyle name="20% - 强调文字颜色 6 2 2" xfId="130" xr:uid="{00000000-0005-0000-0000-00002D000000}"/>
    <cellStyle name="20% - 强调文字颜色 6 2 3" xfId="132" xr:uid="{00000000-0005-0000-0000-00002E000000}"/>
    <cellStyle name="20% - 强调文字颜色 6 3" xfId="133" xr:uid="{00000000-0005-0000-0000-00002F000000}"/>
    <cellStyle name="20% - 强调文字颜色 6 3 2" xfId="135" xr:uid="{00000000-0005-0000-0000-000030000000}"/>
    <cellStyle name="20% - 强调文字颜色 6 4" xfId="138" xr:uid="{00000000-0005-0000-0000-000031000000}"/>
    <cellStyle name="20% - 强调文字颜色 6 5" xfId="141" xr:uid="{00000000-0005-0000-0000-000032000000}"/>
    <cellStyle name="3232" xfId="116" xr:uid="{00000000-0005-0000-0000-000033000000}"/>
    <cellStyle name="40% - 强调文字颜色 1 2" xfId="142" xr:uid="{00000000-0005-0000-0000-000034000000}"/>
    <cellStyle name="40% - 强调文字颜色 1 2 2" xfId="143" xr:uid="{00000000-0005-0000-0000-000035000000}"/>
    <cellStyle name="40% - 强调文字颜色 1 2 3" xfId="144" xr:uid="{00000000-0005-0000-0000-000036000000}"/>
    <cellStyle name="40% - 强调文字颜色 1 3" xfId="145" xr:uid="{00000000-0005-0000-0000-000037000000}"/>
    <cellStyle name="40% - 强调文字颜色 1 3 2" xfId="146" xr:uid="{00000000-0005-0000-0000-000038000000}"/>
    <cellStyle name="40% - 强调文字颜色 1 4" xfId="147" xr:uid="{00000000-0005-0000-0000-000039000000}"/>
    <cellStyle name="40% - 强调文字颜色 1 5" xfId="148" xr:uid="{00000000-0005-0000-0000-00003A000000}"/>
    <cellStyle name="40% - 强调文字颜色 2 2" xfId="58" xr:uid="{00000000-0005-0000-0000-00003B000000}"/>
    <cellStyle name="40% - 强调文字颜色 2 2 2" xfId="149" xr:uid="{00000000-0005-0000-0000-00003C000000}"/>
    <cellStyle name="40% - 强调文字颜色 2 2 3" xfId="150" xr:uid="{00000000-0005-0000-0000-00003D000000}"/>
    <cellStyle name="40% - 强调文字颜色 2 3" xfId="151" xr:uid="{00000000-0005-0000-0000-00003E000000}"/>
    <cellStyle name="40% - 强调文字颜色 2 3 2" xfId="152" xr:uid="{00000000-0005-0000-0000-00003F000000}"/>
    <cellStyle name="40% - 强调文字颜色 2 4" xfId="153" xr:uid="{00000000-0005-0000-0000-000040000000}"/>
    <cellStyle name="40% - 强调文字颜色 2 5" xfId="154" xr:uid="{00000000-0005-0000-0000-000041000000}"/>
    <cellStyle name="40% - 强调文字颜色 3 2" xfId="156" xr:uid="{00000000-0005-0000-0000-000042000000}"/>
    <cellStyle name="40% - 强调文字颜色 3 2 2" xfId="158" xr:uid="{00000000-0005-0000-0000-000043000000}"/>
    <cellStyle name="40% - 强调文字颜色 3 2 3" xfId="159" xr:uid="{00000000-0005-0000-0000-000044000000}"/>
    <cellStyle name="40% - 强调文字颜色 3 3" xfId="161" xr:uid="{00000000-0005-0000-0000-000045000000}"/>
    <cellStyle name="40% - 强调文字颜色 3 3 2" xfId="163" xr:uid="{00000000-0005-0000-0000-000046000000}"/>
    <cellStyle name="40% - 强调文字颜色 3 4" xfId="166" xr:uid="{00000000-0005-0000-0000-000047000000}"/>
    <cellStyle name="40% - 强调文字颜色 3 5" xfId="167" xr:uid="{00000000-0005-0000-0000-000048000000}"/>
    <cellStyle name="40% - 强调文字颜色 4 2" xfId="27" xr:uid="{00000000-0005-0000-0000-000049000000}"/>
    <cellStyle name="40% - 强调文字颜色 4 2 2" xfId="172" xr:uid="{00000000-0005-0000-0000-00004A000000}"/>
    <cellStyle name="40% - 强调文字颜色 4 2 3" xfId="176" xr:uid="{00000000-0005-0000-0000-00004B000000}"/>
    <cellStyle name="40% - 强调文字颜色 4 3" xfId="179" xr:uid="{00000000-0005-0000-0000-00004C000000}"/>
    <cellStyle name="40% - 强调文字颜色 4 3 2" xfId="41" xr:uid="{00000000-0005-0000-0000-00004D000000}"/>
    <cellStyle name="40% - 强调文字颜色 4 4" xfId="129" xr:uid="{00000000-0005-0000-0000-00004E000000}"/>
    <cellStyle name="40% - 强调文字颜色 4 5" xfId="131" xr:uid="{00000000-0005-0000-0000-00004F000000}"/>
    <cellStyle name="40% - 强调文字颜色 5 2" xfId="182" xr:uid="{00000000-0005-0000-0000-000050000000}"/>
    <cellStyle name="40% - 强调文字颜色 5 2 2" xfId="140" xr:uid="{00000000-0005-0000-0000-000051000000}"/>
    <cellStyle name="40% - 强调文字颜色 5 2 3" xfId="184" xr:uid="{00000000-0005-0000-0000-000052000000}"/>
    <cellStyle name="40% - 强调文字颜色 5 3" xfId="186" xr:uid="{00000000-0005-0000-0000-000053000000}"/>
    <cellStyle name="40% - 强调文字颜色 5 3 2" xfId="188" xr:uid="{00000000-0005-0000-0000-000054000000}"/>
    <cellStyle name="40% - 强调文字颜色 5 4" xfId="134" xr:uid="{00000000-0005-0000-0000-000055000000}"/>
    <cellStyle name="40% - 强调文字颜色 5 5" xfId="189" xr:uid="{00000000-0005-0000-0000-000056000000}"/>
    <cellStyle name="40% - 强调文字颜色 6 2" xfId="192" xr:uid="{00000000-0005-0000-0000-000057000000}"/>
    <cellStyle name="40% - 强调文字颜色 6 2 2" xfId="193" xr:uid="{00000000-0005-0000-0000-000058000000}"/>
    <cellStyle name="40% - 强调文字颜色 6 2 3" xfId="194" xr:uid="{00000000-0005-0000-0000-000059000000}"/>
    <cellStyle name="40% - 强调文字颜色 6 3" xfId="197" xr:uid="{00000000-0005-0000-0000-00005A000000}"/>
    <cellStyle name="40% - 强调文字颜色 6 3 2" xfId="199" xr:uid="{00000000-0005-0000-0000-00005B000000}"/>
    <cellStyle name="40% - 强调文字颜色 6 4" xfId="202" xr:uid="{00000000-0005-0000-0000-00005C000000}"/>
    <cellStyle name="40% - 强调文字颜色 6 5" xfId="31" xr:uid="{00000000-0005-0000-0000-00005D000000}"/>
    <cellStyle name="60% - 强调文字颜色 1 2" xfId="92" xr:uid="{00000000-0005-0000-0000-00005E000000}"/>
    <cellStyle name="60% - 强调文字颜色 1 2 2" xfId="203" xr:uid="{00000000-0005-0000-0000-00005F000000}"/>
    <cellStyle name="60% - 强调文字颜色 1 2 3" xfId="204" xr:uid="{00000000-0005-0000-0000-000060000000}"/>
    <cellStyle name="60% - 强调文字颜色 1 3" xfId="94" xr:uid="{00000000-0005-0000-0000-000061000000}"/>
    <cellStyle name="60% - 强调文字颜色 1 3 2" xfId="205" xr:uid="{00000000-0005-0000-0000-000062000000}"/>
    <cellStyle name="60% - 强调文字颜色 1 4" xfId="206" xr:uid="{00000000-0005-0000-0000-000063000000}"/>
    <cellStyle name="60% - 强调文字颜色 1 5" xfId="209" xr:uid="{00000000-0005-0000-0000-000064000000}"/>
    <cellStyle name="60% - 强调文字颜色 2 2" xfId="111" xr:uid="{00000000-0005-0000-0000-000065000000}"/>
    <cellStyle name="60% - 强调文字颜色 2 2 2" xfId="21" xr:uid="{00000000-0005-0000-0000-000066000000}"/>
    <cellStyle name="60% - 强调文字颜色 2 2 3" xfId="210" xr:uid="{00000000-0005-0000-0000-000067000000}"/>
    <cellStyle name="60% - 强调文字颜色 2 3" xfId="15" xr:uid="{00000000-0005-0000-0000-000068000000}"/>
    <cellStyle name="60% - 强调文字颜色 2 3 2" xfId="213" xr:uid="{00000000-0005-0000-0000-000069000000}"/>
    <cellStyle name="60% - 强调文字颜色 2 4" xfId="215" xr:uid="{00000000-0005-0000-0000-00006A000000}"/>
    <cellStyle name="60% - 强调文字颜色 2 5" xfId="218" xr:uid="{00000000-0005-0000-0000-00006B000000}"/>
    <cellStyle name="60% - 强调文字颜色 3 2" xfId="124" xr:uid="{00000000-0005-0000-0000-00006C000000}"/>
    <cellStyle name="60% - 强调文字颜色 3 2 2" xfId="220" xr:uid="{00000000-0005-0000-0000-00006D000000}"/>
    <cellStyle name="60% - 强调文字颜色 3 2 3" xfId="221" xr:uid="{00000000-0005-0000-0000-00006E000000}"/>
    <cellStyle name="60% - 强调文字颜色 3 3" xfId="126" xr:uid="{00000000-0005-0000-0000-00006F000000}"/>
    <cellStyle name="60% - 强调文字颜色 3 3 2" xfId="222" xr:uid="{00000000-0005-0000-0000-000070000000}"/>
    <cellStyle name="60% - 强调文字颜色 3 4" xfId="223" xr:uid="{00000000-0005-0000-0000-000071000000}"/>
    <cellStyle name="60% - 强调文字颜色 3 5" xfId="224" xr:uid="{00000000-0005-0000-0000-000072000000}"/>
    <cellStyle name="60% - 强调文字颜色 4 2" xfId="137" xr:uid="{00000000-0005-0000-0000-000073000000}"/>
    <cellStyle name="60% - 强调文字颜色 4 2 2" xfId="201" xr:uid="{00000000-0005-0000-0000-000074000000}"/>
    <cellStyle name="60% - 强调文字颜色 4 2 3" xfId="30" xr:uid="{00000000-0005-0000-0000-000075000000}"/>
    <cellStyle name="60% - 强调文字颜色 4 3" xfId="139" xr:uid="{00000000-0005-0000-0000-000076000000}"/>
    <cellStyle name="60% - 强调文字颜色 4 3 2" xfId="225" xr:uid="{00000000-0005-0000-0000-000077000000}"/>
    <cellStyle name="60% - 强调文字颜色 4 4" xfId="183" xr:uid="{00000000-0005-0000-0000-000078000000}"/>
    <cellStyle name="60% - 强调文字颜色 4 5" xfId="226" xr:uid="{00000000-0005-0000-0000-000079000000}"/>
    <cellStyle name="60% - 强调文字颜色 5 2" xfId="227" xr:uid="{00000000-0005-0000-0000-00007A000000}"/>
    <cellStyle name="60% - 强调文字颜色 5 2 2" xfId="229" xr:uid="{00000000-0005-0000-0000-00007B000000}"/>
    <cellStyle name="60% - 强调文字颜色 5 2 3" xfId="230" xr:uid="{00000000-0005-0000-0000-00007C000000}"/>
    <cellStyle name="60% - 强调文字颜色 5 3" xfId="187" xr:uid="{00000000-0005-0000-0000-00007D000000}"/>
    <cellStyle name="60% - 强调文字颜色 5 3 2" xfId="231" xr:uid="{00000000-0005-0000-0000-00007E000000}"/>
    <cellStyle name="60% - 强调文字颜色 5 4" xfId="232" xr:uid="{00000000-0005-0000-0000-00007F000000}"/>
    <cellStyle name="60% - 强调文字颜色 5 5" xfId="233" xr:uid="{00000000-0005-0000-0000-000080000000}"/>
    <cellStyle name="60% - 强调文字颜色 6 2" xfId="234" xr:uid="{00000000-0005-0000-0000-000081000000}"/>
    <cellStyle name="60% - 强调文字颜色 6 2 2" xfId="237" xr:uid="{00000000-0005-0000-0000-000082000000}"/>
    <cellStyle name="60% - 强调文字颜色 6 2 3" xfId="239" xr:uid="{00000000-0005-0000-0000-000083000000}"/>
    <cellStyle name="60% - 强调文字颜色 6 3" xfId="240" xr:uid="{00000000-0005-0000-0000-000084000000}"/>
    <cellStyle name="60% - 强调文字颜色 6 3 2" xfId="13" xr:uid="{00000000-0005-0000-0000-000085000000}"/>
    <cellStyle name="60% - 强调文字颜色 6 4" xfId="241" xr:uid="{00000000-0005-0000-0000-000086000000}"/>
    <cellStyle name="60% - 强调文字颜色 6 5" xfId="242" xr:uid="{00000000-0005-0000-0000-000087000000}"/>
    <cellStyle name="Comma_SALARYBJ" xfId="244" xr:uid="{00000000-0005-0000-0000-000088000000}"/>
    <cellStyle name="Normal_08'前程工资8月" xfId="238" xr:uid="{00000000-0005-0000-0000-000089000000}"/>
    <cellStyle name="百分比" xfId="477" builtinId="5"/>
    <cellStyle name="百分比 2" xfId="246" xr:uid="{00000000-0005-0000-0000-00008B000000}"/>
    <cellStyle name="百分比 2 2" xfId="247" xr:uid="{00000000-0005-0000-0000-00008C000000}"/>
    <cellStyle name="百分比 2 3" xfId="467" xr:uid="{00000000-0005-0000-0000-00008D000000}"/>
    <cellStyle name="百分比 2 3 2" xfId="449" xr:uid="{00000000-0005-0000-0000-00008E000000}"/>
    <cellStyle name="百分比 2 4" xfId="447" xr:uid="{00000000-0005-0000-0000-00008F000000}"/>
    <cellStyle name="百分比 3" xfId="122" xr:uid="{00000000-0005-0000-0000-000090000000}"/>
    <cellStyle name="百分比 3 2" xfId="452" xr:uid="{00000000-0005-0000-0000-000091000000}"/>
    <cellStyle name="百分比 4" xfId="22" xr:uid="{00000000-0005-0000-0000-000092000000}"/>
    <cellStyle name="百分比 5" xfId="458" xr:uid="{00000000-0005-0000-0000-000093000000}"/>
    <cellStyle name="标题 1 2" xfId="248" xr:uid="{00000000-0005-0000-0000-000094000000}"/>
    <cellStyle name="标题 1 2 2" xfId="249" xr:uid="{00000000-0005-0000-0000-000095000000}"/>
    <cellStyle name="标题 1 2 3" xfId="250" xr:uid="{00000000-0005-0000-0000-000096000000}"/>
    <cellStyle name="标题 1 3" xfId="251" xr:uid="{00000000-0005-0000-0000-000097000000}"/>
    <cellStyle name="标题 1 3 2" xfId="253" xr:uid="{00000000-0005-0000-0000-000098000000}"/>
    <cellStyle name="标题 1 4" xfId="254" xr:uid="{00000000-0005-0000-0000-000099000000}"/>
    <cellStyle name="标题 1 5" xfId="255" xr:uid="{00000000-0005-0000-0000-00009A000000}"/>
    <cellStyle name="标题 2 2" xfId="256" xr:uid="{00000000-0005-0000-0000-00009B000000}"/>
    <cellStyle name="标题 2 2 2" xfId="257" xr:uid="{00000000-0005-0000-0000-00009C000000}"/>
    <cellStyle name="标题 2 2 3" xfId="259" xr:uid="{00000000-0005-0000-0000-00009D000000}"/>
    <cellStyle name="标题 2 3" xfId="260" xr:uid="{00000000-0005-0000-0000-00009E000000}"/>
    <cellStyle name="标题 2 3 2" xfId="262" xr:uid="{00000000-0005-0000-0000-00009F000000}"/>
    <cellStyle name="标题 2 4" xfId="263" xr:uid="{00000000-0005-0000-0000-0000A0000000}"/>
    <cellStyle name="标题 2 5" xfId="264" xr:uid="{00000000-0005-0000-0000-0000A1000000}"/>
    <cellStyle name="标题 3 2" xfId="265" xr:uid="{00000000-0005-0000-0000-0000A2000000}"/>
    <cellStyle name="标题 3 2 2" xfId="267" xr:uid="{00000000-0005-0000-0000-0000A3000000}"/>
    <cellStyle name="标题 3 2 3" xfId="268" xr:uid="{00000000-0005-0000-0000-0000A4000000}"/>
    <cellStyle name="标题 3 3" xfId="269" xr:uid="{00000000-0005-0000-0000-0000A5000000}"/>
    <cellStyle name="标题 3 3 2" xfId="271" xr:uid="{00000000-0005-0000-0000-0000A6000000}"/>
    <cellStyle name="标题 3 4" xfId="272" xr:uid="{00000000-0005-0000-0000-0000A7000000}"/>
    <cellStyle name="标题 3 5" xfId="273" xr:uid="{00000000-0005-0000-0000-0000A8000000}"/>
    <cellStyle name="标题 4 2" xfId="275" xr:uid="{00000000-0005-0000-0000-0000A9000000}"/>
    <cellStyle name="标题 4 2 2" xfId="54" xr:uid="{00000000-0005-0000-0000-0000AA000000}"/>
    <cellStyle name="标题 4 2 3" xfId="276" xr:uid="{00000000-0005-0000-0000-0000AB000000}"/>
    <cellStyle name="标题 4 3" xfId="278" xr:uid="{00000000-0005-0000-0000-0000AC000000}"/>
    <cellStyle name="标题 4 3 2" xfId="280" xr:uid="{00000000-0005-0000-0000-0000AD000000}"/>
    <cellStyle name="标题 4 4" xfId="171" xr:uid="{00000000-0005-0000-0000-0000AE000000}"/>
    <cellStyle name="标题 4 5" xfId="175" xr:uid="{00000000-0005-0000-0000-0000AF000000}"/>
    <cellStyle name="标题 5" xfId="282" xr:uid="{00000000-0005-0000-0000-0000B0000000}"/>
    <cellStyle name="标题 5 2" xfId="284" xr:uid="{00000000-0005-0000-0000-0000B1000000}"/>
    <cellStyle name="标题 5 3" xfId="287" xr:uid="{00000000-0005-0000-0000-0000B2000000}"/>
    <cellStyle name="标题 6" xfId="288" xr:uid="{00000000-0005-0000-0000-0000B3000000}"/>
    <cellStyle name="标题 6 2" xfId="290" xr:uid="{00000000-0005-0000-0000-0000B4000000}"/>
    <cellStyle name="标题 7" xfId="292" xr:uid="{00000000-0005-0000-0000-0000B5000000}"/>
    <cellStyle name="标题 8" xfId="293" xr:uid="{00000000-0005-0000-0000-0000B6000000}"/>
    <cellStyle name="差 2" xfId="295" xr:uid="{00000000-0005-0000-0000-0000B7000000}"/>
    <cellStyle name="差 2 2" xfId="296" xr:uid="{00000000-0005-0000-0000-0000B8000000}"/>
    <cellStyle name="差 2 3" xfId="63" xr:uid="{00000000-0005-0000-0000-0000B9000000}"/>
    <cellStyle name="差 3" xfId="297" xr:uid="{00000000-0005-0000-0000-0000BA000000}"/>
    <cellStyle name="差 3 2" xfId="298" xr:uid="{00000000-0005-0000-0000-0000BB000000}"/>
    <cellStyle name="差 4" xfId="245" xr:uid="{00000000-0005-0000-0000-0000BC000000}"/>
    <cellStyle name="差 5" xfId="121" xr:uid="{00000000-0005-0000-0000-0000BD000000}"/>
    <cellStyle name="常规" xfId="0" builtinId="0"/>
    <cellStyle name="常规 10" xfId="1" xr:uid="{00000000-0005-0000-0000-0000BF000000}"/>
    <cellStyle name="常规 10 2" xfId="446" xr:uid="{00000000-0005-0000-0000-0000C0000000}"/>
    <cellStyle name="常规 10 3" xfId="453" xr:uid="{00000000-0005-0000-0000-0000C1000000}"/>
    <cellStyle name="常规 11" xfId="261" xr:uid="{00000000-0005-0000-0000-0000C2000000}"/>
    <cellStyle name="常规 11 2" xfId="299" xr:uid="{00000000-0005-0000-0000-0000C3000000}"/>
    <cellStyle name="常规 11 2 2" xfId="450" xr:uid="{00000000-0005-0000-0000-0000C4000000}"/>
    <cellStyle name="常规 11 3" xfId="301" xr:uid="{00000000-0005-0000-0000-0000C5000000}"/>
    <cellStyle name="常规 11 4" xfId="463" xr:uid="{00000000-0005-0000-0000-0000C6000000}"/>
    <cellStyle name="常规 12" xfId="302" xr:uid="{00000000-0005-0000-0000-0000C7000000}"/>
    <cellStyle name="常规 12 2" xfId="303" xr:uid="{00000000-0005-0000-0000-0000C8000000}"/>
    <cellStyle name="常规 12 2 3 6" xfId="473" xr:uid="{00000000-0005-0000-0000-0000C9000000}"/>
    <cellStyle name="常规 12 3" xfId="304" xr:uid="{00000000-0005-0000-0000-0000CA000000}"/>
    <cellStyle name="常规 13" xfId="469" xr:uid="{00000000-0005-0000-0000-0000CB000000}"/>
    <cellStyle name="常规 14" xfId="306" xr:uid="{00000000-0005-0000-0000-0000CC000000}"/>
    <cellStyle name="常规 14 2" xfId="307" xr:uid="{00000000-0005-0000-0000-0000CD000000}"/>
    <cellStyle name="常规 14 3" xfId="308" xr:uid="{00000000-0005-0000-0000-0000CE000000}"/>
    <cellStyle name="常规 14 4" xfId="442" xr:uid="{00000000-0005-0000-0000-0000CF000000}"/>
    <cellStyle name="常规 2" xfId="309" xr:uid="{00000000-0005-0000-0000-0000D0000000}"/>
    <cellStyle name="常规 2 2" xfId="310" xr:uid="{00000000-0005-0000-0000-0000D1000000}"/>
    <cellStyle name="常规 2 2 2" xfId="311" xr:uid="{00000000-0005-0000-0000-0000D2000000}"/>
    <cellStyle name="常规 2 2 2 2" xfId="312" xr:uid="{00000000-0005-0000-0000-0000D3000000}"/>
    <cellStyle name="常规 2 2 3" xfId="313" xr:uid="{00000000-0005-0000-0000-0000D4000000}"/>
    <cellStyle name="常规 2 2 3 2" xfId="470" xr:uid="{00000000-0005-0000-0000-0000D5000000}"/>
    <cellStyle name="常规 2 2 4" xfId="451" xr:uid="{00000000-0005-0000-0000-0000D6000000}"/>
    <cellStyle name="常规 2 3" xfId="315" xr:uid="{00000000-0005-0000-0000-0000D7000000}"/>
    <cellStyle name="常规 2 3 2" xfId="317" xr:uid="{00000000-0005-0000-0000-0000D8000000}"/>
    <cellStyle name="常规 2 3 2 2" xfId="300" xr:uid="{00000000-0005-0000-0000-0000D9000000}"/>
    <cellStyle name="常规 2 3 2 3" xfId="69" xr:uid="{00000000-0005-0000-0000-0000DA000000}"/>
    <cellStyle name="常规 2 3 3" xfId="318" xr:uid="{00000000-0005-0000-0000-0000DB000000}"/>
    <cellStyle name="常规 2 3 4" xfId="319" xr:uid="{00000000-0005-0000-0000-0000DC000000}"/>
    <cellStyle name="常规 2 4" xfId="321" xr:uid="{00000000-0005-0000-0000-0000DD000000}"/>
    <cellStyle name="常规 2 4 2" xfId="322" xr:uid="{00000000-0005-0000-0000-0000DE000000}"/>
    <cellStyle name="常规 2 5" xfId="324" xr:uid="{00000000-0005-0000-0000-0000DF000000}"/>
    <cellStyle name="常规 2 5 2" xfId="326" xr:uid="{00000000-0005-0000-0000-0000E0000000}"/>
    <cellStyle name="常规 2 6" xfId="328" xr:uid="{00000000-0005-0000-0000-0000E1000000}"/>
    <cellStyle name="常规 2 6 2" xfId="330" xr:uid="{00000000-0005-0000-0000-0000E2000000}"/>
    <cellStyle name="常规 2 6 2 2" xfId="331" xr:uid="{00000000-0005-0000-0000-0000E3000000}"/>
    <cellStyle name="常规 2 6 3" xfId="476" xr:uid="{00000000-0005-0000-0000-0000E4000000}"/>
    <cellStyle name="常规 2 7" xfId="472" xr:uid="{00000000-0005-0000-0000-0000E5000000}"/>
    <cellStyle name="常规 2 8" xfId="464" xr:uid="{00000000-0005-0000-0000-0000E6000000}"/>
    <cellStyle name="常规 25" xfId="164" xr:uid="{00000000-0005-0000-0000-0000E7000000}"/>
    <cellStyle name="常规 25 2" xfId="440" xr:uid="{00000000-0005-0000-0000-0000E8000000}"/>
    <cellStyle name="常规 27" xfId="332" xr:uid="{00000000-0005-0000-0000-0000E9000000}"/>
    <cellStyle name="常规 3" xfId="97" xr:uid="{00000000-0005-0000-0000-0000EA000000}"/>
    <cellStyle name="常规 3 2" xfId="100" xr:uid="{00000000-0005-0000-0000-0000EB000000}"/>
    <cellStyle name="常规 3 2 2" xfId="334" xr:uid="{00000000-0005-0000-0000-0000EC000000}"/>
    <cellStyle name="常规 3 3" xfId="103" xr:uid="{00000000-0005-0000-0000-0000ED000000}"/>
    <cellStyle name="常规 3 3 2" xfId="335" xr:uid="{00000000-0005-0000-0000-0000EE000000}"/>
    <cellStyle name="常规 3 3 3" xfId="336" xr:uid="{00000000-0005-0000-0000-0000EF000000}"/>
    <cellStyle name="常规 3 4" xfId="337" xr:uid="{00000000-0005-0000-0000-0000F0000000}"/>
    <cellStyle name="常规 3 4 2" xfId="338" xr:uid="{00000000-0005-0000-0000-0000F1000000}"/>
    <cellStyle name="常规 3 4 3" xfId="10" xr:uid="{00000000-0005-0000-0000-0000F2000000}"/>
    <cellStyle name="常规 3 5" xfId="340" xr:uid="{00000000-0005-0000-0000-0000F3000000}"/>
    <cellStyle name="常规 3 5 2" xfId="342" xr:uid="{00000000-0005-0000-0000-0000F4000000}"/>
    <cellStyle name="常规 3 5 3" xfId="236" xr:uid="{00000000-0005-0000-0000-0000F5000000}"/>
    <cellStyle name="常规 3 6" xfId="462" xr:uid="{00000000-0005-0000-0000-0000F6000000}"/>
    <cellStyle name="常规 4" xfId="106" xr:uid="{00000000-0005-0000-0000-0000F7000000}"/>
    <cellStyle name="常规 4 2" xfId="108" xr:uid="{00000000-0005-0000-0000-0000F8000000}"/>
    <cellStyle name="常规 4 2 2" xfId="344" xr:uid="{00000000-0005-0000-0000-0000F9000000}"/>
    <cellStyle name="常规 4 2 3" xfId="455" xr:uid="{00000000-0005-0000-0000-0000FA000000}"/>
    <cellStyle name="常规 4 3" xfId="346" xr:uid="{00000000-0005-0000-0000-0000FB000000}"/>
    <cellStyle name="常规 4 4" xfId="343" xr:uid="{00000000-0005-0000-0000-0000FC000000}"/>
    <cellStyle name="常规 4 5" xfId="471" xr:uid="{00000000-0005-0000-0000-0000FD000000}"/>
    <cellStyle name="常规 4 6" xfId="460" xr:uid="{00000000-0005-0000-0000-0000FE000000}"/>
    <cellStyle name="常规 41" xfId="443" xr:uid="{00000000-0005-0000-0000-0000FF000000}"/>
    <cellStyle name="常规 5" xfId="110" xr:uid="{00000000-0005-0000-0000-000000010000}"/>
    <cellStyle name="常规 5 2" xfId="20" xr:uid="{00000000-0005-0000-0000-000001010000}"/>
    <cellStyle name="常规 5 3" xfId="459" xr:uid="{00000000-0005-0000-0000-000002010000}"/>
    <cellStyle name="常规 6" xfId="14" xr:uid="{00000000-0005-0000-0000-000003010000}"/>
    <cellStyle name="常规 6 2" xfId="212" xr:uid="{00000000-0005-0000-0000-000004010000}"/>
    <cellStyle name="常规 6 3" xfId="457" xr:uid="{00000000-0005-0000-0000-000005010000}"/>
    <cellStyle name="常规 7" xfId="214" xr:uid="{00000000-0005-0000-0000-000006010000}"/>
    <cellStyle name="常规 7 2" xfId="347" xr:uid="{00000000-0005-0000-0000-000007010000}"/>
    <cellStyle name="常规 7 3" xfId="12" xr:uid="{00000000-0005-0000-0000-000008010000}"/>
    <cellStyle name="常规 7 4" xfId="444" xr:uid="{00000000-0005-0000-0000-000009010000}"/>
    <cellStyle name="常规 7 5" xfId="475" xr:uid="{00000000-0005-0000-0000-00000A010000}"/>
    <cellStyle name="常规 8" xfId="217" xr:uid="{00000000-0005-0000-0000-00000B010000}"/>
    <cellStyle name="常规 8 2" xfId="35" xr:uid="{00000000-0005-0000-0000-00000C010000}"/>
    <cellStyle name="常规 8 3" xfId="28" xr:uid="{00000000-0005-0000-0000-00000D010000}"/>
    <cellStyle name="常规 8 4" xfId="349" xr:uid="{00000000-0005-0000-0000-00000E010000}"/>
    <cellStyle name="常规 8 5" xfId="441" xr:uid="{00000000-0005-0000-0000-00000F010000}"/>
    <cellStyle name="常规 9" xfId="350" xr:uid="{00000000-0005-0000-0000-000010010000}"/>
    <cellStyle name="常规 9 2" xfId="448" xr:uid="{00000000-0005-0000-0000-000011010000}"/>
    <cellStyle name="常规 9 3" xfId="466" xr:uid="{00000000-0005-0000-0000-000012010000}"/>
    <cellStyle name="常规_创联至信12年工资表sn803808 2" xfId="465" xr:uid="{00000000-0005-0000-0000-000013010000}"/>
    <cellStyle name="常规_东方思雨  易才服务文件" xfId="474" xr:uid="{00000000-0005-0000-0000-000014010000}"/>
    <cellStyle name="常规_付款通知书智联（神数系统）" xfId="353" xr:uid="{00000000-0005-0000-0000-000015010000}"/>
    <cellStyle name="好 2" xfId="56" xr:uid="{00000000-0005-0000-0000-000016010000}"/>
    <cellStyle name="好 2 2" xfId="354" xr:uid="{00000000-0005-0000-0000-000017010000}"/>
    <cellStyle name="好 2 3" xfId="181" xr:uid="{00000000-0005-0000-0000-000018010000}"/>
    <cellStyle name="好 3" xfId="355" xr:uid="{00000000-0005-0000-0000-000019010000}"/>
    <cellStyle name="好 3 2" xfId="258" xr:uid="{00000000-0005-0000-0000-00001A010000}"/>
    <cellStyle name="好 4" xfId="356" xr:uid="{00000000-0005-0000-0000-00001B010000}"/>
    <cellStyle name="好 5" xfId="266" xr:uid="{00000000-0005-0000-0000-00001C010000}"/>
    <cellStyle name="汇总 2" xfId="357" xr:uid="{00000000-0005-0000-0000-00001D010000}"/>
    <cellStyle name="汇总 2 2" xfId="277" xr:uid="{00000000-0005-0000-0000-00001E010000}"/>
    <cellStyle name="汇总 2 2 2" xfId="279" xr:uid="{00000000-0005-0000-0000-00001F010000}"/>
    <cellStyle name="汇总 2 3" xfId="170" xr:uid="{00000000-0005-0000-0000-000020010000}"/>
    <cellStyle name="汇总 2 3 2" xfId="359" xr:uid="{00000000-0005-0000-0000-000021010000}"/>
    <cellStyle name="汇总 2 4" xfId="174" xr:uid="{00000000-0005-0000-0000-000022010000}"/>
    <cellStyle name="汇总 3" xfId="252" xr:uid="{00000000-0005-0000-0000-000023010000}"/>
    <cellStyle name="汇总 3 2" xfId="286" xr:uid="{00000000-0005-0000-0000-000024010000}"/>
    <cellStyle name="汇总 3 2 2" xfId="46" xr:uid="{00000000-0005-0000-0000-000025010000}"/>
    <cellStyle name="汇总 3 3" xfId="40" xr:uid="{00000000-0005-0000-0000-000026010000}"/>
    <cellStyle name="汇总 4" xfId="360" xr:uid="{00000000-0005-0000-0000-000027010000}"/>
    <cellStyle name="汇总 4 2" xfId="5" xr:uid="{00000000-0005-0000-0000-000028010000}"/>
    <cellStyle name="汇总 5" xfId="361" xr:uid="{00000000-0005-0000-0000-000029010000}"/>
    <cellStyle name="汇总 5 2" xfId="363" xr:uid="{00000000-0005-0000-0000-00002A010000}"/>
    <cellStyle name="计算 2" xfId="11" xr:uid="{00000000-0005-0000-0000-00002B010000}"/>
    <cellStyle name="计算 2 2" xfId="155" xr:uid="{00000000-0005-0000-0000-00002C010000}"/>
    <cellStyle name="计算 2 2 2" xfId="157" xr:uid="{00000000-0005-0000-0000-00002D010000}"/>
    <cellStyle name="计算 2 3" xfId="160" xr:uid="{00000000-0005-0000-0000-00002E010000}"/>
    <cellStyle name="计算 2 3 2" xfId="162" xr:uid="{00000000-0005-0000-0000-00002F010000}"/>
    <cellStyle name="计算 2 4" xfId="165" xr:uid="{00000000-0005-0000-0000-000030010000}"/>
    <cellStyle name="计算 3" xfId="47" xr:uid="{00000000-0005-0000-0000-000031010000}"/>
    <cellStyle name="计算 3 2" xfId="26" xr:uid="{00000000-0005-0000-0000-000032010000}"/>
    <cellStyle name="计算 3 2 2" xfId="169" xr:uid="{00000000-0005-0000-0000-000033010000}"/>
    <cellStyle name="计算 3 3" xfId="178" xr:uid="{00000000-0005-0000-0000-000034010000}"/>
    <cellStyle name="计算 4" xfId="48" xr:uid="{00000000-0005-0000-0000-000035010000}"/>
    <cellStyle name="计算 4 2" xfId="180" xr:uid="{00000000-0005-0000-0000-000036010000}"/>
    <cellStyle name="计算 5" xfId="52" xr:uid="{00000000-0005-0000-0000-000037010000}"/>
    <cellStyle name="计算 5 2" xfId="191" xr:uid="{00000000-0005-0000-0000-000038010000}"/>
    <cellStyle name="检查单元格 2" xfId="168" xr:uid="{00000000-0005-0000-0000-000039010000}"/>
    <cellStyle name="检查单元格 2 2" xfId="358" xr:uid="{00000000-0005-0000-0000-00003A010000}"/>
    <cellStyle name="检查单元格 2 3" xfId="364" xr:uid="{00000000-0005-0000-0000-00003B010000}"/>
    <cellStyle name="检查单元格 3" xfId="173" xr:uid="{00000000-0005-0000-0000-00003C010000}"/>
    <cellStyle name="检查单元格 3 2" xfId="36" xr:uid="{00000000-0005-0000-0000-00003D010000}"/>
    <cellStyle name="检查单元格 4" xfId="365" xr:uid="{00000000-0005-0000-0000-00003E010000}"/>
    <cellStyle name="检查单元格 5" xfId="366" xr:uid="{00000000-0005-0000-0000-00003F010000}"/>
    <cellStyle name="解释性文本 2" xfId="367" xr:uid="{00000000-0005-0000-0000-000040010000}"/>
    <cellStyle name="解释性文本 2 2" xfId="17" xr:uid="{00000000-0005-0000-0000-000041010000}"/>
    <cellStyle name="解释性文本 2 3" xfId="281" xr:uid="{00000000-0005-0000-0000-000042010000}"/>
    <cellStyle name="解释性文本 3" xfId="198" xr:uid="{00000000-0005-0000-0000-000043010000}"/>
    <cellStyle name="解释性文本 3 2" xfId="368" xr:uid="{00000000-0005-0000-0000-000044010000}"/>
    <cellStyle name="解释性文本 4" xfId="369" xr:uid="{00000000-0005-0000-0000-000045010000}"/>
    <cellStyle name="解释性文本 5" xfId="294" xr:uid="{00000000-0005-0000-0000-000046010000}"/>
    <cellStyle name="警告文本 2" xfId="352" xr:uid="{00000000-0005-0000-0000-000047010000}"/>
    <cellStyle name="警告文本 2 2" xfId="208" xr:uid="{00000000-0005-0000-0000-000048010000}"/>
    <cellStyle name="警告文本 2 3" xfId="243" xr:uid="{00000000-0005-0000-0000-000049010000}"/>
    <cellStyle name="警告文本 3" xfId="371" xr:uid="{00000000-0005-0000-0000-00004A010000}"/>
    <cellStyle name="警告文本 3 2" xfId="216" xr:uid="{00000000-0005-0000-0000-00004B010000}"/>
    <cellStyle name="警告文本 4" xfId="372" xr:uid="{00000000-0005-0000-0000-00004C010000}"/>
    <cellStyle name="警告文本 5" xfId="373" xr:uid="{00000000-0005-0000-0000-00004D010000}"/>
    <cellStyle name="链接单元格 2" xfId="375" xr:uid="{00000000-0005-0000-0000-00004E010000}"/>
    <cellStyle name="链接单元格 2 2" xfId="377" xr:uid="{00000000-0005-0000-0000-00004F010000}"/>
    <cellStyle name="链接单元格 2 3" xfId="378" xr:uid="{00000000-0005-0000-0000-000050010000}"/>
    <cellStyle name="链接单元格 3" xfId="39" xr:uid="{00000000-0005-0000-0000-000051010000}"/>
    <cellStyle name="链接单元格 3 2" xfId="2" xr:uid="{00000000-0005-0000-0000-000052010000}"/>
    <cellStyle name="链接单元格 4" xfId="44" xr:uid="{00000000-0005-0000-0000-000053010000}"/>
    <cellStyle name="链接单元格 5" xfId="8" xr:uid="{00000000-0005-0000-0000-000054010000}"/>
    <cellStyle name="千位分隔 2" xfId="379" xr:uid="{00000000-0005-0000-0000-000055010000}"/>
    <cellStyle name="千位分隔 2 2" xfId="380" xr:uid="{00000000-0005-0000-0000-000056010000}"/>
    <cellStyle name="千位分隔 2 2 2" xfId="461" xr:uid="{00000000-0005-0000-0000-000057010000}"/>
    <cellStyle name="千位分隔 2 3" xfId="445" xr:uid="{00000000-0005-0000-0000-000058010000}"/>
    <cellStyle name="千位分隔 3" xfId="274" xr:uid="{00000000-0005-0000-0000-000059010000}"/>
    <cellStyle name="千位分隔 3 2" xfId="454" xr:uid="{00000000-0005-0000-0000-00005A010000}"/>
    <cellStyle name="千位分隔 4" xfId="456" xr:uid="{00000000-0005-0000-0000-00005B010000}"/>
    <cellStyle name="千位分隔 5" xfId="468" xr:uid="{00000000-0005-0000-0000-00005C010000}"/>
    <cellStyle name="强调文字颜色 1 2" xfId="381" xr:uid="{00000000-0005-0000-0000-00005D010000}"/>
    <cellStyle name="强调文字颜色 1 2 2" xfId="382" xr:uid="{00000000-0005-0000-0000-00005E010000}"/>
    <cellStyle name="强调文字颜色 1 2 3" xfId="19" xr:uid="{00000000-0005-0000-0000-00005F010000}"/>
    <cellStyle name="强调文字颜色 1 3" xfId="383" xr:uid="{00000000-0005-0000-0000-000060010000}"/>
    <cellStyle name="强调文字颜色 1 3 2" xfId="384" xr:uid="{00000000-0005-0000-0000-000061010000}"/>
    <cellStyle name="强调文字颜色 1 4" xfId="283" xr:uid="{00000000-0005-0000-0000-000062010000}"/>
    <cellStyle name="强调文字颜色 1 5" xfId="285" xr:uid="{00000000-0005-0000-0000-000063010000}"/>
    <cellStyle name="强调文字颜色 2 2" xfId="385" xr:uid="{00000000-0005-0000-0000-000064010000}"/>
    <cellStyle name="强调文字颜色 2 2 2" xfId="386" xr:uid="{00000000-0005-0000-0000-000065010000}"/>
    <cellStyle name="强调文字颜色 2 2 3" xfId="219" xr:uid="{00000000-0005-0000-0000-000066010000}"/>
    <cellStyle name="强调文字颜色 2 3" xfId="387" xr:uid="{00000000-0005-0000-0000-000067010000}"/>
    <cellStyle name="强调文字颜色 2 3 2" xfId="9" xr:uid="{00000000-0005-0000-0000-000068010000}"/>
    <cellStyle name="强调文字颜色 2 4" xfId="289" xr:uid="{00000000-0005-0000-0000-000069010000}"/>
    <cellStyle name="强调文字颜色 2 5" xfId="4" xr:uid="{00000000-0005-0000-0000-00006A010000}"/>
    <cellStyle name="强调文字颜色 3 2" xfId="389" xr:uid="{00000000-0005-0000-0000-00006B010000}"/>
    <cellStyle name="强调文字颜色 3 2 2" xfId="196" xr:uid="{00000000-0005-0000-0000-00006C010000}"/>
    <cellStyle name="强调文字颜色 3 2 3" xfId="200" xr:uid="{00000000-0005-0000-0000-00006D010000}"/>
    <cellStyle name="强调文字颜色 3 3" xfId="390" xr:uid="{00000000-0005-0000-0000-00006E010000}"/>
    <cellStyle name="强调文字颜色 3 3 2" xfId="305" xr:uid="{00000000-0005-0000-0000-00006F010000}"/>
    <cellStyle name="强调文字颜色 3 4" xfId="391" xr:uid="{00000000-0005-0000-0000-000070010000}"/>
    <cellStyle name="强调文字颜色 3 5" xfId="362" xr:uid="{00000000-0005-0000-0000-000071010000}"/>
    <cellStyle name="强调文字颜色 4 2" xfId="323" xr:uid="{00000000-0005-0000-0000-000072010000}"/>
    <cellStyle name="强调文字颜色 4 2 2" xfId="325" xr:uid="{00000000-0005-0000-0000-000073010000}"/>
    <cellStyle name="强调文字颜色 4 2 3" xfId="228" xr:uid="{00000000-0005-0000-0000-000074010000}"/>
    <cellStyle name="强调文字颜色 4 3" xfId="327" xr:uid="{00000000-0005-0000-0000-000075010000}"/>
    <cellStyle name="强调文字颜色 4 3 2" xfId="329" xr:uid="{00000000-0005-0000-0000-000076010000}"/>
    <cellStyle name="强调文字颜色 4 4" xfId="392" xr:uid="{00000000-0005-0000-0000-000077010000}"/>
    <cellStyle name="强调文字颜色 4 5" xfId="394" xr:uid="{00000000-0005-0000-0000-000078010000}"/>
    <cellStyle name="强调文字颜色 5 2" xfId="339" xr:uid="{00000000-0005-0000-0000-000079010000}"/>
    <cellStyle name="强调文字颜色 5 2 2" xfId="341" xr:uid="{00000000-0005-0000-0000-00007A010000}"/>
    <cellStyle name="强调文字颜色 5 2 3" xfId="235" xr:uid="{00000000-0005-0000-0000-00007B010000}"/>
    <cellStyle name="强调文字颜色 5 3" xfId="395" xr:uid="{00000000-0005-0000-0000-00007C010000}"/>
    <cellStyle name="强调文字颜色 5 3 2" xfId="396" xr:uid="{00000000-0005-0000-0000-00007D010000}"/>
    <cellStyle name="强调文字颜色 5 4" xfId="397" xr:uid="{00000000-0005-0000-0000-00007E010000}"/>
    <cellStyle name="强调文字颜色 5 5" xfId="67" xr:uid="{00000000-0005-0000-0000-00007F010000}"/>
    <cellStyle name="强调文字颜色 6 2" xfId="398" xr:uid="{00000000-0005-0000-0000-000080010000}"/>
    <cellStyle name="强调文字颜色 6 2 2" xfId="399" xr:uid="{00000000-0005-0000-0000-000081010000}"/>
    <cellStyle name="强调文字颜色 6 2 3" xfId="400" xr:uid="{00000000-0005-0000-0000-000082010000}"/>
    <cellStyle name="强调文字颜色 6 3" xfId="401" xr:uid="{00000000-0005-0000-0000-000083010000}"/>
    <cellStyle name="强调文字颜色 6 3 2" xfId="348" xr:uid="{00000000-0005-0000-0000-000084010000}"/>
    <cellStyle name="强调文字颜色 6 4" xfId="402" xr:uid="{00000000-0005-0000-0000-000085010000}"/>
    <cellStyle name="强调文字颜色 6 5" xfId="403" xr:uid="{00000000-0005-0000-0000-000086010000}"/>
    <cellStyle name="适中 2" xfId="51" xr:uid="{00000000-0005-0000-0000-000087010000}"/>
    <cellStyle name="适中 2 2" xfId="190" xr:uid="{00000000-0005-0000-0000-000088010000}"/>
    <cellStyle name="适中 2 3" xfId="195" xr:uid="{00000000-0005-0000-0000-000089010000}"/>
    <cellStyle name="适中 3" xfId="404" xr:uid="{00000000-0005-0000-0000-00008A010000}"/>
    <cellStyle name="适中 3 2" xfId="405" xr:uid="{00000000-0005-0000-0000-00008B010000}"/>
    <cellStyle name="适中 4" xfId="333" xr:uid="{00000000-0005-0000-0000-00008C010000}"/>
    <cellStyle name="适中 5" xfId="406" xr:uid="{00000000-0005-0000-0000-00008D010000}"/>
    <cellStyle name="输出 2" xfId="43" xr:uid="{00000000-0005-0000-0000-00008E010000}"/>
    <cellStyle name="输出 2 2" xfId="71" xr:uid="{00000000-0005-0000-0000-00008F010000}"/>
    <cellStyle name="输出 2 2 2" xfId="73" xr:uid="{00000000-0005-0000-0000-000090010000}"/>
    <cellStyle name="输出 2 2 2 2" xfId="407" xr:uid="{00000000-0005-0000-0000-000091010000}"/>
    <cellStyle name="输出 2 2 3" xfId="75" xr:uid="{00000000-0005-0000-0000-000092010000}"/>
    <cellStyle name="输出 2 3" xfId="77" xr:uid="{00000000-0005-0000-0000-000093010000}"/>
    <cellStyle name="输出 2 3 2" xfId="79" xr:uid="{00000000-0005-0000-0000-000094010000}"/>
    <cellStyle name="输出 2 3 2 2" xfId="408" xr:uid="{00000000-0005-0000-0000-000095010000}"/>
    <cellStyle name="输出 2 3 3" xfId="409" xr:uid="{00000000-0005-0000-0000-000096010000}"/>
    <cellStyle name="输出 2 4" xfId="81" xr:uid="{00000000-0005-0000-0000-000097010000}"/>
    <cellStyle name="输出 2 4 2" xfId="25" xr:uid="{00000000-0005-0000-0000-000098010000}"/>
    <cellStyle name="输出 2 5" xfId="83" xr:uid="{00000000-0005-0000-0000-000099010000}"/>
    <cellStyle name="输出 3" xfId="7" xr:uid="{00000000-0005-0000-0000-00009A010000}"/>
    <cellStyle name="输出 3 2" xfId="85" xr:uid="{00000000-0005-0000-0000-00009B010000}"/>
    <cellStyle name="输出 3 2 2" xfId="87" xr:uid="{00000000-0005-0000-0000-00009C010000}"/>
    <cellStyle name="输出 3 2 2 2" xfId="410" xr:uid="{00000000-0005-0000-0000-00009D010000}"/>
    <cellStyle name="输出 3 2 3" xfId="89" xr:uid="{00000000-0005-0000-0000-00009E010000}"/>
    <cellStyle name="输出 3 3" xfId="32" xr:uid="{00000000-0005-0000-0000-00009F010000}"/>
    <cellStyle name="输出 3 3 2" xfId="50" xr:uid="{00000000-0005-0000-0000-0000A0010000}"/>
    <cellStyle name="输出 3 4" xfId="91" xr:uid="{00000000-0005-0000-0000-0000A1010000}"/>
    <cellStyle name="输出 4" xfId="45" xr:uid="{00000000-0005-0000-0000-0000A2010000}"/>
    <cellStyle name="输出 4 2" xfId="96" xr:uid="{00000000-0005-0000-0000-0000A3010000}"/>
    <cellStyle name="输出 4 2 2" xfId="99" xr:uid="{00000000-0005-0000-0000-0000A4010000}"/>
    <cellStyle name="输出 4 3" xfId="105" xr:uid="{00000000-0005-0000-0000-0000A5010000}"/>
    <cellStyle name="输出 5" xfId="34" xr:uid="{00000000-0005-0000-0000-0000A6010000}"/>
    <cellStyle name="输出 5 2" xfId="113" xr:uid="{00000000-0005-0000-0000-0000A7010000}"/>
    <cellStyle name="输出 5 2 2" xfId="115" xr:uid="{00000000-0005-0000-0000-0000A8010000}"/>
    <cellStyle name="输出 5 3" xfId="119" xr:uid="{00000000-0005-0000-0000-0000A9010000}"/>
    <cellStyle name="输入 2" xfId="393" xr:uid="{00000000-0005-0000-0000-0000AA010000}"/>
    <cellStyle name="输入 2 2" xfId="412" xr:uid="{00000000-0005-0000-0000-0000AB010000}"/>
    <cellStyle name="输入 2 2 2" xfId="177" xr:uid="{00000000-0005-0000-0000-0000AC010000}"/>
    <cellStyle name="输入 2 3" xfId="414" xr:uid="{00000000-0005-0000-0000-0000AD010000}"/>
    <cellStyle name="输入 2 3 2" xfId="185" xr:uid="{00000000-0005-0000-0000-0000AE010000}"/>
    <cellStyle name="输入 2 4" xfId="388" xr:uid="{00000000-0005-0000-0000-0000AF010000}"/>
    <cellStyle name="输入 3" xfId="415" xr:uid="{00000000-0005-0000-0000-0000B0010000}"/>
    <cellStyle name="输入 3 2" xfId="314" xr:uid="{00000000-0005-0000-0000-0000B1010000}"/>
    <cellStyle name="输入 3 2 2" xfId="316" xr:uid="{00000000-0005-0000-0000-0000B2010000}"/>
    <cellStyle name="输入 3 3" xfId="320" xr:uid="{00000000-0005-0000-0000-0000B3010000}"/>
    <cellStyle name="输入 4" xfId="416" xr:uid="{00000000-0005-0000-0000-0000B4010000}"/>
    <cellStyle name="输入 4 2" xfId="102" xr:uid="{00000000-0005-0000-0000-0000B5010000}"/>
    <cellStyle name="输入 5" xfId="417" xr:uid="{00000000-0005-0000-0000-0000B6010000}"/>
    <cellStyle name="输入 5 2" xfId="345" xr:uid="{00000000-0005-0000-0000-0000B7010000}"/>
    <cellStyle name="㼿㼿㼿㼿? 2" xfId="439" xr:uid="{00000000-0005-0000-0000-0000B8010000}"/>
    <cellStyle name="㼿㼿㼿㼿㼿" xfId="437" xr:uid="{00000000-0005-0000-0000-0000B9010000}"/>
    <cellStyle name="㼿㼿㼿㼿㼿㼿㼿" xfId="438" xr:uid="{00000000-0005-0000-0000-0000BA010000}"/>
    <cellStyle name="样式 1" xfId="270" xr:uid="{00000000-0005-0000-0000-0000BB010000}"/>
    <cellStyle name="样式 1 2" xfId="418" xr:uid="{00000000-0005-0000-0000-0000BC010000}"/>
    <cellStyle name="样式 2" xfId="419" xr:uid="{00000000-0005-0000-0000-0000BD010000}"/>
    <cellStyle name="样式 2 2" xfId="420" xr:uid="{00000000-0005-0000-0000-0000BE010000}"/>
    <cellStyle name="样式 2 3" xfId="421" xr:uid="{00000000-0005-0000-0000-0000BF010000}"/>
    <cellStyle name="样式 2 4" xfId="411" xr:uid="{00000000-0005-0000-0000-0000C0010000}"/>
    <cellStyle name="样式 2 5" xfId="413" xr:uid="{00000000-0005-0000-0000-0000C1010000}"/>
    <cellStyle name="注释 2" xfId="211" xr:uid="{00000000-0005-0000-0000-0000C2010000}"/>
    <cellStyle name="注释 2 2" xfId="422" xr:uid="{00000000-0005-0000-0000-0000C3010000}"/>
    <cellStyle name="注释 2 2 2" xfId="423" xr:uid="{00000000-0005-0000-0000-0000C4010000}"/>
    <cellStyle name="注释 2 2 2 2" xfId="424" xr:uid="{00000000-0005-0000-0000-0000C5010000}"/>
    <cellStyle name="注释 2 2 3" xfId="425" xr:uid="{00000000-0005-0000-0000-0000C6010000}"/>
    <cellStyle name="注释 2 3" xfId="29" xr:uid="{00000000-0005-0000-0000-0000C7010000}"/>
    <cellStyle name="注释 2 3 2" xfId="374" xr:uid="{00000000-0005-0000-0000-0000C8010000}"/>
    <cellStyle name="注释 2 3 2 2" xfId="376" xr:uid="{00000000-0005-0000-0000-0000C9010000}"/>
    <cellStyle name="注释 2 3 3" xfId="38" xr:uid="{00000000-0005-0000-0000-0000CA010000}"/>
    <cellStyle name="注释 2 4" xfId="426" xr:uid="{00000000-0005-0000-0000-0000CB010000}"/>
    <cellStyle name="注释 2 4 2" xfId="291" xr:uid="{00000000-0005-0000-0000-0000CC010000}"/>
    <cellStyle name="注释 2 5" xfId="427" xr:uid="{00000000-0005-0000-0000-0000CD010000}"/>
    <cellStyle name="注释 3" xfId="428" xr:uid="{00000000-0005-0000-0000-0000CE010000}"/>
    <cellStyle name="注释 3 2" xfId="429" xr:uid="{00000000-0005-0000-0000-0000CF010000}"/>
    <cellStyle name="注释 3 2 2" xfId="24" xr:uid="{00000000-0005-0000-0000-0000D0010000}"/>
    <cellStyle name="注释 3 2 2 2" xfId="136" xr:uid="{00000000-0005-0000-0000-0000D1010000}"/>
    <cellStyle name="注释 3 2 3" xfId="49" xr:uid="{00000000-0005-0000-0000-0000D2010000}"/>
    <cellStyle name="注释 3 3" xfId="430" xr:uid="{00000000-0005-0000-0000-0000D3010000}"/>
    <cellStyle name="注释 3 3 2" xfId="431" xr:uid="{00000000-0005-0000-0000-0000D4010000}"/>
    <cellStyle name="注释 3 4" xfId="432" xr:uid="{00000000-0005-0000-0000-0000D5010000}"/>
    <cellStyle name="注释 4" xfId="433" xr:uid="{00000000-0005-0000-0000-0000D6010000}"/>
    <cellStyle name="注释 4 2" xfId="434" xr:uid="{00000000-0005-0000-0000-0000D7010000}"/>
    <cellStyle name="注释 4 2 2" xfId="435" xr:uid="{00000000-0005-0000-0000-0000D8010000}"/>
    <cellStyle name="注释 4 3" xfId="436" xr:uid="{00000000-0005-0000-0000-0000D9010000}"/>
    <cellStyle name="注释 5" xfId="18" xr:uid="{00000000-0005-0000-0000-0000DA010000}"/>
    <cellStyle name="注释 5 2" xfId="351" xr:uid="{00000000-0005-0000-0000-0000DB010000}"/>
    <cellStyle name="注释 5 2 2" xfId="207" xr:uid="{00000000-0005-0000-0000-0000DC010000}"/>
    <cellStyle name="注释 5 3" xfId="370" xr:uid="{00000000-0005-0000-0000-0000DD010000}"/>
  </cellStyles>
  <dxfs count="19"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202_&#31246;&#27454;&#35745;&#31639;_&#24037;&#36164;&#34218;&#37329;&#25152;&#24471;&#65288;&#20462;&#25913;&#21518;&#6528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201/&#30005;&#20449;&#26234;&#24935;&#34701;&#31185;&#8212;&#28023;&#28096;&#20998;&#20844;&#21496;/&#21019;&#32852;&#33268;&#20449;&#28023;&#28096;&#20998;&#20844;&#21496;&#39033;&#30446;202202&#20184;&#27454;&#30003;&#35831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所得申报税款计算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增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77156.09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23"/>
  <sheetViews>
    <sheetView tabSelected="1" workbookViewId="0">
      <selection activeCell="D8" sqref="D8"/>
    </sheetView>
  </sheetViews>
  <sheetFormatPr defaultRowHeight="14"/>
  <cols>
    <col min="1" max="1" width="13" customWidth="1"/>
    <col min="2" max="2" width="4.08984375" customWidth="1"/>
    <col min="3" max="3" width="19.26953125" customWidth="1"/>
    <col min="4" max="4" width="17.90625" style="243" customWidth="1"/>
    <col min="5" max="5" width="14.08984375" customWidth="1"/>
    <col min="6" max="7" width="14" customWidth="1"/>
    <col min="8" max="8" width="15.08984375" bestFit="1" customWidth="1"/>
    <col min="9" max="9" width="19.26953125" bestFit="1" customWidth="1"/>
  </cols>
  <sheetData>
    <row r="3" spans="1:4" ht="21" customHeight="1">
      <c r="A3" s="132" t="s">
        <v>282</v>
      </c>
      <c r="B3" s="266">
        <v>2</v>
      </c>
      <c r="C3" s="133" t="s">
        <v>283</v>
      </c>
      <c r="D3" s="240" t="s">
        <v>63</v>
      </c>
    </row>
    <row r="4" spans="1:4" ht="13.5" customHeight="1">
      <c r="A4" s="267" t="s">
        <v>279</v>
      </c>
      <c r="B4" s="269" t="s">
        <v>24</v>
      </c>
      <c r="C4" s="269"/>
      <c r="D4" s="241">
        <f>SUMIF(海淀分公司工资表!$B:$B,D$3,海淀分公司工资表!$AS:$AS)</f>
        <v>417212.35000000003</v>
      </c>
    </row>
    <row r="5" spans="1:4">
      <c r="A5" s="267"/>
      <c r="B5" s="270" t="s">
        <v>143</v>
      </c>
      <c r="C5" s="270"/>
      <c r="D5" s="241">
        <f>SUMIF(海淀分公司工资表!$B:$B,D$3,海淀分公司工资表!$AP:$AP)</f>
        <v>7525.4500000000007</v>
      </c>
    </row>
    <row r="6" spans="1:4">
      <c r="A6" s="267"/>
      <c r="B6" s="270" t="s">
        <v>149</v>
      </c>
      <c r="C6" s="270"/>
      <c r="D6" s="241">
        <f>SUMIF(海淀分公司工资表!$B:$B,D$3,海淀分公司工资表!$AU:$AU)</f>
        <v>52</v>
      </c>
    </row>
    <row r="7" spans="1:4">
      <c r="A7" s="267"/>
      <c r="B7" s="270" t="s">
        <v>273</v>
      </c>
      <c r="C7" s="270"/>
      <c r="D7" s="241">
        <f>SUMIF(海淀分公司工资表!$B:$B,D$3,海淀分公司工资表!$AT:$AT)</f>
        <v>6080</v>
      </c>
    </row>
    <row r="8" spans="1:4">
      <c r="A8" s="267"/>
      <c r="B8" s="270" t="s">
        <v>280</v>
      </c>
      <c r="C8" s="270"/>
      <c r="D8" s="241">
        <f>SUM(D4:D7)-33.12</f>
        <v>430836.68000000005</v>
      </c>
    </row>
    <row r="9" spans="1:4">
      <c r="A9" s="267"/>
      <c r="B9" s="270" t="s">
        <v>281</v>
      </c>
      <c r="C9" s="270"/>
      <c r="D9" s="241">
        <f>ROUND(D8*6.72%,2)</f>
        <v>28952.22</v>
      </c>
    </row>
    <row r="10" spans="1:4">
      <c r="A10" s="268"/>
      <c r="B10" s="270" t="s">
        <v>144</v>
      </c>
      <c r="C10" s="270"/>
      <c r="D10" s="241">
        <f>ROUND(SUM(D8:D9),2)</f>
        <v>459788.9</v>
      </c>
    </row>
    <row r="11" spans="1:4" ht="9" customHeight="1">
      <c r="A11" s="272"/>
      <c r="B11" s="273"/>
      <c r="C11" s="273"/>
      <c r="D11" s="273"/>
    </row>
    <row r="12" spans="1:4">
      <c r="A12" s="276" t="s">
        <v>278</v>
      </c>
      <c r="B12" s="270" t="s">
        <v>287</v>
      </c>
      <c r="C12" s="270"/>
      <c r="D12" s="241">
        <f>SUMIF(社保!$A:$A,D$3,社保!$X:$X)</f>
        <v>111497.22999999998</v>
      </c>
    </row>
    <row r="13" spans="1:4">
      <c r="A13" s="267"/>
      <c r="B13" s="270" t="s">
        <v>288</v>
      </c>
      <c r="C13" s="270"/>
      <c r="D13" s="241">
        <f>SUMIF(社保!$A:$A,D$3,社保!$Y:$Y)</f>
        <v>68304</v>
      </c>
    </row>
    <row r="14" spans="1:4">
      <c r="A14" s="267"/>
      <c r="B14" s="270" t="s">
        <v>280</v>
      </c>
      <c r="C14" s="270"/>
      <c r="D14" s="241">
        <f>SUM(D12:D13)</f>
        <v>179801.22999999998</v>
      </c>
    </row>
    <row r="15" spans="1:4">
      <c r="A15" s="267"/>
      <c r="B15" s="270" t="s">
        <v>281</v>
      </c>
      <c r="C15" s="270"/>
      <c r="D15" s="241">
        <f>ROUND(D14*6.72%,2)</f>
        <v>12082.64</v>
      </c>
    </row>
    <row r="16" spans="1:4">
      <c r="A16" s="268"/>
      <c r="B16" s="270" t="s">
        <v>144</v>
      </c>
      <c r="C16" s="270"/>
      <c r="D16" s="241">
        <f>SUM(D14:D15)</f>
        <v>191883.87</v>
      </c>
    </row>
    <row r="17" spans="1:4" ht="8.25" customHeight="1">
      <c r="A17" s="274"/>
      <c r="B17" s="275"/>
      <c r="C17" s="275"/>
      <c r="D17" s="275"/>
    </row>
    <row r="18" spans="1:4">
      <c r="A18" s="276" t="s">
        <v>399</v>
      </c>
      <c r="B18" s="270" t="s">
        <v>287</v>
      </c>
      <c r="C18" s="270"/>
      <c r="D18" s="241">
        <f>SUMIFS(社保!$X:$X,社保!$AA:$AA,"",社保!$A:$A,D$3)</f>
        <v>106412.25999999998</v>
      </c>
    </row>
    <row r="19" spans="1:4">
      <c r="A19" s="267"/>
      <c r="B19" s="270" t="s">
        <v>288</v>
      </c>
      <c r="C19" s="270"/>
      <c r="D19" s="241">
        <f>SUMIFS(社保!$Y:$Y,社保!$AA:$AA,"",社保!$A:$A,D$3)</f>
        <v>69113</v>
      </c>
    </row>
    <row r="20" spans="1:4">
      <c r="A20" s="267"/>
      <c r="B20" s="270" t="s">
        <v>280</v>
      </c>
      <c r="C20" s="270"/>
      <c r="D20" s="241">
        <f>SUM(D18:D19)</f>
        <v>175525.25999999998</v>
      </c>
    </row>
    <row r="21" spans="1:4">
      <c r="A21" s="267"/>
      <c r="B21" s="270" t="s">
        <v>281</v>
      </c>
      <c r="C21" s="270"/>
      <c r="D21" s="241">
        <f>ROUND(D20*6.72%,2)</f>
        <v>11795.3</v>
      </c>
    </row>
    <row r="22" spans="1:4">
      <c r="A22" s="268"/>
      <c r="B22" s="270" t="s">
        <v>144</v>
      </c>
      <c r="C22" s="270"/>
      <c r="D22" s="241">
        <f>SUM(D20:D21)</f>
        <v>187320.55999999997</v>
      </c>
    </row>
    <row r="23" spans="1:4" ht="26.25" customHeight="1">
      <c r="A23" s="271" t="s">
        <v>400</v>
      </c>
      <c r="B23" s="271"/>
      <c r="C23" s="271"/>
      <c r="D23" s="242">
        <f>D10+D16+D22</f>
        <v>838993.33</v>
      </c>
    </row>
  </sheetData>
  <mergeCells count="23">
    <mergeCell ref="A23:C23"/>
    <mergeCell ref="A11:D11"/>
    <mergeCell ref="A17:D17"/>
    <mergeCell ref="A18:A22"/>
    <mergeCell ref="B18:C18"/>
    <mergeCell ref="B19:C19"/>
    <mergeCell ref="B20:C20"/>
    <mergeCell ref="B21:C21"/>
    <mergeCell ref="B22:C22"/>
    <mergeCell ref="A12:A16"/>
    <mergeCell ref="B14:C14"/>
    <mergeCell ref="B15:C15"/>
    <mergeCell ref="B16:C16"/>
    <mergeCell ref="B12:C12"/>
    <mergeCell ref="B13:C13"/>
    <mergeCell ref="A4:A10"/>
    <mergeCell ref="B4:C4"/>
    <mergeCell ref="B5:C5"/>
    <mergeCell ref="B6:C6"/>
    <mergeCell ref="B7:C7"/>
    <mergeCell ref="B8:C8"/>
    <mergeCell ref="B9:C9"/>
    <mergeCell ref="B10:C10"/>
  </mergeCells>
  <phoneticPr fontId="2" type="noConversion"/>
  <conditionalFormatting sqref="B5">
    <cfRule type="duplicateValues" dxfId="18" priority="18" stopIfTrue="1"/>
    <cfRule type="expression" dxfId="17" priority="19" stopIfTrue="1">
      <formula>AND(COUNTIF($D$8:$D$65445,B5)+COUNTIF($D$1:$D$1,B5)&gt;1,NOT(ISBLANK(B5)))</formula>
    </cfRule>
    <cfRule type="expression" dxfId="16" priority="20" stopIfTrue="1">
      <formula>AND(COUNTIF($D$20:$D$65396,B5)+COUNTIF($D$1:$D$19,B5)&gt;1,NOT(ISBLANK(B5)))</formula>
    </cfRule>
    <cfRule type="expression" dxfId="15" priority="21" stopIfTrue="1">
      <formula>AND(COUNTIF($D$8:$D$65434,B5)+COUNTIF($D$1:$D$1,B5)&gt;1,NOT(ISBLANK(B5)))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8"/>
  <sheetViews>
    <sheetView workbookViewId="0">
      <selection activeCell="N1" sqref="A1:N1048576"/>
    </sheetView>
  </sheetViews>
  <sheetFormatPr defaultColWidth="9" defaultRowHeight="14"/>
  <cols>
    <col min="1" max="10" width="9" style="243"/>
    <col min="11" max="11" width="9.36328125" style="243" bestFit="1" customWidth="1"/>
    <col min="12" max="12" width="9" style="243"/>
    <col min="13" max="13" width="9.36328125" style="243" bestFit="1" customWidth="1"/>
    <col min="14" max="14" width="12.6328125" style="243" bestFit="1" customWidth="1"/>
    <col min="15" max="15" width="9.36328125" bestFit="1" customWidth="1"/>
    <col min="267" max="267" width="9.36328125" bestFit="1" customWidth="1"/>
    <col min="269" max="269" width="9.36328125" bestFit="1" customWidth="1"/>
    <col min="270" max="270" width="12.6328125" bestFit="1" customWidth="1"/>
    <col min="271" max="271" width="9.36328125" bestFit="1" customWidth="1"/>
    <col min="523" max="523" width="9.36328125" bestFit="1" customWidth="1"/>
    <col min="525" max="525" width="9.36328125" bestFit="1" customWidth="1"/>
    <col min="526" max="526" width="12.6328125" bestFit="1" customWidth="1"/>
    <col min="527" max="527" width="9.36328125" bestFit="1" customWidth="1"/>
    <col min="779" max="779" width="9.36328125" bestFit="1" customWidth="1"/>
    <col min="781" max="781" width="9.36328125" bestFit="1" customWidth="1"/>
    <col min="782" max="782" width="12.6328125" bestFit="1" customWidth="1"/>
    <col min="783" max="783" width="9.36328125" bestFit="1" customWidth="1"/>
    <col min="1035" max="1035" width="9.36328125" bestFit="1" customWidth="1"/>
    <col min="1037" max="1037" width="9.36328125" bestFit="1" customWidth="1"/>
    <col min="1038" max="1038" width="12.6328125" bestFit="1" customWidth="1"/>
    <col min="1039" max="1039" width="9.36328125" bestFit="1" customWidth="1"/>
    <col min="1291" max="1291" width="9.36328125" bestFit="1" customWidth="1"/>
    <col min="1293" max="1293" width="9.36328125" bestFit="1" customWidth="1"/>
    <col min="1294" max="1294" width="12.6328125" bestFit="1" customWidth="1"/>
    <col min="1295" max="1295" width="9.36328125" bestFit="1" customWidth="1"/>
    <col min="1547" max="1547" width="9.36328125" bestFit="1" customWidth="1"/>
    <col min="1549" max="1549" width="9.36328125" bestFit="1" customWidth="1"/>
    <col min="1550" max="1550" width="12.6328125" bestFit="1" customWidth="1"/>
    <col min="1551" max="1551" width="9.36328125" bestFit="1" customWidth="1"/>
    <col min="1803" max="1803" width="9.36328125" bestFit="1" customWidth="1"/>
    <col min="1805" max="1805" width="9.36328125" bestFit="1" customWidth="1"/>
    <col min="1806" max="1806" width="12.6328125" bestFit="1" customWidth="1"/>
    <col min="1807" max="1807" width="9.36328125" bestFit="1" customWidth="1"/>
    <col min="2059" max="2059" width="9.36328125" bestFit="1" customWidth="1"/>
    <col min="2061" max="2061" width="9.36328125" bestFit="1" customWidth="1"/>
    <col min="2062" max="2062" width="12.6328125" bestFit="1" customWidth="1"/>
    <col min="2063" max="2063" width="9.36328125" bestFit="1" customWidth="1"/>
    <col min="2315" max="2315" width="9.36328125" bestFit="1" customWidth="1"/>
    <col min="2317" max="2317" width="9.36328125" bestFit="1" customWidth="1"/>
    <col min="2318" max="2318" width="12.6328125" bestFit="1" customWidth="1"/>
    <col min="2319" max="2319" width="9.36328125" bestFit="1" customWidth="1"/>
    <col min="2571" max="2571" width="9.36328125" bestFit="1" customWidth="1"/>
    <col min="2573" max="2573" width="9.36328125" bestFit="1" customWidth="1"/>
    <col min="2574" max="2574" width="12.6328125" bestFit="1" customWidth="1"/>
    <col min="2575" max="2575" width="9.36328125" bestFit="1" customWidth="1"/>
    <col min="2827" max="2827" width="9.36328125" bestFit="1" customWidth="1"/>
    <col min="2829" max="2829" width="9.36328125" bestFit="1" customWidth="1"/>
    <col min="2830" max="2830" width="12.6328125" bestFit="1" customWidth="1"/>
    <col min="2831" max="2831" width="9.36328125" bestFit="1" customWidth="1"/>
    <col min="3083" max="3083" width="9.36328125" bestFit="1" customWidth="1"/>
    <col min="3085" max="3085" width="9.36328125" bestFit="1" customWidth="1"/>
    <col min="3086" max="3086" width="12.6328125" bestFit="1" customWidth="1"/>
    <col min="3087" max="3087" width="9.36328125" bestFit="1" customWidth="1"/>
    <col min="3339" max="3339" width="9.36328125" bestFit="1" customWidth="1"/>
    <col min="3341" max="3341" width="9.36328125" bestFit="1" customWidth="1"/>
    <col min="3342" max="3342" width="12.6328125" bestFit="1" customWidth="1"/>
    <col min="3343" max="3343" width="9.36328125" bestFit="1" customWidth="1"/>
    <col min="3595" max="3595" width="9.36328125" bestFit="1" customWidth="1"/>
    <col min="3597" max="3597" width="9.36328125" bestFit="1" customWidth="1"/>
    <col min="3598" max="3598" width="12.6328125" bestFit="1" customWidth="1"/>
    <col min="3599" max="3599" width="9.36328125" bestFit="1" customWidth="1"/>
    <col min="3851" max="3851" width="9.36328125" bestFit="1" customWidth="1"/>
    <col min="3853" max="3853" width="9.36328125" bestFit="1" customWidth="1"/>
    <col min="3854" max="3854" width="12.6328125" bestFit="1" customWidth="1"/>
    <col min="3855" max="3855" width="9.36328125" bestFit="1" customWidth="1"/>
    <col min="4107" max="4107" width="9.36328125" bestFit="1" customWidth="1"/>
    <col min="4109" max="4109" width="9.36328125" bestFit="1" customWidth="1"/>
    <col min="4110" max="4110" width="12.6328125" bestFit="1" customWidth="1"/>
    <col min="4111" max="4111" width="9.36328125" bestFit="1" customWidth="1"/>
    <col min="4363" max="4363" width="9.36328125" bestFit="1" customWidth="1"/>
    <col min="4365" max="4365" width="9.36328125" bestFit="1" customWidth="1"/>
    <col min="4366" max="4366" width="12.6328125" bestFit="1" customWidth="1"/>
    <col min="4367" max="4367" width="9.36328125" bestFit="1" customWidth="1"/>
    <col min="4619" max="4619" width="9.36328125" bestFit="1" customWidth="1"/>
    <col min="4621" max="4621" width="9.36328125" bestFit="1" customWidth="1"/>
    <col min="4622" max="4622" width="12.6328125" bestFit="1" customWidth="1"/>
    <col min="4623" max="4623" width="9.36328125" bestFit="1" customWidth="1"/>
    <col min="4875" max="4875" width="9.36328125" bestFit="1" customWidth="1"/>
    <col min="4877" max="4877" width="9.36328125" bestFit="1" customWidth="1"/>
    <col min="4878" max="4878" width="12.6328125" bestFit="1" customWidth="1"/>
    <col min="4879" max="4879" width="9.36328125" bestFit="1" customWidth="1"/>
    <col min="5131" max="5131" width="9.36328125" bestFit="1" customWidth="1"/>
    <col min="5133" max="5133" width="9.36328125" bestFit="1" customWidth="1"/>
    <col min="5134" max="5134" width="12.6328125" bestFit="1" customWidth="1"/>
    <col min="5135" max="5135" width="9.36328125" bestFit="1" customWidth="1"/>
    <col min="5387" max="5387" width="9.36328125" bestFit="1" customWidth="1"/>
    <col min="5389" max="5389" width="9.36328125" bestFit="1" customWidth="1"/>
    <col min="5390" max="5390" width="12.6328125" bestFit="1" customWidth="1"/>
    <col min="5391" max="5391" width="9.36328125" bestFit="1" customWidth="1"/>
    <col min="5643" max="5643" width="9.36328125" bestFit="1" customWidth="1"/>
    <col min="5645" max="5645" width="9.36328125" bestFit="1" customWidth="1"/>
    <col min="5646" max="5646" width="12.6328125" bestFit="1" customWidth="1"/>
    <col min="5647" max="5647" width="9.36328125" bestFit="1" customWidth="1"/>
    <col min="5899" max="5899" width="9.36328125" bestFit="1" customWidth="1"/>
    <col min="5901" max="5901" width="9.36328125" bestFit="1" customWidth="1"/>
    <col min="5902" max="5902" width="12.6328125" bestFit="1" customWidth="1"/>
    <col min="5903" max="5903" width="9.36328125" bestFit="1" customWidth="1"/>
    <col min="6155" max="6155" width="9.36328125" bestFit="1" customWidth="1"/>
    <col min="6157" max="6157" width="9.36328125" bestFit="1" customWidth="1"/>
    <col min="6158" max="6158" width="12.6328125" bestFit="1" customWidth="1"/>
    <col min="6159" max="6159" width="9.36328125" bestFit="1" customWidth="1"/>
    <col min="6411" max="6411" width="9.36328125" bestFit="1" customWidth="1"/>
    <col min="6413" max="6413" width="9.36328125" bestFit="1" customWidth="1"/>
    <col min="6414" max="6414" width="12.6328125" bestFit="1" customWidth="1"/>
    <col min="6415" max="6415" width="9.36328125" bestFit="1" customWidth="1"/>
    <col min="6667" max="6667" width="9.36328125" bestFit="1" customWidth="1"/>
    <col min="6669" max="6669" width="9.36328125" bestFit="1" customWidth="1"/>
    <col min="6670" max="6670" width="12.6328125" bestFit="1" customWidth="1"/>
    <col min="6671" max="6671" width="9.36328125" bestFit="1" customWidth="1"/>
    <col min="6923" max="6923" width="9.36328125" bestFit="1" customWidth="1"/>
    <col min="6925" max="6925" width="9.36328125" bestFit="1" customWidth="1"/>
    <col min="6926" max="6926" width="12.6328125" bestFit="1" customWidth="1"/>
    <col min="6927" max="6927" width="9.36328125" bestFit="1" customWidth="1"/>
    <col min="7179" max="7179" width="9.36328125" bestFit="1" customWidth="1"/>
    <col min="7181" max="7181" width="9.36328125" bestFit="1" customWidth="1"/>
    <col min="7182" max="7182" width="12.6328125" bestFit="1" customWidth="1"/>
    <col min="7183" max="7183" width="9.36328125" bestFit="1" customWidth="1"/>
    <col min="7435" max="7435" width="9.36328125" bestFit="1" customWidth="1"/>
    <col min="7437" max="7437" width="9.36328125" bestFit="1" customWidth="1"/>
    <col min="7438" max="7438" width="12.6328125" bestFit="1" customWidth="1"/>
    <col min="7439" max="7439" width="9.36328125" bestFit="1" customWidth="1"/>
    <col min="7691" max="7691" width="9.36328125" bestFit="1" customWidth="1"/>
    <col min="7693" max="7693" width="9.36328125" bestFit="1" customWidth="1"/>
    <col min="7694" max="7694" width="12.6328125" bestFit="1" customWidth="1"/>
    <col min="7695" max="7695" width="9.36328125" bestFit="1" customWidth="1"/>
    <col min="7947" max="7947" width="9.36328125" bestFit="1" customWidth="1"/>
    <col min="7949" max="7949" width="9.36328125" bestFit="1" customWidth="1"/>
    <col min="7950" max="7950" width="12.6328125" bestFit="1" customWidth="1"/>
    <col min="7951" max="7951" width="9.36328125" bestFit="1" customWidth="1"/>
    <col min="8203" max="8203" width="9.36328125" bestFit="1" customWidth="1"/>
    <col min="8205" max="8205" width="9.36328125" bestFit="1" customWidth="1"/>
    <col min="8206" max="8206" width="12.6328125" bestFit="1" customWidth="1"/>
    <col min="8207" max="8207" width="9.36328125" bestFit="1" customWidth="1"/>
    <col min="8459" max="8459" width="9.36328125" bestFit="1" customWidth="1"/>
    <col min="8461" max="8461" width="9.36328125" bestFit="1" customWidth="1"/>
    <col min="8462" max="8462" width="12.6328125" bestFit="1" customWidth="1"/>
    <col min="8463" max="8463" width="9.36328125" bestFit="1" customWidth="1"/>
    <col min="8715" max="8715" width="9.36328125" bestFit="1" customWidth="1"/>
    <col min="8717" max="8717" width="9.36328125" bestFit="1" customWidth="1"/>
    <col min="8718" max="8718" width="12.6328125" bestFit="1" customWidth="1"/>
    <col min="8719" max="8719" width="9.36328125" bestFit="1" customWidth="1"/>
    <col min="8971" max="8971" width="9.36328125" bestFit="1" customWidth="1"/>
    <col min="8973" max="8973" width="9.36328125" bestFit="1" customWidth="1"/>
    <col min="8974" max="8974" width="12.6328125" bestFit="1" customWidth="1"/>
    <col min="8975" max="8975" width="9.36328125" bestFit="1" customWidth="1"/>
    <col min="9227" max="9227" width="9.36328125" bestFit="1" customWidth="1"/>
    <col min="9229" max="9229" width="9.36328125" bestFit="1" customWidth="1"/>
    <col min="9230" max="9230" width="12.6328125" bestFit="1" customWidth="1"/>
    <col min="9231" max="9231" width="9.36328125" bestFit="1" customWidth="1"/>
    <col min="9483" max="9483" width="9.36328125" bestFit="1" customWidth="1"/>
    <col min="9485" max="9485" width="9.36328125" bestFit="1" customWidth="1"/>
    <col min="9486" max="9486" width="12.6328125" bestFit="1" customWidth="1"/>
    <col min="9487" max="9487" width="9.36328125" bestFit="1" customWidth="1"/>
    <col min="9739" max="9739" width="9.36328125" bestFit="1" customWidth="1"/>
    <col min="9741" max="9741" width="9.36328125" bestFit="1" customWidth="1"/>
    <col min="9742" max="9742" width="12.6328125" bestFit="1" customWidth="1"/>
    <col min="9743" max="9743" width="9.36328125" bestFit="1" customWidth="1"/>
    <col min="9995" max="9995" width="9.36328125" bestFit="1" customWidth="1"/>
    <col min="9997" max="9997" width="9.36328125" bestFit="1" customWidth="1"/>
    <col min="9998" max="9998" width="12.6328125" bestFit="1" customWidth="1"/>
    <col min="9999" max="9999" width="9.36328125" bestFit="1" customWidth="1"/>
    <col min="10251" max="10251" width="9.36328125" bestFit="1" customWidth="1"/>
    <col min="10253" max="10253" width="9.36328125" bestFit="1" customWidth="1"/>
    <col min="10254" max="10254" width="12.6328125" bestFit="1" customWidth="1"/>
    <col min="10255" max="10255" width="9.36328125" bestFit="1" customWidth="1"/>
    <col min="10507" max="10507" width="9.36328125" bestFit="1" customWidth="1"/>
    <col min="10509" max="10509" width="9.36328125" bestFit="1" customWidth="1"/>
    <col min="10510" max="10510" width="12.6328125" bestFit="1" customWidth="1"/>
    <col min="10511" max="10511" width="9.36328125" bestFit="1" customWidth="1"/>
    <col min="10763" max="10763" width="9.36328125" bestFit="1" customWidth="1"/>
    <col min="10765" max="10765" width="9.36328125" bestFit="1" customWidth="1"/>
    <col min="10766" max="10766" width="12.6328125" bestFit="1" customWidth="1"/>
    <col min="10767" max="10767" width="9.36328125" bestFit="1" customWidth="1"/>
    <col min="11019" max="11019" width="9.36328125" bestFit="1" customWidth="1"/>
    <col min="11021" max="11021" width="9.36328125" bestFit="1" customWidth="1"/>
    <col min="11022" max="11022" width="12.6328125" bestFit="1" customWidth="1"/>
    <col min="11023" max="11023" width="9.36328125" bestFit="1" customWidth="1"/>
    <col min="11275" max="11275" width="9.36328125" bestFit="1" customWidth="1"/>
    <col min="11277" max="11277" width="9.36328125" bestFit="1" customWidth="1"/>
    <col min="11278" max="11278" width="12.6328125" bestFit="1" customWidth="1"/>
    <col min="11279" max="11279" width="9.36328125" bestFit="1" customWidth="1"/>
    <col min="11531" max="11531" width="9.36328125" bestFit="1" customWidth="1"/>
    <col min="11533" max="11533" width="9.36328125" bestFit="1" customWidth="1"/>
    <col min="11534" max="11534" width="12.6328125" bestFit="1" customWidth="1"/>
    <col min="11535" max="11535" width="9.36328125" bestFit="1" customWidth="1"/>
    <col min="11787" max="11787" width="9.36328125" bestFit="1" customWidth="1"/>
    <col min="11789" max="11789" width="9.36328125" bestFit="1" customWidth="1"/>
    <col min="11790" max="11790" width="12.6328125" bestFit="1" customWidth="1"/>
    <col min="11791" max="11791" width="9.36328125" bestFit="1" customWidth="1"/>
    <col min="12043" max="12043" width="9.36328125" bestFit="1" customWidth="1"/>
    <col min="12045" max="12045" width="9.36328125" bestFit="1" customWidth="1"/>
    <col min="12046" max="12046" width="12.6328125" bestFit="1" customWidth="1"/>
    <col min="12047" max="12047" width="9.36328125" bestFit="1" customWidth="1"/>
    <col min="12299" max="12299" width="9.36328125" bestFit="1" customWidth="1"/>
    <col min="12301" max="12301" width="9.36328125" bestFit="1" customWidth="1"/>
    <col min="12302" max="12302" width="12.6328125" bestFit="1" customWidth="1"/>
    <col min="12303" max="12303" width="9.36328125" bestFit="1" customWidth="1"/>
    <col min="12555" max="12555" width="9.36328125" bestFit="1" customWidth="1"/>
    <col min="12557" max="12557" width="9.36328125" bestFit="1" customWidth="1"/>
    <col min="12558" max="12558" width="12.6328125" bestFit="1" customWidth="1"/>
    <col min="12559" max="12559" width="9.36328125" bestFit="1" customWidth="1"/>
    <col min="12811" max="12811" width="9.36328125" bestFit="1" customWidth="1"/>
    <col min="12813" max="12813" width="9.36328125" bestFit="1" customWidth="1"/>
    <col min="12814" max="12814" width="12.6328125" bestFit="1" customWidth="1"/>
    <col min="12815" max="12815" width="9.36328125" bestFit="1" customWidth="1"/>
    <col min="13067" max="13067" width="9.36328125" bestFit="1" customWidth="1"/>
    <col min="13069" max="13069" width="9.36328125" bestFit="1" customWidth="1"/>
    <col min="13070" max="13070" width="12.6328125" bestFit="1" customWidth="1"/>
    <col min="13071" max="13071" width="9.36328125" bestFit="1" customWidth="1"/>
    <col min="13323" max="13323" width="9.36328125" bestFit="1" customWidth="1"/>
    <col min="13325" max="13325" width="9.36328125" bestFit="1" customWidth="1"/>
    <col min="13326" max="13326" width="12.6328125" bestFit="1" customWidth="1"/>
    <col min="13327" max="13327" width="9.36328125" bestFit="1" customWidth="1"/>
    <col min="13579" max="13579" width="9.36328125" bestFit="1" customWidth="1"/>
    <col min="13581" max="13581" width="9.36328125" bestFit="1" customWidth="1"/>
    <col min="13582" max="13582" width="12.6328125" bestFit="1" customWidth="1"/>
    <col min="13583" max="13583" width="9.36328125" bestFit="1" customWidth="1"/>
    <col min="13835" max="13835" width="9.36328125" bestFit="1" customWidth="1"/>
    <col min="13837" max="13837" width="9.36328125" bestFit="1" customWidth="1"/>
    <col min="13838" max="13838" width="12.6328125" bestFit="1" customWidth="1"/>
    <col min="13839" max="13839" width="9.36328125" bestFit="1" customWidth="1"/>
    <col min="14091" max="14091" width="9.36328125" bestFit="1" customWidth="1"/>
    <col min="14093" max="14093" width="9.36328125" bestFit="1" customWidth="1"/>
    <col min="14094" max="14094" width="12.6328125" bestFit="1" customWidth="1"/>
    <col min="14095" max="14095" width="9.36328125" bestFit="1" customWidth="1"/>
    <col min="14347" max="14347" width="9.36328125" bestFit="1" customWidth="1"/>
    <col min="14349" max="14349" width="9.36328125" bestFit="1" customWidth="1"/>
    <col min="14350" max="14350" width="12.6328125" bestFit="1" customWidth="1"/>
    <col min="14351" max="14351" width="9.36328125" bestFit="1" customWidth="1"/>
    <col min="14603" max="14603" width="9.36328125" bestFit="1" customWidth="1"/>
    <col min="14605" max="14605" width="9.36328125" bestFit="1" customWidth="1"/>
    <col min="14606" max="14606" width="12.6328125" bestFit="1" customWidth="1"/>
    <col min="14607" max="14607" width="9.36328125" bestFit="1" customWidth="1"/>
    <col min="14859" max="14859" width="9.36328125" bestFit="1" customWidth="1"/>
    <col min="14861" max="14861" width="9.36328125" bestFit="1" customWidth="1"/>
    <col min="14862" max="14862" width="12.6328125" bestFit="1" customWidth="1"/>
    <col min="14863" max="14863" width="9.36328125" bestFit="1" customWidth="1"/>
    <col min="15115" max="15115" width="9.36328125" bestFit="1" customWidth="1"/>
    <col min="15117" max="15117" width="9.36328125" bestFit="1" customWidth="1"/>
    <col min="15118" max="15118" width="12.6328125" bestFit="1" customWidth="1"/>
    <col min="15119" max="15119" width="9.36328125" bestFit="1" customWidth="1"/>
    <col min="15371" max="15371" width="9.36328125" bestFit="1" customWidth="1"/>
    <col min="15373" max="15373" width="9.36328125" bestFit="1" customWidth="1"/>
    <col min="15374" max="15374" width="12.6328125" bestFit="1" customWidth="1"/>
    <col min="15375" max="15375" width="9.36328125" bestFit="1" customWidth="1"/>
    <col min="15627" max="15627" width="9.36328125" bestFit="1" customWidth="1"/>
    <col min="15629" max="15629" width="9.36328125" bestFit="1" customWidth="1"/>
    <col min="15630" max="15630" width="12.6328125" bestFit="1" customWidth="1"/>
    <col min="15631" max="15631" width="9.36328125" bestFit="1" customWidth="1"/>
    <col min="15883" max="15883" width="9.36328125" bestFit="1" customWidth="1"/>
    <col min="15885" max="15885" width="9.36328125" bestFit="1" customWidth="1"/>
    <col min="15886" max="15886" width="12.6328125" bestFit="1" customWidth="1"/>
    <col min="15887" max="15887" width="9.36328125" bestFit="1" customWidth="1"/>
    <col min="16139" max="16139" width="9.36328125" bestFit="1" customWidth="1"/>
    <col min="16141" max="16141" width="9.36328125" bestFit="1" customWidth="1"/>
    <col min="16142" max="16142" width="12.6328125" bestFit="1" customWidth="1"/>
    <col min="16143" max="16143" width="9.36328125" bestFit="1" customWidth="1"/>
  </cols>
  <sheetData>
    <row r="1" spans="1:15" ht="24">
      <c r="A1" s="253" t="s">
        <v>7</v>
      </c>
      <c r="B1" s="253" t="s">
        <v>0</v>
      </c>
      <c r="C1" s="254" t="s">
        <v>367</v>
      </c>
      <c r="D1" s="254" t="s">
        <v>368</v>
      </c>
      <c r="E1" s="253" t="s">
        <v>357</v>
      </c>
      <c r="F1" s="253" t="s">
        <v>358</v>
      </c>
      <c r="G1" s="253" t="s">
        <v>359</v>
      </c>
      <c r="H1" s="253" t="s">
        <v>360</v>
      </c>
      <c r="I1" s="254" t="s">
        <v>361</v>
      </c>
      <c r="J1" s="254" t="s">
        <v>362</v>
      </c>
      <c r="K1" s="254" t="s">
        <v>363</v>
      </c>
      <c r="L1" s="254" t="s">
        <v>364</v>
      </c>
      <c r="M1" s="254" t="s">
        <v>365</v>
      </c>
      <c r="N1" s="254" t="s">
        <v>369</v>
      </c>
      <c r="O1" t="s">
        <v>370</v>
      </c>
    </row>
    <row r="2" spans="1:15">
      <c r="A2" s="255">
        <v>1</v>
      </c>
      <c r="B2" s="256" t="s">
        <v>3</v>
      </c>
      <c r="C2" s="257" t="s">
        <v>371</v>
      </c>
      <c r="D2" s="242">
        <v>175164</v>
      </c>
      <c r="E2" s="258">
        <v>0.7</v>
      </c>
      <c r="F2" s="242">
        <v>0.3</v>
      </c>
      <c r="G2" s="242">
        <f t="shared" ref="G2:G37" si="0">D2/12*E2</f>
        <v>10217.9</v>
      </c>
      <c r="H2" s="242">
        <f t="shared" ref="H2:H37" si="1">D2/12*F2</f>
        <v>4379.0999999999995</v>
      </c>
      <c r="I2" s="242"/>
      <c r="J2" s="242"/>
      <c r="K2" s="242"/>
      <c r="L2" s="242"/>
      <c r="M2" s="242"/>
      <c r="N2" s="242">
        <f>SUM(G2:K2)</f>
        <v>14597</v>
      </c>
      <c r="O2" t="str">
        <f xml:space="preserve"> VLOOKUP(B2,海淀分公司工资表!$C$1:$C$993,1,FALSE)</f>
        <v>韩金亮</v>
      </c>
    </row>
    <row r="3" spans="1:15">
      <c r="A3" s="255">
        <v>2</v>
      </c>
      <c r="B3" s="256" t="s">
        <v>204</v>
      </c>
      <c r="C3" s="257" t="s">
        <v>371</v>
      </c>
      <c r="D3" s="242">
        <v>156000</v>
      </c>
      <c r="E3" s="258">
        <v>0.7</v>
      </c>
      <c r="F3" s="242">
        <v>0.3</v>
      </c>
      <c r="G3" s="242">
        <f t="shared" si="0"/>
        <v>9100</v>
      </c>
      <c r="H3" s="242">
        <f t="shared" si="1"/>
        <v>3900</v>
      </c>
      <c r="I3" s="242"/>
      <c r="J3" s="242"/>
      <c r="K3" s="242"/>
      <c r="L3" s="242"/>
      <c r="M3" s="242"/>
      <c r="N3" s="242">
        <f t="shared" ref="N3:N7" si="2">SUM(G3:K3)</f>
        <v>13000</v>
      </c>
      <c r="O3" t="str">
        <f xml:space="preserve"> VLOOKUP(B3,海淀分公司工资表!$C$1:$C$993,1,FALSE)</f>
        <v>范冰澎</v>
      </c>
    </row>
    <row r="4" spans="1:15">
      <c r="A4" s="255">
        <v>3</v>
      </c>
      <c r="B4" s="256" t="s">
        <v>34</v>
      </c>
      <c r="C4" s="257" t="s">
        <v>371</v>
      </c>
      <c r="D4" s="242">
        <v>134604</v>
      </c>
      <c r="E4" s="258">
        <v>0.7</v>
      </c>
      <c r="F4" s="242">
        <v>0.3</v>
      </c>
      <c r="G4" s="242">
        <f t="shared" si="0"/>
        <v>7851.9</v>
      </c>
      <c r="H4" s="242">
        <f t="shared" si="1"/>
        <v>3365.1</v>
      </c>
      <c r="I4" s="242"/>
      <c r="J4" s="242"/>
      <c r="K4" s="242"/>
      <c r="L4" s="242"/>
      <c r="M4" s="242"/>
      <c r="N4" s="242">
        <f t="shared" si="2"/>
        <v>11217</v>
      </c>
      <c r="O4" t="str">
        <f xml:space="preserve"> VLOOKUP(B4,海淀分公司工资表!$C$1:$C$993,1,FALSE)</f>
        <v>马志伟</v>
      </c>
    </row>
    <row r="5" spans="1:15">
      <c r="A5" s="255">
        <v>4</v>
      </c>
      <c r="B5" s="256" t="s">
        <v>2</v>
      </c>
      <c r="C5" s="257" t="s">
        <v>371</v>
      </c>
      <c r="D5" s="242">
        <v>99600</v>
      </c>
      <c r="E5" s="258">
        <v>0.7</v>
      </c>
      <c r="F5" s="242">
        <v>0.3</v>
      </c>
      <c r="G5" s="242">
        <f t="shared" si="0"/>
        <v>5810</v>
      </c>
      <c r="H5" s="242">
        <f t="shared" si="1"/>
        <v>2490</v>
      </c>
      <c r="I5" s="242"/>
      <c r="J5" s="259">
        <v>600</v>
      </c>
      <c r="K5" s="242"/>
      <c r="L5" s="242"/>
      <c r="M5" s="242"/>
      <c r="N5" s="242">
        <f t="shared" si="2"/>
        <v>8900</v>
      </c>
      <c r="O5" t="str">
        <f xml:space="preserve"> VLOOKUP(B5,海淀分公司工资表!$C$1:$C$993,1,FALSE)</f>
        <v>冯伟</v>
      </c>
    </row>
    <row r="6" spans="1:15">
      <c r="A6" s="255">
        <v>5</v>
      </c>
      <c r="B6" s="256" t="s">
        <v>1</v>
      </c>
      <c r="C6" s="257" t="s">
        <v>371</v>
      </c>
      <c r="D6" s="242">
        <v>105600</v>
      </c>
      <c r="E6" s="258">
        <v>0.5</v>
      </c>
      <c r="F6" s="242">
        <v>0.5</v>
      </c>
      <c r="G6" s="242">
        <f t="shared" si="0"/>
        <v>4400</v>
      </c>
      <c r="H6" s="242">
        <f t="shared" si="1"/>
        <v>4400</v>
      </c>
      <c r="I6" s="242"/>
      <c r="J6" s="242"/>
      <c r="K6" s="242"/>
      <c r="L6" s="242"/>
      <c r="M6" s="242"/>
      <c r="N6" s="242">
        <f t="shared" si="2"/>
        <v>8800</v>
      </c>
      <c r="O6" t="str">
        <f xml:space="preserve"> VLOOKUP(B6,海淀分公司工资表!$C$1:$C$993,1,FALSE)</f>
        <v>吕金吉</v>
      </c>
    </row>
    <row r="7" spans="1:15">
      <c r="A7" s="255">
        <v>6</v>
      </c>
      <c r="B7" s="256" t="s">
        <v>36</v>
      </c>
      <c r="C7" s="257" t="s">
        <v>371</v>
      </c>
      <c r="D7" s="260">
        <v>71340</v>
      </c>
      <c r="E7" s="258">
        <v>0.5</v>
      </c>
      <c r="F7" s="242">
        <v>0.5</v>
      </c>
      <c r="G7" s="242">
        <f t="shared" si="0"/>
        <v>2972.5</v>
      </c>
      <c r="H7" s="242">
        <f t="shared" si="1"/>
        <v>2972.5</v>
      </c>
      <c r="I7" s="242"/>
      <c r="J7" s="242"/>
      <c r="K7" s="242"/>
      <c r="L7" s="242"/>
      <c r="M7" s="242"/>
      <c r="N7" s="242">
        <f t="shared" si="2"/>
        <v>5945</v>
      </c>
      <c r="O7" t="str">
        <f xml:space="preserve"> VLOOKUP(B7,海淀分公司工资表!$C$1:$C$993,1,FALSE)</f>
        <v>牛金星</v>
      </c>
    </row>
    <row r="8" spans="1:15">
      <c r="A8" s="255">
        <v>7</v>
      </c>
      <c r="B8" s="256" t="s">
        <v>38</v>
      </c>
      <c r="C8" s="257" t="s">
        <v>371</v>
      </c>
      <c r="D8" s="260">
        <v>71340</v>
      </c>
      <c r="E8" s="258">
        <v>0.5</v>
      </c>
      <c r="F8" s="242">
        <v>0.5</v>
      </c>
      <c r="G8" s="242">
        <f t="shared" si="0"/>
        <v>2972.5</v>
      </c>
      <c r="H8" s="242">
        <f t="shared" si="1"/>
        <v>2972.5</v>
      </c>
      <c r="I8" s="242"/>
      <c r="J8" s="242"/>
      <c r="K8" s="242"/>
      <c r="L8" s="242"/>
      <c r="M8" s="242"/>
      <c r="N8" s="242">
        <f t="shared" ref="N8:N20" si="3">SUM(G8:K8)+L8</f>
        <v>5945</v>
      </c>
      <c r="O8" t="str">
        <f xml:space="preserve"> VLOOKUP(B8,海淀分公司工资表!$C$1:$C$993,1,FALSE)</f>
        <v>徐文洋</v>
      </c>
    </row>
    <row r="9" spans="1:15">
      <c r="A9" s="255">
        <v>8</v>
      </c>
      <c r="B9" s="256" t="s">
        <v>205</v>
      </c>
      <c r="C9" s="257" t="s">
        <v>371</v>
      </c>
      <c r="D9" s="260">
        <v>132000</v>
      </c>
      <c r="E9" s="258">
        <v>0.5</v>
      </c>
      <c r="F9" s="242">
        <v>0.5</v>
      </c>
      <c r="G9" s="242">
        <f t="shared" si="0"/>
        <v>5500</v>
      </c>
      <c r="H9" s="242">
        <f t="shared" si="1"/>
        <v>5500</v>
      </c>
      <c r="I9" s="242"/>
      <c r="J9" s="242"/>
      <c r="K9" s="242"/>
      <c r="L9" s="242"/>
      <c r="M9" s="242"/>
      <c r="N9" s="242">
        <f t="shared" si="3"/>
        <v>11000</v>
      </c>
      <c r="O9" t="str">
        <f xml:space="preserve"> VLOOKUP(B9,海淀分公司工资表!$C$1:$C$993,1,FALSE)</f>
        <v>盖春歌</v>
      </c>
    </row>
    <row r="10" spans="1:15">
      <c r="A10" s="255">
        <v>9</v>
      </c>
      <c r="B10" s="256" t="s">
        <v>41</v>
      </c>
      <c r="C10" s="257" t="s">
        <v>371</v>
      </c>
      <c r="D10" s="260">
        <v>132000</v>
      </c>
      <c r="E10" s="258">
        <v>0.5</v>
      </c>
      <c r="F10" s="242">
        <v>0.5</v>
      </c>
      <c r="G10" s="242">
        <f t="shared" si="0"/>
        <v>5500</v>
      </c>
      <c r="H10" s="242">
        <f t="shared" si="1"/>
        <v>5500</v>
      </c>
      <c r="I10" s="242"/>
      <c r="J10" s="242"/>
      <c r="K10" s="242"/>
      <c r="L10" s="242"/>
      <c r="M10" s="242"/>
      <c r="N10" s="242">
        <f t="shared" si="3"/>
        <v>11000</v>
      </c>
      <c r="O10" t="str">
        <f xml:space="preserve"> VLOOKUP(B10,海淀分公司工资表!$C$1:$C$993,1,FALSE)</f>
        <v>姚聪</v>
      </c>
    </row>
    <row r="11" spans="1:15">
      <c r="A11" s="255">
        <v>10</v>
      </c>
      <c r="B11" s="256" t="s">
        <v>43</v>
      </c>
      <c r="C11" s="261" t="s">
        <v>68</v>
      </c>
      <c r="D11" s="242">
        <v>54000</v>
      </c>
      <c r="E11" s="258">
        <v>0.7</v>
      </c>
      <c r="F11" s="242">
        <v>0.3</v>
      </c>
      <c r="G11" s="242">
        <f t="shared" si="0"/>
        <v>3150</v>
      </c>
      <c r="H11" s="242">
        <f t="shared" si="1"/>
        <v>1350</v>
      </c>
      <c r="I11" s="242"/>
      <c r="J11" s="242"/>
      <c r="K11" s="242"/>
      <c r="L11" s="242"/>
      <c r="M11" s="242"/>
      <c r="N11" s="242">
        <f t="shared" si="3"/>
        <v>4500</v>
      </c>
      <c r="O11" t="str">
        <f xml:space="preserve"> VLOOKUP(B11,海淀分公司工资表!$C$1:$C$993,1,FALSE)</f>
        <v>周江</v>
      </c>
    </row>
    <row r="12" spans="1:15">
      <c r="A12" s="255">
        <v>11</v>
      </c>
      <c r="B12" s="256" t="s">
        <v>45</v>
      </c>
      <c r="C12" s="233" t="s">
        <v>66</v>
      </c>
      <c r="D12" s="242">
        <v>156000</v>
      </c>
      <c r="E12" s="258">
        <v>0.7</v>
      </c>
      <c r="F12" s="242">
        <v>0.3</v>
      </c>
      <c r="G12" s="242">
        <f t="shared" si="0"/>
        <v>9100</v>
      </c>
      <c r="H12" s="242">
        <f t="shared" si="1"/>
        <v>3900</v>
      </c>
      <c r="I12" s="242"/>
      <c r="J12" s="242">
        <v>2000</v>
      </c>
      <c r="K12" s="242"/>
      <c r="L12" s="242">
        <v>600</v>
      </c>
      <c r="M12" s="242"/>
      <c r="N12" s="242">
        <f>SUM(G12:K12)+L12</f>
        <v>15600</v>
      </c>
      <c r="O12" t="str">
        <f xml:space="preserve"> VLOOKUP(B12,海淀分公司工资表!$C$1:$C$993,1,FALSE)</f>
        <v>李成飞</v>
      </c>
    </row>
    <row r="13" spans="1:15">
      <c r="A13" s="255">
        <v>12</v>
      </c>
      <c r="B13" s="256" t="s">
        <v>47</v>
      </c>
      <c r="C13" s="233" t="s">
        <v>66</v>
      </c>
      <c r="D13" s="242">
        <v>168000</v>
      </c>
      <c r="E13" s="258">
        <v>0.7</v>
      </c>
      <c r="F13" s="242">
        <v>0.3</v>
      </c>
      <c r="G13" s="242">
        <f t="shared" si="0"/>
        <v>9800</v>
      </c>
      <c r="H13" s="242">
        <f t="shared" si="1"/>
        <v>4200</v>
      </c>
      <c r="I13" s="242"/>
      <c r="J13" s="242">
        <v>2000</v>
      </c>
      <c r="K13" s="242"/>
      <c r="L13" s="242">
        <v>600</v>
      </c>
      <c r="M13" s="242"/>
      <c r="N13" s="242">
        <f t="shared" si="3"/>
        <v>16600</v>
      </c>
      <c r="O13" t="str">
        <f xml:space="preserve"> VLOOKUP(B13,海淀分公司工资表!$C$1:$C$993,1,FALSE)</f>
        <v>李凯</v>
      </c>
    </row>
    <row r="14" spans="1:15">
      <c r="A14" s="255">
        <v>13</v>
      </c>
      <c r="B14" s="256" t="s">
        <v>49</v>
      </c>
      <c r="C14" s="233" t="s">
        <v>66</v>
      </c>
      <c r="D14" s="242">
        <v>264000</v>
      </c>
      <c r="E14" s="258">
        <v>0.7</v>
      </c>
      <c r="F14" s="242">
        <v>0.3</v>
      </c>
      <c r="G14" s="242">
        <f t="shared" si="0"/>
        <v>15399.999999999998</v>
      </c>
      <c r="H14" s="242">
        <f t="shared" si="1"/>
        <v>6600</v>
      </c>
      <c r="I14" s="242"/>
      <c r="J14" s="242">
        <v>2000</v>
      </c>
      <c r="K14" s="242"/>
      <c r="L14" s="242">
        <v>600</v>
      </c>
      <c r="M14" s="242"/>
      <c r="N14" s="242">
        <f t="shared" si="3"/>
        <v>24600</v>
      </c>
      <c r="O14" t="str">
        <f xml:space="preserve"> VLOOKUP(B14,海淀分公司工资表!$C$1:$C$993,1,FALSE)</f>
        <v>王诗武</v>
      </c>
    </row>
    <row r="15" spans="1:15">
      <c r="A15" s="255">
        <v>14</v>
      </c>
      <c r="B15" s="256" t="s">
        <v>51</v>
      </c>
      <c r="C15" s="233" t="s">
        <v>66</v>
      </c>
      <c r="D15" s="242">
        <v>168000</v>
      </c>
      <c r="E15" s="258">
        <v>0.7</v>
      </c>
      <c r="F15" s="242">
        <v>0.3</v>
      </c>
      <c r="G15" s="242">
        <f t="shared" si="0"/>
        <v>9800</v>
      </c>
      <c r="H15" s="242">
        <f t="shared" si="1"/>
        <v>4200</v>
      </c>
      <c r="I15" s="242"/>
      <c r="J15" s="242">
        <v>2000</v>
      </c>
      <c r="K15" s="242"/>
      <c r="L15" s="242">
        <v>600</v>
      </c>
      <c r="M15" s="242"/>
      <c r="N15" s="242">
        <f t="shared" si="3"/>
        <v>16600</v>
      </c>
      <c r="O15" t="str">
        <f xml:space="preserve"> VLOOKUP(B15,海淀分公司工资表!$C$1:$C$993,1,FALSE)</f>
        <v>张健康</v>
      </c>
    </row>
    <row r="16" spans="1:15">
      <c r="A16" s="255">
        <v>15</v>
      </c>
      <c r="B16" s="256" t="s">
        <v>53</v>
      </c>
      <c r="C16" s="233" t="s">
        <v>66</v>
      </c>
      <c r="D16" s="242">
        <v>180000</v>
      </c>
      <c r="E16" s="258">
        <v>0.7</v>
      </c>
      <c r="F16" s="242">
        <v>0.3</v>
      </c>
      <c r="G16" s="242">
        <f t="shared" si="0"/>
        <v>10500</v>
      </c>
      <c r="H16" s="242">
        <f t="shared" si="1"/>
        <v>4500</v>
      </c>
      <c r="I16" s="242"/>
      <c r="J16" s="242">
        <v>2000</v>
      </c>
      <c r="K16" s="242">
        <v>2758.6206896551726</v>
      </c>
      <c r="L16" s="242">
        <v>600</v>
      </c>
      <c r="M16" s="242"/>
      <c r="N16" s="259">
        <f t="shared" si="3"/>
        <v>20358.620689655174</v>
      </c>
      <c r="O16" t="str">
        <f xml:space="preserve"> VLOOKUP(B16,海淀分公司工资表!$C$1:$C$993,1,FALSE)</f>
        <v>操汪炎</v>
      </c>
    </row>
    <row r="17" spans="1:15">
      <c r="A17" s="255">
        <v>16</v>
      </c>
      <c r="B17" s="256" t="s">
        <v>55</v>
      </c>
      <c r="C17" s="233" t="s">
        <v>66</v>
      </c>
      <c r="D17" s="242">
        <v>132000</v>
      </c>
      <c r="E17" s="258">
        <v>0.7</v>
      </c>
      <c r="F17" s="242">
        <v>0.3</v>
      </c>
      <c r="G17" s="242">
        <f t="shared" si="0"/>
        <v>7699.9999999999991</v>
      </c>
      <c r="H17" s="242">
        <f t="shared" si="1"/>
        <v>3300</v>
      </c>
      <c r="I17" s="242"/>
      <c r="J17" s="242">
        <v>2000</v>
      </c>
      <c r="K17" s="242">
        <v>3034.4827586206898</v>
      </c>
      <c r="L17" s="242">
        <v>600</v>
      </c>
      <c r="M17" s="242"/>
      <c r="N17" s="259">
        <f t="shared" si="3"/>
        <v>16634.482758620688</v>
      </c>
      <c r="O17" t="str">
        <f xml:space="preserve"> VLOOKUP(B17,海淀分公司工资表!$C$1:$C$993,1,FALSE)</f>
        <v>秦松</v>
      </c>
    </row>
    <row r="18" spans="1:15">
      <c r="A18" s="255">
        <v>17</v>
      </c>
      <c r="B18" s="256" t="s">
        <v>57</v>
      </c>
      <c r="C18" s="233" t="s">
        <v>66</v>
      </c>
      <c r="D18" s="242">
        <v>180000</v>
      </c>
      <c r="E18" s="258">
        <v>0.7</v>
      </c>
      <c r="F18" s="242">
        <v>0.3</v>
      </c>
      <c r="G18" s="242">
        <f t="shared" si="0"/>
        <v>10500</v>
      </c>
      <c r="H18" s="242">
        <f t="shared" si="1"/>
        <v>4500</v>
      </c>
      <c r="I18" s="242"/>
      <c r="J18" s="242">
        <v>2000</v>
      </c>
      <c r="K18" s="242">
        <v>4137.9310344827591</v>
      </c>
      <c r="L18" s="242">
        <v>600</v>
      </c>
      <c r="M18" s="242"/>
      <c r="N18" s="259">
        <f t="shared" si="3"/>
        <v>21737.931034482761</v>
      </c>
      <c r="O18" t="str">
        <f xml:space="preserve"> VLOOKUP(B18,海淀分公司工资表!$C$1:$C$993,1,FALSE)</f>
        <v>王笑飞</v>
      </c>
    </row>
    <row r="19" spans="1:15">
      <c r="A19" s="255">
        <v>18</v>
      </c>
      <c r="B19" s="256" t="s">
        <v>59</v>
      </c>
      <c r="C19" s="233" t="s">
        <v>66</v>
      </c>
      <c r="D19" s="242">
        <v>204000</v>
      </c>
      <c r="E19" s="258">
        <v>0.7</v>
      </c>
      <c r="F19" s="242">
        <v>0.3</v>
      </c>
      <c r="G19" s="242">
        <f t="shared" si="0"/>
        <v>11900</v>
      </c>
      <c r="H19" s="242">
        <f t="shared" si="1"/>
        <v>5100</v>
      </c>
      <c r="I19" s="242"/>
      <c r="J19" s="242">
        <v>2000</v>
      </c>
      <c r="K19" s="242">
        <v>3908.0459770114944</v>
      </c>
      <c r="L19" s="242">
        <v>600</v>
      </c>
      <c r="M19" s="242"/>
      <c r="N19" s="259">
        <f t="shared" si="3"/>
        <v>23508.045977011494</v>
      </c>
      <c r="O19" t="str">
        <f xml:space="preserve"> VLOOKUP(B19,海淀分公司工资表!$C$1:$C$993,1,FALSE)</f>
        <v>吴胜</v>
      </c>
    </row>
    <row r="20" spans="1:15">
      <c r="A20" s="255">
        <v>19</v>
      </c>
      <c r="B20" s="256" t="s">
        <v>61</v>
      </c>
      <c r="C20" s="233" t="s">
        <v>66</v>
      </c>
      <c r="D20" s="242">
        <v>156000</v>
      </c>
      <c r="E20" s="258">
        <v>0.7</v>
      </c>
      <c r="F20" s="242">
        <v>0.3</v>
      </c>
      <c r="G20" s="242">
        <f t="shared" si="0"/>
        <v>9100</v>
      </c>
      <c r="H20" s="242">
        <f t="shared" si="1"/>
        <v>3900</v>
      </c>
      <c r="I20" s="242"/>
      <c r="J20" s="242">
        <v>2000</v>
      </c>
      <c r="K20" s="242"/>
      <c r="L20" s="242">
        <v>600</v>
      </c>
      <c r="M20" s="242"/>
      <c r="N20" s="242">
        <f t="shared" si="3"/>
        <v>15600</v>
      </c>
      <c r="O20" t="str">
        <f xml:space="preserve"> VLOOKUP(B20,海淀分公司工资表!$C$1:$C$993,1,FALSE)</f>
        <v>于森</v>
      </c>
    </row>
    <row r="21" spans="1:15">
      <c r="A21" s="255">
        <v>20</v>
      </c>
      <c r="B21" s="262" t="s">
        <v>261</v>
      </c>
      <c r="C21" s="233" t="s">
        <v>66</v>
      </c>
      <c r="D21" s="242">
        <v>120000</v>
      </c>
      <c r="E21" s="258">
        <v>0.7</v>
      </c>
      <c r="F21" s="242">
        <v>0.3</v>
      </c>
      <c r="G21" s="242">
        <f t="shared" si="0"/>
        <v>7000</v>
      </c>
      <c r="H21" s="242">
        <f t="shared" si="1"/>
        <v>3000</v>
      </c>
      <c r="I21" s="242">
        <v>0</v>
      </c>
      <c r="J21" s="242">
        <v>1000</v>
      </c>
      <c r="K21" s="242"/>
      <c r="L21" s="242"/>
      <c r="M21" s="242"/>
      <c r="N21" s="242">
        <f t="shared" ref="N21:N23" si="4">SUM(J21)+L21</f>
        <v>1000</v>
      </c>
      <c r="O21" t="str">
        <f xml:space="preserve"> VLOOKUP(B21,海淀分公司工资表!$C$1:$C$993,1,FALSE)</f>
        <v>赵云峰</v>
      </c>
    </row>
    <row r="22" spans="1:15">
      <c r="A22" s="255">
        <v>21</v>
      </c>
      <c r="B22" s="262" t="s">
        <v>263</v>
      </c>
      <c r="C22" s="233" t="s">
        <v>66</v>
      </c>
      <c r="D22" s="263">
        <v>168000</v>
      </c>
      <c r="E22" s="258">
        <v>0.7</v>
      </c>
      <c r="F22" s="242">
        <v>0.3</v>
      </c>
      <c r="G22" s="242">
        <f t="shared" si="0"/>
        <v>9800</v>
      </c>
      <c r="H22" s="242">
        <f t="shared" si="1"/>
        <v>4200</v>
      </c>
      <c r="I22" s="242">
        <v>0</v>
      </c>
      <c r="J22" s="242">
        <v>1000</v>
      </c>
      <c r="K22" s="242"/>
      <c r="L22" s="242"/>
      <c r="M22" s="242"/>
      <c r="N22" s="242">
        <f t="shared" si="4"/>
        <v>1000</v>
      </c>
      <c r="O22" t="str">
        <f xml:space="preserve"> VLOOKUP(B22,海淀分公司工资表!$C$1:$C$993,1,FALSE)</f>
        <v>郭正荣</v>
      </c>
    </row>
    <row r="23" spans="1:15">
      <c r="A23" s="255">
        <v>22</v>
      </c>
      <c r="B23" s="262" t="s">
        <v>265</v>
      </c>
      <c r="C23" s="233" t="s">
        <v>66</v>
      </c>
      <c r="D23" s="242">
        <v>144000</v>
      </c>
      <c r="E23" s="258">
        <v>0.7</v>
      </c>
      <c r="F23" s="242">
        <v>0.3</v>
      </c>
      <c r="G23" s="242">
        <f t="shared" si="0"/>
        <v>8400</v>
      </c>
      <c r="H23" s="242">
        <f t="shared" si="1"/>
        <v>3600</v>
      </c>
      <c r="I23" s="242">
        <v>0</v>
      </c>
      <c r="J23" s="242">
        <v>1000</v>
      </c>
      <c r="K23" s="242"/>
      <c r="L23" s="242"/>
      <c r="M23" s="242"/>
      <c r="N23" s="242">
        <f t="shared" si="4"/>
        <v>1000</v>
      </c>
      <c r="O23" t="str">
        <f xml:space="preserve"> VLOOKUP(B23,海淀分公司工资表!$C$1:$C$993,1,FALSE)</f>
        <v>王润</v>
      </c>
    </row>
    <row r="24" spans="1:15">
      <c r="A24" s="255">
        <v>23</v>
      </c>
      <c r="B24" s="256" t="s">
        <v>259</v>
      </c>
      <c r="C24" s="257" t="s">
        <v>371</v>
      </c>
      <c r="D24" s="242">
        <v>231600</v>
      </c>
      <c r="E24" s="242">
        <v>0.5</v>
      </c>
      <c r="F24" s="242">
        <v>0.5</v>
      </c>
      <c r="G24" s="242">
        <f t="shared" si="0"/>
        <v>9650</v>
      </c>
      <c r="H24" s="242">
        <f t="shared" si="1"/>
        <v>9650</v>
      </c>
      <c r="I24" s="242"/>
      <c r="J24" s="242"/>
      <c r="K24" s="242"/>
      <c r="L24" s="242"/>
      <c r="M24" s="242">
        <v>0</v>
      </c>
      <c r="N24" s="242">
        <f>SUM(G24:J24)-K24</f>
        <v>19300</v>
      </c>
      <c r="O24" t="str">
        <f xml:space="preserve"> VLOOKUP(B24,海淀分公司工资表!$C$1:$C$993,1,FALSE)</f>
        <v>吴杨</v>
      </c>
    </row>
    <row r="25" spans="1:15">
      <c r="A25" s="255">
        <v>24</v>
      </c>
      <c r="B25" s="256" t="s">
        <v>239</v>
      </c>
      <c r="C25" s="257" t="s">
        <v>371</v>
      </c>
      <c r="D25" s="242">
        <v>274800</v>
      </c>
      <c r="E25" s="242">
        <v>0.5</v>
      </c>
      <c r="F25" s="242">
        <v>0.5</v>
      </c>
      <c r="G25" s="242">
        <f t="shared" si="0"/>
        <v>11450</v>
      </c>
      <c r="H25" s="242">
        <f t="shared" si="1"/>
        <v>11450</v>
      </c>
      <c r="I25" s="242"/>
      <c r="J25" s="242"/>
      <c r="K25" s="242"/>
      <c r="L25" s="242"/>
      <c r="M25" s="242">
        <v>-7499.99</v>
      </c>
      <c r="N25" s="242">
        <f>G25+H25+M25</f>
        <v>15400.01</v>
      </c>
      <c r="O25" t="str">
        <f xml:space="preserve"> VLOOKUP(B25,海淀分公司工资表!$C$1:$C$993,1,FALSE)</f>
        <v>于晓东</v>
      </c>
    </row>
    <row r="26" spans="1:15">
      <c r="A26" s="255">
        <v>25</v>
      </c>
      <c r="B26" s="256" t="s">
        <v>243</v>
      </c>
      <c r="C26" s="257" t="s">
        <v>371</v>
      </c>
      <c r="D26" s="242">
        <v>325200</v>
      </c>
      <c r="E26" s="242">
        <v>0.5</v>
      </c>
      <c r="F26" s="242">
        <v>0.5</v>
      </c>
      <c r="G26" s="242">
        <f t="shared" si="0"/>
        <v>13550</v>
      </c>
      <c r="H26" s="242">
        <f t="shared" si="1"/>
        <v>13550</v>
      </c>
      <c r="I26" s="242"/>
      <c r="J26" s="242"/>
      <c r="K26" s="242"/>
      <c r="L26" s="242"/>
      <c r="M26" s="242">
        <v>-7499.99</v>
      </c>
      <c r="N26" s="242">
        <f t="shared" ref="N26:N37" si="5">G26+H26+M26</f>
        <v>19600.010000000002</v>
      </c>
      <c r="O26" t="str">
        <f xml:space="preserve"> VLOOKUP(B26,海淀分公司工资表!$C$1:$C$993,1,FALSE)</f>
        <v>边城</v>
      </c>
    </row>
    <row r="27" spans="1:15">
      <c r="A27" s="255">
        <v>26</v>
      </c>
      <c r="B27" s="256" t="s">
        <v>237</v>
      </c>
      <c r="C27" s="257" t="s">
        <v>371</v>
      </c>
      <c r="D27" s="242">
        <v>274800</v>
      </c>
      <c r="E27" s="242">
        <v>0.5</v>
      </c>
      <c r="F27" s="242">
        <v>0.5</v>
      </c>
      <c r="G27" s="242">
        <f t="shared" si="0"/>
        <v>11450</v>
      </c>
      <c r="H27" s="242">
        <f t="shared" si="1"/>
        <v>11450</v>
      </c>
      <c r="I27" s="242"/>
      <c r="J27" s="242"/>
      <c r="K27" s="242"/>
      <c r="L27" s="255"/>
      <c r="M27" s="242">
        <v>-7499.99</v>
      </c>
      <c r="N27" s="242">
        <f t="shared" si="5"/>
        <v>15400.01</v>
      </c>
      <c r="O27" t="str">
        <f xml:space="preserve"> VLOOKUP(B27,海淀分公司工资表!$C$1:$C$993,1,FALSE)</f>
        <v>李磊</v>
      </c>
    </row>
    <row r="28" spans="1:15">
      <c r="A28" s="255">
        <v>27</v>
      </c>
      <c r="B28" s="256" t="s">
        <v>245</v>
      </c>
      <c r="C28" s="257" t="s">
        <v>371</v>
      </c>
      <c r="D28" s="242">
        <v>260400</v>
      </c>
      <c r="E28" s="242">
        <v>0.5</v>
      </c>
      <c r="F28" s="242">
        <v>0.5</v>
      </c>
      <c r="G28" s="242">
        <f t="shared" si="0"/>
        <v>10850</v>
      </c>
      <c r="H28" s="242">
        <f t="shared" si="1"/>
        <v>10850</v>
      </c>
      <c r="I28" s="242"/>
      <c r="J28" s="242"/>
      <c r="K28" s="242"/>
      <c r="L28" s="242"/>
      <c r="M28" s="242">
        <v>-2500</v>
      </c>
      <c r="N28" s="242">
        <f t="shared" si="5"/>
        <v>19200</v>
      </c>
      <c r="O28" t="str">
        <f xml:space="preserve"> VLOOKUP(B28,海淀分公司工资表!$C$1:$C$993,1,FALSE)</f>
        <v>于海东</v>
      </c>
    </row>
    <row r="29" spans="1:15">
      <c r="A29" s="255">
        <v>28</v>
      </c>
      <c r="B29" s="256" t="s">
        <v>241</v>
      </c>
      <c r="C29" s="257" t="s">
        <v>371</v>
      </c>
      <c r="D29" s="260">
        <v>274800</v>
      </c>
      <c r="E29" s="242">
        <v>0.5</v>
      </c>
      <c r="F29" s="242">
        <v>0.5</v>
      </c>
      <c r="G29" s="242">
        <f t="shared" si="0"/>
        <v>11450</v>
      </c>
      <c r="H29" s="242">
        <f t="shared" si="1"/>
        <v>11450</v>
      </c>
      <c r="I29" s="242"/>
      <c r="J29" s="242"/>
      <c r="K29" s="242"/>
      <c r="L29" s="242"/>
      <c r="M29" s="242">
        <v>-7499.99</v>
      </c>
      <c r="N29" s="242">
        <f t="shared" si="5"/>
        <v>15400.01</v>
      </c>
      <c r="O29" t="str">
        <f xml:space="preserve"> VLOOKUP(B29,海淀分公司工资表!$C$1:$C$993,1,FALSE)</f>
        <v>李政操</v>
      </c>
    </row>
    <row r="30" spans="1:15">
      <c r="A30" s="255">
        <v>29</v>
      </c>
      <c r="B30" s="256" t="s">
        <v>247</v>
      </c>
      <c r="C30" s="257" t="s">
        <v>371</v>
      </c>
      <c r="D30" s="260">
        <v>260400</v>
      </c>
      <c r="E30" s="242">
        <v>0.5</v>
      </c>
      <c r="F30" s="242">
        <v>0.5</v>
      </c>
      <c r="G30" s="242">
        <f t="shared" si="0"/>
        <v>10850</v>
      </c>
      <c r="H30" s="242">
        <f t="shared" si="1"/>
        <v>10850</v>
      </c>
      <c r="I30" s="242"/>
      <c r="J30" s="242"/>
      <c r="K30" s="242"/>
      <c r="L30" s="242"/>
      <c r="M30" s="242">
        <v>-4166.67</v>
      </c>
      <c r="N30" s="242">
        <f t="shared" si="5"/>
        <v>17533.330000000002</v>
      </c>
      <c r="O30" t="str">
        <f xml:space="preserve"> VLOOKUP(B30,海淀分公司工资表!$C$1:$C$993,1,FALSE)</f>
        <v>徐川</v>
      </c>
    </row>
    <row r="31" spans="1:15">
      <c r="A31" s="255">
        <v>30</v>
      </c>
      <c r="B31" s="256" t="s">
        <v>249</v>
      </c>
      <c r="C31" s="257" t="s">
        <v>371</v>
      </c>
      <c r="D31" s="260">
        <v>247200</v>
      </c>
      <c r="E31" s="242">
        <v>0.5</v>
      </c>
      <c r="F31" s="242">
        <v>0.5</v>
      </c>
      <c r="G31" s="242">
        <f t="shared" si="0"/>
        <v>10300</v>
      </c>
      <c r="H31" s="242">
        <f t="shared" si="1"/>
        <v>10300</v>
      </c>
      <c r="I31" s="242"/>
      <c r="J31" s="242"/>
      <c r="K31" s="242"/>
      <c r="L31" s="242"/>
      <c r="M31" s="242">
        <v>-1666.67</v>
      </c>
      <c r="N31" s="242">
        <f t="shared" si="5"/>
        <v>18933.330000000002</v>
      </c>
      <c r="O31" t="str">
        <f xml:space="preserve"> VLOOKUP(B31,海淀分公司工资表!$C$1:$C$993,1,FALSE)</f>
        <v>高桂桂</v>
      </c>
    </row>
    <row r="32" spans="1:15">
      <c r="A32" s="255">
        <v>31</v>
      </c>
      <c r="B32" s="256" t="s">
        <v>251</v>
      </c>
      <c r="C32" s="257" t="s">
        <v>371</v>
      </c>
      <c r="D32" s="260">
        <v>212400</v>
      </c>
      <c r="E32" s="242">
        <v>0.5</v>
      </c>
      <c r="F32" s="242">
        <v>0.5</v>
      </c>
      <c r="G32" s="242">
        <f t="shared" si="0"/>
        <v>8850</v>
      </c>
      <c r="H32" s="242">
        <f t="shared" si="1"/>
        <v>8850</v>
      </c>
      <c r="I32" s="242"/>
      <c r="J32" s="242"/>
      <c r="K32" s="242"/>
      <c r="L32" s="242"/>
      <c r="M32" s="242">
        <v>-833.33</v>
      </c>
      <c r="N32" s="242">
        <f t="shared" si="5"/>
        <v>16866.669999999998</v>
      </c>
      <c r="O32" t="str">
        <f xml:space="preserve"> VLOOKUP(B32,海淀分公司工资表!$C$1:$C$993,1,FALSE)</f>
        <v>肖庆</v>
      </c>
    </row>
    <row r="33" spans="1:15">
      <c r="A33" s="255">
        <v>32</v>
      </c>
      <c r="B33" s="256" t="s">
        <v>366</v>
      </c>
      <c r="C33" s="257" t="s">
        <v>371</v>
      </c>
      <c r="D33" s="242">
        <v>204000</v>
      </c>
      <c r="E33" s="242">
        <v>0.5</v>
      </c>
      <c r="F33" s="242">
        <v>0.5</v>
      </c>
      <c r="G33" s="242">
        <f t="shared" si="0"/>
        <v>8500</v>
      </c>
      <c r="H33" s="242">
        <f t="shared" si="1"/>
        <v>8500</v>
      </c>
      <c r="I33" s="242"/>
      <c r="J33" s="242"/>
      <c r="K33" s="242"/>
      <c r="L33" s="242"/>
      <c r="M33" s="242">
        <v>-833.33</v>
      </c>
      <c r="N33" s="242">
        <f t="shared" si="5"/>
        <v>16166.67</v>
      </c>
      <c r="O33" t="e">
        <f xml:space="preserve"> VLOOKUP(B33,海淀分公司工资表!$C$1:$C$993,1,FALSE)</f>
        <v>#N/A</v>
      </c>
    </row>
    <row r="34" spans="1:15">
      <c r="A34" s="255">
        <v>33</v>
      </c>
      <c r="B34" s="256" t="s">
        <v>255</v>
      </c>
      <c r="C34" s="257" t="s">
        <v>371</v>
      </c>
      <c r="D34" s="242">
        <v>188400</v>
      </c>
      <c r="E34" s="242">
        <v>0.5</v>
      </c>
      <c r="F34" s="242">
        <v>0.5</v>
      </c>
      <c r="G34" s="242">
        <f t="shared" si="0"/>
        <v>7850</v>
      </c>
      <c r="H34" s="242">
        <f t="shared" si="1"/>
        <v>7850</v>
      </c>
      <c r="I34" s="242"/>
      <c r="J34" s="242"/>
      <c r="K34" s="242"/>
      <c r="L34" s="242"/>
      <c r="M34" s="242">
        <v>-1666.67</v>
      </c>
      <c r="N34" s="242">
        <f t="shared" si="5"/>
        <v>14033.33</v>
      </c>
      <c r="O34" t="str">
        <f xml:space="preserve"> VLOOKUP(B34,海淀分公司工资表!$C$1:$C$993,1,FALSE)</f>
        <v>梁朋</v>
      </c>
    </row>
    <row r="35" spans="1:15">
      <c r="A35" s="255">
        <v>34</v>
      </c>
      <c r="B35" s="256" t="s">
        <v>257</v>
      </c>
      <c r="C35" s="257" t="s">
        <v>371</v>
      </c>
      <c r="D35" s="242">
        <v>204000</v>
      </c>
      <c r="E35" s="242">
        <v>0.5</v>
      </c>
      <c r="F35" s="242">
        <v>0.5</v>
      </c>
      <c r="G35" s="242">
        <f t="shared" si="0"/>
        <v>8500</v>
      </c>
      <c r="H35" s="242">
        <f t="shared" si="1"/>
        <v>8500</v>
      </c>
      <c r="I35" s="242"/>
      <c r="J35" s="242"/>
      <c r="K35" s="242"/>
      <c r="L35" s="242"/>
      <c r="M35" s="242">
        <v>-2500</v>
      </c>
      <c r="N35" s="242">
        <f t="shared" si="5"/>
        <v>14500</v>
      </c>
      <c r="O35" t="str">
        <f xml:space="preserve"> VLOOKUP(B35,海淀分公司工资表!$C$1:$C$993,1,FALSE)</f>
        <v>张峪沙</v>
      </c>
    </row>
    <row r="36" spans="1:15">
      <c r="A36" s="255">
        <v>35</v>
      </c>
      <c r="B36" s="256" t="s">
        <v>235</v>
      </c>
      <c r="C36" s="257" t="s">
        <v>371</v>
      </c>
      <c r="D36" s="242">
        <v>204000</v>
      </c>
      <c r="E36" s="242">
        <v>0.5</v>
      </c>
      <c r="F36" s="242">
        <v>0.5</v>
      </c>
      <c r="G36" s="242">
        <f t="shared" si="0"/>
        <v>8500</v>
      </c>
      <c r="H36" s="242">
        <f t="shared" si="1"/>
        <v>8500</v>
      </c>
      <c r="I36" s="242"/>
      <c r="J36" s="242"/>
      <c r="K36" s="242"/>
      <c r="L36" s="242"/>
      <c r="M36" s="242">
        <v>-2500</v>
      </c>
      <c r="N36" s="242">
        <f t="shared" si="5"/>
        <v>14500</v>
      </c>
      <c r="O36" t="str">
        <f xml:space="preserve"> VLOOKUP(B36,海淀分公司工资表!$C$1:$C$993,1,FALSE)</f>
        <v>李雪</v>
      </c>
    </row>
    <row r="37" spans="1:15">
      <c r="A37" s="255">
        <v>36</v>
      </c>
      <c r="B37" s="256" t="s">
        <v>253</v>
      </c>
      <c r="C37" s="257" t="s">
        <v>371</v>
      </c>
      <c r="D37" s="242">
        <v>171600</v>
      </c>
      <c r="E37" s="242">
        <v>0.5</v>
      </c>
      <c r="F37" s="242">
        <v>0.5</v>
      </c>
      <c r="G37" s="242">
        <f t="shared" si="0"/>
        <v>7150</v>
      </c>
      <c r="H37" s="242">
        <f t="shared" si="1"/>
        <v>7150</v>
      </c>
      <c r="I37" s="242"/>
      <c r="J37" s="242"/>
      <c r="K37" s="242"/>
      <c r="L37" s="242"/>
      <c r="M37" s="242">
        <v>0</v>
      </c>
      <c r="N37" s="242">
        <f t="shared" si="5"/>
        <v>14300</v>
      </c>
      <c r="O37" t="str">
        <f xml:space="preserve"> VLOOKUP(B37,海淀分公司工资表!$C$1:$C$993,1,FALSE)</f>
        <v>高寒</v>
      </c>
    </row>
    <row r="38" spans="1:15">
      <c r="M38" s="264" t="s">
        <v>32</v>
      </c>
      <c r="N38" s="265">
        <f>SUM(N2:N37)</f>
        <v>500276.45045977022</v>
      </c>
    </row>
  </sheetData>
  <phoneticPr fontId="2" type="noConversion"/>
  <conditionalFormatting sqref="N1">
    <cfRule type="cellIs" dxfId="3" priority="4" operator="lessThan">
      <formula>0</formula>
    </cfRule>
  </conditionalFormatting>
  <conditionalFormatting sqref="B18">
    <cfRule type="duplicateValues" dxfId="2" priority="2"/>
  </conditionalFormatting>
  <conditionalFormatting sqref="B24:B37">
    <cfRule type="duplicateValues" dxfId="1" priority="1"/>
  </conditionalFormatting>
  <conditionalFormatting sqref="B12:B15 B19:B23 B17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workbookViewId="0">
      <selection activeCell="I17" sqref="I17"/>
    </sheetView>
  </sheetViews>
  <sheetFormatPr defaultRowHeight="14"/>
  <cols>
    <col min="1" max="1" width="25.453125" bestFit="1" customWidth="1"/>
    <col min="2" max="2" width="10.453125" style="180" bestFit="1" customWidth="1"/>
    <col min="4" max="4" width="15.6328125" customWidth="1"/>
  </cols>
  <sheetData>
    <row r="1" spans="1:4">
      <c r="A1" s="140" t="s">
        <v>291</v>
      </c>
      <c r="B1" s="174" t="s">
        <v>63</v>
      </c>
      <c r="C1" s="95" t="s">
        <v>272</v>
      </c>
      <c r="D1" s="277" t="s">
        <v>292</v>
      </c>
    </row>
    <row r="2" spans="1:4">
      <c r="A2" s="173" t="s">
        <v>352</v>
      </c>
      <c r="B2" s="175">
        <f>SUMIF(海淀分公司工资表!B:B,$B$1,海淀分公司工资表!AS:AS)</f>
        <v>417212.35000000003</v>
      </c>
      <c r="C2" s="175">
        <f>SUMIF(海淀分公司工资表!C:C,$B$1,海淀分公司工资表!AT:AT)</f>
        <v>0</v>
      </c>
      <c r="D2" s="278"/>
    </row>
    <row r="3" spans="1:4">
      <c r="A3" s="173" t="s">
        <v>353</v>
      </c>
      <c r="B3" s="175">
        <f>SUMIF(海淀分公司工资表!B:B,$B$1,海淀分公司工资表!AP:AP)</f>
        <v>7525.4500000000007</v>
      </c>
      <c r="C3" s="175">
        <f>SUMIF(海淀分公司工资表!C:C,$B$1,海淀分公司工资表!AQ:AQ)</f>
        <v>0</v>
      </c>
      <c r="D3" s="278"/>
    </row>
    <row r="4" spans="1:4" ht="15.75" customHeight="1">
      <c r="A4" s="140" t="s">
        <v>293</v>
      </c>
      <c r="B4" s="175" t="e">
        <f>SUMIF(海淀分公司工资表!B:B,$B$1,海淀分公司工资表!#REF!)</f>
        <v>#REF!</v>
      </c>
      <c r="C4" s="175" t="e">
        <f>SUMIF(海淀分公司工资表!C:C,$B$1,海淀分公司工资表!#REF!)</f>
        <v>#REF!</v>
      </c>
      <c r="D4" s="278"/>
    </row>
    <row r="5" spans="1:4" ht="15.75" customHeight="1">
      <c r="A5" s="140" t="s">
        <v>294</v>
      </c>
      <c r="B5" s="175">
        <f>SUMIF(海淀分公司工资表!B:B,$B$1,海淀分公司工资表!X:X)</f>
        <v>27723.599999999995</v>
      </c>
      <c r="C5" s="175">
        <f>SUMIF(海淀分公司工资表!C:C,$B$1,海淀分公司工资表!Y:Y)</f>
        <v>0</v>
      </c>
      <c r="D5" s="278"/>
    </row>
    <row r="6" spans="1:4" ht="15.75" customHeight="1">
      <c r="A6" s="140" t="s">
        <v>295</v>
      </c>
      <c r="B6" s="175" t="e">
        <f>SUMIF(海淀分公司工资表!B:B,$B$1,海淀分公司工资表!#REF!)</f>
        <v>#REF!</v>
      </c>
      <c r="C6" s="175" t="e">
        <f>SUMIF(海淀分公司工资表!C:C,$B$1,海淀分公司工资表!#REF!)</f>
        <v>#REF!</v>
      </c>
      <c r="D6" s="278"/>
    </row>
    <row r="7" spans="1:4" ht="15.75" customHeight="1">
      <c r="A7" s="140" t="s">
        <v>296</v>
      </c>
      <c r="B7" s="175">
        <f>SUMIF(海淀分公司工资表!B:B,$B$1,海淀分公司工资表!Y:Y)</f>
        <v>31681.5</v>
      </c>
      <c r="C7" s="175">
        <f>SUMIF(海淀分公司工资表!C:C,$B$1,海淀分公司工资表!Z:Z)</f>
        <v>0</v>
      </c>
      <c r="D7" s="279"/>
    </row>
    <row r="8" spans="1:4" ht="15.75" customHeight="1">
      <c r="A8" s="141"/>
      <c r="B8" s="176"/>
      <c r="C8" s="141"/>
      <c r="D8" s="109"/>
    </row>
    <row r="9" spans="1:4" ht="15.75" customHeight="1">
      <c r="A9" s="109"/>
      <c r="B9" s="177"/>
      <c r="C9" s="109"/>
      <c r="D9" s="109"/>
    </row>
    <row r="10" spans="1:4" ht="15.75" customHeight="1">
      <c r="A10" s="173" t="s">
        <v>297</v>
      </c>
      <c r="B10" s="181" t="s">
        <v>63</v>
      </c>
      <c r="C10" s="182" t="s">
        <v>272</v>
      </c>
      <c r="D10" s="280" t="s">
        <v>298</v>
      </c>
    </row>
    <row r="11" spans="1:4" ht="15.75" customHeight="1">
      <c r="A11" s="173" t="s">
        <v>299</v>
      </c>
      <c r="B11" s="178">
        <f>SUMIFS(社保!V:V,社保!A:A,$B$10,社保!Z:Z,"北京",社保!AA:AA,"")</f>
        <v>65470.9</v>
      </c>
      <c r="C11" s="178">
        <f>SUMIFS(社保!W:W,社保!B:B,$B$10,社保!AA:AA,"北京",社保!AB:AB,"")</f>
        <v>0</v>
      </c>
      <c r="D11" s="280"/>
    </row>
    <row r="12" spans="1:4" ht="15.75" customHeight="1">
      <c r="A12" s="173" t="s">
        <v>300</v>
      </c>
      <c r="B12" s="178">
        <f>SUMIFS(社保!W:W,社保!A:A,$B$10,社保!Z:Z,"北京",社保!AA:AA,"")</f>
        <v>26007.3</v>
      </c>
      <c r="C12" s="178">
        <f>SUMIFS(社保!X:X,社保!B:B,$B$10,社保!AA:AA,"北京",社保!AB:AB,"")</f>
        <v>0</v>
      </c>
      <c r="D12" s="280"/>
    </row>
    <row r="13" spans="1:4" ht="15.75" customHeight="1">
      <c r="A13" s="173" t="s">
        <v>301</v>
      </c>
      <c r="B13" s="178">
        <f>SUMIFS(社保!T:T,社保!A:A,$B$10,社保!Z:Z,"北京",社保!AA:AA,"")</f>
        <v>32243</v>
      </c>
      <c r="C13" s="178">
        <f>SUMIFS(社保!U:U,社保!B:B,$B$10,社保!AA:AA,"北京",社保!AB:AB,"")</f>
        <v>0</v>
      </c>
      <c r="D13" s="280"/>
    </row>
    <row r="14" spans="1:4" ht="15.75" customHeight="1">
      <c r="A14" s="173" t="s">
        <v>302</v>
      </c>
      <c r="B14" s="178">
        <f>SUMIFS(社保!U:U,社保!A:A,$B$10,社保!Z:Z,"北京",社保!AA:AA,"")</f>
        <v>32243</v>
      </c>
      <c r="C14" s="178">
        <f>SUMIFS(社保!V:V,社保!B:B,$B$10,社保!AA:AA,"北京",社保!AB:AB,"")</f>
        <v>0</v>
      </c>
      <c r="D14" s="280"/>
    </row>
    <row r="15" spans="1:4" ht="15.75" customHeight="1">
      <c r="A15" s="187" t="s">
        <v>354</v>
      </c>
      <c r="B15" s="188">
        <f>SUM(B11:B14)</f>
        <v>155964.20000000001</v>
      </c>
      <c r="C15" s="188">
        <f>SUM(C11:C14)</f>
        <v>0</v>
      </c>
      <c r="D15" s="280"/>
    </row>
    <row r="16" spans="1:4" ht="15.75" customHeight="1">
      <c r="A16" s="173" t="s">
        <v>303</v>
      </c>
      <c r="B16" s="184">
        <f>SUMIFS(社保!V:V,社保!A:A,$B$10,社保!Z:Z,"外地",社保!AA:AA,"")-B20</f>
        <v>7940.369999999999</v>
      </c>
      <c r="C16" s="184">
        <f>SUMIFS(社保!W:W,社保!B:B,$B$10,社保!AA:AA,"外地",社保!AB:AB,"")-C20</f>
        <v>0</v>
      </c>
      <c r="D16" s="280"/>
    </row>
    <row r="17" spans="1:4" ht="15.75" customHeight="1">
      <c r="A17" s="173" t="s">
        <v>304</v>
      </c>
      <c r="B17" s="184">
        <f>SUMIFS(社保!W:W,社保!A:A,$B$10,社保!Z:Z,"外地",社保!AA:AA,"")-B21</f>
        <v>3491.25</v>
      </c>
      <c r="C17" s="184">
        <f>SUMIFS(社保!X:X,社保!B:B,$B$10,社保!AA:AA,"外地",社保!AB:AB,"")-C21</f>
        <v>0</v>
      </c>
      <c r="D17" s="280"/>
    </row>
    <row r="18" spans="1:4" ht="15.75" customHeight="1">
      <c r="A18" s="173" t="s">
        <v>305</v>
      </c>
      <c r="B18" s="184">
        <f>SUMIFS(社保!T:T,社保!A:A,$B$10,社保!Z:Z,"外地",社保!AA:AA,"")-B22</f>
        <v>2066</v>
      </c>
      <c r="C18" s="184">
        <f>SUMIFS(社保!U:U,社保!B:B,$B$10,社保!AA:AA,"外地",社保!AB:AB,"")-C22</f>
        <v>0</v>
      </c>
      <c r="D18" s="280"/>
    </row>
    <row r="19" spans="1:4" ht="15.75" customHeight="1">
      <c r="A19" s="173" t="s">
        <v>306</v>
      </c>
      <c r="B19" s="184">
        <f>SUMIFS(社保!U:U,社保!A:A,$B$10,社保!Z:Z,"外地",社保!AA:AA,"")-B23</f>
        <v>2066</v>
      </c>
      <c r="C19" s="184">
        <f>SUMIFS(社保!V:V,社保!B:B,$B$10,社保!AA:AA,"外地",社保!AB:AB,"")-C23</f>
        <v>0</v>
      </c>
      <c r="D19" s="280"/>
    </row>
    <row r="20" spans="1:4" ht="15.75" customHeight="1">
      <c r="A20" s="173" t="s">
        <v>347</v>
      </c>
      <c r="B20" s="178">
        <f>SUMIFS(社保!V:V,社保!A:A,$B$10,社保!Z:Z,"外地",社保!AA:AA,"",社保!F:F,"当月新增")</f>
        <v>2421.9899999999998</v>
      </c>
      <c r="C20" s="178">
        <f>SUMIFS(社保!W:W,社保!B:B,$B$10,社保!AA:AA,"外地",社保!AB:AB,"",社保!G:G,"当月新增")</f>
        <v>0</v>
      </c>
      <c r="D20" s="280"/>
    </row>
    <row r="21" spans="1:4" ht="15.75" customHeight="1">
      <c r="A21" s="173" t="s">
        <v>348</v>
      </c>
      <c r="B21" s="178">
        <f>SUMIFS(社保!W:W,社保!A:A,$B$10,社保!Z:Z,"外地",社保!AA:AA,"",社保!F:F,"当月新增")</f>
        <v>1080.4499999999998</v>
      </c>
      <c r="C21" s="178">
        <f>SUMIFS(社保!X:X,社保!B:B,$B$10,社保!AA:AA,"外地",社保!AB:AB,"",社保!G:G,"当月新增")</f>
        <v>0</v>
      </c>
      <c r="D21" s="280"/>
    </row>
    <row r="22" spans="1:4" ht="15.75" customHeight="1">
      <c r="A22" s="173" t="s">
        <v>349</v>
      </c>
      <c r="B22" s="178">
        <f>SUMIFS(社保!T:T,社保!A:A,$B$10,社保!Z:Z,"外地",社保!AA:AA,"",社保!F:F,"当月新增")</f>
        <v>247.5</v>
      </c>
      <c r="C22" s="178">
        <f>SUMIFS(社保!U:U,社保!B:B,$B$10,社保!AA:AA,"外地",社保!AB:AB,"",社保!G:G,"当月新增")</f>
        <v>0</v>
      </c>
      <c r="D22" s="280"/>
    </row>
    <row r="23" spans="1:4" ht="15.75" customHeight="1">
      <c r="A23" s="173" t="s">
        <v>350</v>
      </c>
      <c r="B23" s="178">
        <f>SUMIFS(社保!U:U,社保!A:A,$B$10,社保!Z:Z,"外地",社保!AA:AA,"",社保!F:F,"当月新增")</f>
        <v>247.5</v>
      </c>
      <c r="C23" s="178">
        <f>SUMIFS(社保!V:V,社保!B:B,$B$10,社保!AA:AA,"外地",社保!AB:AB,"",社保!G:G,"当月新增")</f>
        <v>0</v>
      </c>
      <c r="D23" s="280"/>
    </row>
    <row r="24" spans="1:4" ht="15.75" customHeight="1">
      <c r="A24" s="185" t="s">
        <v>307</v>
      </c>
      <c r="B24" s="179">
        <v>800</v>
      </c>
      <c r="C24" s="179"/>
      <c r="D24" s="280"/>
    </row>
    <row r="25" spans="1:4" ht="15.75" customHeight="1">
      <c r="A25" s="185" t="s">
        <v>351</v>
      </c>
      <c r="B25" s="183">
        <f>COUNTIF(社保!F:F,"当月新增")*80</f>
        <v>240</v>
      </c>
      <c r="C25" s="183">
        <f>COUNTIF(社保!G:G,"当月新增")*80</f>
        <v>0</v>
      </c>
      <c r="D25" s="280"/>
    </row>
    <row r="26" spans="1:4">
      <c r="A26" s="187" t="s">
        <v>355</v>
      </c>
      <c r="B26" s="189">
        <f>SUM(B16:B25)</f>
        <v>20601.060000000001</v>
      </c>
      <c r="C26" s="190">
        <f>SUM(C16:C25)</f>
        <v>0</v>
      </c>
      <c r="D26" s="186"/>
    </row>
  </sheetData>
  <mergeCells count="2">
    <mergeCell ref="D1:D7"/>
    <mergeCell ref="D10:D2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3"/>
  <sheetViews>
    <sheetView workbookViewId="0">
      <pane xSplit="7" ySplit="2" topLeftCell="T12" activePane="bottomRight" state="frozen"/>
      <selection pane="topRight" activeCell="H1" sqref="H1"/>
      <selection pane="bottomLeft" activeCell="A3" sqref="A3"/>
      <selection pane="bottomRight" activeCell="AA12" sqref="AA12:AA21"/>
    </sheetView>
  </sheetViews>
  <sheetFormatPr defaultColWidth="9" defaultRowHeight="13" outlineLevelCol="1"/>
  <cols>
    <col min="1" max="1" width="4.90625" style="85" customWidth="1"/>
    <col min="2" max="2" width="8.90625" style="85" customWidth="1"/>
    <col min="3" max="3" width="9" style="85"/>
    <col min="4" max="4" width="18" style="85" bestFit="1" customWidth="1"/>
    <col min="5" max="5" width="6.453125" style="85" customWidth="1"/>
    <col min="6" max="6" width="10.26953125" style="85" customWidth="1"/>
    <col min="7" max="7" width="12.7265625" style="235" bestFit="1" customWidth="1"/>
    <col min="8" max="8" width="8.08984375" style="85" customWidth="1"/>
    <col min="9" max="9" width="9.36328125" style="85" bestFit="1" customWidth="1"/>
    <col min="10" max="10" width="9" style="85"/>
    <col min="11" max="12" width="9" style="204"/>
    <col min="13" max="14" width="9.36328125" style="98" bestFit="1" customWidth="1"/>
    <col min="15" max="18" width="9.08984375" style="98" bestFit="1" customWidth="1"/>
    <col min="19" max="19" width="9.36328125" style="98" bestFit="1" customWidth="1"/>
    <col min="20" max="20" width="11.90625" style="98" customWidth="1"/>
    <col min="21" max="25" width="9" style="85" customWidth="1" outlineLevel="1"/>
    <col min="26" max="27" width="9" style="85" customWidth="1"/>
    <col min="28" max="36" width="9" style="85" customWidth="1" outlineLevel="1"/>
    <col min="37" max="37" width="11.08984375" style="85" customWidth="1" outlineLevel="1"/>
    <col min="38" max="38" width="9" style="85" customWidth="1" outlineLevel="1"/>
    <col min="39" max="39" width="13.08984375" style="85" customWidth="1" outlineLevel="1"/>
    <col min="40" max="40" width="9" style="85" customWidth="1" outlineLevel="1"/>
    <col min="41" max="41" width="8.90625" style="85" customWidth="1" outlineLevel="1"/>
    <col min="42" max="42" width="9" style="85" customWidth="1"/>
    <col min="43" max="43" width="10.36328125" style="98" customWidth="1"/>
    <col min="44" max="44" width="9" style="85" customWidth="1"/>
    <col min="45" max="45" width="10.36328125" style="85" customWidth="1"/>
    <col min="46" max="46" width="9" style="85" customWidth="1"/>
    <col min="47" max="47" width="9.36328125" style="85" customWidth="1"/>
    <col min="48" max="48" width="10.6328125" style="85" customWidth="1"/>
    <col min="49" max="49" width="19.90625" style="227" customWidth="1"/>
    <col min="50" max="50" width="8" style="102" customWidth="1"/>
    <col min="51" max="51" width="30.26953125" style="102" customWidth="1"/>
    <col min="52" max="52" width="44.453125" style="102" customWidth="1"/>
    <col min="53" max="53" width="9.453125" style="85" customWidth="1"/>
    <col min="54" max="16384" width="9" style="85"/>
  </cols>
  <sheetData>
    <row r="1" spans="1:55" ht="13.5" customHeight="1">
      <c r="A1" s="299" t="s">
        <v>7</v>
      </c>
      <c r="B1" s="301" t="s">
        <v>8</v>
      </c>
      <c r="C1" s="303" t="s">
        <v>9</v>
      </c>
      <c r="D1" s="305" t="s">
        <v>10</v>
      </c>
      <c r="E1" s="293" t="s">
        <v>11</v>
      </c>
      <c r="F1" s="307" t="s">
        <v>142</v>
      </c>
      <c r="G1" s="295" t="s">
        <v>12</v>
      </c>
      <c r="H1" s="305" t="s">
        <v>64</v>
      </c>
      <c r="I1" s="297" t="s">
        <v>13</v>
      </c>
      <c r="J1" s="305" t="s">
        <v>14</v>
      </c>
      <c r="K1" s="316" t="s">
        <v>357</v>
      </c>
      <c r="L1" s="316" t="s">
        <v>358</v>
      </c>
      <c r="M1" s="318" t="s">
        <v>359</v>
      </c>
      <c r="N1" s="318" t="s">
        <v>360</v>
      </c>
      <c r="O1" s="320" t="s">
        <v>361</v>
      </c>
      <c r="P1" s="320" t="s">
        <v>362</v>
      </c>
      <c r="Q1" s="320" t="s">
        <v>363</v>
      </c>
      <c r="R1" s="320" t="s">
        <v>364</v>
      </c>
      <c r="S1" s="320" t="s">
        <v>365</v>
      </c>
      <c r="T1" s="322" t="s">
        <v>137</v>
      </c>
      <c r="U1" s="324" t="s">
        <v>27</v>
      </c>
      <c r="V1" s="312" t="s">
        <v>28</v>
      </c>
      <c r="W1" s="312" t="s">
        <v>29</v>
      </c>
      <c r="X1" s="326" t="s">
        <v>309</v>
      </c>
      <c r="Y1" s="314" t="s">
        <v>30</v>
      </c>
      <c r="Z1" s="309" t="s">
        <v>356</v>
      </c>
      <c r="AA1" s="305" t="s">
        <v>15</v>
      </c>
      <c r="AB1" s="293" t="s">
        <v>16</v>
      </c>
      <c r="AC1" s="285" t="s">
        <v>17</v>
      </c>
      <c r="AD1" s="293" t="s">
        <v>18</v>
      </c>
      <c r="AE1" s="332" t="s">
        <v>19</v>
      </c>
      <c r="AF1" s="333"/>
      <c r="AG1" s="333"/>
      <c r="AH1" s="333"/>
      <c r="AI1" s="333"/>
      <c r="AJ1" s="334"/>
      <c r="AK1" s="293" t="s">
        <v>20</v>
      </c>
      <c r="AL1" s="293" t="s">
        <v>21</v>
      </c>
      <c r="AM1" s="285" t="s">
        <v>192</v>
      </c>
      <c r="AN1" s="285" t="s">
        <v>195</v>
      </c>
      <c r="AO1" s="285" t="s">
        <v>198</v>
      </c>
      <c r="AP1" s="285" t="s">
        <v>199</v>
      </c>
      <c r="AQ1" s="289" t="s">
        <v>22</v>
      </c>
      <c r="AR1" s="289" t="s">
        <v>23</v>
      </c>
      <c r="AS1" s="291" t="s">
        <v>206</v>
      </c>
      <c r="AT1" s="287" t="s">
        <v>25</v>
      </c>
      <c r="AU1" s="283" t="s">
        <v>149</v>
      </c>
      <c r="AV1" s="281" t="s">
        <v>148</v>
      </c>
      <c r="AW1" s="330" t="s">
        <v>460</v>
      </c>
      <c r="AX1" s="330" t="s">
        <v>167</v>
      </c>
      <c r="AY1" s="330" t="s">
        <v>166</v>
      </c>
      <c r="AZ1" s="305" t="s">
        <v>284</v>
      </c>
      <c r="BA1" s="293" t="s">
        <v>26</v>
      </c>
      <c r="BB1" s="328"/>
      <c r="BC1" s="329"/>
    </row>
    <row r="2" spans="1:55" ht="39">
      <c r="A2" s="300"/>
      <c r="B2" s="302"/>
      <c r="C2" s="304"/>
      <c r="D2" s="306"/>
      <c r="E2" s="294"/>
      <c r="F2" s="308"/>
      <c r="G2" s="296"/>
      <c r="H2" s="311"/>
      <c r="I2" s="298"/>
      <c r="J2" s="306"/>
      <c r="K2" s="317"/>
      <c r="L2" s="317"/>
      <c r="M2" s="319"/>
      <c r="N2" s="319"/>
      <c r="O2" s="321"/>
      <c r="P2" s="321"/>
      <c r="Q2" s="321"/>
      <c r="R2" s="321"/>
      <c r="S2" s="321"/>
      <c r="T2" s="323"/>
      <c r="U2" s="325"/>
      <c r="V2" s="313"/>
      <c r="W2" s="313"/>
      <c r="X2" s="327"/>
      <c r="Y2" s="315"/>
      <c r="Z2" s="310"/>
      <c r="AA2" s="306"/>
      <c r="AB2" s="294"/>
      <c r="AC2" s="286"/>
      <c r="AD2" s="294"/>
      <c r="AE2" s="72" t="s">
        <v>168</v>
      </c>
      <c r="AF2" s="72" t="s">
        <v>169</v>
      </c>
      <c r="AG2" s="72" t="s">
        <v>170</v>
      </c>
      <c r="AH2" s="72" t="s">
        <v>171</v>
      </c>
      <c r="AI2" s="72" t="s">
        <v>172</v>
      </c>
      <c r="AJ2" s="72" t="s">
        <v>31</v>
      </c>
      <c r="AK2" s="294"/>
      <c r="AL2" s="294"/>
      <c r="AM2" s="286"/>
      <c r="AN2" s="286"/>
      <c r="AO2" s="286"/>
      <c r="AP2" s="286"/>
      <c r="AQ2" s="290"/>
      <c r="AR2" s="290"/>
      <c r="AS2" s="292"/>
      <c r="AT2" s="288"/>
      <c r="AU2" s="284"/>
      <c r="AV2" s="282"/>
      <c r="AW2" s="331"/>
      <c r="AX2" s="331"/>
      <c r="AY2" s="331"/>
      <c r="AZ2" s="311"/>
      <c r="BA2" s="294"/>
      <c r="BB2" s="328"/>
      <c r="BC2" s="329"/>
    </row>
    <row r="3" spans="1:55" ht="23.25" customHeight="1">
      <c r="A3" s="74">
        <v>1</v>
      </c>
      <c r="B3" s="75" t="s">
        <v>63</v>
      </c>
      <c r="C3" s="114" t="s">
        <v>3</v>
      </c>
      <c r="D3" s="86" t="s">
        <v>6</v>
      </c>
      <c r="E3" s="76" t="str">
        <f>IF(VALUE(MID(D3,17,1))/2=INT(VALUE(MID(D3,17,1))/2),"女","男")</f>
        <v>男</v>
      </c>
      <c r="F3" s="94">
        <f>DATE(MID(D3,7,4),MID(D3,11,2),MID(D3,13,2))</f>
        <v>31902</v>
      </c>
      <c r="G3" s="228">
        <v>13651146090</v>
      </c>
      <c r="H3" s="83" t="s">
        <v>371</v>
      </c>
      <c r="I3" s="87">
        <v>44562</v>
      </c>
      <c r="J3" s="71"/>
      <c r="K3" s="203">
        <f>VLOOKUP(C3,融科!B:N,4,FALSE)</f>
        <v>0.7</v>
      </c>
      <c r="L3" s="203">
        <f>VLOOKUP(C3,融科!B:N,5,FALSE)</f>
        <v>0.3</v>
      </c>
      <c r="M3" s="236">
        <f>VLOOKUP(C3,融科!B:N,6,FALSE)</f>
        <v>10217.9</v>
      </c>
      <c r="N3" s="236">
        <f>VLOOKUP(C3,融科!B:N,7,FALSE)</f>
        <v>4379.0999999999995</v>
      </c>
      <c r="O3" s="236">
        <f>VLOOKUP(C3,融科!B:N,8,FALSE)</f>
        <v>0</v>
      </c>
      <c r="P3" s="236">
        <f>VLOOKUP(C3,融科!B:N,9,FALSE)</f>
        <v>0</v>
      </c>
      <c r="Q3" s="236">
        <f>VLOOKUP(C3,融科!B:N,10,FALSE)</f>
        <v>0</v>
      </c>
      <c r="R3" s="236">
        <f>VLOOKUP(C3,融科!B:N,11,FALSE)</f>
        <v>0</v>
      </c>
      <c r="S3" s="236">
        <f>VLOOKUP(C3,融科!B:N,12,FALSE)</f>
        <v>0</v>
      </c>
      <c r="T3" s="237">
        <f>VLOOKUP(C3,融科!B:N,13,FALSE)</f>
        <v>14597</v>
      </c>
      <c r="U3" s="93">
        <f>VLOOKUP($D3,社保!$C:$AF,MATCH(U$1,社保!$C$1:$AF$1,0),FALSE)</f>
        <v>428.8</v>
      </c>
      <c r="V3" s="93">
        <f>VLOOKUP($D3,社保!$C:$AF,MATCH(V$1,社保!$C$1:$AF$1,0),FALSE)+VLOOKUP($D3,社保!$C:$AF,MATCH("个人大病",社保!$C$1:$AF$1,0),FALSE)</f>
        <v>110.2</v>
      </c>
      <c r="W3" s="93">
        <f>VLOOKUP($D3,社保!$C:$AF,MATCH(W$1,社保!$C$1:$AF$1,0),FALSE)</f>
        <v>26.8</v>
      </c>
      <c r="X3" s="93">
        <f>SUM(U3:W3)</f>
        <v>565.79999999999995</v>
      </c>
      <c r="Y3" s="93">
        <f>VLOOKUP($D3,社保!$C:$AF,MATCH(Y$1,社保!$C$1:$AF$1,0),FALSE)</f>
        <v>1080</v>
      </c>
      <c r="Z3" s="93">
        <f>SUM(X3:Y3)</f>
        <v>1645.8</v>
      </c>
      <c r="AA3" s="77"/>
      <c r="AB3" s="78">
        <f>VLOOKUP($D3,个税系统表!$D:$AN,MATCH(海淀分公司工资表!AB$1,个税系统表!$D$1:$AM$1,0),FALSE)</f>
        <v>29194</v>
      </c>
      <c r="AC3" s="78">
        <f>VLOOKUP($D3,个税系统表!$D:$AN,MATCH(海淀分公司工资表!AC$1,个税系统表!$D$1:$AM$1,0),FALSE)</f>
        <v>10000</v>
      </c>
      <c r="AD3" s="78">
        <f>VLOOKUP($D3,个税系统表!$D:$AN,MATCH(海淀分公司工资表!AD$1,个税系统表!$D$1:$AM$1,0),FALSE)</f>
        <v>3291.6</v>
      </c>
      <c r="AE3" s="78">
        <f>VLOOKUP($D3,个税系统表!$D:$AN,MATCH(海淀分公司工资表!AE$2,个税系统表!$D$1:$AM$1,0),FALSE)</f>
        <v>2000</v>
      </c>
      <c r="AF3" s="78">
        <f>VLOOKUP($D3,个税系统表!$D:$AN,MATCH(海淀分公司工资表!AF$2,个税系统表!$D$1:$AM$1,0),FALSE)</f>
        <v>0</v>
      </c>
      <c r="AG3" s="78">
        <f>VLOOKUP($D3,个税系统表!$D:$AN,MATCH(海淀分公司工资表!AG$2,个税系统表!$D$1:$AM$1,0),FALSE)</f>
        <v>2000</v>
      </c>
      <c r="AH3" s="78">
        <f>VLOOKUP($D3,个税系统表!$D:$AN,MATCH(海淀分公司工资表!AH$2,个税系统表!$D$1:$AM$1,0),FALSE)</f>
        <v>0</v>
      </c>
      <c r="AI3" s="78">
        <f>VLOOKUP($D3,个税系统表!$D:$AN,MATCH(海淀分公司工资表!AI$2,个税系统表!$D$1:$AM$1,0),FALSE)</f>
        <v>2000</v>
      </c>
      <c r="AJ3" s="77"/>
      <c r="AK3" s="78">
        <f>SUM(AE3:AJ3)</f>
        <v>6000</v>
      </c>
      <c r="AL3" s="78">
        <f>VLOOKUP($D3,个税系统表!$D:$AN,MATCH(海淀分公司工资表!AL$1,个税系统表!$D$1:$AM$1,0),FALSE)</f>
        <v>0</v>
      </c>
      <c r="AM3" s="78">
        <f>VLOOKUP($D3,个税系统表!$D:$AN,MATCH(海淀分公司工资表!AM$1,个税系统表!$D$1:$AM$1,0),FALSE)</f>
        <v>9902.4</v>
      </c>
      <c r="AN3" s="78">
        <f>VLOOKUP($D3,个税系统表!$D:$AN,MATCH(海淀分公司工资表!AN$1,个税系统表!$D$1:$AM$1,0),FALSE)</f>
        <v>297.07</v>
      </c>
      <c r="AO3" s="78">
        <f>VLOOKUP($D3,个税系统表!$D:$AN,MATCH(海淀分公司工资表!AO$1,个税系统表!$D$1:$AM$1,0),FALSE)</f>
        <v>148.54</v>
      </c>
      <c r="AP3" s="78">
        <f>VLOOKUP($D3,个税系统表!$D:$AN,MATCH(海淀分公司工资表!AP$1,个税系统表!$D$1:$AM$1,0),FALSE)</f>
        <v>148.53</v>
      </c>
      <c r="AQ3" s="96">
        <f>T3-Z3-AA3-AP3</f>
        <v>12802.67</v>
      </c>
      <c r="AR3" s="79"/>
      <c r="AS3" s="113">
        <f>ROUND(AQ3+AR3,2)</f>
        <v>12802.67</v>
      </c>
      <c r="AT3" s="93">
        <f>VLOOKUP($H3,缴费比例!$B:$O,MATCH(AT$1,缴费比例!$B$1:$O$1,0),FALSE)</f>
        <v>170</v>
      </c>
      <c r="AU3" s="191">
        <v>-2</v>
      </c>
      <c r="AV3" s="93">
        <f>ROUND(AP3+AQ3+AT3+AU3,2)</f>
        <v>13119.2</v>
      </c>
      <c r="AW3" s="99" t="s">
        <v>208</v>
      </c>
      <c r="AX3" s="100" t="s">
        <v>159</v>
      </c>
      <c r="AY3" s="100" t="s">
        <v>209</v>
      </c>
      <c r="AZ3" s="205" t="s">
        <v>372</v>
      </c>
      <c r="BA3" s="80" t="str">
        <f t="shared" ref="BA3:BA21" si="0">IF(LEN(D3)=18,IF(RIGHT(D3,1)="X",IF(CHOOSE(MOD(SUM(LEFT(RIGHT(D3,18))*7+LEFT(RIGHT(D3,17))*9+LEFT(RIGHT(D3,16))*10+LEFT(RIGHT(D3,15))*5+LEFT(RIGHT(D3,14))*8+LEFT(RIGHT(D3,13))*4+LEFT(RIGHT(D3,12))*2+LEFT(RIGHT(D3,11))*1+LEFT(RIGHT(D3,10))*6+LEFT(RIGHT(D3,9))*3+LEFT(RIGHT(D3,8))*7+LEFT(RIGHT(D3,7))*9+LEFT(RIGHT(D3,6))*10+LEFT(RIGHT(D3,5))*5+LEFT(RIGHT(D3,4))*8+LEFT(RIGHT(D3,3))*4+LEFT(RIGHT(D3,2))*2),11)+1,1,0,"X",9,8,7,6,5,4,3,2)=LEFT(RIGHT(D3,1)),"正确","错误"),IF(CHOOSE(MOD(SUM(LEFT(RIGHT(D3,18))*7+LEFT(RIGHT(D3,17))*9+LEFT(RIGHT(D3,16))*10+LEFT(RIGHT(D3,15))*5+LEFT(RIGHT(D3,14))*8+LEFT(RIGHT(D3,13))*4+LEFT(RIGHT(D3,12))*2+LEFT(RIGHT(D3,11))*1+LEFT(RIGHT(D3,10))*6+LEFT(RIGHT(D3,9))*3+LEFT(RIGHT(D3,8))*7+LEFT(RIGHT(D3,7))*9+LEFT(RIGHT(D3,6))*10+LEFT(RIGHT(D3,5))*5+LEFT(RIGHT(D3,4))*8+LEFT(RIGHT(D3,3))*4+LEFT(RIGHT(D3,2))*2),11)+1,1,0,"X",9,8,7,6,5,4,3,2)=LEFT(RIGHT(D3,1))*1,"正确","错误")),IF(LEN(D3)=15,"老号，请注意！",IF(LEN(D3)=0,"未填写身份证号码","位数不对！")))</f>
        <v>正确</v>
      </c>
    </row>
    <row r="4" spans="1:55">
      <c r="A4" s="74">
        <v>2</v>
      </c>
      <c r="B4" s="75" t="s">
        <v>63</v>
      </c>
      <c r="C4" s="114" t="s">
        <v>141</v>
      </c>
      <c r="D4" s="86" t="s">
        <v>33</v>
      </c>
      <c r="E4" s="76" t="str">
        <f>IF(VALUE(MID(D3,17,1))/2=INT(VALUE(MID(D3,17,1))/2),"女","男")</f>
        <v>男</v>
      </c>
      <c r="F4" s="94">
        <f>DATE(MID(D3,7,4),MID(D3,11,2),MID(D3,13,2))</f>
        <v>31902</v>
      </c>
      <c r="G4" s="228">
        <v>13699255824</v>
      </c>
      <c r="H4" s="83" t="s">
        <v>371</v>
      </c>
      <c r="I4" s="87">
        <v>44562</v>
      </c>
      <c r="J4" s="71"/>
      <c r="K4" s="203">
        <f>VLOOKUP(C4,融科!B:N,4,FALSE)</f>
        <v>0.7</v>
      </c>
      <c r="L4" s="203">
        <f>VLOOKUP(C4,融科!B:N,5,FALSE)</f>
        <v>0.3</v>
      </c>
      <c r="M4" s="236">
        <f>VLOOKUP(C4,融科!B:N,6,FALSE)</f>
        <v>9100</v>
      </c>
      <c r="N4" s="236">
        <f>VLOOKUP(C4,融科!B:N,7,FALSE)</f>
        <v>3900</v>
      </c>
      <c r="O4" s="236">
        <f>VLOOKUP(C4,融科!B:N,8,FALSE)</f>
        <v>0</v>
      </c>
      <c r="P4" s="236">
        <f>VLOOKUP(C4,融科!B:N,9,FALSE)</f>
        <v>0</v>
      </c>
      <c r="Q4" s="236">
        <f>VLOOKUP(C4,融科!B:N,10,FALSE)</f>
        <v>0</v>
      </c>
      <c r="R4" s="236">
        <f>VLOOKUP(C4,融科!B:N,11,FALSE)</f>
        <v>0</v>
      </c>
      <c r="S4" s="236">
        <f>VLOOKUP(C4,融科!B:N,12,FALSE)</f>
        <v>0</v>
      </c>
      <c r="T4" s="237">
        <f>VLOOKUP(C4,融科!B:N,13,FALSE)</f>
        <v>13000</v>
      </c>
      <c r="U4" s="93">
        <f>VLOOKUP($D4,社保!$C:$AF,MATCH(U$1,社保!$C$1:$AF$1,0),FALSE)</f>
        <v>428.8</v>
      </c>
      <c r="V4" s="93">
        <f>VLOOKUP($D3,社保!$C:$AF,MATCH(V$1,社保!$C$1:$AF$1,0),FALSE)+VLOOKUP($D3,社保!$C:$AF,MATCH("个人大病",社保!$C$1:$AF$1,0),FALSE)</f>
        <v>110.2</v>
      </c>
      <c r="W4" s="93">
        <f>VLOOKUP($D3,社保!$C:$AF,MATCH(W$1,社保!$C$1:$AF$1,0),FALSE)</f>
        <v>26.8</v>
      </c>
      <c r="X4" s="93">
        <f t="shared" ref="X4:X21" si="1">SUM(U4:W4)</f>
        <v>565.79999999999995</v>
      </c>
      <c r="Y4" s="93">
        <f>VLOOKUP($D4,社保!$C:$AF,MATCH(Y$1,社保!$C$1:$AF$1,0),FALSE)</f>
        <v>316</v>
      </c>
      <c r="Z4" s="93">
        <f t="shared" ref="Z4:Z21" si="2">SUM(X4:Y4)</f>
        <v>881.8</v>
      </c>
      <c r="AA4" s="77"/>
      <c r="AB4" s="78">
        <f>VLOOKUP($D4,个税系统表!$D:$AN,MATCH(海淀分公司工资表!AB$1,个税系统表!$D$1:$AM$1,0),FALSE)</f>
        <v>26000</v>
      </c>
      <c r="AC4" s="78">
        <f>VLOOKUP($D4,个税系统表!$D:$AN,MATCH(海淀分公司工资表!AC$1,个税系统表!$D$1:$AM$1,0),FALSE)</f>
        <v>10000</v>
      </c>
      <c r="AD4" s="78">
        <f>VLOOKUP($D4,个税系统表!$D:$AN,MATCH(海淀分公司工资表!AD$1,个税系统表!$D$1:$AM$1,0),FALSE)</f>
        <v>1763.6</v>
      </c>
      <c r="AE4" s="78">
        <f>VLOOKUP($D4,个税系统表!$D:$AN,MATCH(海淀分公司工资表!AE$2,个税系统表!$D$1:$AM$1,0),FALSE)</f>
        <v>0</v>
      </c>
      <c r="AF4" s="78">
        <f>VLOOKUP($D4,个税系统表!$D:$AN,MATCH(海淀分公司工资表!AF$2,个税系统表!$D$1:$AM$1,0),FALSE)</f>
        <v>0</v>
      </c>
      <c r="AG4" s="78">
        <f>VLOOKUP($D4,个税系统表!$D:$AN,MATCH(海淀分公司工资表!AG$2,个税系统表!$D$1:$AM$1,0),FALSE)</f>
        <v>0</v>
      </c>
      <c r="AH4" s="78">
        <f>VLOOKUP($D4,个税系统表!$D:$AN,MATCH(海淀分公司工资表!AH$2,个税系统表!$D$1:$AM$1,0),FALSE)</f>
        <v>3000</v>
      </c>
      <c r="AI4" s="78">
        <f>VLOOKUP($D4,个税系统表!$D:$AN,MATCH(海淀分公司工资表!AI$2,个税系统表!$D$1:$AM$1,0),FALSE)</f>
        <v>0</v>
      </c>
      <c r="AJ4" s="77"/>
      <c r="AK4" s="78">
        <f t="shared" ref="AK4:AK21" si="3">SUM(AE4:AJ4)</f>
        <v>3000</v>
      </c>
      <c r="AL4" s="78">
        <f>VLOOKUP($D4,个税系统表!$D:$AN,MATCH(海淀分公司工资表!AL$1,个税系统表!$D$1:$AM$1,0),FALSE)</f>
        <v>0</v>
      </c>
      <c r="AM4" s="78">
        <f>VLOOKUP($D4,个税系统表!$D:$AN,MATCH(海淀分公司工资表!AM$1,个税系统表!$D$1:$AM$1,0),FALSE)</f>
        <v>11236.4</v>
      </c>
      <c r="AN4" s="78">
        <f>VLOOKUP($D4,个税系统表!$D:$AN,MATCH(海淀分公司工资表!AN$1,个税系统表!$D$1:$AM$1,0),FALSE)</f>
        <v>337.09</v>
      </c>
      <c r="AO4" s="78">
        <f>VLOOKUP($D4,个税系统表!$D:$AN,MATCH(海淀分公司工资表!AO$1,个税系统表!$D$1:$AM$1,0),FALSE)</f>
        <v>168.55</v>
      </c>
      <c r="AP4" s="78">
        <f>VLOOKUP($D4,个税系统表!$D:$AN,MATCH(海淀分公司工资表!AP$1,个税系统表!$D$1:$AM$1,0),FALSE)</f>
        <v>168.54</v>
      </c>
      <c r="AQ4" s="96">
        <f t="shared" ref="AQ4:AQ21" si="4">T4-Z4-AA4-AP4</f>
        <v>11949.66</v>
      </c>
      <c r="AR4" s="79"/>
      <c r="AS4" s="113">
        <f t="shared" ref="AS4:AS37" si="5">ROUND(AQ4+AR4,2)</f>
        <v>11949.66</v>
      </c>
      <c r="AT4" s="93">
        <f>VLOOKUP($H4,缴费比例!$B:$O,MATCH(AT$1,缴费比例!$B$1:$O$1,0),FALSE)</f>
        <v>170</v>
      </c>
      <c r="AU4" s="191">
        <v>-2</v>
      </c>
      <c r="AV4" s="93">
        <f t="shared" ref="AV4:AV37" si="6">ROUND(AP4+AQ4+AT4+AU4,2)</f>
        <v>12286.2</v>
      </c>
      <c r="AW4" s="99" t="s">
        <v>210</v>
      </c>
      <c r="AX4" s="100" t="s">
        <v>159</v>
      </c>
      <c r="AY4" s="100" t="s">
        <v>209</v>
      </c>
      <c r="AZ4" s="205" t="s">
        <v>372</v>
      </c>
      <c r="BA4" s="80" t="str">
        <f t="shared" si="0"/>
        <v>正确</v>
      </c>
    </row>
    <row r="5" spans="1:55">
      <c r="A5" s="74">
        <v>3</v>
      </c>
      <c r="B5" s="75" t="s">
        <v>63</v>
      </c>
      <c r="C5" s="114" t="s">
        <v>34</v>
      </c>
      <c r="D5" s="86" t="s">
        <v>35</v>
      </c>
      <c r="E5" s="76" t="str">
        <f t="shared" ref="E5:E22" si="7">IF(VALUE(MID(D5,17,1))/2=INT(VALUE(MID(D5,17,1))/2),"女","男")</f>
        <v>男</v>
      </c>
      <c r="F5" s="94">
        <f t="shared" ref="F5:F22" si="8">DATE(MID(D5,7,4),MID(D5,11,2),MID(D5,13,2))</f>
        <v>35232</v>
      </c>
      <c r="G5" s="228">
        <v>18611179223</v>
      </c>
      <c r="H5" s="83" t="s">
        <v>371</v>
      </c>
      <c r="I5" s="87">
        <v>44562</v>
      </c>
      <c r="J5" s="71"/>
      <c r="K5" s="203">
        <f>VLOOKUP(C5,融科!B:N,4,FALSE)</f>
        <v>0.7</v>
      </c>
      <c r="L5" s="203">
        <f>VLOOKUP(C5,融科!B:N,5,FALSE)</f>
        <v>0.3</v>
      </c>
      <c r="M5" s="236">
        <f>VLOOKUP(C5,融科!B:N,6,FALSE)</f>
        <v>7851.9</v>
      </c>
      <c r="N5" s="236">
        <f>VLOOKUP(C5,融科!B:N,7,FALSE)</f>
        <v>3365.1</v>
      </c>
      <c r="O5" s="236">
        <f>VLOOKUP(C5,融科!B:N,8,FALSE)</f>
        <v>0</v>
      </c>
      <c r="P5" s="236">
        <f>VLOOKUP(C5,融科!B:N,9,FALSE)</f>
        <v>0</v>
      </c>
      <c r="Q5" s="236">
        <f>VLOOKUP(C5,融科!B:N,10,FALSE)</f>
        <v>0</v>
      </c>
      <c r="R5" s="236">
        <f>VLOOKUP(C5,融科!B:N,11,FALSE)</f>
        <v>0</v>
      </c>
      <c r="S5" s="236">
        <f>VLOOKUP(C5,融科!B:N,12,FALSE)</f>
        <v>0</v>
      </c>
      <c r="T5" s="237">
        <f>VLOOKUP(C5,融科!B:N,13,FALSE)</f>
        <v>11217</v>
      </c>
      <c r="U5" s="93">
        <f>VLOOKUP($D5,社保!$C:$AF,MATCH(U$1,社保!$C$1:$AF$1,0),FALSE)</f>
        <v>428.8</v>
      </c>
      <c r="V5" s="93">
        <f>VLOOKUP($D5,社保!$C:$AF,MATCH(V$1,社保!$C$1:$AF$1,0),FALSE)+VLOOKUP($D5,社保!$C:$AF,MATCH("个人大病",社保!$C$1:$AF$1,0),FALSE)</f>
        <v>110.2</v>
      </c>
      <c r="W5" s="93">
        <f>VLOOKUP($D5,社保!$C:$AF,MATCH(W$1,社保!$C$1:$AF$1,0),FALSE)</f>
        <v>26.8</v>
      </c>
      <c r="X5" s="93">
        <f t="shared" si="1"/>
        <v>565.79999999999995</v>
      </c>
      <c r="Y5" s="93">
        <f>VLOOKUP($D5,社保!$C:$AF,MATCH(Y$1,社保!$C$1:$AF$1,0),FALSE)</f>
        <v>316</v>
      </c>
      <c r="Z5" s="93">
        <f t="shared" si="2"/>
        <v>881.8</v>
      </c>
      <c r="AA5" s="77"/>
      <c r="AB5" s="78">
        <f>VLOOKUP($D5,个税系统表!$D:$AN,MATCH(海淀分公司工资表!AB$1,个税系统表!$D$1:$AM$1,0),FALSE)</f>
        <v>22434</v>
      </c>
      <c r="AC5" s="78">
        <f>VLOOKUP($D5,个税系统表!$D:$AN,MATCH(海淀分公司工资表!AC$1,个税系统表!$D$1:$AM$1,0),FALSE)</f>
        <v>10000</v>
      </c>
      <c r="AD5" s="78">
        <f>VLOOKUP($D5,个税系统表!$D:$AN,MATCH(海淀分公司工资表!AD$1,个税系统表!$D$1:$AM$1,0),FALSE)</f>
        <v>1763.6</v>
      </c>
      <c r="AE5" s="78">
        <f>VLOOKUP($D5,个税系统表!$D:$AN,MATCH(海淀分公司工资表!AE$2,个税系统表!$D$1:$AM$1,0),FALSE)</f>
        <v>0</v>
      </c>
      <c r="AF5" s="78">
        <f>VLOOKUP($D5,个税系统表!$D:$AN,MATCH(海淀分公司工资表!AF$2,个税系统表!$D$1:$AM$1,0),FALSE)</f>
        <v>0</v>
      </c>
      <c r="AG5" s="78">
        <f>VLOOKUP($D5,个税系统表!$D:$AN,MATCH(海淀分公司工资表!AG$2,个税系统表!$D$1:$AM$1,0),FALSE)</f>
        <v>0</v>
      </c>
      <c r="AH5" s="78">
        <f>VLOOKUP($D5,个税系统表!$D:$AN,MATCH(海淀分公司工资表!AH$2,个税系统表!$D$1:$AM$1,0),FALSE)</f>
        <v>0</v>
      </c>
      <c r="AI5" s="78">
        <f>VLOOKUP($D5,个税系统表!$D:$AN,MATCH(海淀分公司工资表!AI$2,个税系统表!$D$1:$AM$1,0),FALSE)</f>
        <v>0</v>
      </c>
      <c r="AJ5" s="77"/>
      <c r="AK5" s="78">
        <f t="shared" si="3"/>
        <v>0</v>
      </c>
      <c r="AL5" s="78">
        <f>VLOOKUP($D5,个税系统表!$D:$AN,MATCH(海淀分公司工资表!AL$1,个税系统表!$D$1:$AM$1,0),FALSE)</f>
        <v>0</v>
      </c>
      <c r="AM5" s="78">
        <f>VLOOKUP($D5,个税系统表!$D:$AN,MATCH(海淀分公司工资表!AM$1,个税系统表!$D$1:$AM$1,0),FALSE)</f>
        <v>10670.4</v>
      </c>
      <c r="AN5" s="78">
        <f>VLOOKUP($D5,个税系统表!$D:$AN,MATCH(海淀分公司工资表!AN$1,个税系统表!$D$1:$AM$1,0),FALSE)</f>
        <v>320.11</v>
      </c>
      <c r="AO5" s="78">
        <f>VLOOKUP($D5,个税系统表!$D:$AN,MATCH(海淀分公司工资表!AO$1,个税系统表!$D$1:$AM$1,0),FALSE)</f>
        <v>160.06</v>
      </c>
      <c r="AP5" s="78">
        <f>VLOOKUP($D5,个税系统表!$D:$AN,MATCH(海淀分公司工资表!AP$1,个税系统表!$D$1:$AM$1,0),FALSE)</f>
        <v>160.05000000000001</v>
      </c>
      <c r="AQ5" s="96">
        <f t="shared" si="4"/>
        <v>10175.150000000001</v>
      </c>
      <c r="AR5" s="79"/>
      <c r="AS5" s="113">
        <f t="shared" si="5"/>
        <v>10175.15</v>
      </c>
      <c r="AT5" s="93">
        <f>VLOOKUP($H5,缴费比例!$B:$O,MATCH(AT$1,缴费比例!$B$1:$O$1,0),FALSE)</f>
        <v>170</v>
      </c>
      <c r="AU5" s="93">
        <v>2</v>
      </c>
      <c r="AV5" s="93">
        <f t="shared" si="6"/>
        <v>10507.2</v>
      </c>
      <c r="AW5" s="222" t="s">
        <v>211</v>
      </c>
      <c r="AX5" s="100" t="s">
        <v>212</v>
      </c>
      <c r="AY5" s="115" t="s">
        <v>213</v>
      </c>
      <c r="AZ5" s="206"/>
      <c r="BA5" s="80" t="str">
        <f t="shared" si="0"/>
        <v>正确</v>
      </c>
    </row>
    <row r="6" spans="1:55">
      <c r="A6" s="74">
        <v>4</v>
      </c>
      <c r="B6" s="75" t="s">
        <v>63</v>
      </c>
      <c r="C6" s="114" t="s">
        <v>2</v>
      </c>
      <c r="D6" s="88" t="s">
        <v>5</v>
      </c>
      <c r="E6" s="76" t="str">
        <f t="shared" si="7"/>
        <v>男</v>
      </c>
      <c r="F6" s="94">
        <f t="shared" si="8"/>
        <v>36028</v>
      </c>
      <c r="G6" s="228">
        <v>17633826753</v>
      </c>
      <c r="H6" s="83" t="s">
        <v>371</v>
      </c>
      <c r="I6" s="87">
        <v>44562</v>
      </c>
      <c r="J6" s="71"/>
      <c r="K6" s="203">
        <f>VLOOKUP(C6,融科!B:N,4,FALSE)</f>
        <v>0.7</v>
      </c>
      <c r="L6" s="203">
        <f>VLOOKUP(C6,融科!B:N,5,FALSE)</f>
        <v>0.3</v>
      </c>
      <c r="M6" s="236">
        <f>VLOOKUP(C6,融科!B:N,6,FALSE)</f>
        <v>5810</v>
      </c>
      <c r="N6" s="236">
        <f>VLOOKUP(C6,融科!B:N,7,FALSE)</f>
        <v>2490</v>
      </c>
      <c r="O6" s="236">
        <f>VLOOKUP(C6,融科!B:N,8,FALSE)</f>
        <v>0</v>
      </c>
      <c r="P6" s="236">
        <f>VLOOKUP(C6,融科!B:N,9,FALSE)</f>
        <v>600</v>
      </c>
      <c r="Q6" s="236">
        <f>VLOOKUP(C6,融科!B:N,10,FALSE)</f>
        <v>0</v>
      </c>
      <c r="R6" s="236">
        <f>VLOOKUP(C6,融科!B:N,11,FALSE)</f>
        <v>0</v>
      </c>
      <c r="S6" s="236">
        <f>VLOOKUP(C6,融科!B:N,12,FALSE)</f>
        <v>0</v>
      </c>
      <c r="T6" s="237">
        <f>VLOOKUP(C6,融科!B:N,13,FALSE)</f>
        <v>8900</v>
      </c>
      <c r="U6" s="93">
        <f>VLOOKUP($D6,社保!$C:$AF,MATCH(U$1,社保!$C$1:$AF$1,0),FALSE)</f>
        <v>428.8</v>
      </c>
      <c r="V6" s="93">
        <f>VLOOKUP($D6,社保!$C:$AF,MATCH(V$1,社保!$C$1:$AF$1,0),FALSE)+VLOOKUP($D6,社保!$C:$AF,MATCH("个人大病",社保!$C$1:$AF$1,0),FALSE)</f>
        <v>110.2</v>
      </c>
      <c r="W6" s="93">
        <f>VLOOKUP($D6,社保!$C:$AF,MATCH(W$1,社保!$C$1:$AF$1,0),FALSE)</f>
        <v>26.8</v>
      </c>
      <c r="X6" s="93">
        <f t="shared" si="1"/>
        <v>565.79999999999995</v>
      </c>
      <c r="Y6" s="93">
        <f>VLOOKUP($D6,社保!$C:$AF,MATCH(Y$1,社保!$C$1:$AF$1,0),FALSE)</f>
        <v>316</v>
      </c>
      <c r="Z6" s="93">
        <f t="shared" si="2"/>
        <v>881.8</v>
      </c>
      <c r="AA6" s="77"/>
      <c r="AB6" s="78">
        <f>VLOOKUP($D6,个税系统表!$D:$AN,MATCH(海淀分公司工资表!AB$1,个税系统表!$D$1:$AM$1,0),FALSE)</f>
        <v>17800</v>
      </c>
      <c r="AC6" s="78">
        <f>VLOOKUP($D6,个税系统表!$D:$AN,MATCH(海淀分公司工资表!AC$1,个税系统表!$D$1:$AM$1,0),FALSE)</f>
        <v>10000</v>
      </c>
      <c r="AD6" s="78">
        <f>VLOOKUP($D6,个税系统表!$D:$AN,MATCH(海淀分公司工资表!AD$1,个税系统表!$D$1:$AM$1,0),FALSE)</f>
        <v>1763.6</v>
      </c>
      <c r="AE6" s="78">
        <f>VLOOKUP($D6,个税系统表!$D:$AN,MATCH(海淀分公司工资表!AE$2,个税系统表!$D$1:$AM$1,0),FALSE)</f>
        <v>0</v>
      </c>
      <c r="AF6" s="78">
        <f>VLOOKUP($D6,个税系统表!$D:$AN,MATCH(海淀分公司工资表!AF$2,个税系统表!$D$1:$AM$1,0),FALSE)</f>
        <v>0</v>
      </c>
      <c r="AG6" s="78">
        <f>VLOOKUP($D6,个税系统表!$D:$AN,MATCH(海淀分公司工资表!AG$2,个税系统表!$D$1:$AM$1,0),FALSE)</f>
        <v>0</v>
      </c>
      <c r="AH6" s="78">
        <f>VLOOKUP($D6,个税系统表!$D:$AN,MATCH(海淀分公司工资表!AH$2,个税系统表!$D$1:$AM$1,0),FALSE)</f>
        <v>0</v>
      </c>
      <c r="AI6" s="78">
        <f>VLOOKUP($D6,个税系统表!$D:$AN,MATCH(海淀分公司工资表!AI$2,个税系统表!$D$1:$AM$1,0),FALSE)</f>
        <v>0</v>
      </c>
      <c r="AJ6" s="77"/>
      <c r="AK6" s="78">
        <f t="shared" si="3"/>
        <v>0</v>
      </c>
      <c r="AL6" s="78">
        <f>VLOOKUP($D6,个税系统表!$D:$AN,MATCH(海淀分公司工资表!AL$1,个税系统表!$D$1:$AM$1,0),FALSE)</f>
        <v>0</v>
      </c>
      <c r="AM6" s="78">
        <f>VLOOKUP($D6,个税系统表!$D:$AN,MATCH(海淀分公司工资表!AM$1,个税系统表!$D$1:$AM$1,0),FALSE)</f>
        <v>6036.4</v>
      </c>
      <c r="AN6" s="78">
        <f>VLOOKUP($D6,个税系统表!$D:$AN,MATCH(海淀分公司工资表!AN$1,个税系统表!$D$1:$AM$1,0),FALSE)</f>
        <v>181.09</v>
      </c>
      <c r="AO6" s="78">
        <f>VLOOKUP($D6,个税系统表!$D:$AN,MATCH(海淀分公司工资表!AO$1,个税系统表!$D$1:$AM$1,0),FALSE)</f>
        <v>90.55</v>
      </c>
      <c r="AP6" s="78">
        <f>VLOOKUP($D6,个税系统表!$D:$AN,MATCH(海淀分公司工资表!AP$1,个税系统表!$D$1:$AM$1,0),FALSE)</f>
        <v>90.54</v>
      </c>
      <c r="AQ6" s="96">
        <f t="shared" si="4"/>
        <v>7927.66</v>
      </c>
      <c r="AR6" s="79"/>
      <c r="AS6" s="113">
        <f t="shared" si="5"/>
        <v>7927.66</v>
      </c>
      <c r="AT6" s="93">
        <f>VLOOKUP($H6,缴费比例!$B:$O,MATCH(AT$1,缴费比例!$B$1:$O$1,0),FALSE)</f>
        <v>170</v>
      </c>
      <c r="AU6" s="93">
        <v>2</v>
      </c>
      <c r="AV6" s="93">
        <f t="shared" si="6"/>
        <v>8190.2</v>
      </c>
      <c r="AW6" s="223" t="s">
        <v>214</v>
      </c>
      <c r="AX6" s="100" t="s">
        <v>152</v>
      </c>
      <c r="AY6" s="100" t="s">
        <v>151</v>
      </c>
      <c r="AZ6" s="205"/>
      <c r="BA6" s="80" t="str">
        <f t="shared" si="0"/>
        <v>正确</v>
      </c>
    </row>
    <row r="7" spans="1:55">
      <c r="A7" s="74">
        <v>5</v>
      </c>
      <c r="B7" s="75" t="s">
        <v>63</v>
      </c>
      <c r="C7" s="114" t="s">
        <v>1</v>
      </c>
      <c r="D7" s="88" t="s">
        <v>4</v>
      </c>
      <c r="E7" s="76" t="str">
        <f t="shared" si="7"/>
        <v>男</v>
      </c>
      <c r="F7" s="94">
        <f t="shared" si="8"/>
        <v>36294</v>
      </c>
      <c r="G7" s="228">
        <v>15531020153</v>
      </c>
      <c r="H7" s="83" t="s">
        <v>371</v>
      </c>
      <c r="I7" s="87">
        <v>44562</v>
      </c>
      <c r="J7" s="71"/>
      <c r="K7" s="203">
        <f>VLOOKUP(C7,融科!B:N,4,FALSE)</f>
        <v>0.5</v>
      </c>
      <c r="L7" s="203">
        <f>VLOOKUP(C7,融科!B:N,5,FALSE)</f>
        <v>0.5</v>
      </c>
      <c r="M7" s="236">
        <f>VLOOKUP(C7,融科!B:N,6,FALSE)</f>
        <v>4400</v>
      </c>
      <c r="N7" s="236">
        <f>VLOOKUP(C7,融科!B:N,7,FALSE)</f>
        <v>4400</v>
      </c>
      <c r="O7" s="236">
        <f>VLOOKUP(C7,融科!B:N,8,FALSE)</f>
        <v>0</v>
      </c>
      <c r="P7" s="236">
        <f>VLOOKUP(C7,融科!B:N,9,FALSE)</f>
        <v>0</v>
      </c>
      <c r="Q7" s="236">
        <f>VLOOKUP(C7,融科!B:N,10,FALSE)</f>
        <v>0</v>
      </c>
      <c r="R7" s="236">
        <f>VLOOKUP(C7,融科!B:N,11,FALSE)</f>
        <v>0</v>
      </c>
      <c r="S7" s="236">
        <f>VLOOKUP(C7,融科!B:N,12,FALSE)</f>
        <v>0</v>
      </c>
      <c r="T7" s="237">
        <f>VLOOKUP(C7,融科!B:N,13,FALSE)</f>
        <v>8800</v>
      </c>
      <c r="U7" s="93">
        <f>VLOOKUP($D7,社保!$C:$AF,MATCH(U$1,社保!$C$1:$AF$1,0),FALSE)</f>
        <v>428.8</v>
      </c>
      <c r="V7" s="93">
        <f>VLOOKUP($D7,社保!$C:$AF,MATCH(V$1,社保!$C$1:$AF$1,0),FALSE)+VLOOKUP($D7,社保!$C:$AF,MATCH("个人大病",社保!$C$1:$AF$1,0),FALSE)</f>
        <v>110.2</v>
      </c>
      <c r="W7" s="93">
        <f>VLOOKUP($D7,社保!$C:$AF,MATCH(W$1,社保!$C$1:$AF$1,0),FALSE)</f>
        <v>26.8</v>
      </c>
      <c r="X7" s="93">
        <f t="shared" si="1"/>
        <v>565.79999999999995</v>
      </c>
      <c r="Y7" s="93">
        <f>VLOOKUP($D7,社保!$C:$AF,MATCH(Y$1,社保!$C$1:$AF$1,0),FALSE)</f>
        <v>316</v>
      </c>
      <c r="Z7" s="93">
        <f t="shared" si="2"/>
        <v>881.8</v>
      </c>
      <c r="AA7" s="77"/>
      <c r="AB7" s="78">
        <f>VLOOKUP($D7,个税系统表!$D:$AN,MATCH(海淀分公司工资表!AB$1,个税系统表!$D$1:$AM$1,0),FALSE)</f>
        <v>17600</v>
      </c>
      <c r="AC7" s="78">
        <f>VLOOKUP($D7,个税系统表!$D:$AN,MATCH(海淀分公司工资表!AC$1,个税系统表!$D$1:$AM$1,0),FALSE)</f>
        <v>10000</v>
      </c>
      <c r="AD7" s="78">
        <f>VLOOKUP($D7,个税系统表!$D:$AN,MATCH(海淀分公司工资表!AD$1,个税系统表!$D$1:$AM$1,0),FALSE)</f>
        <v>1763.6</v>
      </c>
      <c r="AE7" s="78">
        <f>VLOOKUP($D7,个税系统表!$D:$AN,MATCH(海淀分公司工资表!AE$2,个税系统表!$D$1:$AM$1,0),FALSE)</f>
        <v>0</v>
      </c>
      <c r="AF7" s="78">
        <f>VLOOKUP($D7,个税系统表!$D:$AN,MATCH(海淀分公司工资表!AF$2,个税系统表!$D$1:$AM$1,0),FALSE)</f>
        <v>0</v>
      </c>
      <c r="AG7" s="78">
        <f>VLOOKUP($D7,个税系统表!$D:$AN,MATCH(海淀分公司工资表!AG$2,个税系统表!$D$1:$AM$1,0),FALSE)</f>
        <v>0</v>
      </c>
      <c r="AH7" s="78">
        <f>VLOOKUP($D7,个税系统表!$D:$AN,MATCH(海淀分公司工资表!AH$2,个税系统表!$D$1:$AM$1,0),FALSE)</f>
        <v>3000</v>
      </c>
      <c r="AI7" s="78">
        <f>VLOOKUP($D7,个税系统表!$D:$AN,MATCH(海淀分公司工资表!AI$2,个税系统表!$D$1:$AM$1,0),FALSE)</f>
        <v>0</v>
      </c>
      <c r="AJ7" s="77"/>
      <c r="AK7" s="78">
        <f t="shared" si="3"/>
        <v>3000</v>
      </c>
      <c r="AL7" s="78">
        <f>VLOOKUP($D7,个税系统表!$D:$AN,MATCH(海淀分公司工资表!AL$1,个税系统表!$D$1:$AM$1,0),FALSE)</f>
        <v>0</v>
      </c>
      <c r="AM7" s="78">
        <f>VLOOKUP($D7,个税系统表!$D:$AN,MATCH(海淀分公司工资表!AM$1,个税系统表!$D$1:$AM$1,0),FALSE)</f>
        <v>2836.4</v>
      </c>
      <c r="AN7" s="78">
        <f>VLOOKUP($D7,个税系统表!$D:$AN,MATCH(海淀分公司工资表!AN$1,个税系统表!$D$1:$AM$1,0),FALSE)</f>
        <v>85.09</v>
      </c>
      <c r="AO7" s="78">
        <f>VLOOKUP($D7,个税系统表!$D:$AN,MATCH(海淀分公司工资表!AO$1,个税系统表!$D$1:$AM$1,0),FALSE)</f>
        <v>42.55</v>
      </c>
      <c r="AP7" s="78">
        <f>VLOOKUP($D7,个税系统表!$D:$AN,MATCH(海淀分公司工资表!AP$1,个税系统表!$D$1:$AM$1,0),FALSE)</f>
        <v>42.54</v>
      </c>
      <c r="AQ7" s="96">
        <f t="shared" si="4"/>
        <v>7875.66</v>
      </c>
      <c r="AR7" s="79"/>
      <c r="AS7" s="113">
        <f t="shared" si="5"/>
        <v>7875.66</v>
      </c>
      <c r="AT7" s="93">
        <f>VLOOKUP($H7,缴费比例!$B:$O,MATCH(AT$1,缴费比例!$B$1:$O$1,0),FALSE)</f>
        <v>170</v>
      </c>
      <c r="AU7" s="93">
        <v>2</v>
      </c>
      <c r="AV7" s="93">
        <f t="shared" si="6"/>
        <v>8090.2</v>
      </c>
      <c r="AW7" s="99" t="s">
        <v>161</v>
      </c>
      <c r="AX7" s="100" t="s">
        <v>152</v>
      </c>
      <c r="AY7" s="100" t="s">
        <v>153</v>
      </c>
      <c r="AZ7" s="205"/>
      <c r="BA7" s="80" t="str">
        <f t="shared" si="0"/>
        <v>正确</v>
      </c>
    </row>
    <row r="8" spans="1:55" ht="12.75" customHeight="1">
      <c r="A8" s="74">
        <v>6</v>
      </c>
      <c r="B8" s="75" t="s">
        <v>63</v>
      </c>
      <c r="C8" s="81" t="s">
        <v>36</v>
      </c>
      <c r="D8" s="89" t="s">
        <v>37</v>
      </c>
      <c r="E8" s="76" t="str">
        <f t="shared" si="7"/>
        <v>男</v>
      </c>
      <c r="F8" s="94">
        <f t="shared" si="8"/>
        <v>36622</v>
      </c>
      <c r="G8" s="229">
        <v>17611033538</v>
      </c>
      <c r="H8" s="83" t="s">
        <v>371</v>
      </c>
      <c r="I8" s="87">
        <v>44576</v>
      </c>
      <c r="J8" s="71"/>
      <c r="K8" s="203">
        <f>VLOOKUP(C8,融科!B:N,4,FALSE)</f>
        <v>0.5</v>
      </c>
      <c r="L8" s="203">
        <f>VLOOKUP(C8,融科!B:N,5,FALSE)</f>
        <v>0.5</v>
      </c>
      <c r="M8" s="236">
        <f>VLOOKUP(C8,融科!B:N,6,FALSE)</f>
        <v>2972.5</v>
      </c>
      <c r="N8" s="236">
        <f>VLOOKUP(C8,融科!B:N,7,FALSE)</f>
        <v>2972.5</v>
      </c>
      <c r="O8" s="236">
        <f>VLOOKUP(C8,融科!B:N,8,FALSE)</f>
        <v>0</v>
      </c>
      <c r="P8" s="236">
        <f>VLOOKUP(C8,融科!B:N,9,FALSE)</f>
        <v>0</v>
      </c>
      <c r="Q8" s="236">
        <f>VLOOKUP(C8,融科!B:N,10,FALSE)</f>
        <v>0</v>
      </c>
      <c r="R8" s="236">
        <f>VLOOKUP(C8,融科!B:N,11,FALSE)</f>
        <v>0</v>
      </c>
      <c r="S8" s="236">
        <f>VLOOKUP(C8,融科!B:N,12,FALSE)</f>
        <v>0</v>
      </c>
      <c r="T8" s="237">
        <f>VLOOKUP(C8,融科!B:N,13,FALSE)</f>
        <v>5945</v>
      </c>
      <c r="U8" s="93"/>
      <c r="V8" s="93"/>
      <c r="W8" s="93"/>
      <c r="X8" s="93"/>
      <c r="Y8" s="93"/>
      <c r="Z8" s="93"/>
      <c r="AA8" s="77"/>
      <c r="AB8" s="78">
        <f>VLOOKUP($D8,个税系统表!$D:$AN,MATCH(海淀分公司工资表!AB$1,个税系统表!$D$1:$AM$1,0),FALSE)</f>
        <v>9225</v>
      </c>
      <c r="AC8" s="78">
        <f>VLOOKUP($D8,个税系统表!$D:$AN,MATCH(海淀分公司工资表!AC$1,个税系统表!$D$1:$AM$1,0),FALSE)</f>
        <v>10000</v>
      </c>
      <c r="AD8" s="78">
        <f>VLOOKUP($D8,个税系统表!$D:$AN,MATCH(海淀分公司工资表!AD$1,个税系统表!$D$1:$AM$1,0),FALSE)</f>
        <v>1021.8</v>
      </c>
      <c r="AE8" s="78">
        <f>VLOOKUP($D8,个税系统表!$D:$AN,MATCH(海淀分公司工资表!AE$2,个税系统表!$D$1:$AM$1,0),FALSE)</f>
        <v>0</v>
      </c>
      <c r="AF8" s="78">
        <f>VLOOKUP($D8,个税系统表!$D:$AN,MATCH(海淀分公司工资表!AF$2,个税系统表!$D$1:$AM$1,0),FALSE)</f>
        <v>0</v>
      </c>
      <c r="AG8" s="78">
        <f>VLOOKUP($D8,个税系统表!$D:$AN,MATCH(海淀分公司工资表!AG$2,个税系统表!$D$1:$AM$1,0),FALSE)</f>
        <v>0</v>
      </c>
      <c r="AH8" s="78">
        <f>VLOOKUP($D8,个税系统表!$D:$AN,MATCH(海淀分公司工资表!AH$2,个税系统表!$D$1:$AM$1,0),FALSE)</f>
        <v>0</v>
      </c>
      <c r="AI8" s="78">
        <f>VLOOKUP($D8,个税系统表!$D:$AN,MATCH(海淀分公司工资表!AI$2,个税系统表!$D$1:$AM$1,0),FALSE)</f>
        <v>0</v>
      </c>
      <c r="AJ8" s="77"/>
      <c r="AK8" s="78">
        <f t="shared" si="3"/>
        <v>0</v>
      </c>
      <c r="AL8" s="78">
        <f>VLOOKUP($D8,个税系统表!$D:$AN,MATCH(海淀分公司工资表!AL$1,个税系统表!$D$1:$AM$1,0),FALSE)</f>
        <v>0</v>
      </c>
      <c r="AM8" s="78">
        <f>VLOOKUP($D8,个税系统表!$D:$AN,MATCH(海淀分公司工资表!AM$1,个税系统表!$D$1:$AM$1,0),FALSE)</f>
        <v>0</v>
      </c>
      <c r="AN8" s="78">
        <f>VLOOKUP($D8,个税系统表!$D:$AN,MATCH(海淀分公司工资表!AN$1,个税系统表!$D$1:$AM$1,0),FALSE)</f>
        <v>0</v>
      </c>
      <c r="AO8" s="78">
        <f>VLOOKUP($D8,个税系统表!$D:$AN,MATCH(海淀分公司工资表!AO$1,个税系统表!$D$1:$AM$1,0),FALSE)</f>
        <v>0</v>
      </c>
      <c r="AP8" s="78">
        <f>VLOOKUP($D8,个税系统表!$D:$AN,MATCH(海淀分公司工资表!AP$1,个税系统表!$D$1:$AM$1,0),FALSE)</f>
        <v>0</v>
      </c>
      <c r="AQ8" s="96">
        <f t="shared" si="4"/>
        <v>5945</v>
      </c>
      <c r="AR8" s="79"/>
      <c r="AS8" s="113">
        <f t="shared" si="5"/>
        <v>5945</v>
      </c>
      <c r="AT8" s="93">
        <f>VLOOKUP($H8,缴费比例!$B:$O,MATCH(AT$1,缴费比例!$B$1:$O$1,0),FALSE)</f>
        <v>170</v>
      </c>
      <c r="AU8" s="93">
        <v>2</v>
      </c>
      <c r="AV8" s="93">
        <f t="shared" si="6"/>
        <v>6117</v>
      </c>
      <c r="AW8" s="99" t="s">
        <v>162</v>
      </c>
      <c r="AX8" s="100" t="s">
        <v>155</v>
      </c>
      <c r="AY8" s="100" t="s">
        <v>154</v>
      </c>
      <c r="AZ8" s="205"/>
      <c r="BA8" s="80" t="str">
        <f t="shared" si="0"/>
        <v>正确</v>
      </c>
    </row>
    <row r="9" spans="1:55">
      <c r="A9" s="74">
        <v>7</v>
      </c>
      <c r="B9" s="75" t="s">
        <v>63</v>
      </c>
      <c r="C9" s="81" t="s">
        <v>38</v>
      </c>
      <c r="D9" s="89" t="s">
        <v>39</v>
      </c>
      <c r="E9" s="76" t="str">
        <f t="shared" si="7"/>
        <v>男</v>
      </c>
      <c r="F9" s="94">
        <f t="shared" si="8"/>
        <v>36771</v>
      </c>
      <c r="G9" s="229">
        <v>13293205606</v>
      </c>
      <c r="H9" s="83" t="s">
        <v>371</v>
      </c>
      <c r="I9" s="87">
        <v>44576</v>
      </c>
      <c r="J9" s="71"/>
      <c r="K9" s="203">
        <f>VLOOKUP(C9,融科!B:N,4,FALSE)</f>
        <v>0.5</v>
      </c>
      <c r="L9" s="203">
        <f>VLOOKUP(C9,融科!B:N,5,FALSE)</f>
        <v>0.5</v>
      </c>
      <c r="M9" s="236">
        <f>VLOOKUP(C9,融科!B:N,6,FALSE)</f>
        <v>2972.5</v>
      </c>
      <c r="N9" s="236">
        <f>VLOOKUP(C9,融科!B:N,7,FALSE)</f>
        <v>2972.5</v>
      </c>
      <c r="O9" s="236">
        <f>VLOOKUP(C9,融科!B:N,8,FALSE)</f>
        <v>0</v>
      </c>
      <c r="P9" s="236">
        <f>VLOOKUP(C9,融科!B:N,9,FALSE)</f>
        <v>0</v>
      </c>
      <c r="Q9" s="236">
        <f>VLOOKUP(C9,融科!B:N,10,FALSE)</f>
        <v>0</v>
      </c>
      <c r="R9" s="236">
        <f>VLOOKUP(C9,融科!B:N,11,FALSE)</f>
        <v>0</v>
      </c>
      <c r="S9" s="236">
        <f>VLOOKUP(C9,融科!B:N,12,FALSE)</f>
        <v>0</v>
      </c>
      <c r="T9" s="237">
        <f>VLOOKUP(C9,融科!B:N,13,FALSE)</f>
        <v>5945</v>
      </c>
      <c r="U9" s="93"/>
      <c r="V9" s="93"/>
      <c r="W9" s="93"/>
      <c r="X9" s="93"/>
      <c r="Y9" s="93"/>
      <c r="Z9" s="93"/>
      <c r="AA9" s="77"/>
      <c r="AB9" s="78">
        <f>VLOOKUP($D9,个税系统表!$D:$AN,MATCH(海淀分公司工资表!AB$1,个税系统表!$D$1:$AM$1,0),FALSE)</f>
        <v>9225</v>
      </c>
      <c r="AC9" s="78">
        <f>VLOOKUP($D9,个税系统表!$D:$AN,MATCH(海淀分公司工资表!AC$1,个税系统表!$D$1:$AM$1,0),FALSE)</f>
        <v>10000</v>
      </c>
      <c r="AD9" s="78">
        <f>VLOOKUP($D9,个税系统表!$D:$AN,MATCH(海淀分公司工资表!AD$1,个税系统表!$D$1:$AM$1,0),FALSE)</f>
        <v>1021.8</v>
      </c>
      <c r="AE9" s="78">
        <f>VLOOKUP($D9,个税系统表!$D:$AN,MATCH(海淀分公司工资表!AE$2,个税系统表!$D$1:$AM$1,0),FALSE)</f>
        <v>0</v>
      </c>
      <c r="AF9" s="78">
        <f>VLOOKUP($D9,个税系统表!$D:$AN,MATCH(海淀分公司工资表!AF$2,个税系统表!$D$1:$AM$1,0),FALSE)</f>
        <v>0</v>
      </c>
      <c r="AG9" s="78">
        <f>VLOOKUP($D9,个税系统表!$D:$AN,MATCH(海淀分公司工资表!AG$2,个税系统表!$D$1:$AM$1,0),FALSE)</f>
        <v>0</v>
      </c>
      <c r="AH9" s="78">
        <f>VLOOKUP($D9,个税系统表!$D:$AN,MATCH(海淀分公司工资表!AH$2,个税系统表!$D$1:$AM$1,0),FALSE)</f>
        <v>0</v>
      </c>
      <c r="AI9" s="78">
        <f>VLOOKUP($D9,个税系统表!$D:$AN,MATCH(海淀分公司工资表!AI$2,个税系统表!$D$1:$AM$1,0),FALSE)</f>
        <v>0</v>
      </c>
      <c r="AJ9" s="77"/>
      <c r="AK9" s="78">
        <f t="shared" si="3"/>
        <v>0</v>
      </c>
      <c r="AL9" s="78">
        <f>VLOOKUP($D9,个税系统表!$D:$AN,MATCH(海淀分公司工资表!AL$1,个税系统表!$D$1:$AM$1,0),FALSE)</f>
        <v>0</v>
      </c>
      <c r="AM9" s="78">
        <f>VLOOKUP($D9,个税系统表!$D:$AN,MATCH(海淀分公司工资表!AM$1,个税系统表!$D$1:$AM$1,0),FALSE)</f>
        <v>0</v>
      </c>
      <c r="AN9" s="78">
        <f>VLOOKUP($D9,个税系统表!$D:$AN,MATCH(海淀分公司工资表!AN$1,个税系统表!$D$1:$AM$1,0),FALSE)</f>
        <v>0</v>
      </c>
      <c r="AO9" s="78">
        <f>VLOOKUP($D9,个税系统表!$D:$AN,MATCH(海淀分公司工资表!AO$1,个税系统表!$D$1:$AM$1,0),FALSE)</f>
        <v>0</v>
      </c>
      <c r="AP9" s="78">
        <f>VLOOKUP($D9,个税系统表!$D:$AN,MATCH(海淀分公司工资表!AP$1,个税系统表!$D$1:$AM$1,0),FALSE)</f>
        <v>0</v>
      </c>
      <c r="AQ9" s="96">
        <f t="shared" si="4"/>
        <v>5945</v>
      </c>
      <c r="AR9" s="79"/>
      <c r="AS9" s="113">
        <f t="shared" si="5"/>
        <v>5945</v>
      </c>
      <c r="AT9" s="93">
        <f>VLOOKUP($H9,缴费比例!$B:$O,MATCH(AT$1,缴费比例!$B$1:$O$1,0),FALSE)</f>
        <v>170</v>
      </c>
      <c r="AU9" s="93">
        <v>2</v>
      </c>
      <c r="AV9" s="93">
        <f t="shared" si="6"/>
        <v>6117</v>
      </c>
      <c r="AW9" s="99" t="s">
        <v>163</v>
      </c>
      <c r="AX9" s="100" t="s">
        <v>155</v>
      </c>
      <c r="AY9" s="100" t="s">
        <v>156</v>
      </c>
      <c r="AZ9" s="205"/>
      <c r="BA9" s="80" t="str">
        <f t="shared" si="0"/>
        <v>正确</v>
      </c>
    </row>
    <row r="10" spans="1:55">
      <c r="A10" s="74">
        <v>8</v>
      </c>
      <c r="B10" s="75" t="s">
        <v>63</v>
      </c>
      <c r="C10" s="81" t="s">
        <v>145</v>
      </c>
      <c r="D10" s="89" t="s">
        <v>40</v>
      </c>
      <c r="E10" s="76" t="str">
        <f t="shared" si="7"/>
        <v>女</v>
      </c>
      <c r="F10" s="94">
        <f t="shared" si="8"/>
        <v>34201</v>
      </c>
      <c r="G10" s="229">
        <v>18513832474</v>
      </c>
      <c r="H10" s="83" t="s">
        <v>371</v>
      </c>
      <c r="I10" s="87">
        <v>44576</v>
      </c>
      <c r="J10" s="71"/>
      <c r="K10" s="203">
        <f>VLOOKUP(C10,融科!B:N,4,FALSE)</f>
        <v>0.5</v>
      </c>
      <c r="L10" s="203">
        <f>VLOOKUP(C10,融科!B:N,5,FALSE)</f>
        <v>0.5</v>
      </c>
      <c r="M10" s="236">
        <f>VLOOKUP(C10,融科!B:N,6,FALSE)</f>
        <v>5500</v>
      </c>
      <c r="N10" s="236">
        <f>VLOOKUP(C10,融科!B:N,7,FALSE)</f>
        <v>5500</v>
      </c>
      <c r="O10" s="236">
        <f>VLOOKUP(C10,融科!B:N,8,FALSE)</f>
        <v>0</v>
      </c>
      <c r="P10" s="236">
        <f>VLOOKUP(C10,融科!B:N,9,FALSE)</f>
        <v>0</v>
      </c>
      <c r="Q10" s="236">
        <f>VLOOKUP(C10,融科!B:N,10,FALSE)</f>
        <v>0</v>
      </c>
      <c r="R10" s="236">
        <f>VLOOKUP(C10,融科!B:N,11,FALSE)</f>
        <v>0</v>
      </c>
      <c r="S10" s="236">
        <f>VLOOKUP(C10,融科!B:N,12,FALSE)</f>
        <v>0</v>
      </c>
      <c r="T10" s="237">
        <f>VLOOKUP(C10,融科!B:N,13,FALSE)</f>
        <v>11000</v>
      </c>
      <c r="U10" s="93"/>
      <c r="V10" s="93"/>
      <c r="W10" s="93"/>
      <c r="X10" s="93"/>
      <c r="Y10" s="93"/>
      <c r="Z10" s="93"/>
      <c r="AA10" s="77"/>
      <c r="AB10" s="78">
        <f>VLOOKUP($D10,个税系统表!$D:$AN,MATCH(海淀分公司工资表!AB$1,个税系统表!$D$1:$AM$1,0),FALSE)</f>
        <v>17068.97</v>
      </c>
      <c r="AC10" s="78">
        <f>VLOOKUP($D10,个税系统表!$D:$AN,MATCH(海淀分公司工资表!AC$1,个税系统表!$D$1:$AM$1,0),FALSE)</f>
        <v>10000</v>
      </c>
      <c r="AD10" s="78">
        <f>VLOOKUP($D10,个税系统表!$D:$AN,MATCH(海淀分公司工资表!AD$1,个税系统表!$D$1:$AM$1,0),FALSE)</f>
        <v>1208.8</v>
      </c>
      <c r="AE10" s="78">
        <f>VLOOKUP($D10,个税系统表!$D:$AN,MATCH(海淀分公司工资表!AE$2,个税系统表!$D$1:$AM$1,0),FALSE)</f>
        <v>0</v>
      </c>
      <c r="AF10" s="78">
        <f>VLOOKUP($D10,个税系统表!$D:$AN,MATCH(海淀分公司工资表!AF$2,个税系统表!$D$1:$AM$1,0),FALSE)</f>
        <v>0</v>
      </c>
      <c r="AG10" s="78">
        <f>VLOOKUP($D10,个税系统表!$D:$AN,MATCH(海淀分公司工资表!AG$2,个税系统表!$D$1:$AM$1,0),FALSE)</f>
        <v>0</v>
      </c>
      <c r="AH10" s="78">
        <f>VLOOKUP($D10,个税系统表!$D:$AN,MATCH(海淀分公司工资表!AH$2,个税系统表!$D$1:$AM$1,0),FALSE)</f>
        <v>0</v>
      </c>
      <c r="AI10" s="78">
        <f>VLOOKUP($D10,个税系统表!$D:$AN,MATCH(海淀分公司工资表!AI$2,个税系统表!$D$1:$AM$1,0),FALSE)</f>
        <v>0</v>
      </c>
      <c r="AJ10" s="77"/>
      <c r="AK10" s="78">
        <f t="shared" si="3"/>
        <v>0</v>
      </c>
      <c r="AL10" s="78">
        <f>VLOOKUP($D10,个税系统表!$D:$AN,MATCH(海淀分公司工资表!AL$1,个税系统表!$D$1:$AM$1,0),FALSE)</f>
        <v>0</v>
      </c>
      <c r="AM10" s="78">
        <f>VLOOKUP($D10,个税系统表!$D:$AN,MATCH(海淀分公司工资表!AM$1,个税系统表!$D$1:$AM$1,0),FALSE)</f>
        <v>5860.17</v>
      </c>
      <c r="AN10" s="78">
        <f>VLOOKUP($D10,个税系统表!$D:$AN,MATCH(海淀分公司工资表!AN$1,个税系统表!$D$1:$AM$1,0),FALSE)</f>
        <v>175.81</v>
      </c>
      <c r="AO10" s="78">
        <f>VLOOKUP($D10,个税系统表!$D:$AN,MATCH(海淀分公司工资表!AO$1,个税系统表!$D$1:$AM$1,0),FALSE)</f>
        <v>0</v>
      </c>
      <c r="AP10" s="78">
        <f>VLOOKUP($D10,个税系统表!$D:$AN,MATCH(海淀分公司工资表!AP$1,个税系统表!$D$1:$AM$1,0),FALSE)</f>
        <v>175.81</v>
      </c>
      <c r="AQ10" s="96">
        <f t="shared" si="4"/>
        <v>10824.19</v>
      </c>
      <c r="AR10" s="79"/>
      <c r="AS10" s="113">
        <f t="shared" si="5"/>
        <v>10824.19</v>
      </c>
      <c r="AT10" s="93">
        <f>VLOOKUP($H10,缴费比例!$B:$O,MATCH(AT$1,缴费比例!$B$1:$O$1,0),FALSE)</f>
        <v>170</v>
      </c>
      <c r="AU10" s="93">
        <v>2</v>
      </c>
      <c r="AV10" s="93">
        <f t="shared" si="6"/>
        <v>11172</v>
      </c>
      <c r="AW10" s="99" t="s">
        <v>164</v>
      </c>
      <c r="AX10" s="100" t="s">
        <v>155</v>
      </c>
      <c r="AY10" s="100" t="s">
        <v>157</v>
      </c>
      <c r="AZ10" s="205"/>
      <c r="BA10" s="80" t="str">
        <f t="shared" si="0"/>
        <v>正确</v>
      </c>
    </row>
    <row r="11" spans="1:55">
      <c r="A11" s="74">
        <v>9</v>
      </c>
      <c r="B11" s="75" t="s">
        <v>63</v>
      </c>
      <c r="C11" s="81" t="s">
        <v>41</v>
      </c>
      <c r="D11" s="89" t="s">
        <v>42</v>
      </c>
      <c r="E11" s="76" t="str">
        <f t="shared" si="7"/>
        <v>女</v>
      </c>
      <c r="F11" s="94">
        <f t="shared" si="8"/>
        <v>34277</v>
      </c>
      <c r="G11" s="229">
        <v>18234114102</v>
      </c>
      <c r="H11" s="83" t="s">
        <v>371</v>
      </c>
      <c r="I11" s="87">
        <v>44576</v>
      </c>
      <c r="J11" s="71"/>
      <c r="K11" s="203">
        <f>VLOOKUP(C11,融科!B:N,4,FALSE)</f>
        <v>0.5</v>
      </c>
      <c r="L11" s="203">
        <f>VLOOKUP(C11,融科!B:N,5,FALSE)</f>
        <v>0.5</v>
      </c>
      <c r="M11" s="236">
        <f>VLOOKUP(C11,融科!B:N,6,FALSE)</f>
        <v>5500</v>
      </c>
      <c r="N11" s="236">
        <f>VLOOKUP(C11,融科!B:N,7,FALSE)</f>
        <v>5500</v>
      </c>
      <c r="O11" s="236">
        <f>VLOOKUP(C11,融科!B:N,8,FALSE)</f>
        <v>0</v>
      </c>
      <c r="P11" s="236">
        <f>VLOOKUP(C11,融科!B:N,9,FALSE)</f>
        <v>0</v>
      </c>
      <c r="Q11" s="236">
        <f>VLOOKUP(C11,融科!B:N,10,FALSE)</f>
        <v>0</v>
      </c>
      <c r="R11" s="236">
        <f>VLOOKUP(C11,融科!B:N,11,FALSE)</f>
        <v>0</v>
      </c>
      <c r="S11" s="236">
        <f>VLOOKUP(C11,融科!B:N,12,FALSE)</f>
        <v>0</v>
      </c>
      <c r="T11" s="237">
        <f>VLOOKUP(C11,融科!B:N,13,FALSE)</f>
        <v>11000</v>
      </c>
      <c r="U11" s="93"/>
      <c r="V11" s="93"/>
      <c r="W11" s="93"/>
      <c r="X11" s="93"/>
      <c r="Y11" s="93"/>
      <c r="Z11" s="93"/>
      <c r="AA11" s="77"/>
      <c r="AB11" s="78">
        <f>VLOOKUP($D11,个税系统表!$D:$AN,MATCH(海淀分公司工资表!AB$1,个税系统表!$D$1:$AM$1,0),FALSE)</f>
        <v>17068.97</v>
      </c>
      <c r="AC11" s="78">
        <f>VLOOKUP($D11,个税系统表!$D:$AN,MATCH(海淀分公司工资表!AC$1,个税系统表!$D$1:$AM$1,0),FALSE)</f>
        <v>10000</v>
      </c>
      <c r="AD11" s="78">
        <f>VLOOKUP($D11,个税系统表!$D:$AN,MATCH(海淀分公司工资表!AD$1,个税系统表!$D$1:$AM$1,0),FALSE)</f>
        <v>2478</v>
      </c>
      <c r="AE11" s="78">
        <f>VLOOKUP($D11,个税系统表!$D:$AN,MATCH(海淀分公司工资表!AE$2,个税系统表!$D$1:$AM$1,0),FALSE)</f>
        <v>0</v>
      </c>
      <c r="AF11" s="78">
        <f>VLOOKUP($D11,个税系统表!$D:$AN,MATCH(海淀分公司工资表!AF$2,个税系统表!$D$1:$AM$1,0),FALSE)</f>
        <v>0</v>
      </c>
      <c r="AG11" s="78">
        <f>VLOOKUP($D11,个税系统表!$D:$AN,MATCH(海淀分公司工资表!AG$2,个税系统表!$D$1:$AM$1,0),FALSE)</f>
        <v>0</v>
      </c>
      <c r="AH11" s="78">
        <f>VLOOKUP($D11,个税系统表!$D:$AN,MATCH(海淀分公司工资表!AH$2,个税系统表!$D$1:$AM$1,0),FALSE)</f>
        <v>3000</v>
      </c>
      <c r="AI11" s="78">
        <f>VLOOKUP($D11,个税系统表!$D:$AN,MATCH(海淀分公司工资表!AI$2,个税系统表!$D$1:$AM$1,0),FALSE)</f>
        <v>0</v>
      </c>
      <c r="AJ11" s="77"/>
      <c r="AK11" s="78">
        <f t="shared" si="3"/>
        <v>3000</v>
      </c>
      <c r="AL11" s="78">
        <f>VLOOKUP($D11,个税系统表!$D:$AN,MATCH(海淀分公司工资表!AL$1,个税系统表!$D$1:$AM$1,0),FALSE)</f>
        <v>0</v>
      </c>
      <c r="AM11" s="78">
        <f>VLOOKUP($D11,个税系统表!$D:$AN,MATCH(海淀分公司工资表!AM$1,个税系统表!$D$1:$AM$1,0),FALSE)</f>
        <v>1590.97</v>
      </c>
      <c r="AN11" s="78">
        <f>VLOOKUP($D11,个税系统表!$D:$AN,MATCH(海淀分公司工资表!AN$1,个税系统表!$D$1:$AM$1,0),FALSE)</f>
        <v>47.73</v>
      </c>
      <c r="AO11" s="78">
        <f>VLOOKUP($D11,个税系统表!$D:$AN,MATCH(海淀分公司工资表!AO$1,个税系统表!$D$1:$AM$1,0),FALSE)</f>
        <v>0</v>
      </c>
      <c r="AP11" s="78">
        <f>VLOOKUP($D11,个税系统表!$D:$AN,MATCH(海淀分公司工资表!AP$1,个税系统表!$D$1:$AM$1,0),FALSE)</f>
        <v>47.73</v>
      </c>
      <c r="AQ11" s="96">
        <f t="shared" si="4"/>
        <v>10952.27</v>
      </c>
      <c r="AR11" s="79"/>
      <c r="AS11" s="113">
        <f t="shared" si="5"/>
        <v>10952.27</v>
      </c>
      <c r="AT11" s="93">
        <f>VLOOKUP($H11,缴费比例!$B:$O,MATCH(AT$1,缴费比例!$B$1:$O$1,0),FALSE)</f>
        <v>170</v>
      </c>
      <c r="AU11" s="93"/>
      <c r="AV11" s="93">
        <f t="shared" si="6"/>
        <v>11170</v>
      </c>
      <c r="AW11" s="99" t="s">
        <v>165</v>
      </c>
      <c r="AX11" s="100" t="s">
        <v>159</v>
      </c>
      <c r="AY11" s="100" t="s">
        <v>158</v>
      </c>
      <c r="AZ11" s="205"/>
      <c r="BA11" s="80" t="str">
        <f t="shared" si="0"/>
        <v>正确</v>
      </c>
    </row>
    <row r="12" spans="1:55">
      <c r="A12" s="74">
        <v>10</v>
      </c>
      <c r="B12" s="75" t="s">
        <v>63</v>
      </c>
      <c r="C12" s="71" t="s">
        <v>43</v>
      </c>
      <c r="D12" s="90" t="s">
        <v>44</v>
      </c>
      <c r="E12" s="76" t="str">
        <f t="shared" si="7"/>
        <v>男</v>
      </c>
      <c r="F12" s="94">
        <f t="shared" si="8"/>
        <v>36623</v>
      </c>
      <c r="G12" s="230">
        <v>13997516515</v>
      </c>
      <c r="H12" s="83" t="s">
        <v>68</v>
      </c>
      <c r="I12" s="87">
        <v>44562</v>
      </c>
      <c r="J12" s="71"/>
      <c r="K12" s="203">
        <f>VLOOKUP(C12,融科!B:N,4,FALSE)</f>
        <v>0.7</v>
      </c>
      <c r="L12" s="203">
        <f>VLOOKUP(C12,融科!B:N,5,FALSE)</f>
        <v>0.3</v>
      </c>
      <c r="M12" s="236">
        <f>VLOOKUP(C12,融科!B:N,6,FALSE)</f>
        <v>3150</v>
      </c>
      <c r="N12" s="236">
        <f>VLOOKUP(C12,融科!B:N,7,FALSE)</f>
        <v>1350</v>
      </c>
      <c r="O12" s="236">
        <f>VLOOKUP(C12,融科!B:N,8,FALSE)</f>
        <v>0</v>
      </c>
      <c r="P12" s="236">
        <f>VLOOKUP(C12,融科!B:N,9,FALSE)</f>
        <v>0</v>
      </c>
      <c r="Q12" s="236">
        <f>VLOOKUP(C12,融科!B:N,10,FALSE)</f>
        <v>0</v>
      </c>
      <c r="R12" s="236">
        <f>VLOOKUP(C12,融科!B:N,11,FALSE)</f>
        <v>0</v>
      </c>
      <c r="S12" s="236">
        <f>VLOOKUP(C12,融科!B:N,12,FALSE)</f>
        <v>0</v>
      </c>
      <c r="T12" s="237">
        <f>VLOOKUP(C12,融科!B:N,13,FALSE)</f>
        <v>4500</v>
      </c>
      <c r="U12" s="93">
        <f>VLOOKUP($D12,社保!$C:$AF,MATCH(U$1,社保!$C$1:$AF$1,0),FALSE)</f>
        <v>166</v>
      </c>
      <c r="V12" s="93">
        <f>VLOOKUP($D12,社保!$C:$AF,MATCH(V$1,社保!$C$1:$AF$1,0),FALSE)+VLOOKUP($D12,社保!$C:$AF,MATCH("个人大病",社保!$C$1:$AF$1,0),FALSE)</f>
        <v>73.52</v>
      </c>
      <c r="W12" s="93">
        <f>VLOOKUP($D12,社保!$C:$AF,MATCH(W$1,社保!$C$1:$AF$1,0),FALSE)</f>
        <v>10.38</v>
      </c>
      <c r="X12" s="93">
        <f t="shared" si="1"/>
        <v>249.89999999999998</v>
      </c>
      <c r="Y12" s="93">
        <f>VLOOKUP($D12,社保!$C:$AF,MATCH(Y$1,社保!$C$1:$AF$1,0),FALSE)</f>
        <v>86</v>
      </c>
      <c r="Z12" s="93">
        <f t="shared" si="2"/>
        <v>335.9</v>
      </c>
      <c r="AA12" s="191">
        <v>-28.62</v>
      </c>
      <c r="AB12" s="78">
        <f>VLOOKUP($D12,个税系统表!$D:$AN,MATCH(海淀分公司工资表!AB$1,个税系统表!$D$1:$AM$1,0),FALSE)</f>
        <v>9000</v>
      </c>
      <c r="AC12" s="78">
        <f>VLOOKUP($D12,个税系统表!$D:$AN,MATCH(海淀分公司工资表!AC$1,个税系统表!$D$1:$AM$1,0),FALSE)</f>
        <v>10000</v>
      </c>
      <c r="AD12" s="78">
        <f>VLOOKUP($D12,个税系统表!$D:$AN,MATCH(海淀分公司工资表!AD$1,个税系统表!$D$1:$AM$1,0),FALSE)</f>
        <v>671.8</v>
      </c>
      <c r="AE12" s="78">
        <f>VLOOKUP($D12,个税系统表!$D:$AN,MATCH(海淀分公司工资表!AE$2,个税系统表!$D$1:$AM$1,0),FALSE)</f>
        <v>0</v>
      </c>
      <c r="AF12" s="78">
        <f>VLOOKUP($D12,个税系统表!$D:$AN,MATCH(海淀分公司工资表!AF$2,个税系统表!$D$1:$AM$1,0),FALSE)</f>
        <v>0</v>
      </c>
      <c r="AG12" s="78">
        <f>VLOOKUP($D12,个税系统表!$D:$AN,MATCH(海淀分公司工资表!AG$2,个税系统表!$D$1:$AM$1,0),FALSE)</f>
        <v>0</v>
      </c>
      <c r="AH12" s="78">
        <f>VLOOKUP($D12,个税系统表!$D:$AN,MATCH(海淀分公司工资表!AH$2,个税系统表!$D$1:$AM$1,0),FALSE)</f>
        <v>0</v>
      </c>
      <c r="AI12" s="78">
        <f>VLOOKUP($D12,个税系统表!$D:$AN,MATCH(海淀分公司工资表!AI$2,个税系统表!$D$1:$AM$1,0),FALSE)</f>
        <v>0</v>
      </c>
      <c r="AJ12" s="77"/>
      <c r="AK12" s="78">
        <f t="shared" si="3"/>
        <v>0</v>
      </c>
      <c r="AL12" s="78">
        <f>VLOOKUP($D12,个税系统表!$D:$AN,MATCH(海淀分公司工资表!AL$1,个税系统表!$D$1:$AM$1,0),FALSE)</f>
        <v>0</v>
      </c>
      <c r="AM12" s="78">
        <f>VLOOKUP($D12,个税系统表!$D:$AN,MATCH(海淀分公司工资表!AM$1,个税系统表!$D$1:$AM$1,0),FALSE)</f>
        <v>0</v>
      </c>
      <c r="AN12" s="78">
        <f>VLOOKUP($D12,个税系统表!$D:$AN,MATCH(海淀分公司工资表!AN$1,个税系统表!$D$1:$AM$1,0),FALSE)</f>
        <v>0</v>
      </c>
      <c r="AO12" s="78">
        <f>VLOOKUP($D12,个税系统表!$D:$AN,MATCH(海淀分公司工资表!AO$1,个税系统表!$D$1:$AM$1,0),FALSE)</f>
        <v>0</v>
      </c>
      <c r="AP12" s="78">
        <f>VLOOKUP($D12,个税系统表!$D:$AN,MATCH(海淀分公司工资表!AP$1,个税系统表!$D$1:$AM$1,0),FALSE)</f>
        <v>0</v>
      </c>
      <c r="AQ12" s="96">
        <f t="shared" si="4"/>
        <v>4192.72</v>
      </c>
      <c r="AR12" s="79"/>
      <c r="AS12" s="113">
        <f t="shared" si="5"/>
        <v>4192.72</v>
      </c>
      <c r="AT12" s="93">
        <f>VLOOKUP($H12,缴费比例!$B:$O,MATCH(AT$1,缴费比例!$B$1:$O$1,0),FALSE)</f>
        <v>180</v>
      </c>
      <c r="AU12" s="93">
        <v>2</v>
      </c>
      <c r="AV12" s="93">
        <f t="shared" si="6"/>
        <v>4374.72</v>
      </c>
      <c r="AW12" s="222" t="s">
        <v>215</v>
      </c>
      <c r="AX12" s="100" t="s">
        <v>155</v>
      </c>
      <c r="AY12" s="115" t="s">
        <v>216</v>
      </c>
      <c r="AZ12" s="206" t="s">
        <v>373</v>
      </c>
      <c r="BA12" s="80" t="str">
        <f t="shared" si="0"/>
        <v>正确</v>
      </c>
    </row>
    <row r="13" spans="1:55">
      <c r="A13" s="74">
        <v>11</v>
      </c>
      <c r="B13" s="75" t="s">
        <v>63</v>
      </c>
      <c r="C13" s="71" t="s">
        <v>45</v>
      </c>
      <c r="D13" s="90" t="s">
        <v>46</v>
      </c>
      <c r="E13" s="76" t="str">
        <f t="shared" si="7"/>
        <v>男</v>
      </c>
      <c r="F13" s="94">
        <f t="shared" si="8"/>
        <v>31575</v>
      </c>
      <c r="G13" s="231">
        <v>17764403230</v>
      </c>
      <c r="H13" s="83" t="s">
        <v>66</v>
      </c>
      <c r="I13" s="87">
        <v>44562</v>
      </c>
      <c r="J13" s="82"/>
      <c r="K13" s="203">
        <f>VLOOKUP(C13,融科!B:N,4,FALSE)</f>
        <v>0.7</v>
      </c>
      <c r="L13" s="203">
        <f>VLOOKUP(C13,融科!B:N,5,FALSE)</f>
        <v>0.3</v>
      </c>
      <c r="M13" s="236">
        <f>VLOOKUP(C13,融科!B:N,6,FALSE)</f>
        <v>9100</v>
      </c>
      <c r="N13" s="236">
        <f>VLOOKUP(C13,融科!B:N,7,FALSE)</f>
        <v>3900</v>
      </c>
      <c r="O13" s="236">
        <f>VLOOKUP(C13,融科!B:N,8,FALSE)</f>
        <v>0</v>
      </c>
      <c r="P13" s="236">
        <f>VLOOKUP(C13,融科!B:N,9,FALSE)</f>
        <v>2000</v>
      </c>
      <c r="Q13" s="236">
        <f>VLOOKUP(C13,融科!B:N,10,FALSE)</f>
        <v>0</v>
      </c>
      <c r="R13" s="236">
        <f>VLOOKUP(C13,融科!B:N,11,FALSE)</f>
        <v>600</v>
      </c>
      <c r="S13" s="236">
        <f>VLOOKUP(C13,融科!B:N,12,FALSE)</f>
        <v>0</v>
      </c>
      <c r="T13" s="237">
        <f>VLOOKUP(C13,融科!B:N,13,FALSE)</f>
        <v>15600</v>
      </c>
      <c r="U13" s="93">
        <f>VLOOKUP($D13,社保!$C:$AF,MATCH(U$1,社保!$C$1:$AF$1,0),FALSE)</f>
        <v>274.39999999999998</v>
      </c>
      <c r="V13" s="93">
        <f>VLOOKUP($D13,社保!$C:$AF,MATCH(V$1,社保!$C$1:$AF$1,0),FALSE)+VLOOKUP($D13,社保!$C:$AF,MATCH("个人大病",社保!$C$1:$AF$1,0),FALSE)</f>
        <v>68.599999999999994</v>
      </c>
      <c r="W13" s="93">
        <f>VLOOKUP($D13,社保!$C:$AF,MATCH(W$1,社保!$C$1:$AF$1,0),FALSE)</f>
        <v>17.149999999999999</v>
      </c>
      <c r="X13" s="93">
        <f t="shared" si="1"/>
        <v>360.15</v>
      </c>
      <c r="Y13" s="93">
        <f>VLOOKUP($D13,社保!$C:$AF,MATCH(Y$1,社保!$C$1:$AF$1,0),FALSE)</f>
        <v>82.5</v>
      </c>
      <c r="Z13" s="93">
        <f t="shared" si="2"/>
        <v>442.65</v>
      </c>
      <c r="AA13" s="191">
        <v>-0.5</v>
      </c>
      <c r="AB13" s="78">
        <f>VLOOKUP($D13,个税系统表!$D:$AN,MATCH(海淀分公司工资表!AB$1,个税系统表!$D$1:$AM$1,0),FALSE)</f>
        <v>28600</v>
      </c>
      <c r="AC13" s="78">
        <f>VLOOKUP($D13,个税系统表!$D:$AN,MATCH(海淀分公司工资表!AC$1,个税系统表!$D$1:$AM$1,0),FALSE)</f>
        <v>10000</v>
      </c>
      <c r="AD13" s="78">
        <f>VLOOKUP($D13,个税系统表!$D:$AN,MATCH(海淀分公司工资表!AD$1,个税系统表!$D$1:$AM$1,0),FALSE)</f>
        <v>885.3</v>
      </c>
      <c r="AE13" s="78">
        <f>VLOOKUP($D13,个税系统表!$D:$AN,MATCH(海淀分公司工资表!AE$2,个税系统表!$D$1:$AM$1,0),FALSE)</f>
        <v>0</v>
      </c>
      <c r="AF13" s="78">
        <f>VLOOKUP($D13,个税系统表!$D:$AN,MATCH(海淀分公司工资表!AF$2,个税系统表!$D$1:$AM$1,0),FALSE)</f>
        <v>0</v>
      </c>
      <c r="AG13" s="78">
        <f>VLOOKUP($D13,个税系统表!$D:$AN,MATCH(海淀分公司工资表!AG$2,个税系统表!$D$1:$AM$1,0),FALSE)</f>
        <v>0</v>
      </c>
      <c r="AH13" s="78">
        <f>VLOOKUP($D13,个税系统表!$D:$AN,MATCH(海淀分公司工资表!AH$2,个税系统表!$D$1:$AM$1,0),FALSE)</f>
        <v>0</v>
      </c>
      <c r="AI13" s="78">
        <f>VLOOKUP($D13,个税系统表!$D:$AN,MATCH(海淀分公司工资表!AI$2,个税系统表!$D$1:$AM$1,0),FALSE)</f>
        <v>0</v>
      </c>
      <c r="AJ13" s="77"/>
      <c r="AK13" s="78">
        <f t="shared" si="3"/>
        <v>0</v>
      </c>
      <c r="AL13" s="78">
        <f>VLOOKUP($D13,个税系统表!$D:$AN,MATCH(海淀分公司工资表!AL$1,个税系统表!$D$1:$AM$1,0),FALSE)</f>
        <v>0</v>
      </c>
      <c r="AM13" s="78">
        <f>VLOOKUP($D13,个税系统表!$D:$AN,MATCH(海淀分公司工资表!AM$1,个税系统表!$D$1:$AM$1,0),FALSE)</f>
        <v>17714.7</v>
      </c>
      <c r="AN13" s="78">
        <f>VLOOKUP($D13,个税系统表!$D:$AN,MATCH(海淀分公司工资表!AN$1,个税系统表!$D$1:$AM$1,0),FALSE)</f>
        <v>531.44000000000005</v>
      </c>
      <c r="AO13" s="78">
        <f>VLOOKUP($D13,个税系统表!$D:$AN,MATCH(海淀分公司工资表!AO$1,个税系统表!$D$1:$AM$1,0),FALSE)</f>
        <v>226.71</v>
      </c>
      <c r="AP13" s="78">
        <f>VLOOKUP($D13,个税系统表!$D:$AN,MATCH(海淀分公司工资表!AP$1,个税系统表!$D$1:$AM$1,0),FALSE)</f>
        <v>304.73</v>
      </c>
      <c r="AQ13" s="96">
        <f t="shared" si="4"/>
        <v>14853.12</v>
      </c>
      <c r="AR13" s="79"/>
      <c r="AS13" s="113">
        <f t="shared" si="5"/>
        <v>14853.12</v>
      </c>
      <c r="AT13" s="93">
        <f>VLOOKUP($H13,缴费比例!$B:$O,MATCH(AT$1,缴费比例!$B$1:$O$1,0),FALSE)</f>
        <v>180</v>
      </c>
      <c r="AU13" s="93">
        <v>2</v>
      </c>
      <c r="AV13" s="93">
        <f t="shared" si="6"/>
        <v>15339.85</v>
      </c>
      <c r="AW13" s="224" t="s">
        <v>217</v>
      </c>
      <c r="AX13" s="100" t="s">
        <v>155</v>
      </c>
      <c r="AY13" s="116" t="s">
        <v>218</v>
      </c>
      <c r="AZ13" s="206" t="s">
        <v>373</v>
      </c>
      <c r="BA13" s="80" t="str">
        <f t="shared" si="0"/>
        <v>正确</v>
      </c>
    </row>
    <row r="14" spans="1:55">
      <c r="A14" s="74">
        <v>12</v>
      </c>
      <c r="B14" s="75" t="s">
        <v>63</v>
      </c>
      <c r="C14" s="71" t="s">
        <v>47</v>
      </c>
      <c r="D14" s="90" t="s">
        <v>48</v>
      </c>
      <c r="E14" s="76" t="str">
        <f t="shared" si="7"/>
        <v>男</v>
      </c>
      <c r="F14" s="94">
        <f t="shared" si="8"/>
        <v>33248</v>
      </c>
      <c r="G14" s="231">
        <v>15656127587</v>
      </c>
      <c r="H14" s="83" t="s">
        <v>66</v>
      </c>
      <c r="I14" s="87">
        <v>44562</v>
      </c>
      <c r="J14" s="82"/>
      <c r="K14" s="203">
        <f>VLOOKUP(C14,融科!B:N,4,FALSE)</f>
        <v>0.7</v>
      </c>
      <c r="L14" s="203">
        <f>VLOOKUP(C14,融科!B:N,5,FALSE)</f>
        <v>0.3</v>
      </c>
      <c r="M14" s="236">
        <f>VLOOKUP(C14,融科!B:N,6,FALSE)</f>
        <v>9800</v>
      </c>
      <c r="N14" s="236">
        <f>VLOOKUP(C14,融科!B:N,7,FALSE)</f>
        <v>4200</v>
      </c>
      <c r="O14" s="236">
        <f>VLOOKUP(C14,融科!B:N,8,FALSE)</f>
        <v>0</v>
      </c>
      <c r="P14" s="236">
        <f>VLOOKUP(C14,融科!B:N,9,FALSE)</f>
        <v>2000</v>
      </c>
      <c r="Q14" s="236">
        <f>VLOOKUP(C14,融科!B:N,10,FALSE)</f>
        <v>0</v>
      </c>
      <c r="R14" s="236">
        <f>VLOOKUP(C14,融科!B:N,11,FALSE)</f>
        <v>600</v>
      </c>
      <c r="S14" s="236">
        <f>VLOOKUP(C14,融科!B:N,12,FALSE)</f>
        <v>0</v>
      </c>
      <c r="T14" s="237">
        <f>VLOOKUP(C14,融科!B:N,13,FALSE)</f>
        <v>16600</v>
      </c>
      <c r="U14" s="93">
        <f>VLOOKUP($D14,社保!$C:$AF,MATCH(U$1,社保!$C$1:$AF$1,0),FALSE)</f>
        <v>274.39999999999998</v>
      </c>
      <c r="V14" s="93">
        <f>VLOOKUP($D14,社保!$C:$AF,MATCH(V$1,社保!$C$1:$AF$1,0),FALSE)+VLOOKUP($D14,社保!$C:$AF,MATCH("个人大病",社保!$C$1:$AF$1,0),FALSE)</f>
        <v>68.599999999999994</v>
      </c>
      <c r="W14" s="93">
        <f>VLOOKUP($D14,社保!$C:$AF,MATCH(W$1,社保!$C$1:$AF$1,0),FALSE)</f>
        <v>17.149999999999999</v>
      </c>
      <c r="X14" s="93">
        <f t="shared" si="1"/>
        <v>360.15</v>
      </c>
      <c r="Y14" s="93">
        <f>VLOOKUP($D14,社保!$C:$AF,MATCH(Y$1,社保!$C$1:$AF$1,0),FALSE)</f>
        <v>82.5</v>
      </c>
      <c r="Z14" s="93">
        <f t="shared" si="2"/>
        <v>442.65</v>
      </c>
      <c r="AA14" s="191">
        <v>-0.5</v>
      </c>
      <c r="AB14" s="78">
        <f>VLOOKUP($D14,个税系统表!$D:$AN,MATCH(海淀分公司工资表!AB$1,个税系统表!$D$1:$AM$1,0),FALSE)</f>
        <v>30600</v>
      </c>
      <c r="AC14" s="78">
        <f>VLOOKUP($D14,个税系统表!$D:$AN,MATCH(海淀分公司工资表!AC$1,个税系统表!$D$1:$AM$1,0),FALSE)</f>
        <v>10000</v>
      </c>
      <c r="AD14" s="78">
        <f>VLOOKUP($D14,个税系统表!$D:$AN,MATCH(海淀分公司工资表!AD$1,个税系统表!$D$1:$AM$1,0),FALSE)</f>
        <v>885.3</v>
      </c>
      <c r="AE14" s="78">
        <f>VLOOKUP($D14,个税系统表!$D:$AN,MATCH(海淀分公司工资表!AE$2,个税系统表!$D$1:$AM$1,0),FALSE)</f>
        <v>0</v>
      </c>
      <c r="AF14" s="78">
        <f>VLOOKUP($D14,个税系统表!$D:$AN,MATCH(海淀分公司工资表!AF$2,个税系统表!$D$1:$AM$1,0),FALSE)</f>
        <v>0</v>
      </c>
      <c r="AG14" s="78">
        <f>VLOOKUP($D14,个税系统表!$D:$AN,MATCH(海淀分公司工资表!AG$2,个税系统表!$D$1:$AM$1,0),FALSE)</f>
        <v>0</v>
      </c>
      <c r="AH14" s="78">
        <f>VLOOKUP($D14,个税系统表!$D:$AN,MATCH(海淀分公司工资表!AH$2,个税系统表!$D$1:$AM$1,0),FALSE)</f>
        <v>0</v>
      </c>
      <c r="AI14" s="78">
        <f>VLOOKUP($D14,个税系统表!$D:$AN,MATCH(海淀分公司工资表!AI$2,个税系统表!$D$1:$AM$1,0),FALSE)</f>
        <v>0</v>
      </c>
      <c r="AJ14" s="77"/>
      <c r="AK14" s="78">
        <f t="shared" si="3"/>
        <v>0</v>
      </c>
      <c r="AL14" s="78">
        <f>VLOOKUP($D14,个税系统表!$D:$AN,MATCH(海淀分公司工资表!AL$1,个税系统表!$D$1:$AM$1,0),FALSE)</f>
        <v>0</v>
      </c>
      <c r="AM14" s="78">
        <f>VLOOKUP($D14,个税系统表!$D:$AN,MATCH(海淀分公司工资表!AM$1,个税系统表!$D$1:$AM$1,0),FALSE)</f>
        <v>19714.7</v>
      </c>
      <c r="AN14" s="78">
        <f>VLOOKUP($D14,个税系统表!$D:$AN,MATCH(海淀分公司工资表!AN$1,个税系统表!$D$1:$AM$1,0),FALSE)</f>
        <v>591.44000000000005</v>
      </c>
      <c r="AO14" s="78">
        <f>VLOOKUP($D14,个税系统表!$D:$AN,MATCH(海淀分公司工资表!AO$1,个税系统表!$D$1:$AM$1,0),FALSE)</f>
        <v>256.70999999999998</v>
      </c>
      <c r="AP14" s="78">
        <f>VLOOKUP($D14,个税系统表!$D:$AN,MATCH(海淀分公司工资表!AP$1,个税系统表!$D$1:$AM$1,0),FALSE)</f>
        <v>334.73</v>
      </c>
      <c r="AQ14" s="96">
        <f t="shared" si="4"/>
        <v>15823.12</v>
      </c>
      <c r="AR14" s="79"/>
      <c r="AS14" s="113">
        <f t="shared" si="5"/>
        <v>15823.12</v>
      </c>
      <c r="AT14" s="93">
        <f>VLOOKUP($H14,缴费比例!$B:$O,MATCH(AT$1,缴费比例!$B$1:$O$1,0),FALSE)</f>
        <v>180</v>
      </c>
      <c r="AU14" s="93">
        <v>2</v>
      </c>
      <c r="AV14" s="93">
        <f t="shared" si="6"/>
        <v>16339.85</v>
      </c>
      <c r="AW14" s="224" t="s">
        <v>219</v>
      </c>
      <c r="AX14" s="100" t="s">
        <v>155</v>
      </c>
      <c r="AY14" s="116" t="s">
        <v>220</v>
      </c>
      <c r="AZ14" s="206" t="s">
        <v>373</v>
      </c>
      <c r="BA14" s="80" t="str">
        <f t="shared" si="0"/>
        <v>正确</v>
      </c>
    </row>
    <row r="15" spans="1:55">
      <c r="A15" s="74">
        <v>13</v>
      </c>
      <c r="B15" s="75" t="s">
        <v>63</v>
      </c>
      <c r="C15" s="71" t="s">
        <v>49</v>
      </c>
      <c r="D15" s="90" t="s">
        <v>50</v>
      </c>
      <c r="E15" s="76" t="str">
        <f t="shared" si="7"/>
        <v>男</v>
      </c>
      <c r="F15" s="94">
        <f t="shared" si="8"/>
        <v>31801</v>
      </c>
      <c r="G15" s="231">
        <v>15375381802</v>
      </c>
      <c r="H15" s="83" t="s">
        <v>66</v>
      </c>
      <c r="I15" s="87">
        <v>44562</v>
      </c>
      <c r="J15" s="82"/>
      <c r="K15" s="203">
        <f>VLOOKUP(C15,融科!B:N,4,FALSE)</f>
        <v>0.7</v>
      </c>
      <c r="L15" s="203">
        <f>VLOOKUP(C15,融科!B:N,5,FALSE)</f>
        <v>0.3</v>
      </c>
      <c r="M15" s="236">
        <f>VLOOKUP(C15,融科!B:N,6,FALSE)</f>
        <v>15399.999999999998</v>
      </c>
      <c r="N15" s="236">
        <f>VLOOKUP(C15,融科!B:N,7,FALSE)</f>
        <v>6600</v>
      </c>
      <c r="O15" s="236">
        <f>VLOOKUP(C15,融科!B:N,8,FALSE)</f>
        <v>0</v>
      </c>
      <c r="P15" s="236">
        <f>VLOOKUP(C15,融科!B:N,9,FALSE)</f>
        <v>2000</v>
      </c>
      <c r="Q15" s="236">
        <f>VLOOKUP(C15,融科!B:N,10,FALSE)</f>
        <v>0</v>
      </c>
      <c r="R15" s="236">
        <f>VLOOKUP(C15,融科!B:N,11,FALSE)</f>
        <v>600</v>
      </c>
      <c r="S15" s="236">
        <f>VLOOKUP(C15,融科!B:N,12,FALSE)</f>
        <v>0</v>
      </c>
      <c r="T15" s="237">
        <f>VLOOKUP(C15,融科!B:N,13,FALSE)</f>
        <v>24600</v>
      </c>
      <c r="U15" s="93">
        <f>VLOOKUP($D15,社保!$C:$AF,MATCH(U$1,社保!$C$1:$AF$1,0),FALSE)</f>
        <v>274.39999999999998</v>
      </c>
      <c r="V15" s="93">
        <f>VLOOKUP($D15,社保!$C:$AF,MATCH(V$1,社保!$C$1:$AF$1,0),FALSE)+VLOOKUP($D15,社保!$C:$AF,MATCH("个人大病",社保!$C$1:$AF$1,0),FALSE)</f>
        <v>68.599999999999994</v>
      </c>
      <c r="W15" s="93">
        <f>VLOOKUP($D15,社保!$C:$AF,MATCH(W$1,社保!$C$1:$AF$1,0),FALSE)</f>
        <v>17.149999999999999</v>
      </c>
      <c r="X15" s="93">
        <f t="shared" si="1"/>
        <v>360.15</v>
      </c>
      <c r="Y15" s="93">
        <f>VLOOKUP($D15,社保!$C:$AF,MATCH(Y$1,社保!$C$1:$AF$1,0),FALSE)</f>
        <v>82.5</v>
      </c>
      <c r="Z15" s="93">
        <f t="shared" si="2"/>
        <v>442.65</v>
      </c>
      <c r="AA15" s="191">
        <v>-0.5</v>
      </c>
      <c r="AB15" s="78">
        <f>VLOOKUP($D15,个税系统表!$D:$AN,MATCH(海淀分公司工资表!AB$1,个税系统表!$D$1:$AM$1,0),FALSE)</f>
        <v>49634.48</v>
      </c>
      <c r="AC15" s="78">
        <f>VLOOKUP($D15,个税系统表!$D:$AN,MATCH(海淀分公司工资表!AC$1,个税系统表!$D$1:$AM$1,0),FALSE)</f>
        <v>10000</v>
      </c>
      <c r="AD15" s="78">
        <f>VLOOKUP($D15,个税系统表!$D:$AN,MATCH(海淀分公司工资表!AD$1,个税系统表!$D$1:$AM$1,0),FALSE)</f>
        <v>885.3</v>
      </c>
      <c r="AE15" s="78">
        <f>VLOOKUP($D15,个税系统表!$D:$AN,MATCH(海淀分公司工资表!AE$2,个税系统表!$D$1:$AM$1,0),FALSE)</f>
        <v>0</v>
      </c>
      <c r="AF15" s="78">
        <f>VLOOKUP($D15,个税系统表!$D:$AN,MATCH(海淀分公司工资表!AF$2,个税系统表!$D$1:$AM$1,0),FALSE)</f>
        <v>0</v>
      </c>
      <c r="AG15" s="78">
        <f>VLOOKUP($D15,个税系统表!$D:$AN,MATCH(海淀分公司工资表!AG$2,个税系统表!$D$1:$AM$1,0),FALSE)</f>
        <v>0</v>
      </c>
      <c r="AH15" s="78">
        <f>VLOOKUP($D15,个税系统表!$D:$AN,MATCH(海淀分公司工资表!AH$2,个税系统表!$D$1:$AM$1,0),FALSE)</f>
        <v>0</v>
      </c>
      <c r="AI15" s="78">
        <f>VLOOKUP($D15,个税系统表!$D:$AN,MATCH(海淀分公司工资表!AI$2,个税系统表!$D$1:$AM$1,0),FALSE)</f>
        <v>0</v>
      </c>
      <c r="AJ15" s="77"/>
      <c r="AK15" s="78">
        <f t="shared" si="3"/>
        <v>0</v>
      </c>
      <c r="AL15" s="78">
        <f>VLOOKUP($D15,个税系统表!$D:$AN,MATCH(海淀分公司工资表!AL$1,个税系统表!$D$1:$AM$1,0),FALSE)</f>
        <v>0</v>
      </c>
      <c r="AM15" s="78">
        <f>VLOOKUP($D15,个税系统表!$D:$AN,MATCH(海淀分公司工资表!AM$1,个税系统表!$D$1:$AM$1,0),FALSE)</f>
        <v>38749.18</v>
      </c>
      <c r="AN15" s="78">
        <f>VLOOKUP($D15,个税系统表!$D:$AN,MATCH(海淀分公司工资表!AN$1,个税系统表!$D$1:$AM$1,0),FALSE)</f>
        <v>1354.92</v>
      </c>
      <c r="AO15" s="78">
        <f>VLOOKUP($D15,个税系统表!$D:$AN,MATCH(海淀分公司工资表!AO$1,个税系统表!$D$1:$AM$1,0),FALSE)</f>
        <v>587.74</v>
      </c>
      <c r="AP15" s="78">
        <f>VLOOKUP($D15,个税系统表!$D:$AN,MATCH(海淀分公司工资表!AP$1,个税系统表!$D$1:$AM$1,0),FALSE)</f>
        <v>767.18</v>
      </c>
      <c r="AQ15" s="96">
        <f t="shared" si="4"/>
        <v>23390.67</v>
      </c>
      <c r="AR15" s="79"/>
      <c r="AS15" s="113">
        <f t="shared" si="5"/>
        <v>23390.67</v>
      </c>
      <c r="AT15" s="93">
        <f>VLOOKUP($H15,缴费比例!$B:$O,MATCH(AT$1,缴费比例!$B$1:$O$1,0),FALSE)</f>
        <v>180</v>
      </c>
      <c r="AU15" s="93">
        <v>2</v>
      </c>
      <c r="AV15" s="93">
        <f t="shared" si="6"/>
        <v>24339.85</v>
      </c>
      <c r="AW15" s="224" t="s">
        <v>221</v>
      </c>
      <c r="AX15" s="100" t="s">
        <v>155</v>
      </c>
      <c r="AY15" s="116" t="s">
        <v>222</v>
      </c>
      <c r="AZ15" s="206" t="s">
        <v>373</v>
      </c>
      <c r="BA15" s="80" t="str">
        <f t="shared" si="0"/>
        <v>正确</v>
      </c>
    </row>
    <row r="16" spans="1:55">
      <c r="A16" s="74">
        <v>14</v>
      </c>
      <c r="B16" s="75" t="s">
        <v>63</v>
      </c>
      <c r="C16" s="71" t="s">
        <v>51</v>
      </c>
      <c r="D16" s="90" t="s">
        <v>52</v>
      </c>
      <c r="E16" s="76" t="str">
        <f t="shared" si="7"/>
        <v>男</v>
      </c>
      <c r="F16" s="94">
        <f t="shared" si="8"/>
        <v>34193</v>
      </c>
      <c r="G16" s="231">
        <v>17775340176</v>
      </c>
      <c r="H16" s="83" t="s">
        <v>66</v>
      </c>
      <c r="I16" s="87">
        <v>44562</v>
      </c>
      <c r="J16" s="82"/>
      <c r="K16" s="203">
        <f>VLOOKUP(C16,融科!B:N,4,FALSE)</f>
        <v>0.7</v>
      </c>
      <c r="L16" s="203">
        <f>VLOOKUP(C16,融科!B:N,5,FALSE)</f>
        <v>0.3</v>
      </c>
      <c r="M16" s="236">
        <f>VLOOKUP(C16,融科!B:N,6,FALSE)</f>
        <v>9800</v>
      </c>
      <c r="N16" s="236">
        <f>VLOOKUP(C16,融科!B:N,7,FALSE)</f>
        <v>4200</v>
      </c>
      <c r="O16" s="236">
        <f>VLOOKUP(C16,融科!B:N,8,FALSE)</f>
        <v>0</v>
      </c>
      <c r="P16" s="236">
        <f>VLOOKUP(C16,融科!B:N,9,FALSE)</f>
        <v>2000</v>
      </c>
      <c r="Q16" s="236">
        <f>VLOOKUP(C16,融科!B:N,10,FALSE)</f>
        <v>0</v>
      </c>
      <c r="R16" s="236">
        <f>VLOOKUP(C16,融科!B:N,11,FALSE)</f>
        <v>600</v>
      </c>
      <c r="S16" s="236">
        <f>VLOOKUP(C16,融科!B:N,12,FALSE)</f>
        <v>0</v>
      </c>
      <c r="T16" s="237">
        <f>VLOOKUP(C16,融科!B:N,13,FALSE)</f>
        <v>16600</v>
      </c>
      <c r="U16" s="93">
        <f>VLOOKUP($D16,社保!$C:$AF,MATCH(U$1,社保!$C$1:$AF$1,0),FALSE)</f>
        <v>274.39999999999998</v>
      </c>
      <c r="V16" s="93">
        <f>VLOOKUP($D16,社保!$C:$AF,MATCH(V$1,社保!$C$1:$AF$1,0),FALSE)+VLOOKUP($D16,社保!$C:$AF,MATCH("个人大病",社保!$C$1:$AF$1,0),FALSE)</f>
        <v>68.599999999999994</v>
      </c>
      <c r="W16" s="93">
        <f>VLOOKUP($D16,社保!$C:$AF,MATCH(W$1,社保!$C$1:$AF$1,0),FALSE)</f>
        <v>17.149999999999999</v>
      </c>
      <c r="X16" s="93">
        <f t="shared" si="1"/>
        <v>360.15</v>
      </c>
      <c r="Y16" s="93">
        <f>VLOOKUP($D16,社保!$C:$AF,MATCH(Y$1,社保!$C$1:$AF$1,0),FALSE)</f>
        <v>82.5</v>
      </c>
      <c r="Z16" s="93">
        <f t="shared" si="2"/>
        <v>442.65</v>
      </c>
      <c r="AA16" s="191">
        <v>-0.5</v>
      </c>
      <c r="AB16" s="78">
        <f>VLOOKUP($D16,个税系统表!$D:$AN,MATCH(海淀分公司工资表!AB$1,个税系统表!$D$1:$AM$1,0),FALSE)</f>
        <v>30600</v>
      </c>
      <c r="AC16" s="78">
        <f>VLOOKUP($D16,个税系统表!$D:$AN,MATCH(海淀分公司工资表!AC$1,个税系统表!$D$1:$AM$1,0),FALSE)</f>
        <v>10000</v>
      </c>
      <c r="AD16" s="78">
        <f>VLOOKUP($D16,个税系统表!$D:$AN,MATCH(海淀分公司工资表!AD$1,个税系统表!$D$1:$AM$1,0),FALSE)</f>
        <v>885.3</v>
      </c>
      <c r="AE16" s="78">
        <f>VLOOKUP($D16,个税系统表!$D:$AN,MATCH(海淀分公司工资表!AE$2,个税系统表!$D$1:$AM$1,0),FALSE)</f>
        <v>0</v>
      </c>
      <c r="AF16" s="78">
        <f>VLOOKUP($D16,个税系统表!$D:$AN,MATCH(海淀分公司工资表!AF$2,个税系统表!$D$1:$AM$1,0),FALSE)</f>
        <v>0</v>
      </c>
      <c r="AG16" s="78">
        <f>VLOOKUP($D16,个税系统表!$D:$AN,MATCH(海淀分公司工资表!AG$2,个税系统表!$D$1:$AM$1,0),FALSE)</f>
        <v>0</v>
      </c>
      <c r="AH16" s="78">
        <f>VLOOKUP($D16,个税系统表!$D:$AN,MATCH(海淀分公司工资表!AH$2,个税系统表!$D$1:$AM$1,0),FALSE)</f>
        <v>0</v>
      </c>
      <c r="AI16" s="78">
        <f>VLOOKUP($D16,个税系统表!$D:$AN,MATCH(海淀分公司工资表!AI$2,个税系统表!$D$1:$AM$1,0),FALSE)</f>
        <v>0</v>
      </c>
      <c r="AJ16" s="77"/>
      <c r="AK16" s="78">
        <f t="shared" si="3"/>
        <v>0</v>
      </c>
      <c r="AL16" s="78">
        <f>VLOOKUP($D16,个税系统表!$D:$AN,MATCH(海淀分公司工资表!AL$1,个税系统表!$D$1:$AM$1,0),FALSE)</f>
        <v>0</v>
      </c>
      <c r="AM16" s="78">
        <f>VLOOKUP($D16,个税系统表!$D:$AN,MATCH(海淀分公司工资表!AM$1,个税系统表!$D$1:$AM$1,0),FALSE)</f>
        <v>19714.7</v>
      </c>
      <c r="AN16" s="78">
        <f>VLOOKUP($D16,个税系统表!$D:$AN,MATCH(海淀分公司工资表!AN$1,个税系统表!$D$1:$AM$1,0),FALSE)</f>
        <v>591.44000000000005</v>
      </c>
      <c r="AO16" s="78">
        <f>VLOOKUP($D16,个税系统表!$D:$AN,MATCH(海淀分公司工资表!AO$1,个税系统表!$D$1:$AM$1,0),FALSE)</f>
        <v>256.70999999999998</v>
      </c>
      <c r="AP16" s="78">
        <f>VLOOKUP($D16,个税系统表!$D:$AN,MATCH(海淀分公司工资表!AP$1,个税系统表!$D$1:$AM$1,0),FALSE)</f>
        <v>334.73</v>
      </c>
      <c r="AQ16" s="96">
        <f t="shared" si="4"/>
        <v>15823.12</v>
      </c>
      <c r="AR16" s="79"/>
      <c r="AS16" s="113">
        <f t="shared" si="5"/>
        <v>15823.12</v>
      </c>
      <c r="AT16" s="93">
        <f>VLOOKUP($H16,缴费比例!$B:$O,MATCH(AT$1,缴费比例!$B$1:$O$1,0),FALSE)</f>
        <v>180</v>
      </c>
      <c r="AU16" s="93">
        <v>2</v>
      </c>
      <c r="AV16" s="93">
        <f t="shared" si="6"/>
        <v>16339.85</v>
      </c>
      <c r="AW16" s="224" t="s">
        <v>223</v>
      </c>
      <c r="AX16" s="100" t="s">
        <v>224</v>
      </c>
      <c r="AY16" s="116" t="s">
        <v>225</v>
      </c>
      <c r="AZ16" s="206" t="s">
        <v>373</v>
      </c>
      <c r="BA16" s="80" t="str">
        <f t="shared" si="0"/>
        <v>正确</v>
      </c>
    </row>
    <row r="17" spans="1:53">
      <c r="A17" s="74">
        <v>15</v>
      </c>
      <c r="B17" s="75" t="s">
        <v>63</v>
      </c>
      <c r="C17" s="71" t="s">
        <v>53</v>
      </c>
      <c r="D17" s="90" t="s">
        <v>54</v>
      </c>
      <c r="E17" s="76" t="str">
        <f t="shared" si="7"/>
        <v>男</v>
      </c>
      <c r="F17" s="94">
        <f t="shared" si="8"/>
        <v>34253</v>
      </c>
      <c r="G17" s="232">
        <v>18375326103</v>
      </c>
      <c r="H17" s="83" t="s">
        <v>66</v>
      </c>
      <c r="I17" s="87">
        <v>44562</v>
      </c>
      <c r="J17" s="71"/>
      <c r="K17" s="203">
        <f>VLOOKUP(C17,融科!B:N,4,FALSE)</f>
        <v>0.7</v>
      </c>
      <c r="L17" s="203">
        <f>VLOOKUP(C17,融科!B:N,5,FALSE)</f>
        <v>0.3</v>
      </c>
      <c r="M17" s="236">
        <f>VLOOKUP(C17,融科!B:N,6,FALSE)</f>
        <v>10500</v>
      </c>
      <c r="N17" s="236">
        <f>VLOOKUP(C17,融科!B:N,7,FALSE)</f>
        <v>4500</v>
      </c>
      <c r="O17" s="236">
        <f>VLOOKUP(C17,融科!B:N,8,FALSE)</f>
        <v>0</v>
      </c>
      <c r="P17" s="236">
        <f>VLOOKUP(C17,融科!B:N,9,FALSE)</f>
        <v>2000</v>
      </c>
      <c r="Q17" s="236">
        <f>VLOOKUP(C17,融科!B:N,10,FALSE)</f>
        <v>2758.6206896551726</v>
      </c>
      <c r="R17" s="236">
        <f>VLOOKUP(C17,融科!B:N,11,FALSE)</f>
        <v>600</v>
      </c>
      <c r="S17" s="236">
        <f>VLOOKUP(C17,融科!B:N,12,FALSE)</f>
        <v>0</v>
      </c>
      <c r="T17" s="237">
        <f>VLOOKUP(C17,融科!B:N,13,FALSE)</f>
        <v>20358.620689655174</v>
      </c>
      <c r="U17" s="93">
        <f>VLOOKUP($D17,社保!$C:$AF,MATCH(U$1,社保!$C$1:$AF$1,0),FALSE)</f>
        <v>274.39999999999998</v>
      </c>
      <c r="V17" s="93">
        <f>VLOOKUP($D17,社保!$C:$AF,MATCH(V$1,社保!$C$1:$AF$1,0),FALSE)+VLOOKUP($D17,社保!$C:$AF,MATCH("个人大病",社保!$C$1:$AF$1,0),FALSE)</f>
        <v>68.599999999999994</v>
      </c>
      <c r="W17" s="93">
        <f>VLOOKUP($D17,社保!$C:$AF,MATCH(W$1,社保!$C$1:$AF$1,0),FALSE)</f>
        <v>17.149999999999999</v>
      </c>
      <c r="X17" s="93">
        <f t="shared" si="1"/>
        <v>360.15</v>
      </c>
      <c r="Y17" s="93">
        <f>VLOOKUP($D17,社保!$C:$AF,MATCH(Y$1,社保!$C$1:$AF$1,0),FALSE)</f>
        <v>82.5</v>
      </c>
      <c r="Z17" s="93">
        <f t="shared" si="2"/>
        <v>442.65</v>
      </c>
      <c r="AA17" s="191">
        <v>-0.5</v>
      </c>
      <c r="AB17" s="78">
        <f>VLOOKUP($D17,个税系统表!$D:$AN,MATCH(海淀分公司工资表!AB$1,个税系统表!$D$1:$AM$1,0),FALSE)</f>
        <v>36737.93</v>
      </c>
      <c r="AC17" s="78">
        <f>VLOOKUP($D17,个税系统表!$D:$AN,MATCH(海淀分公司工资表!AC$1,个税系统表!$D$1:$AM$1,0),FALSE)</f>
        <v>10000</v>
      </c>
      <c r="AD17" s="78">
        <f>VLOOKUP($D17,个税系统表!$D:$AN,MATCH(海淀分公司工资表!AD$1,个税系统表!$D$1:$AM$1,0),FALSE)</f>
        <v>885.3</v>
      </c>
      <c r="AE17" s="78">
        <f>VLOOKUP($D17,个税系统表!$D:$AN,MATCH(海淀分公司工资表!AE$2,个税系统表!$D$1:$AM$1,0),FALSE)</f>
        <v>0</v>
      </c>
      <c r="AF17" s="78">
        <f>VLOOKUP($D17,个税系统表!$D:$AN,MATCH(海淀分公司工资表!AF$2,个税系统表!$D$1:$AM$1,0),FALSE)</f>
        <v>0</v>
      </c>
      <c r="AG17" s="78">
        <f>VLOOKUP($D17,个税系统表!$D:$AN,MATCH(海淀分公司工资表!AG$2,个税系统表!$D$1:$AM$1,0),FALSE)</f>
        <v>2000</v>
      </c>
      <c r="AH17" s="78">
        <f>VLOOKUP($D17,个税系统表!$D:$AN,MATCH(海淀分公司工资表!AH$2,个税系统表!$D$1:$AM$1,0),FALSE)</f>
        <v>0</v>
      </c>
      <c r="AI17" s="78">
        <f>VLOOKUP($D17,个税系统表!$D:$AN,MATCH(海淀分公司工资表!AI$2,个税系统表!$D$1:$AM$1,0),FALSE)</f>
        <v>0</v>
      </c>
      <c r="AJ17" s="77"/>
      <c r="AK17" s="78">
        <f t="shared" si="3"/>
        <v>2000</v>
      </c>
      <c r="AL17" s="78">
        <f>VLOOKUP($D17,个税系统表!$D:$AN,MATCH(海淀分公司工资表!AL$1,个税系统表!$D$1:$AM$1,0),FALSE)</f>
        <v>0</v>
      </c>
      <c r="AM17" s="78">
        <f>VLOOKUP($D17,个税系统表!$D:$AN,MATCH(海淀分公司工资表!AM$1,个税系统表!$D$1:$AM$1,0),FALSE)</f>
        <v>23852.63</v>
      </c>
      <c r="AN17" s="78">
        <f>VLOOKUP($D17,个税系统表!$D:$AN,MATCH(海淀分公司工资表!AN$1,个税系统表!$D$1:$AM$1,0),FALSE)</f>
        <v>715.58</v>
      </c>
      <c r="AO17" s="78">
        <f>VLOOKUP($D17,个税系统表!$D:$AN,MATCH(海淀分公司工资表!AO$1,个税系统表!$D$1:$AM$1,0),FALSE)</f>
        <v>328.08</v>
      </c>
      <c r="AP17" s="78">
        <f>VLOOKUP($D17,个税系统表!$D:$AN,MATCH(海淀分公司工资表!AP$1,个税系统表!$D$1:$AM$1,0),FALSE)</f>
        <v>387.5</v>
      </c>
      <c r="AQ17" s="96">
        <f t="shared" si="4"/>
        <v>19528.970689655172</v>
      </c>
      <c r="AR17" s="79"/>
      <c r="AS17" s="113">
        <f t="shared" si="5"/>
        <v>19528.97</v>
      </c>
      <c r="AT17" s="93">
        <f>VLOOKUP($H17,缴费比例!$B:$O,MATCH(AT$1,缴费比例!$B$1:$O$1,0),FALSE)</f>
        <v>180</v>
      </c>
      <c r="AU17" s="93">
        <v>2</v>
      </c>
      <c r="AV17" s="93">
        <f t="shared" si="6"/>
        <v>20098.47</v>
      </c>
      <c r="AW17" s="99" t="s">
        <v>226</v>
      </c>
      <c r="AX17" s="100" t="s">
        <v>150</v>
      </c>
      <c r="AY17" s="100" t="s">
        <v>160</v>
      </c>
      <c r="AZ17" s="206" t="s">
        <v>373</v>
      </c>
      <c r="BA17" s="80" t="str">
        <f t="shared" si="0"/>
        <v>正确</v>
      </c>
    </row>
    <row r="18" spans="1:53">
      <c r="A18" s="74">
        <v>16</v>
      </c>
      <c r="B18" s="75" t="s">
        <v>63</v>
      </c>
      <c r="C18" s="71" t="s">
        <v>55</v>
      </c>
      <c r="D18" s="90" t="s">
        <v>56</v>
      </c>
      <c r="E18" s="76" t="str">
        <f t="shared" si="7"/>
        <v>男</v>
      </c>
      <c r="F18" s="94">
        <f t="shared" si="8"/>
        <v>34911</v>
      </c>
      <c r="G18" s="232">
        <v>18895324958</v>
      </c>
      <c r="H18" s="83" t="s">
        <v>408</v>
      </c>
      <c r="I18" s="87">
        <v>44562</v>
      </c>
      <c r="J18" s="82"/>
      <c r="K18" s="203">
        <f>VLOOKUP(C18,融科!B:N,4,FALSE)</f>
        <v>0.7</v>
      </c>
      <c r="L18" s="203">
        <f>VLOOKUP(C18,融科!B:N,5,FALSE)</f>
        <v>0.3</v>
      </c>
      <c r="M18" s="236">
        <f>VLOOKUP(C18,融科!B:N,6,FALSE)</f>
        <v>7699.9999999999991</v>
      </c>
      <c r="N18" s="236">
        <f>VLOOKUP(C18,融科!B:N,7,FALSE)</f>
        <v>3300</v>
      </c>
      <c r="O18" s="236">
        <f>VLOOKUP(C18,融科!B:N,8,FALSE)</f>
        <v>0</v>
      </c>
      <c r="P18" s="236">
        <f>VLOOKUP(C18,融科!B:N,9,FALSE)</f>
        <v>2000</v>
      </c>
      <c r="Q18" s="236">
        <f>VLOOKUP(C18,融科!B:N,10,FALSE)</f>
        <v>3034.4827586206898</v>
      </c>
      <c r="R18" s="236">
        <f>VLOOKUP(C18,融科!B:N,11,FALSE)</f>
        <v>600</v>
      </c>
      <c r="S18" s="236">
        <f>VLOOKUP(C18,融科!B:N,12,FALSE)</f>
        <v>0</v>
      </c>
      <c r="T18" s="237">
        <f>VLOOKUP(C18,融科!B:N,13,FALSE)</f>
        <v>16634.482758620688</v>
      </c>
      <c r="U18" s="93">
        <f>VLOOKUP($D18,社保!$C:$AF,MATCH(U$1,社保!$C$1:$AF$1,0),FALSE)</f>
        <v>274.39999999999998</v>
      </c>
      <c r="V18" s="93">
        <f>VLOOKUP($D18,社保!$C:$AF,MATCH(V$1,社保!$C$1:$AF$1,0),FALSE)+VLOOKUP($D18,社保!$C:$AF,MATCH("个人大病",社保!$C$1:$AF$1,0),FALSE)</f>
        <v>68.599999999999994</v>
      </c>
      <c r="W18" s="93">
        <f>VLOOKUP($D18,社保!$C:$AF,MATCH(W$1,社保!$C$1:$AF$1,0),FALSE)</f>
        <v>17.149999999999999</v>
      </c>
      <c r="X18" s="93">
        <f t="shared" si="1"/>
        <v>360.15</v>
      </c>
      <c r="Y18" s="93">
        <f>VLOOKUP($D18,社保!$C:$AF,MATCH(Y$1,社保!$C$1:$AF$1,0),FALSE)</f>
        <v>1320</v>
      </c>
      <c r="Z18" s="93">
        <f t="shared" si="2"/>
        <v>1680.15</v>
      </c>
      <c r="AA18" s="191">
        <v>-0.5</v>
      </c>
      <c r="AB18" s="78">
        <f>VLOOKUP($D18,个税系统表!$D:$AN,MATCH(海淀分公司工资表!AB$1,个税系统表!$D$1:$AM$1,0),FALSE)</f>
        <v>27634.48</v>
      </c>
      <c r="AC18" s="78">
        <f>VLOOKUP($D18,个税系统表!$D:$AN,MATCH(海淀分公司工资表!AC$1,个税系统表!$D$1:$AM$1,0),FALSE)</f>
        <v>10000</v>
      </c>
      <c r="AD18" s="78">
        <f>VLOOKUP($D18,个税系统表!$D:$AN,MATCH(海淀分公司工资表!AD$1,个税系统表!$D$1:$AM$1,0),FALSE)</f>
        <v>3359.8</v>
      </c>
      <c r="AE18" s="78">
        <f>VLOOKUP($D18,个税系统表!$D:$AN,MATCH(海淀分公司工资表!AE$2,个税系统表!$D$1:$AM$1,0),FALSE)</f>
        <v>0</v>
      </c>
      <c r="AF18" s="78">
        <f>VLOOKUP($D18,个税系统表!$D:$AN,MATCH(海淀分公司工资表!AF$2,个税系统表!$D$1:$AM$1,0),FALSE)</f>
        <v>0</v>
      </c>
      <c r="AG18" s="78">
        <f>VLOOKUP($D18,个税系统表!$D:$AN,MATCH(海淀分公司工资表!AG$2,个税系统表!$D$1:$AM$1,0),FALSE)</f>
        <v>0</v>
      </c>
      <c r="AH18" s="78">
        <f>VLOOKUP($D18,个税系统表!$D:$AN,MATCH(海淀分公司工资表!AH$2,个税系统表!$D$1:$AM$1,0),FALSE)</f>
        <v>0</v>
      </c>
      <c r="AI18" s="78">
        <f>VLOOKUP($D18,个税系统表!$D:$AN,MATCH(海淀分公司工资表!AI$2,个税系统表!$D$1:$AM$1,0),FALSE)</f>
        <v>0</v>
      </c>
      <c r="AJ18" s="77"/>
      <c r="AK18" s="78">
        <f t="shared" si="3"/>
        <v>0</v>
      </c>
      <c r="AL18" s="78">
        <f>VLOOKUP($D18,个税系统表!$D:$AN,MATCH(海淀分公司工资表!AL$1,个税系统表!$D$1:$AM$1,0),FALSE)</f>
        <v>0</v>
      </c>
      <c r="AM18" s="78">
        <f>VLOOKUP($D18,个税系统表!$D:$AN,MATCH(海淀分公司工资表!AM$1,个税系统表!$D$1:$AM$1,0),FALSE)</f>
        <v>14274.68</v>
      </c>
      <c r="AN18" s="78">
        <f>VLOOKUP($D18,个税系统表!$D:$AN,MATCH(海淀分公司工资表!AN$1,个税系统表!$D$1:$AM$1,0),FALSE)</f>
        <v>428.24</v>
      </c>
      <c r="AO18" s="78">
        <f>VLOOKUP($D18,个税系统表!$D:$AN,MATCH(海淀分公司工资表!AO$1,个税系统表!$D$1:$AM$1,0),FALSE)</f>
        <v>129.6</v>
      </c>
      <c r="AP18" s="78">
        <f>VLOOKUP($D18,个税系统表!$D:$AN,MATCH(海淀分公司工资表!AP$1,个税系统表!$D$1:$AM$1,0),FALSE)</f>
        <v>298.64</v>
      </c>
      <c r="AQ18" s="96">
        <f t="shared" si="4"/>
        <v>14656.192758620689</v>
      </c>
      <c r="AR18" s="79"/>
      <c r="AS18" s="113">
        <f t="shared" si="5"/>
        <v>14656.19</v>
      </c>
      <c r="AT18" s="93">
        <f>VLOOKUP($H18,缴费比例!$B:$O,MATCH(AT$1,缴费比例!$B$1:$O$1,0),FALSE)</f>
        <v>180</v>
      </c>
      <c r="AU18" s="93">
        <v>2</v>
      </c>
      <c r="AV18" s="93">
        <f t="shared" si="6"/>
        <v>15136.83</v>
      </c>
      <c r="AW18" s="224" t="s">
        <v>227</v>
      </c>
      <c r="AX18" s="100" t="s">
        <v>155</v>
      </c>
      <c r="AY18" s="116" t="s">
        <v>228</v>
      </c>
      <c r="AZ18" s="206" t="s">
        <v>373</v>
      </c>
      <c r="BA18" s="80" t="str">
        <f t="shared" si="0"/>
        <v>正确</v>
      </c>
    </row>
    <row r="19" spans="1:53">
      <c r="A19" s="74">
        <v>17</v>
      </c>
      <c r="B19" s="75" t="s">
        <v>63</v>
      </c>
      <c r="C19" s="71" t="s">
        <v>57</v>
      </c>
      <c r="D19" s="90" t="s">
        <v>58</v>
      </c>
      <c r="E19" s="76" t="str">
        <f t="shared" si="7"/>
        <v>男</v>
      </c>
      <c r="F19" s="94">
        <f t="shared" si="8"/>
        <v>33774</v>
      </c>
      <c r="G19" s="232">
        <v>18255196660</v>
      </c>
      <c r="H19" s="83" t="s">
        <v>66</v>
      </c>
      <c r="I19" s="87">
        <v>44562</v>
      </c>
      <c r="J19" s="82"/>
      <c r="K19" s="203">
        <f>VLOOKUP(C19,融科!B:N,4,FALSE)</f>
        <v>0.7</v>
      </c>
      <c r="L19" s="203">
        <f>VLOOKUP(C19,融科!B:N,5,FALSE)</f>
        <v>0.3</v>
      </c>
      <c r="M19" s="236">
        <f>VLOOKUP(C19,融科!B:N,6,FALSE)</f>
        <v>10500</v>
      </c>
      <c r="N19" s="236">
        <f>VLOOKUP(C19,融科!B:N,7,FALSE)</f>
        <v>4500</v>
      </c>
      <c r="O19" s="236">
        <f>VLOOKUP(C19,融科!B:N,8,FALSE)</f>
        <v>0</v>
      </c>
      <c r="P19" s="236">
        <f>VLOOKUP(C19,融科!B:N,9,FALSE)</f>
        <v>2000</v>
      </c>
      <c r="Q19" s="236">
        <f>VLOOKUP(C19,融科!B:N,10,FALSE)</f>
        <v>4137.9310344827591</v>
      </c>
      <c r="R19" s="236">
        <f>VLOOKUP(C19,融科!B:N,11,FALSE)</f>
        <v>600</v>
      </c>
      <c r="S19" s="236">
        <f>VLOOKUP(C19,融科!B:N,12,FALSE)</f>
        <v>0</v>
      </c>
      <c r="T19" s="237">
        <f>VLOOKUP(C19,融科!B:N,13,FALSE)</f>
        <v>21737.931034482761</v>
      </c>
      <c r="U19" s="93">
        <f>VLOOKUP($D19,社保!$C:$AF,MATCH(U$1,社保!$C$1:$AF$1,0),FALSE)</f>
        <v>274.39999999999998</v>
      </c>
      <c r="V19" s="93">
        <f>VLOOKUP($D19,社保!$C:$AF,MATCH(V$1,社保!$C$1:$AF$1,0),FALSE)+VLOOKUP($D19,社保!$C:$AF,MATCH("个人大病",社保!$C$1:$AF$1,0),FALSE)</f>
        <v>68.599999999999994</v>
      </c>
      <c r="W19" s="93">
        <f>VLOOKUP($D19,社保!$C:$AF,MATCH(W$1,社保!$C$1:$AF$1,0),FALSE)</f>
        <v>17.149999999999999</v>
      </c>
      <c r="X19" s="93">
        <f t="shared" si="1"/>
        <v>360.15</v>
      </c>
      <c r="Y19" s="93">
        <f>VLOOKUP($D19,社保!$C:$AF,MATCH(Y$1,社保!$C$1:$AF$1,0),FALSE)</f>
        <v>82.5</v>
      </c>
      <c r="Z19" s="93">
        <f t="shared" si="2"/>
        <v>442.65</v>
      </c>
      <c r="AA19" s="191">
        <v>-0.5</v>
      </c>
      <c r="AB19" s="78">
        <f>VLOOKUP($D19,个税系统表!$D:$AN,MATCH(海淀分公司工资表!AB$1,个税系统表!$D$1:$AM$1,0),FALSE)</f>
        <v>38117.24</v>
      </c>
      <c r="AC19" s="78">
        <f>VLOOKUP($D19,个税系统表!$D:$AN,MATCH(海淀分公司工资表!AC$1,个税系统表!$D$1:$AM$1,0),FALSE)</f>
        <v>10000</v>
      </c>
      <c r="AD19" s="78">
        <f>VLOOKUP($D19,个税系统表!$D:$AN,MATCH(海淀分公司工资表!AD$1,个税系统表!$D$1:$AM$1,0),FALSE)</f>
        <v>885.3</v>
      </c>
      <c r="AE19" s="78">
        <f>VLOOKUP($D19,个税系统表!$D:$AN,MATCH(海淀分公司工资表!AE$2,个税系统表!$D$1:$AM$1,0),FALSE)</f>
        <v>0</v>
      </c>
      <c r="AF19" s="78">
        <f>VLOOKUP($D19,个税系统表!$D:$AN,MATCH(海淀分公司工资表!AF$2,个税系统表!$D$1:$AM$1,0),FALSE)</f>
        <v>0</v>
      </c>
      <c r="AG19" s="78">
        <f>VLOOKUP($D19,个税系统表!$D:$AN,MATCH(海淀分公司工资表!AG$2,个税系统表!$D$1:$AM$1,0),FALSE)</f>
        <v>0</v>
      </c>
      <c r="AH19" s="78">
        <f>VLOOKUP($D19,个税系统表!$D:$AN,MATCH(海淀分公司工资表!AH$2,个税系统表!$D$1:$AM$1,0),FALSE)</f>
        <v>0</v>
      </c>
      <c r="AI19" s="78">
        <f>VLOOKUP($D19,个税系统表!$D:$AN,MATCH(海淀分公司工资表!AI$2,个税系统表!$D$1:$AM$1,0),FALSE)</f>
        <v>0</v>
      </c>
      <c r="AJ19" s="77"/>
      <c r="AK19" s="78">
        <f t="shared" si="3"/>
        <v>0</v>
      </c>
      <c r="AL19" s="78">
        <f>VLOOKUP($D19,个税系统表!$D:$AN,MATCH(海淀分公司工资表!AL$1,个税系统表!$D$1:$AM$1,0),FALSE)</f>
        <v>0</v>
      </c>
      <c r="AM19" s="78">
        <f>VLOOKUP($D19,个税系统表!$D:$AN,MATCH(海淀分公司工资表!AM$1,个税系统表!$D$1:$AM$1,0),FALSE)</f>
        <v>27231.94</v>
      </c>
      <c r="AN19" s="78">
        <f>VLOOKUP($D19,个税系统表!$D:$AN,MATCH(海淀分公司工资表!AN$1,个税系统表!$D$1:$AM$1,0),FALSE)</f>
        <v>816.96</v>
      </c>
      <c r="AO19" s="78">
        <f>VLOOKUP($D19,个税系统表!$D:$AN,MATCH(海淀分公司工资表!AO$1,个税系统表!$D$1:$AM$1,0),FALSE)</f>
        <v>328.08</v>
      </c>
      <c r="AP19" s="78">
        <f>VLOOKUP($D19,个税系统表!$D:$AN,MATCH(海淀分公司工资表!AP$1,个税系统表!$D$1:$AM$1,0),FALSE)</f>
        <v>488.88</v>
      </c>
      <c r="AQ19" s="96">
        <f t="shared" si="4"/>
        <v>20806.901034482758</v>
      </c>
      <c r="AR19" s="79"/>
      <c r="AS19" s="113">
        <f t="shared" si="5"/>
        <v>20806.900000000001</v>
      </c>
      <c r="AT19" s="93">
        <f>VLOOKUP($H19,缴费比例!$B:$O,MATCH(AT$1,缴费比例!$B$1:$O$1,0),FALSE)</f>
        <v>180</v>
      </c>
      <c r="AU19" s="93">
        <v>2</v>
      </c>
      <c r="AV19" s="93">
        <f t="shared" si="6"/>
        <v>21477.78</v>
      </c>
      <c r="AW19" s="99" t="s">
        <v>229</v>
      </c>
      <c r="AX19" s="100" t="s">
        <v>159</v>
      </c>
      <c r="AY19" s="116" t="s">
        <v>230</v>
      </c>
      <c r="AZ19" s="206" t="s">
        <v>373</v>
      </c>
      <c r="BA19" s="80" t="str">
        <f t="shared" si="0"/>
        <v>正确</v>
      </c>
    </row>
    <row r="20" spans="1:53">
      <c r="A20" s="74">
        <v>18</v>
      </c>
      <c r="B20" s="75" t="s">
        <v>63</v>
      </c>
      <c r="C20" s="71" t="s">
        <v>59</v>
      </c>
      <c r="D20" s="90" t="s">
        <v>60</v>
      </c>
      <c r="E20" s="76" t="str">
        <f t="shared" si="7"/>
        <v>男</v>
      </c>
      <c r="F20" s="94">
        <f t="shared" si="8"/>
        <v>33034</v>
      </c>
      <c r="G20" s="231">
        <v>13615514441</v>
      </c>
      <c r="H20" s="83" t="s">
        <v>66</v>
      </c>
      <c r="I20" s="87">
        <v>44562</v>
      </c>
      <c r="J20" s="82"/>
      <c r="K20" s="203">
        <f>VLOOKUP(C20,融科!B:N,4,FALSE)</f>
        <v>0.7</v>
      </c>
      <c r="L20" s="203">
        <f>VLOOKUP(C20,融科!B:N,5,FALSE)</f>
        <v>0.3</v>
      </c>
      <c r="M20" s="236">
        <f>VLOOKUP(C20,融科!B:N,6,FALSE)</f>
        <v>11900</v>
      </c>
      <c r="N20" s="236">
        <f>VLOOKUP(C20,融科!B:N,7,FALSE)</f>
        <v>5100</v>
      </c>
      <c r="O20" s="236">
        <f>VLOOKUP(C20,融科!B:N,8,FALSE)</f>
        <v>0</v>
      </c>
      <c r="P20" s="236">
        <f>VLOOKUP(C20,融科!B:N,9,FALSE)</f>
        <v>2000</v>
      </c>
      <c r="Q20" s="236">
        <f>VLOOKUP(C20,融科!B:N,10,FALSE)</f>
        <v>3908.0459770114944</v>
      </c>
      <c r="R20" s="236">
        <f>VLOOKUP(C20,融科!B:N,11,FALSE)</f>
        <v>600</v>
      </c>
      <c r="S20" s="236">
        <f>VLOOKUP(C20,融科!B:N,12,FALSE)</f>
        <v>0</v>
      </c>
      <c r="T20" s="237">
        <f>VLOOKUP(C20,融科!B:N,13,FALSE)</f>
        <v>23508.045977011494</v>
      </c>
      <c r="U20" s="93">
        <f>VLOOKUP($D20,社保!$C:$AF,MATCH(U$1,社保!$C$1:$AF$1,0),FALSE)</f>
        <v>274.39999999999998</v>
      </c>
      <c r="V20" s="93">
        <f>VLOOKUP($D20,社保!$C:$AF,MATCH(V$1,社保!$C$1:$AF$1,0),FALSE)+VLOOKUP($D20,社保!$C:$AF,MATCH("个人大病",社保!$C$1:$AF$1,0),FALSE)</f>
        <v>68.599999999999994</v>
      </c>
      <c r="W20" s="93">
        <f>VLOOKUP($D20,社保!$C:$AF,MATCH(W$1,社保!$C$1:$AF$1,0),FALSE)</f>
        <v>17.149999999999999</v>
      </c>
      <c r="X20" s="93">
        <f t="shared" si="1"/>
        <v>360.15</v>
      </c>
      <c r="Y20" s="93">
        <f>VLOOKUP($D20,社保!$C:$AF,MATCH(Y$1,社保!$C$1:$AF$1,0),FALSE)</f>
        <v>82.5</v>
      </c>
      <c r="Z20" s="93">
        <f t="shared" si="2"/>
        <v>442.65</v>
      </c>
      <c r="AA20" s="191">
        <v>-0.5</v>
      </c>
      <c r="AB20" s="78">
        <f>VLOOKUP($D20,个税系统表!$D:$AN,MATCH(海淀分公司工资表!AB$1,个税系统表!$D$1:$AM$1,0),FALSE)</f>
        <v>40508.050000000003</v>
      </c>
      <c r="AC20" s="78">
        <f>VLOOKUP($D20,个税系统表!$D:$AN,MATCH(海淀分公司工资表!AC$1,个税系统表!$D$1:$AM$1,0),FALSE)</f>
        <v>10000</v>
      </c>
      <c r="AD20" s="78">
        <f>VLOOKUP($D20,个税系统表!$D:$AN,MATCH(海淀分公司工资表!AD$1,个税系统表!$D$1:$AM$1,0),FALSE)</f>
        <v>885.3</v>
      </c>
      <c r="AE20" s="78">
        <f>VLOOKUP($D20,个税系统表!$D:$AN,MATCH(海淀分公司工资表!AE$2,个税系统表!$D$1:$AM$1,0),FALSE)</f>
        <v>0</v>
      </c>
      <c r="AF20" s="78">
        <f>VLOOKUP($D20,个税系统表!$D:$AN,MATCH(海淀分公司工资表!AF$2,个税系统表!$D$1:$AM$1,0),FALSE)</f>
        <v>0</v>
      </c>
      <c r="AG20" s="78">
        <f>VLOOKUP($D20,个税系统表!$D:$AN,MATCH(海淀分公司工资表!AG$2,个税系统表!$D$1:$AM$1,0),FALSE)</f>
        <v>0</v>
      </c>
      <c r="AH20" s="78">
        <f>VLOOKUP($D20,个税系统表!$D:$AN,MATCH(海淀分公司工资表!AH$2,个税系统表!$D$1:$AM$1,0),FALSE)</f>
        <v>0</v>
      </c>
      <c r="AI20" s="78">
        <f>VLOOKUP($D20,个税系统表!$D:$AN,MATCH(海淀分公司工资表!AI$2,个税系统表!$D$1:$AM$1,0),FALSE)</f>
        <v>0</v>
      </c>
      <c r="AJ20" s="77"/>
      <c r="AK20" s="78">
        <f t="shared" si="3"/>
        <v>0</v>
      </c>
      <c r="AL20" s="78">
        <f>VLOOKUP($D20,个税系统表!$D:$AN,MATCH(海淀分公司工资表!AL$1,个税系统表!$D$1:$AM$1,0),FALSE)</f>
        <v>0</v>
      </c>
      <c r="AM20" s="78">
        <f>VLOOKUP($D20,个税系统表!$D:$AN,MATCH(海淀分公司工资表!AM$1,个税系统表!$D$1:$AM$1,0),FALSE)</f>
        <v>29622.75</v>
      </c>
      <c r="AN20" s="78">
        <f>VLOOKUP($D20,个税系统表!$D:$AN,MATCH(海淀分公司工资表!AN$1,个税系统表!$D$1:$AM$1,0),FALSE)</f>
        <v>888.68</v>
      </c>
      <c r="AO20" s="78">
        <f>VLOOKUP($D20,个税系统表!$D:$AN,MATCH(海淀分公司工资表!AO$1,个税系统表!$D$1:$AM$1,0),FALSE)</f>
        <v>346.71</v>
      </c>
      <c r="AP20" s="78">
        <f>VLOOKUP($D20,个税系统表!$D:$AN,MATCH(海淀分公司工资表!AP$1,个税系统表!$D$1:$AM$1,0),FALSE)</f>
        <v>541.97</v>
      </c>
      <c r="AQ20" s="96">
        <f t="shared" si="4"/>
        <v>22523.925977011491</v>
      </c>
      <c r="AR20" s="79"/>
      <c r="AS20" s="113">
        <f t="shared" si="5"/>
        <v>22523.93</v>
      </c>
      <c r="AT20" s="93">
        <f>VLOOKUP($H20,缴费比例!$B:$O,MATCH(AT$1,缴费比例!$B$1:$O$1,0),FALSE)</f>
        <v>180</v>
      </c>
      <c r="AU20" s="93">
        <v>2</v>
      </c>
      <c r="AV20" s="93">
        <f t="shared" si="6"/>
        <v>23247.9</v>
      </c>
      <c r="AW20" s="224" t="s">
        <v>231</v>
      </c>
      <c r="AX20" s="100" t="s">
        <v>155</v>
      </c>
      <c r="AY20" s="116" t="s">
        <v>232</v>
      </c>
      <c r="AZ20" s="206" t="s">
        <v>373</v>
      </c>
      <c r="BA20" s="80" t="str">
        <f t="shared" si="0"/>
        <v>正确</v>
      </c>
    </row>
    <row r="21" spans="1:53">
      <c r="A21" s="74">
        <v>19</v>
      </c>
      <c r="B21" s="75" t="s">
        <v>63</v>
      </c>
      <c r="C21" s="71" t="s">
        <v>61</v>
      </c>
      <c r="D21" s="90" t="s">
        <v>62</v>
      </c>
      <c r="E21" s="76" t="str">
        <f t="shared" si="7"/>
        <v>男</v>
      </c>
      <c r="F21" s="94">
        <f t="shared" si="8"/>
        <v>34157</v>
      </c>
      <c r="G21" s="231">
        <v>18256940817</v>
      </c>
      <c r="H21" s="83" t="s">
        <v>66</v>
      </c>
      <c r="I21" s="87">
        <v>44562</v>
      </c>
      <c r="J21" s="82"/>
      <c r="K21" s="203">
        <f>VLOOKUP(C21,融科!B:N,4,FALSE)</f>
        <v>0.7</v>
      </c>
      <c r="L21" s="203">
        <f>VLOOKUP(C21,融科!B:N,5,FALSE)</f>
        <v>0.3</v>
      </c>
      <c r="M21" s="236">
        <f>VLOOKUP(C21,融科!B:N,6,FALSE)</f>
        <v>9100</v>
      </c>
      <c r="N21" s="236">
        <f>VLOOKUP(C21,融科!B:N,7,FALSE)</f>
        <v>3900</v>
      </c>
      <c r="O21" s="236">
        <f>VLOOKUP(C21,融科!B:N,8,FALSE)</f>
        <v>0</v>
      </c>
      <c r="P21" s="236">
        <f>VLOOKUP(C21,融科!B:N,9,FALSE)</f>
        <v>2000</v>
      </c>
      <c r="Q21" s="236">
        <f>VLOOKUP(C21,融科!B:N,10,FALSE)</f>
        <v>0</v>
      </c>
      <c r="R21" s="236">
        <f>VLOOKUP(C21,融科!B:N,11,FALSE)</f>
        <v>600</v>
      </c>
      <c r="S21" s="236">
        <f>VLOOKUP(C21,融科!B:N,12,FALSE)</f>
        <v>0</v>
      </c>
      <c r="T21" s="237">
        <f>VLOOKUP(C21,融科!B:N,13,FALSE)</f>
        <v>15600</v>
      </c>
      <c r="U21" s="93">
        <f>VLOOKUP($D21,社保!$C:$AF,MATCH(U$1,社保!$C$1:$AF$1,0),FALSE)</f>
        <v>274.39999999999998</v>
      </c>
      <c r="V21" s="93">
        <f>VLOOKUP($D21,社保!$C:$AF,MATCH(V$1,社保!$C$1:$AF$1,0),FALSE)+VLOOKUP($D21,社保!$C:$AF,MATCH("个人大病",社保!$C$1:$AF$1,0),FALSE)</f>
        <v>68.599999999999994</v>
      </c>
      <c r="W21" s="93">
        <f>VLOOKUP($D21,社保!$C:$AF,MATCH(W$1,社保!$C$1:$AF$1,0),FALSE)</f>
        <v>17.149999999999999</v>
      </c>
      <c r="X21" s="93">
        <f t="shared" si="1"/>
        <v>360.15</v>
      </c>
      <c r="Y21" s="93">
        <f>VLOOKUP($D21,社保!$C:$AF,MATCH(Y$1,社保!$C$1:$AF$1,0),FALSE)</f>
        <v>82.5</v>
      </c>
      <c r="Z21" s="93">
        <f t="shared" si="2"/>
        <v>442.65</v>
      </c>
      <c r="AA21" s="191">
        <v>-0.5</v>
      </c>
      <c r="AB21" s="78">
        <f>VLOOKUP($D21,个税系统表!$D:$AN,MATCH(海淀分公司工资表!AB$1,个税系统表!$D$1:$AM$1,0),FALSE)</f>
        <v>30393.1</v>
      </c>
      <c r="AC21" s="78">
        <f>VLOOKUP($D21,个税系统表!$D:$AN,MATCH(海淀分公司工资表!AC$1,个税系统表!$D$1:$AM$1,0),FALSE)</f>
        <v>10000</v>
      </c>
      <c r="AD21" s="78">
        <f>VLOOKUP($D21,个税系统表!$D:$AN,MATCH(海淀分公司工资表!AD$1,个税系统表!$D$1:$AM$1,0),FALSE)</f>
        <v>885.3</v>
      </c>
      <c r="AE21" s="78">
        <f>VLOOKUP($D21,个税系统表!$D:$AN,MATCH(海淀分公司工资表!AE$2,个税系统表!$D$1:$AM$1,0),FALSE)</f>
        <v>0</v>
      </c>
      <c r="AF21" s="78">
        <f>VLOOKUP($D21,个税系统表!$D:$AN,MATCH(海淀分公司工资表!AF$2,个税系统表!$D$1:$AM$1,0),FALSE)</f>
        <v>0</v>
      </c>
      <c r="AG21" s="78">
        <f>VLOOKUP($D21,个税系统表!$D:$AN,MATCH(海淀分公司工资表!AG$2,个税系统表!$D$1:$AM$1,0),FALSE)</f>
        <v>0</v>
      </c>
      <c r="AH21" s="78">
        <f>VLOOKUP($D21,个税系统表!$D:$AN,MATCH(海淀分公司工资表!AH$2,个税系统表!$D$1:$AM$1,0),FALSE)</f>
        <v>0</v>
      </c>
      <c r="AI21" s="78">
        <f>VLOOKUP($D21,个税系统表!$D:$AN,MATCH(海淀分公司工资表!AI$2,个税系统表!$D$1:$AM$1,0),FALSE)</f>
        <v>0</v>
      </c>
      <c r="AJ21" s="77"/>
      <c r="AK21" s="78">
        <f t="shared" si="3"/>
        <v>0</v>
      </c>
      <c r="AL21" s="78">
        <f>VLOOKUP($D21,个税系统表!$D:$AN,MATCH(海淀分公司工资表!AL$1,个税系统表!$D$1:$AM$1,0),FALSE)</f>
        <v>0</v>
      </c>
      <c r="AM21" s="78">
        <f>VLOOKUP($D21,个税系统表!$D:$AN,MATCH(海淀分公司工资表!AM$1,个税系统表!$D$1:$AM$1,0),FALSE)</f>
        <v>19507.8</v>
      </c>
      <c r="AN21" s="78">
        <f>VLOOKUP($D21,个税系统表!$D:$AN,MATCH(海淀分公司工资表!AN$1,个税系统表!$D$1:$AM$1,0),FALSE)</f>
        <v>585.23</v>
      </c>
      <c r="AO21" s="78">
        <f>VLOOKUP($D21,个税系统表!$D:$AN,MATCH(海淀分公司工资表!AO$1,个税系统表!$D$1:$AM$1,0),FALSE)</f>
        <v>280.5</v>
      </c>
      <c r="AP21" s="78">
        <f>VLOOKUP($D21,个税系统表!$D:$AN,MATCH(海淀分公司工资表!AP$1,个税系统表!$D$1:$AM$1,0),FALSE)</f>
        <v>304.73</v>
      </c>
      <c r="AQ21" s="96">
        <f t="shared" si="4"/>
        <v>14853.12</v>
      </c>
      <c r="AR21" s="79"/>
      <c r="AS21" s="113">
        <f t="shared" si="5"/>
        <v>14853.12</v>
      </c>
      <c r="AT21" s="93">
        <f>VLOOKUP($H21,缴费比例!$B:$O,MATCH(AT$1,缴费比例!$B$1:$O$1,0),FALSE)</f>
        <v>180</v>
      </c>
      <c r="AU21" s="93">
        <v>2</v>
      </c>
      <c r="AV21" s="93">
        <f t="shared" si="6"/>
        <v>15339.85</v>
      </c>
      <c r="AW21" s="224" t="s">
        <v>233</v>
      </c>
      <c r="AX21" s="100" t="s">
        <v>155</v>
      </c>
      <c r="AY21" s="116" t="s">
        <v>234</v>
      </c>
      <c r="AZ21" s="206" t="s">
        <v>373</v>
      </c>
      <c r="BA21" s="80" t="str">
        <f t="shared" si="0"/>
        <v>正确</v>
      </c>
    </row>
    <row r="22" spans="1:53">
      <c r="A22" s="74">
        <v>20</v>
      </c>
      <c r="B22" s="75" t="s">
        <v>63</v>
      </c>
      <c r="C22" s="200" t="s">
        <v>261</v>
      </c>
      <c r="D22" s="201" t="s">
        <v>262</v>
      </c>
      <c r="E22" s="76" t="str">
        <f t="shared" si="7"/>
        <v>男</v>
      </c>
      <c r="F22" s="94">
        <f t="shared" si="8"/>
        <v>34262</v>
      </c>
      <c r="G22" s="231">
        <v>17821439952</v>
      </c>
      <c r="H22" s="83" t="s">
        <v>66</v>
      </c>
      <c r="I22" s="87">
        <v>44606</v>
      </c>
      <c r="J22" s="82"/>
      <c r="K22" s="203">
        <f>VLOOKUP(C22,融科!B:N,4,FALSE)</f>
        <v>0.7</v>
      </c>
      <c r="L22" s="203">
        <f>VLOOKUP(C22,融科!B:N,5,FALSE)</f>
        <v>0.3</v>
      </c>
      <c r="M22" s="236">
        <f>VLOOKUP(C22,融科!B:N,6,FALSE)</f>
        <v>7000</v>
      </c>
      <c r="N22" s="236">
        <f>VLOOKUP(C22,融科!B:N,7,FALSE)</f>
        <v>3000</v>
      </c>
      <c r="O22" s="236">
        <f>VLOOKUP(C22,融科!B:N,8,FALSE)</f>
        <v>0</v>
      </c>
      <c r="P22" s="236">
        <f>VLOOKUP(C22,融科!B:N,9,FALSE)</f>
        <v>1000</v>
      </c>
      <c r="Q22" s="236">
        <f>VLOOKUP(C22,融科!B:N,10,FALSE)</f>
        <v>0</v>
      </c>
      <c r="R22" s="236">
        <f>VLOOKUP(C22,融科!B:N,11,FALSE)</f>
        <v>0</v>
      </c>
      <c r="S22" s="236">
        <f>VLOOKUP(C22,融科!B:N,12,FALSE)</f>
        <v>0</v>
      </c>
      <c r="T22" s="237">
        <f>VLOOKUP(C22,融科!B:N,13,FALSE)</f>
        <v>1000</v>
      </c>
      <c r="U22" s="93">
        <f>VLOOKUP($D22,社保!$C:$AF,MATCH(U$1,社保!$C$1:$AF$1,0),FALSE)</f>
        <v>274.39999999999998</v>
      </c>
      <c r="V22" s="93">
        <f>VLOOKUP($D22,社保!$C:$AF,MATCH(V$1,社保!$C$1:$AF$1,0),FALSE)+VLOOKUP($D22,社保!$C:$AF,MATCH("个人大病",社保!$C$1:$AF$1,0),FALSE)</f>
        <v>68.599999999999994</v>
      </c>
      <c r="W22" s="93">
        <f>VLOOKUP($D22,社保!$C:$AF,MATCH(W$1,社保!$C$1:$AF$1,0),FALSE)</f>
        <v>17.149999999999999</v>
      </c>
      <c r="X22" s="93">
        <f t="shared" ref="X22:X37" si="9">SUM(U22:W22)</f>
        <v>360.15</v>
      </c>
      <c r="Y22" s="93">
        <f>VLOOKUP($D22,社保!$C:$AF,MATCH(Y$1,社保!$C$1:$AF$1,0),FALSE)</f>
        <v>82.5</v>
      </c>
      <c r="Z22" s="93">
        <f t="shared" ref="Z22:Z37" si="10">SUM(X22:Y22)</f>
        <v>442.65</v>
      </c>
      <c r="AA22" s="77"/>
      <c r="AB22" s="78">
        <f>VLOOKUP($D22,个税系统表!$D:$AN,MATCH(海淀分公司工资表!AB$1,个税系统表!$D$1:$AM$1,0),FALSE)</f>
        <v>1000</v>
      </c>
      <c r="AC22" s="78">
        <f>VLOOKUP($D22,个税系统表!$D:$AN,MATCH(海淀分公司工资表!AC$1,个税系统表!$D$1:$AM$1,0),FALSE)</f>
        <v>5000</v>
      </c>
      <c r="AD22" s="78">
        <f>VLOOKUP($D22,个税系统表!$D:$AN,MATCH(海淀分公司工资表!AD$1,个税系统表!$D$1:$AM$1,0),FALSE)</f>
        <v>442.65</v>
      </c>
      <c r="AE22" s="78">
        <f>VLOOKUP($D22,个税系统表!$D:$AN,MATCH(海淀分公司工资表!AE$2,个税系统表!$D$1:$AM$1,0),FALSE)</f>
        <v>0</v>
      </c>
      <c r="AF22" s="78">
        <f>VLOOKUP($D22,个税系统表!$D:$AN,MATCH(海淀分公司工资表!AF$2,个税系统表!$D$1:$AM$1,0),FALSE)</f>
        <v>0</v>
      </c>
      <c r="AG22" s="78">
        <f>VLOOKUP($D22,个税系统表!$D:$AN,MATCH(海淀分公司工资表!AG$2,个税系统表!$D$1:$AM$1,0),FALSE)</f>
        <v>0</v>
      </c>
      <c r="AH22" s="78">
        <f>VLOOKUP($D22,个税系统表!$D:$AN,MATCH(海淀分公司工资表!AH$2,个税系统表!$D$1:$AM$1,0),FALSE)</f>
        <v>0</v>
      </c>
      <c r="AI22" s="78">
        <f>VLOOKUP($D22,个税系统表!$D:$AN,MATCH(海淀分公司工资表!AI$2,个税系统表!$D$1:$AM$1,0),FALSE)</f>
        <v>0</v>
      </c>
      <c r="AJ22" s="77"/>
      <c r="AK22" s="78">
        <f t="shared" ref="AK22:AK37" si="11">SUM(AE22:AJ22)</f>
        <v>0</v>
      </c>
      <c r="AL22" s="78">
        <f>VLOOKUP($D22,个税系统表!$D:$AN,MATCH(海淀分公司工资表!AL$1,个税系统表!$D$1:$AM$1,0),FALSE)</f>
        <v>0</v>
      </c>
      <c r="AM22" s="78">
        <f>VLOOKUP($D22,个税系统表!$D:$AN,MATCH(海淀分公司工资表!AM$1,个税系统表!$D$1:$AM$1,0),FALSE)</f>
        <v>0</v>
      </c>
      <c r="AN22" s="78">
        <f>VLOOKUP($D22,个税系统表!$D:$AN,MATCH(海淀分公司工资表!AN$1,个税系统表!$D$1:$AM$1,0),FALSE)</f>
        <v>0</v>
      </c>
      <c r="AO22" s="78">
        <f>VLOOKUP($D22,个税系统表!$D:$AN,MATCH(海淀分公司工资表!AO$1,个税系统表!$D$1:$AM$1,0),FALSE)</f>
        <v>0</v>
      </c>
      <c r="AP22" s="78">
        <f>VLOOKUP($D22,个税系统表!$D:$AN,MATCH(海淀分公司工资表!AP$1,个税系统表!$D$1:$AM$1,0),FALSE)</f>
        <v>0</v>
      </c>
      <c r="AQ22" s="96">
        <f t="shared" ref="AQ22:AQ37" si="12">T22-Z22-AA22-AP22</f>
        <v>557.35</v>
      </c>
      <c r="AR22" s="79"/>
      <c r="AS22" s="113">
        <f t="shared" si="5"/>
        <v>557.35</v>
      </c>
      <c r="AT22" s="93">
        <f>VLOOKUP($H22,缴费比例!$B:$O,MATCH(AT$1,缴费比例!$B$1:$O$1,0),FALSE)</f>
        <v>180</v>
      </c>
      <c r="AU22" s="93">
        <v>2</v>
      </c>
      <c r="AV22" s="93">
        <f t="shared" si="6"/>
        <v>739.35</v>
      </c>
      <c r="AW22" s="99" t="s">
        <v>428</v>
      </c>
      <c r="AX22" s="100" t="s">
        <v>438</v>
      </c>
      <c r="AY22" s="100" t="s">
        <v>429</v>
      </c>
      <c r="AZ22" s="205"/>
      <c r="BA22" s="80" t="str">
        <f t="shared" ref="BA22:BA37" si="13">IF(LEN(D22)=18,IF(RIGHT(D22,1)="X",IF(CHOOSE(MOD(SUM(LEFT(RIGHT(D22,18))*7+LEFT(RIGHT(D22,17))*9+LEFT(RIGHT(D22,16))*10+LEFT(RIGHT(D22,15))*5+LEFT(RIGHT(D22,14))*8+LEFT(RIGHT(D22,13))*4+LEFT(RIGHT(D22,12))*2+LEFT(RIGHT(D22,11))*1+LEFT(RIGHT(D22,10))*6+LEFT(RIGHT(D22,9))*3+LEFT(RIGHT(D22,8))*7+LEFT(RIGHT(D22,7))*9+LEFT(RIGHT(D22,6))*10+LEFT(RIGHT(D22,5))*5+LEFT(RIGHT(D22,4))*8+LEFT(RIGHT(D22,3))*4+LEFT(RIGHT(D22,2))*2),11)+1,1,0,"X",9,8,7,6,5,4,3,2)=LEFT(RIGHT(D22,1)),"正确","错误"),IF(CHOOSE(MOD(SUM(LEFT(RIGHT(D22,18))*7+LEFT(RIGHT(D22,17))*9+LEFT(RIGHT(D22,16))*10+LEFT(RIGHT(D22,15))*5+LEFT(RIGHT(D22,14))*8+LEFT(RIGHT(D22,13))*4+LEFT(RIGHT(D22,12))*2+LEFT(RIGHT(D22,11))*1+LEFT(RIGHT(D22,10))*6+LEFT(RIGHT(D22,9))*3+LEFT(RIGHT(D22,8))*7+LEFT(RIGHT(D22,7))*9+LEFT(RIGHT(D22,6))*10+LEFT(RIGHT(D22,5))*5+LEFT(RIGHT(D22,4))*8+LEFT(RIGHT(D22,3))*4+LEFT(RIGHT(D22,2))*2),11)+1,1,0,"X",9,8,7,6,5,4,3,2)=LEFT(RIGHT(D22,1))*1,"正确","错误")),IF(LEN(D22)=15,"老号，请注意！",IF(LEN(D22)=0,"未填写身份证号码","位数不对！")))</f>
        <v>正确</v>
      </c>
    </row>
    <row r="23" spans="1:53">
      <c r="A23" s="74">
        <v>21</v>
      </c>
      <c r="B23" s="75" t="s">
        <v>63</v>
      </c>
      <c r="C23" s="200" t="s">
        <v>263</v>
      </c>
      <c r="D23" s="201" t="s">
        <v>264</v>
      </c>
      <c r="E23" s="76" t="str">
        <f t="shared" ref="E23:E37" si="14">IF(VALUE(MID(D23,17,1))/2=INT(VALUE(MID(D23,17,1))/2),"女","男")</f>
        <v>男</v>
      </c>
      <c r="F23" s="94">
        <f t="shared" ref="F23:F37" si="15">DATE(MID(D23,7,4),MID(D23,11,2),MID(D23,13,2))</f>
        <v>34984</v>
      </c>
      <c r="G23" s="231" t="s">
        <v>409</v>
      </c>
      <c r="H23" s="83" t="s">
        <v>66</v>
      </c>
      <c r="I23" s="87">
        <v>44614</v>
      </c>
      <c r="J23" s="82"/>
      <c r="K23" s="203">
        <f>VLOOKUP(C23,融科!B:N,4,FALSE)</f>
        <v>0.7</v>
      </c>
      <c r="L23" s="203">
        <f>VLOOKUP(C23,融科!B:N,5,FALSE)</f>
        <v>0.3</v>
      </c>
      <c r="M23" s="236">
        <f>VLOOKUP(C23,融科!B:N,6,FALSE)</f>
        <v>9800</v>
      </c>
      <c r="N23" s="236">
        <f>VLOOKUP(C23,融科!B:N,7,FALSE)</f>
        <v>4200</v>
      </c>
      <c r="O23" s="236">
        <f>VLOOKUP(C23,融科!B:N,8,FALSE)</f>
        <v>0</v>
      </c>
      <c r="P23" s="236">
        <f>VLOOKUP(C23,融科!B:N,9,FALSE)</f>
        <v>1000</v>
      </c>
      <c r="Q23" s="236">
        <f>VLOOKUP(C23,融科!B:N,10,FALSE)</f>
        <v>0</v>
      </c>
      <c r="R23" s="236">
        <f>VLOOKUP(C23,融科!B:N,11,FALSE)</f>
        <v>0</v>
      </c>
      <c r="S23" s="236">
        <f>VLOOKUP(C23,融科!B:N,12,FALSE)</f>
        <v>0</v>
      </c>
      <c r="T23" s="237">
        <f>VLOOKUP(C23,融科!B:N,13,FALSE)</f>
        <v>1000</v>
      </c>
      <c r="U23" s="93">
        <f>VLOOKUP($D23,社保!$C:$AF,MATCH(U$1,社保!$C$1:$AF$1,0),FALSE)</f>
        <v>274.39999999999998</v>
      </c>
      <c r="V23" s="93">
        <f>VLOOKUP($D23,社保!$C:$AF,MATCH(V$1,社保!$C$1:$AF$1,0),FALSE)+VLOOKUP($D23,社保!$C:$AF,MATCH("个人大病",社保!$C$1:$AF$1,0),FALSE)</f>
        <v>68.599999999999994</v>
      </c>
      <c r="W23" s="93">
        <f>VLOOKUP($D23,社保!$C:$AF,MATCH(W$1,社保!$C$1:$AF$1,0),FALSE)</f>
        <v>17.149999999999999</v>
      </c>
      <c r="X23" s="93">
        <f t="shared" si="9"/>
        <v>360.15</v>
      </c>
      <c r="Y23" s="93">
        <f>VLOOKUP($D23,社保!$C:$AF,MATCH(Y$1,社保!$C$1:$AF$1,0),FALSE)</f>
        <v>82.5</v>
      </c>
      <c r="Z23" s="93">
        <f t="shared" si="10"/>
        <v>442.65</v>
      </c>
      <c r="AA23" s="77"/>
      <c r="AB23" s="78">
        <f>VLOOKUP($D23,个税系统表!$D:$AN,MATCH(海淀分公司工资表!AB$1,个税系统表!$D$1:$AM$1,0),FALSE)</f>
        <v>1000</v>
      </c>
      <c r="AC23" s="78">
        <f>VLOOKUP($D23,个税系统表!$D:$AN,MATCH(海淀分公司工资表!AC$1,个税系统表!$D$1:$AM$1,0),FALSE)</f>
        <v>5000</v>
      </c>
      <c r="AD23" s="78">
        <f>VLOOKUP($D23,个税系统表!$D:$AN,MATCH(海淀分公司工资表!AD$1,个税系统表!$D$1:$AM$1,0),FALSE)</f>
        <v>442.65</v>
      </c>
      <c r="AE23" s="78">
        <f>VLOOKUP($D23,个税系统表!$D:$AN,MATCH(海淀分公司工资表!AE$2,个税系统表!$D$1:$AM$1,0),FALSE)</f>
        <v>0</v>
      </c>
      <c r="AF23" s="78">
        <f>VLOOKUP($D23,个税系统表!$D:$AN,MATCH(海淀分公司工资表!AF$2,个税系统表!$D$1:$AM$1,0),FALSE)</f>
        <v>0</v>
      </c>
      <c r="AG23" s="78">
        <f>VLOOKUP($D23,个税系统表!$D:$AN,MATCH(海淀分公司工资表!AG$2,个税系统表!$D$1:$AM$1,0),FALSE)</f>
        <v>0</v>
      </c>
      <c r="AH23" s="78">
        <f>VLOOKUP($D23,个税系统表!$D:$AN,MATCH(海淀分公司工资表!AH$2,个税系统表!$D$1:$AM$1,0),FALSE)</f>
        <v>0</v>
      </c>
      <c r="AI23" s="78">
        <f>VLOOKUP($D23,个税系统表!$D:$AN,MATCH(海淀分公司工资表!AI$2,个税系统表!$D$1:$AM$1,0),FALSE)</f>
        <v>0</v>
      </c>
      <c r="AJ23" s="77"/>
      <c r="AK23" s="78">
        <f t="shared" si="11"/>
        <v>0</v>
      </c>
      <c r="AL23" s="78">
        <f>VLOOKUP($D23,个税系统表!$D:$AN,MATCH(海淀分公司工资表!AL$1,个税系统表!$D$1:$AM$1,0),FALSE)</f>
        <v>0</v>
      </c>
      <c r="AM23" s="78">
        <f>VLOOKUP($D23,个税系统表!$D:$AN,MATCH(海淀分公司工资表!AM$1,个税系统表!$D$1:$AM$1,0),FALSE)</f>
        <v>0</v>
      </c>
      <c r="AN23" s="78">
        <f>VLOOKUP($D23,个税系统表!$D:$AN,MATCH(海淀分公司工资表!AN$1,个税系统表!$D$1:$AM$1,0),FALSE)</f>
        <v>0</v>
      </c>
      <c r="AO23" s="78">
        <f>VLOOKUP($D23,个税系统表!$D:$AN,MATCH(海淀分公司工资表!AO$1,个税系统表!$D$1:$AM$1,0),FALSE)</f>
        <v>0</v>
      </c>
      <c r="AP23" s="78">
        <f>VLOOKUP($D23,个税系统表!$D:$AN,MATCH(海淀分公司工资表!AP$1,个税系统表!$D$1:$AM$1,0),FALSE)</f>
        <v>0</v>
      </c>
      <c r="AQ23" s="96">
        <f t="shared" si="12"/>
        <v>557.35</v>
      </c>
      <c r="AR23" s="79"/>
      <c r="AS23" s="113">
        <f t="shared" si="5"/>
        <v>557.35</v>
      </c>
      <c r="AT23" s="93">
        <f>VLOOKUP($H23,缴费比例!$B:$O,MATCH(AT$1,缴费比例!$B$1:$O$1,0),FALSE)</f>
        <v>180</v>
      </c>
      <c r="AU23" s="93">
        <v>2</v>
      </c>
      <c r="AV23" s="93">
        <f t="shared" si="6"/>
        <v>739.35</v>
      </c>
      <c r="AW23" s="221" t="s">
        <v>446</v>
      </c>
      <c r="AX23" s="100" t="s">
        <v>402</v>
      </c>
      <c r="AY23" s="100" t="s">
        <v>447</v>
      </c>
      <c r="AZ23" s="205"/>
      <c r="BA23" s="80" t="str">
        <f t="shared" si="13"/>
        <v>正确</v>
      </c>
    </row>
    <row r="24" spans="1:53">
      <c r="A24" s="74">
        <v>22</v>
      </c>
      <c r="B24" s="75" t="s">
        <v>63</v>
      </c>
      <c r="C24" s="200" t="s">
        <v>265</v>
      </c>
      <c r="D24" s="201" t="s">
        <v>405</v>
      </c>
      <c r="E24" s="76" t="str">
        <f t="shared" si="14"/>
        <v>男</v>
      </c>
      <c r="F24" s="94">
        <f t="shared" si="15"/>
        <v>31545</v>
      </c>
      <c r="G24" s="231" t="s">
        <v>410</v>
      </c>
      <c r="H24" s="83" t="s">
        <v>66</v>
      </c>
      <c r="I24" s="87">
        <v>44606</v>
      </c>
      <c r="J24" s="82"/>
      <c r="K24" s="203">
        <f>VLOOKUP(C24,融科!B:N,4,FALSE)</f>
        <v>0.7</v>
      </c>
      <c r="L24" s="203">
        <f>VLOOKUP(C24,融科!B:N,5,FALSE)</f>
        <v>0.3</v>
      </c>
      <c r="M24" s="236">
        <f>VLOOKUP(C24,融科!B:N,6,FALSE)</f>
        <v>8400</v>
      </c>
      <c r="N24" s="236">
        <f>VLOOKUP(C24,融科!B:N,7,FALSE)</f>
        <v>3600</v>
      </c>
      <c r="O24" s="236">
        <f>VLOOKUP(C24,融科!B:N,8,FALSE)</f>
        <v>0</v>
      </c>
      <c r="P24" s="236">
        <f>VLOOKUP(C24,融科!B:N,9,FALSE)</f>
        <v>1000</v>
      </c>
      <c r="Q24" s="236">
        <f>VLOOKUP(C24,融科!B:N,10,FALSE)</f>
        <v>0</v>
      </c>
      <c r="R24" s="236">
        <f>VLOOKUP(C24,融科!B:N,11,FALSE)</f>
        <v>0</v>
      </c>
      <c r="S24" s="236">
        <f>VLOOKUP(C24,融科!B:N,12,FALSE)</f>
        <v>0</v>
      </c>
      <c r="T24" s="237">
        <f>VLOOKUP(C24,融科!B:N,13,FALSE)</f>
        <v>1000</v>
      </c>
      <c r="U24" s="93">
        <f>VLOOKUP($D24,社保!$C:$AF,MATCH(U$1,社保!$C$1:$AF$1,0),FALSE)</f>
        <v>274.39999999999998</v>
      </c>
      <c r="V24" s="93">
        <f>VLOOKUP($D24,社保!$C:$AF,MATCH(V$1,社保!$C$1:$AF$1,0),FALSE)+VLOOKUP($D24,社保!$C:$AF,MATCH("个人大病",社保!$C$1:$AF$1,0),FALSE)</f>
        <v>68.599999999999994</v>
      </c>
      <c r="W24" s="93">
        <f>VLOOKUP($D24,社保!$C:$AF,MATCH(W$1,社保!$C$1:$AF$1,0),FALSE)</f>
        <v>17.149999999999999</v>
      </c>
      <c r="X24" s="93">
        <f t="shared" si="9"/>
        <v>360.15</v>
      </c>
      <c r="Y24" s="93">
        <f>VLOOKUP($D24,社保!$C:$AF,MATCH(Y$1,社保!$C$1:$AF$1,0),FALSE)</f>
        <v>82.5</v>
      </c>
      <c r="Z24" s="93">
        <f t="shared" si="10"/>
        <v>442.65</v>
      </c>
      <c r="AA24" s="77"/>
      <c r="AB24" s="78">
        <f>VLOOKUP($D24,个税系统表!$D:$AN,MATCH(海淀分公司工资表!AB$1,个税系统表!$D$1:$AM$1,0),FALSE)</f>
        <v>1000</v>
      </c>
      <c r="AC24" s="78">
        <f>VLOOKUP($D24,个税系统表!$D:$AN,MATCH(海淀分公司工资表!AC$1,个税系统表!$D$1:$AM$1,0),FALSE)</f>
        <v>5000</v>
      </c>
      <c r="AD24" s="78">
        <f>VLOOKUP($D24,个税系统表!$D:$AN,MATCH(海淀分公司工资表!AD$1,个税系统表!$D$1:$AM$1,0),FALSE)</f>
        <v>442.65</v>
      </c>
      <c r="AE24" s="78">
        <f>VLOOKUP($D24,个税系统表!$D:$AN,MATCH(海淀分公司工资表!AE$2,个税系统表!$D$1:$AM$1,0),FALSE)</f>
        <v>0</v>
      </c>
      <c r="AF24" s="78">
        <f>VLOOKUP($D24,个税系统表!$D:$AN,MATCH(海淀分公司工资表!AF$2,个税系统表!$D$1:$AM$1,0),FALSE)</f>
        <v>0</v>
      </c>
      <c r="AG24" s="78">
        <f>VLOOKUP($D24,个税系统表!$D:$AN,MATCH(海淀分公司工资表!AG$2,个税系统表!$D$1:$AM$1,0),FALSE)</f>
        <v>0</v>
      </c>
      <c r="AH24" s="78">
        <f>VLOOKUP($D24,个税系统表!$D:$AN,MATCH(海淀分公司工资表!AH$2,个税系统表!$D$1:$AM$1,0),FALSE)</f>
        <v>0</v>
      </c>
      <c r="AI24" s="78">
        <f>VLOOKUP($D24,个税系统表!$D:$AN,MATCH(海淀分公司工资表!AI$2,个税系统表!$D$1:$AM$1,0),FALSE)</f>
        <v>0</v>
      </c>
      <c r="AJ24" s="77"/>
      <c r="AK24" s="78">
        <f t="shared" si="11"/>
        <v>0</v>
      </c>
      <c r="AL24" s="78">
        <f>VLOOKUP($D24,个税系统表!$D:$AN,MATCH(海淀分公司工资表!AL$1,个税系统表!$D$1:$AM$1,0),FALSE)</f>
        <v>0</v>
      </c>
      <c r="AM24" s="78">
        <f>VLOOKUP($D24,个税系统表!$D:$AN,MATCH(海淀分公司工资表!AM$1,个税系统表!$D$1:$AM$1,0),FALSE)</f>
        <v>0</v>
      </c>
      <c r="AN24" s="78">
        <f>VLOOKUP($D24,个税系统表!$D:$AN,MATCH(海淀分公司工资表!AN$1,个税系统表!$D$1:$AM$1,0),FALSE)</f>
        <v>0</v>
      </c>
      <c r="AO24" s="78">
        <f>VLOOKUP($D24,个税系统表!$D:$AN,MATCH(海淀分公司工资表!AO$1,个税系统表!$D$1:$AM$1,0),FALSE)</f>
        <v>0</v>
      </c>
      <c r="AP24" s="78">
        <f>VLOOKUP($D24,个税系统表!$D:$AN,MATCH(海淀分公司工资表!AP$1,个税系统表!$D$1:$AM$1,0),FALSE)</f>
        <v>0</v>
      </c>
      <c r="AQ24" s="96">
        <f t="shared" si="12"/>
        <v>557.35</v>
      </c>
      <c r="AR24" s="79"/>
      <c r="AS24" s="113">
        <f t="shared" si="5"/>
        <v>557.35</v>
      </c>
      <c r="AT24" s="93">
        <f>VLOOKUP($H24,缴费比例!$B:$O,MATCH(AT$1,缴费比例!$B$1:$O$1,0),FALSE)</f>
        <v>180</v>
      </c>
      <c r="AU24" s="93">
        <v>2</v>
      </c>
      <c r="AV24" s="93">
        <f t="shared" si="6"/>
        <v>739.35</v>
      </c>
      <c r="AW24" s="99" t="s">
        <v>444</v>
      </c>
      <c r="AX24" s="100" t="s">
        <v>402</v>
      </c>
      <c r="AY24" s="100" t="s">
        <v>445</v>
      </c>
      <c r="AZ24" s="205"/>
      <c r="BA24" s="80" t="str">
        <f>IF(LEN(D24)=18,IF(RIGHT(D24,1)="X",IF(CHOOSE(MOD(SUM(LEFT(RIGHT(D24,18))*7+LEFT(RIGHT(D24,17))*9+LEFT(RIGHT(D24,16))*10+LEFT(RIGHT(D24,15))*5+LEFT(RIGHT(D24,14))*8+LEFT(RIGHT(D24,13))*4+LEFT(RIGHT(D24,12))*2+LEFT(RIGHT(D24,11))*1+LEFT(RIGHT(D24,10))*6+LEFT(RIGHT(D24,9))*3+LEFT(RIGHT(D24,8))*7+LEFT(RIGHT(D24,7))*9+LEFT(RIGHT(D24,6))*10+LEFT(RIGHT(D24,5))*5+LEFT(RIGHT(D24,4))*8+LEFT(RIGHT(D24,3))*4+LEFT(RIGHT(D24,2))*2),11)+1,1,0,"X",9,8,7,6,5,4,3,2)=LEFT(RIGHT(D24,1)),"正确","错误"),IF(CHOOSE(MOD(SUM(LEFT(RIGHT(D24,18))*7+LEFT(RIGHT(D24,17))*9+LEFT(RIGHT(D24,16))*10+LEFT(RIGHT(D24,15))*5+LEFT(RIGHT(D24,14))*8+LEFT(RIGHT(D24,13))*4+LEFT(RIGHT(D24,12))*2+LEFT(RIGHT(D24,11))*1+LEFT(RIGHT(D24,10))*6+LEFT(RIGHT(D24,9))*3+LEFT(RIGHT(D24,8))*7+LEFT(RIGHT(D24,7))*9+LEFT(RIGHT(D24,6))*10+LEFT(RIGHT(D24,5))*5+LEFT(RIGHT(D24,4))*8+LEFT(RIGHT(D24,3))*4+LEFT(RIGHT(D24,2))*2),11)+1,1,0,"X",9,8,7,6,5,4,3,2)=LEFT(RIGHT(D24,1))*1,"正确","错误")),IF(LEN(D24)=15,"老号，请注意！",IF(LEN(D24)=0,"未填写身份证号码","位数不对！")))</f>
        <v>正确</v>
      </c>
    </row>
    <row r="25" spans="1:53">
      <c r="A25" s="74">
        <v>23</v>
      </c>
      <c r="B25" s="75" t="s">
        <v>63</v>
      </c>
      <c r="C25" s="198" t="s">
        <v>259</v>
      </c>
      <c r="D25" s="201" t="s">
        <v>260</v>
      </c>
      <c r="E25" s="76" t="str">
        <f t="shared" si="14"/>
        <v>男</v>
      </c>
      <c r="F25" s="94">
        <f t="shared" si="15"/>
        <v>31028</v>
      </c>
      <c r="G25" s="231" t="s">
        <v>411</v>
      </c>
      <c r="H25" s="83" t="s">
        <v>371</v>
      </c>
      <c r="I25" s="87">
        <v>44593</v>
      </c>
      <c r="J25" s="82"/>
      <c r="K25" s="203">
        <f>VLOOKUP(C25,融科!B:N,4,FALSE)</f>
        <v>0.5</v>
      </c>
      <c r="L25" s="203">
        <f>VLOOKUP(C25,融科!B:N,5,FALSE)</f>
        <v>0.5</v>
      </c>
      <c r="M25" s="236">
        <f>VLOOKUP(C25,融科!B:N,6,FALSE)</f>
        <v>9650</v>
      </c>
      <c r="N25" s="236">
        <f>VLOOKUP(C25,融科!B:N,7,FALSE)</f>
        <v>9650</v>
      </c>
      <c r="O25" s="236">
        <f>VLOOKUP(C25,融科!B:N,8,FALSE)</f>
        <v>0</v>
      </c>
      <c r="P25" s="236">
        <f>VLOOKUP(C25,融科!B:N,9,FALSE)</f>
        <v>0</v>
      </c>
      <c r="Q25" s="236">
        <f>VLOOKUP(C25,融科!B:N,10,FALSE)</f>
        <v>0</v>
      </c>
      <c r="R25" s="236">
        <f>VLOOKUP(C25,融科!B:N,11,FALSE)</f>
        <v>0</v>
      </c>
      <c r="S25" s="236">
        <f>VLOOKUP(C25,融科!B:N,12,FALSE)</f>
        <v>0</v>
      </c>
      <c r="T25" s="237">
        <f>VLOOKUP(C25,融科!B:N,13,FALSE)</f>
        <v>19300</v>
      </c>
      <c r="U25" s="93">
        <f>VLOOKUP($D25,社保!$C:$AF,MATCH(U$1,社保!$C$1:$AF$1,0),FALSE)</f>
        <v>1544</v>
      </c>
      <c r="V25" s="93">
        <f>VLOOKUP($D25,社保!$C:$AF,MATCH(V$1,社保!$C$1:$AF$1,0),FALSE)+VLOOKUP($D25,社保!$C:$AF,MATCH("个人大病",社保!$C$1:$AF$1,0),FALSE)</f>
        <v>389</v>
      </c>
      <c r="W25" s="93">
        <f>VLOOKUP($D25,社保!$C:$AF,MATCH(W$1,社保!$C$1:$AF$1,0),FALSE)</f>
        <v>96.5</v>
      </c>
      <c r="X25" s="93">
        <f t="shared" si="9"/>
        <v>2029.5</v>
      </c>
      <c r="Y25" s="93">
        <f>VLOOKUP($D25,社保!$C:$AF,MATCH(Y$1,社保!$C$1:$AF$1,0),FALSE)</f>
        <v>2316</v>
      </c>
      <c r="Z25" s="93">
        <f t="shared" si="10"/>
        <v>4345.5</v>
      </c>
      <c r="AA25" s="77"/>
      <c r="AB25" s="78">
        <f>VLOOKUP($D25,个税系统表!$D:$AN,MATCH(海淀分公司工资表!AB$1,个税系统表!$D$1:$AM$1,0),FALSE)</f>
        <v>19300</v>
      </c>
      <c r="AC25" s="78">
        <f>VLOOKUP($D25,个税系统表!$D:$AN,MATCH(海淀分公司工资表!AC$1,个税系统表!$D$1:$AM$1,0),FALSE)</f>
        <v>5000</v>
      </c>
      <c r="AD25" s="78">
        <f>VLOOKUP($D25,个税系统表!$D:$AN,MATCH(海淀分公司工资表!AD$1,个税系统表!$D$1:$AM$1,0),FALSE)</f>
        <v>4345.5</v>
      </c>
      <c r="AE25" s="78">
        <f>VLOOKUP($D25,个税系统表!$D:$AN,MATCH(海淀分公司工资表!AE$2,个税系统表!$D$1:$AM$1,0),FALSE)</f>
        <v>0</v>
      </c>
      <c r="AF25" s="78">
        <f>VLOOKUP($D25,个税系统表!$D:$AN,MATCH(海淀分公司工资表!AF$2,个税系统表!$D$1:$AM$1,0),FALSE)</f>
        <v>0</v>
      </c>
      <c r="AG25" s="78">
        <f>VLOOKUP($D25,个税系统表!$D:$AN,MATCH(海淀分公司工资表!AG$2,个税系统表!$D$1:$AM$1,0),FALSE)</f>
        <v>0</v>
      </c>
      <c r="AH25" s="78">
        <f>VLOOKUP($D25,个税系统表!$D:$AN,MATCH(海淀分公司工资表!AH$2,个税系统表!$D$1:$AM$1,0),FALSE)</f>
        <v>0</v>
      </c>
      <c r="AI25" s="78">
        <f>VLOOKUP($D25,个税系统表!$D:$AN,MATCH(海淀分公司工资表!AI$2,个税系统表!$D$1:$AM$1,0),FALSE)</f>
        <v>0</v>
      </c>
      <c r="AJ25" s="77"/>
      <c r="AK25" s="78">
        <f t="shared" si="11"/>
        <v>0</v>
      </c>
      <c r="AL25" s="78">
        <f>VLOOKUP($D25,个税系统表!$D:$AN,MATCH(海淀分公司工资表!AL$1,个税系统表!$D$1:$AM$1,0),FALSE)</f>
        <v>0</v>
      </c>
      <c r="AM25" s="78">
        <f>VLOOKUP($D25,个税系统表!$D:$AN,MATCH(海淀分公司工资表!AM$1,个税系统表!$D$1:$AM$1,0),FALSE)</f>
        <v>9954.5</v>
      </c>
      <c r="AN25" s="78">
        <f>VLOOKUP($D25,个税系统表!$D:$AN,MATCH(海淀分公司工资表!AN$1,个税系统表!$D$1:$AM$1,0),FALSE)</f>
        <v>298.64</v>
      </c>
      <c r="AO25" s="78">
        <f>VLOOKUP($D25,个税系统表!$D:$AN,MATCH(海淀分公司工资表!AO$1,个税系统表!$D$1:$AM$1,0),FALSE)</f>
        <v>0</v>
      </c>
      <c r="AP25" s="78">
        <f>VLOOKUP($D25,个税系统表!$D:$AN,MATCH(海淀分公司工资表!AP$1,个税系统表!$D$1:$AM$1,0),FALSE)</f>
        <v>298.64</v>
      </c>
      <c r="AQ25" s="96">
        <f t="shared" si="12"/>
        <v>14655.86</v>
      </c>
      <c r="AR25" s="79"/>
      <c r="AS25" s="113">
        <f t="shared" si="5"/>
        <v>14655.86</v>
      </c>
      <c r="AT25" s="93">
        <f>VLOOKUP($H25,缴费比例!$B:$O,MATCH(AT$1,缴费比例!$B$1:$O$1,0),FALSE)</f>
        <v>170</v>
      </c>
      <c r="AU25" s="93"/>
      <c r="AV25" s="93">
        <f t="shared" si="6"/>
        <v>15124.5</v>
      </c>
      <c r="AW25" s="99" t="s">
        <v>423</v>
      </c>
      <c r="AX25" s="100" t="s">
        <v>402</v>
      </c>
      <c r="AY25" s="100" t="s">
        <v>424</v>
      </c>
      <c r="AZ25" s="205"/>
      <c r="BA25" s="80" t="str">
        <f t="shared" si="13"/>
        <v>正确</v>
      </c>
    </row>
    <row r="26" spans="1:53">
      <c r="A26" s="74">
        <v>24</v>
      </c>
      <c r="B26" s="75" t="s">
        <v>63</v>
      </c>
      <c r="C26" s="198" t="s">
        <v>239</v>
      </c>
      <c r="D26" s="201" t="s">
        <v>240</v>
      </c>
      <c r="E26" s="76" t="str">
        <f t="shared" si="14"/>
        <v>男</v>
      </c>
      <c r="F26" s="94">
        <f t="shared" si="15"/>
        <v>26459</v>
      </c>
      <c r="G26" s="231" t="s">
        <v>412</v>
      </c>
      <c r="H26" s="83" t="s">
        <v>371</v>
      </c>
      <c r="I26" s="87">
        <v>44593</v>
      </c>
      <c r="J26" s="82"/>
      <c r="K26" s="203">
        <f>VLOOKUP(C26,融科!B:N,4,FALSE)</f>
        <v>0.5</v>
      </c>
      <c r="L26" s="203">
        <f>VLOOKUP(C26,融科!B:N,5,FALSE)</f>
        <v>0.5</v>
      </c>
      <c r="M26" s="236">
        <f>VLOOKUP(C26,融科!B:N,6,FALSE)</f>
        <v>11450</v>
      </c>
      <c r="N26" s="236">
        <f>VLOOKUP(C26,融科!B:N,7,FALSE)</f>
        <v>11450</v>
      </c>
      <c r="O26" s="236">
        <f>VLOOKUP(C26,融科!B:N,8,FALSE)</f>
        <v>0</v>
      </c>
      <c r="P26" s="236">
        <f>VLOOKUP(C26,融科!B:N,9,FALSE)</f>
        <v>0</v>
      </c>
      <c r="Q26" s="236">
        <f>VLOOKUP(C26,融科!B:N,10,FALSE)</f>
        <v>0</v>
      </c>
      <c r="R26" s="236">
        <f>VLOOKUP(C26,融科!B:N,11,FALSE)</f>
        <v>0</v>
      </c>
      <c r="S26" s="236">
        <f>VLOOKUP(C26,融科!B:N,12,FALSE)</f>
        <v>-7499.99</v>
      </c>
      <c r="T26" s="237">
        <f>VLOOKUP(C26,融科!B:N,13,FALSE)</f>
        <v>15400.01</v>
      </c>
      <c r="U26" s="93">
        <f>VLOOKUP($D26,社保!$C:$AF,MATCH(U$1,社保!$C$1:$AF$1,0),FALSE)</f>
        <v>1832</v>
      </c>
      <c r="V26" s="93">
        <f>VLOOKUP($D26,社保!$C:$AF,MATCH(V$1,社保!$C$1:$AF$1,0),FALSE)+VLOOKUP($D26,社保!$C:$AF,MATCH("个人大病",社保!$C$1:$AF$1,0),FALSE)</f>
        <v>461</v>
      </c>
      <c r="W26" s="93">
        <f>VLOOKUP($D26,社保!$C:$AF,MATCH(W$1,社保!$C$1:$AF$1,0),FALSE)</f>
        <v>114.5</v>
      </c>
      <c r="X26" s="93">
        <f t="shared" si="9"/>
        <v>2407.5</v>
      </c>
      <c r="Y26" s="93">
        <f>VLOOKUP($D26,社保!$C:$AF,MATCH(Y$1,社保!$C$1:$AF$1,0),FALSE)</f>
        <v>2748</v>
      </c>
      <c r="Z26" s="93">
        <f t="shared" si="10"/>
        <v>5155.5</v>
      </c>
      <c r="AA26" s="77"/>
      <c r="AB26" s="78">
        <f>VLOOKUP($D26,个税系统表!$D:$AN,MATCH(海淀分公司工资表!AB$1,个税系统表!$D$1:$AM$1,0),FALSE)</f>
        <v>15400.01</v>
      </c>
      <c r="AC26" s="78">
        <f>VLOOKUP($D26,个税系统表!$D:$AN,MATCH(海淀分公司工资表!AC$1,个税系统表!$D$1:$AM$1,0),FALSE)</f>
        <v>5000</v>
      </c>
      <c r="AD26" s="78">
        <f>VLOOKUP($D26,个税系统表!$D:$AN,MATCH(海淀分公司工资表!AD$1,个税系统表!$D$1:$AM$1,0),FALSE)</f>
        <v>5155.5</v>
      </c>
      <c r="AE26" s="78">
        <f>VLOOKUP($D26,个税系统表!$D:$AN,MATCH(海淀分公司工资表!AE$2,个税系统表!$D$1:$AM$1,0),FALSE)</f>
        <v>0</v>
      </c>
      <c r="AF26" s="78">
        <f>VLOOKUP($D26,个税系统表!$D:$AN,MATCH(海淀分公司工资表!AF$2,个税系统表!$D$1:$AM$1,0),FALSE)</f>
        <v>0</v>
      </c>
      <c r="AG26" s="78">
        <f>VLOOKUP($D26,个税系统表!$D:$AN,MATCH(海淀分公司工资表!AG$2,个税系统表!$D$1:$AM$1,0),FALSE)</f>
        <v>0</v>
      </c>
      <c r="AH26" s="78">
        <f>VLOOKUP($D26,个税系统表!$D:$AN,MATCH(海淀分公司工资表!AH$2,个税系统表!$D$1:$AM$1,0),FALSE)</f>
        <v>0</v>
      </c>
      <c r="AI26" s="78">
        <f>VLOOKUP($D26,个税系统表!$D:$AN,MATCH(海淀分公司工资表!AI$2,个税系统表!$D$1:$AM$1,0),FALSE)</f>
        <v>0</v>
      </c>
      <c r="AJ26" s="77"/>
      <c r="AK26" s="78">
        <f t="shared" si="11"/>
        <v>0</v>
      </c>
      <c r="AL26" s="78">
        <f>VLOOKUP($D26,个税系统表!$D:$AN,MATCH(海淀分公司工资表!AL$1,个税系统表!$D$1:$AM$1,0),FALSE)</f>
        <v>0</v>
      </c>
      <c r="AM26" s="78">
        <f>VLOOKUP($D26,个税系统表!$D:$AN,MATCH(海淀分公司工资表!AM$1,个税系统表!$D$1:$AM$1,0),FALSE)</f>
        <v>5244.51</v>
      </c>
      <c r="AN26" s="78">
        <f>VLOOKUP($D26,个税系统表!$D:$AN,MATCH(海淀分公司工资表!AN$1,个税系统表!$D$1:$AM$1,0),FALSE)</f>
        <v>157.34</v>
      </c>
      <c r="AO26" s="78">
        <f>VLOOKUP($D26,个税系统表!$D:$AN,MATCH(海淀分公司工资表!AO$1,个税系统表!$D$1:$AM$1,0),FALSE)</f>
        <v>0</v>
      </c>
      <c r="AP26" s="78">
        <f>VLOOKUP($D26,个税系统表!$D:$AN,MATCH(海淀分公司工资表!AP$1,个税系统表!$D$1:$AM$1,0),FALSE)</f>
        <v>157.34</v>
      </c>
      <c r="AQ26" s="96">
        <f t="shared" si="12"/>
        <v>10087.17</v>
      </c>
      <c r="AR26" s="79"/>
      <c r="AS26" s="113">
        <f t="shared" si="5"/>
        <v>10087.17</v>
      </c>
      <c r="AT26" s="93">
        <f>VLOOKUP($H26,缴费比例!$B:$O,MATCH(AT$1,缴费比例!$B$1:$O$1,0),FALSE)</f>
        <v>170</v>
      </c>
      <c r="AU26" s="93">
        <v>2</v>
      </c>
      <c r="AV26" s="93">
        <f t="shared" si="6"/>
        <v>10416.51</v>
      </c>
      <c r="AW26" s="221" t="s">
        <v>448</v>
      </c>
      <c r="AX26" s="100" t="s">
        <v>403</v>
      </c>
      <c r="AY26" s="100" t="s">
        <v>426</v>
      </c>
      <c r="AZ26" s="205"/>
      <c r="BA26" s="80" t="str">
        <f t="shared" si="13"/>
        <v>正确</v>
      </c>
    </row>
    <row r="27" spans="1:53">
      <c r="A27" s="74">
        <v>25</v>
      </c>
      <c r="B27" s="75" t="s">
        <v>63</v>
      </c>
      <c r="C27" s="198" t="s">
        <v>243</v>
      </c>
      <c r="D27" s="201" t="s">
        <v>244</v>
      </c>
      <c r="E27" s="76" t="str">
        <f t="shared" si="14"/>
        <v>男</v>
      </c>
      <c r="F27" s="94">
        <f t="shared" si="15"/>
        <v>31135</v>
      </c>
      <c r="G27" s="231" t="s">
        <v>413</v>
      </c>
      <c r="H27" s="83" t="s">
        <v>371</v>
      </c>
      <c r="I27" s="87">
        <v>44593</v>
      </c>
      <c r="J27" s="82"/>
      <c r="K27" s="203">
        <f>VLOOKUP(C27,融科!B:N,4,FALSE)</f>
        <v>0.5</v>
      </c>
      <c r="L27" s="203">
        <f>VLOOKUP(C27,融科!B:N,5,FALSE)</f>
        <v>0.5</v>
      </c>
      <c r="M27" s="236">
        <f>VLOOKUP(C27,融科!B:N,6,FALSE)</f>
        <v>13550</v>
      </c>
      <c r="N27" s="236">
        <f>VLOOKUP(C27,融科!B:N,7,FALSE)</f>
        <v>13550</v>
      </c>
      <c r="O27" s="236">
        <f>VLOOKUP(C27,融科!B:N,8,FALSE)</f>
        <v>0</v>
      </c>
      <c r="P27" s="236">
        <f>VLOOKUP(C27,融科!B:N,9,FALSE)</f>
        <v>0</v>
      </c>
      <c r="Q27" s="236">
        <f>VLOOKUP(C27,融科!B:N,10,FALSE)</f>
        <v>0</v>
      </c>
      <c r="R27" s="236">
        <f>VLOOKUP(C27,融科!B:N,11,FALSE)</f>
        <v>0</v>
      </c>
      <c r="S27" s="236">
        <f>VLOOKUP(C27,融科!B:N,12,FALSE)</f>
        <v>-7499.99</v>
      </c>
      <c r="T27" s="237">
        <f>VLOOKUP(C27,融科!B:N,13,FALSE)</f>
        <v>19600.010000000002</v>
      </c>
      <c r="U27" s="93">
        <f>VLOOKUP($D27,社保!$C:$AF,MATCH(U$1,社保!$C$1:$AF$1,0),FALSE)</f>
        <v>428.8</v>
      </c>
      <c r="V27" s="93">
        <f>VLOOKUP($D27,社保!$C:$AF,MATCH(V$1,社保!$C$1:$AF$1,0),FALSE)+VLOOKUP($D27,社保!$C:$AF,MATCH("个人大病",社保!$C$1:$AF$1,0),FALSE)</f>
        <v>110.2</v>
      </c>
      <c r="W27" s="93">
        <f>VLOOKUP($D27,社保!$C:$AF,MATCH(W$1,社保!$C$1:$AF$1,0),FALSE)</f>
        <v>26.8</v>
      </c>
      <c r="X27" s="93">
        <f t="shared" si="9"/>
        <v>565.79999999999995</v>
      </c>
      <c r="Y27" s="93">
        <f>VLOOKUP($D27,社保!$C:$AF,MATCH(Y$1,社保!$C$1:$AF$1,0),FALSE)</f>
        <v>3252</v>
      </c>
      <c r="Z27" s="93">
        <f t="shared" si="10"/>
        <v>3817.8</v>
      </c>
      <c r="AA27" s="77"/>
      <c r="AB27" s="78">
        <f>VLOOKUP($D27,个税系统表!$D:$AN,MATCH(海淀分公司工资表!AB$1,个税系统表!$D$1:$AM$1,0),FALSE)</f>
        <v>19600.009999999998</v>
      </c>
      <c r="AC27" s="78">
        <f>VLOOKUP($D27,个税系统表!$D:$AN,MATCH(海淀分公司工资表!AC$1,个税系统表!$D$1:$AM$1,0),FALSE)</f>
        <v>5000</v>
      </c>
      <c r="AD27" s="78">
        <f>VLOOKUP($D27,个税系统表!$D:$AN,MATCH(海淀分公司工资表!AD$1,个税系统表!$D$1:$AM$1,0),FALSE)</f>
        <v>3817.8</v>
      </c>
      <c r="AE27" s="78">
        <f>VLOOKUP($D27,个税系统表!$D:$AN,MATCH(海淀分公司工资表!AE$2,个税系统表!$D$1:$AM$1,0),FALSE)</f>
        <v>0</v>
      </c>
      <c r="AF27" s="78">
        <f>VLOOKUP($D27,个税系统表!$D:$AN,MATCH(海淀分公司工资表!AF$2,个税系统表!$D$1:$AM$1,0),FALSE)</f>
        <v>0</v>
      </c>
      <c r="AG27" s="78">
        <f>VLOOKUP($D27,个税系统表!$D:$AN,MATCH(海淀分公司工资表!AG$2,个税系统表!$D$1:$AM$1,0),FALSE)</f>
        <v>0</v>
      </c>
      <c r="AH27" s="78">
        <f>VLOOKUP($D27,个税系统表!$D:$AN,MATCH(海淀分公司工资表!AH$2,个税系统表!$D$1:$AM$1,0),FALSE)</f>
        <v>0</v>
      </c>
      <c r="AI27" s="78">
        <f>VLOOKUP($D27,个税系统表!$D:$AN,MATCH(海淀分公司工资表!AI$2,个税系统表!$D$1:$AM$1,0),FALSE)</f>
        <v>0</v>
      </c>
      <c r="AJ27" s="77"/>
      <c r="AK27" s="78">
        <f t="shared" si="11"/>
        <v>0</v>
      </c>
      <c r="AL27" s="78">
        <f>VLOOKUP($D27,个税系统表!$D:$AN,MATCH(海淀分公司工资表!AL$1,个税系统表!$D$1:$AM$1,0),FALSE)</f>
        <v>0</v>
      </c>
      <c r="AM27" s="78">
        <f>VLOOKUP($D27,个税系统表!$D:$AN,MATCH(海淀分公司工资表!AM$1,个税系统表!$D$1:$AM$1,0),FALSE)</f>
        <v>10782.21</v>
      </c>
      <c r="AN27" s="78">
        <f>VLOOKUP($D27,个税系统表!$D:$AN,MATCH(海淀分公司工资表!AN$1,个税系统表!$D$1:$AM$1,0),FALSE)</f>
        <v>323.47000000000003</v>
      </c>
      <c r="AO27" s="78">
        <f>VLOOKUP($D27,个税系统表!$D:$AN,MATCH(海淀分公司工资表!AO$1,个税系统表!$D$1:$AM$1,0),FALSE)</f>
        <v>0</v>
      </c>
      <c r="AP27" s="78">
        <f>VLOOKUP($D27,个税系统表!$D:$AN,MATCH(海淀分公司工资表!AP$1,个税系统表!$D$1:$AM$1,0),FALSE)</f>
        <v>323.47000000000003</v>
      </c>
      <c r="AQ27" s="96">
        <f t="shared" si="12"/>
        <v>15458.740000000003</v>
      </c>
      <c r="AR27" s="79"/>
      <c r="AS27" s="113">
        <f t="shared" si="5"/>
        <v>15458.74</v>
      </c>
      <c r="AT27" s="93">
        <f>VLOOKUP($H27,缴费比例!$B:$O,MATCH(AT$1,缴费比例!$B$1:$O$1,0),FALSE)</f>
        <v>170</v>
      </c>
      <c r="AU27" s="93"/>
      <c r="AV27" s="93">
        <f t="shared" si="6"/>
        <v>15952.21</v>
      </c>
      <c r="AW27" s="221" t="s">
        <v>449</v>
      </c>
      <c r="AX27" s="100" t="s">
        <v>402</v>
      </c>
      <c r="AY27" s="100" t="s">
        <v>450</v>
      </c>
      <c r="AZ27" s="205"/>
      <c r="BA27" s="80" t="str">
        <f t="shared" si="13"/>
        <v>正确</v>
      </c>
    </row>
    <row r="28" spans="1:53">
      <c r="A28" s="74">
        <v>26</v>
      </c>
      <c r="B28" s="75" t="s">
        <v>63</v>
      </c>
      <c r="C28" s="198" t="s">
        <v>237</v>
      </c>
      <c r="D28" s="201" t="s">
        <v>238</v>
      </c>
      <c r="E28" s="76" t="str">
        <f t="shared" si="14"/>
        <v>男</v>
      </c>
      <c r="F28" s="94">
        <f t="shared" si="15"/>
        <v>30068</v>
      </c>
      <c r="G28" s="231">
        <v>19910781408</v>
      </c>
      <c r="H28" s="83" t="s">
        <v>371</v>
      </c>
      <c r="I28" s="87">
        <v>44562</v>
      </c>
      <c r="J28" s="82"/>
      <c r="K28" s="203">
        <f>VLOOKUP(C28,融科!B:N,4,FALSE)</f>
        <v>0.5</v>
      </c>
      <c r="L28" s="203">
        <f>VLOOKUP(C28,融科!B:N,5,FALSE)</f>
        <v>0.5</v>
      </c>
      <c r="M28" s="236">
        <f>VLOOKUP(C28,融科!B:N,6,FALSE)</f>
        <v>11450</v>
      </c>
      <c r="N28" s="236">
        <f>VLOOKUP(C28,融科!B:N,7,FALSE)</f>
        <v>11450</v>
      </c>
      <c r="O28" s="236">
        <f>VLOOKUP(C28,融科!B:N,8,FALSE)</f>
        <v>0</v>
      </c>
      <c r="P28" s="236">
        <f>VLOOKUP(C28,融科!B:N,9,FALSE)</f>
        <v>0</v>
      </c>
      <c r="Q28" s="236">
        <f>VLOOKUP(C28,融科!B:N,10,FALSE)</f>
        <v>0</v>
      </c>
      <c r="R28" s="236">
        <f>VLOOKUP(C28,融科!B:N,11,FALSE)</f>
        <v>0</v>
      </c>
      <c r="S28" s="236">
        <f>VLOOKUP(C28,融科!B:N,12,FALSE)</f>
        <v>-7499.99</v>
      </c>
      <c r="T28" s="237">
        <f>VLOOKUP(C28,融科!B:N,13,FALSE)</f>
        <v>15400.01</v>
      </c>
      <c r="U28" s="93">
        <f>VLOOKUP($D28,社保!$C:$AF,MATCH(U$1,社保!$C$1:$AF$1,0),FALSE)</f>
        <v>1832</v>
      </c>
      <c r="V28" s="93">
        <f>VLOOKUP($D28,社保!$C:$AF,MATCH(V$1,社保!$C$1:$AF$1,0),FALSE)+VLOOKUP($D28,社保!$C:$AF,MATCH("个人大病",社保!$C$1:$AF$1,0),FALSE)</f>
        <v>461</v>
      </c>
      <c r="W28" s="93">
        <f>VLOOKUP($D28,社保!$C:$AF,MATCH(W$1,社保!$C$1:$AF$1,0),FALSE)</f>
        <v>114.5</v>
      </c>
      <c r="X28" s="93">
        <f t="shared" si="9"/>
        <v>2407.5</v>
      </c>
      <c r="Y28" s="93">
        <f>VLOOKUP($D28,社保!$C:$AF,MATCH(Y$1,社保!$C$1:$AF$1,0),FALSE)</f>
        <v>2748</v>
      </c>
      <c r="Z28" s="93">
        <f t="shared" si="10"/>
        <v>5155.5</v>
      </c>
      <c r="AA28" s="77"/>
      <c r="AB28" s="78">
        <f>VLOOKUP($D28,个税系统表!$D:$AN,MATCH(海淀分公司工资表!AB$1,个税系统表!$D$1:$AM$1,0),FALSE)</f>
        <v>15400.01</v>
      </c>
      <c r="AC28" s="78">
        <f>VLOOKUP($D28,个税系统表!$D:$AN,MATCH(海淀分公司工资表!AC$1,个税系统表!$D$1:$AM$1,0),FALSE)</f>
        <v>10000</v>
      </c>
      <c r="AD28" s="78">
        <f>VLOOKUP($D28,个税系统表!$D:$AN,MATCH(海淀分公司工资表!AD$1,个税系统表!$D$1:$AM$1,0),FALSE)</f>
        <v>5155.5</v>
      </c>
      <c r="AE28" s="78">
        <f>VLOOKUP($D28,个税系统表!$D:$AN,MATCH(海淀分公司工资表!AE$2,个税系统表!$D$1:$AM$1,0),FALSE)</f>
        <v>0</v>
      </c>
      <c r="AF28" s="78">
        <f>VLOOKUP($D28,个税系统表!$D:$AN,MATCH(海淀分公司工资表!AF$2,个税系统表!$D$1:$AM$1,0),FALSE)</f>
        <v>0</v>
      </c>
      <c r="AG28" s="78">
        <f>VLOOKUP($D28,个税系统表!$D:$AN,MATCH(海淀分公司工资表!AG$2,个税系统表!$D$1:$AM$1,0),FALSE)</f>
        <v>0</v>
      </c>
      <c r="AH28" s="78">
        <f>VLOOKUP($D28,个税系统表!$D:$AN,MATCH(海淀分公司工资表!AH$2,个税系统表!$D$1:$AM$1,0),FALSE)</f>
        <v>0</v>
      </c>
      <c r="AI28" s="78">
        <f>VLOOKUP($D28,个税系统表!$D:$AN,MATCH(海淀分公司工资表!AI$2,个税系统表!$D$1:$AM$1,0),FALSE)</f>
        <v>0</v>
      </c>
      <c r="AJ28" s="77"/>
      <c r="AK28" s="78">
        <f t="shared" si="11"/>
        <v>0</v>
      </c>
      <c r="AL28" s="78">
        <f>VLOOKUP($D28,个税系统表!$D:$AN,MATCH(海淀分公司工资表!AL$1,个税系统表!$D$1:$AM$1,0),FALSE)</f>
        <v>0</v>
      </c>
      <c r="AM28" s="78">
        <f>VLOOKUP($D28,个税系统表!$D:$AN,MATCH(海淀分公司工资表!AM$1,个税系统表!$D$1:$AM$1,0),FALSE)</f>
        <v>244.51</v>
      </c>
      <c r="AN28" s="78">
        <f>VLOOKUP($D28,个税系统表!$D:$AN,MATCH(海淀分公司工资表!AN$1,个税系统表!$D$1:$AM$1,0),FALSE)</f>
        <v>7.34</v>
      </c>
      <c r="AO28" s="78">
        <f>VLOOKUP($D28,个税系统表!$D:$AN,MATCH(海淀分公司工资表!AO$1,个税系统表!$D$1:$AM$1,0),FALSE)</f>
        <v>0</v>
      </c>
      <c r="AP28" s="78">
        <f>VLOOKUP($D28,个税系统表!$D:$AN,MATCH(海淀分公司工资表!AP$1,个税系统表!$D$1:$AM$1,0),FALSE)</f>
        <v>7.34</v>
      </c>
      <c r="AQ28" s="96">
        <f t="shared" si="12"/>
        <v>10237.17</v>
      </c>
      <c r="AR28" s="79"/>
      <c r="AS28" s="113">
        <f t="shared" si="5"/>
        <v>10237.17</v>
      </c>
      <c r="AT28" s="93">
        <f>VLOOKUP($H28,缴费比例!$B:$O,MATCH(AT$1,缴费比例!$B$1:$O$1,0),FALSE)</f>
        <v>170</v>
      </c>
      <c r="AU28" s="93">
        <v>2</v>
      </c>
      <c r="AV28" s="93">
        <f t="shared" si="6"/>
        <v>10416.51</v>
      </c>
      <c r="AW28" s="99" t="s">
        <v>425</v>
      </c>
      <c r="AX28" s="100" t="s">
        <v>439</v>
      </c>
      <c r="AY28" s="100" t="s">
        <v>427</v>
      </c>
      <c r="AZ28" s="205"/>
      <c r="BA28" s="80" t="str">
        <f t="shared" si="13"/>
        <v>正确</v>
      </c>
    </row>
    <row r="29" spans="1:53">
      <c r="A29" s="74">
        <v>27</v>
      </c>
      <c r="B29" s="75" t="s">
        <v>63</v>
      </c>
      <c r="C29" s="198" t="s">
        <v>245</v>
      </c>
      <c r="D29" s="201" t="s">
        <v>246</v>
      </c>
      <c r="E29" s="76" t="str">
        <f t="shared" si="14"/>
        <v>男</v>
      </c>
      <c r="F29" s="94">
        <f t="shared" si="15"/>
        <v>31243</v>
      </c>
      <c r="G29" s="231" t="s">
        <v>414</v>
      </c>
      <c r="H29" s="83" t="s">
        <v>371</v>
      </c>
      <c r="I29" s="87">
        <v>44593</v>
      </c>
      <c r="J29" s="82"/>
      <c r="K29" s="203">
        <f>VLOOKUP(C29,融科!B:N,4,FALSE)</f>
        <v>0.5</v>
      </c>
      <c r="L29" s="203">
        <f>VLOOKUP(C29,融科!B:N,5,FALSE)</f>
        <v>0.5</v>
      </c>
      <c r="M29" s="236">
        <f>VLOOKUP(C29,融科!B:N,6,FALSE)</f>
        <v>10850</v>
      </c>
      <c r="N29" s="236">
        <f>VLOOKUP(C29,融科!B:N,7,FALSE)</f>
        <v>10850</v>
      </c>
      <c r="O29" s="236">
        <f>VLOOKUP(C29,融科!B:N,8,FALSE)</f>
        <v>0</v>
      </c>
      <c r="P29" s="236">
        <f>VLOOKUP(C29,融科!B:N,9,FALSE)</f>
        <v>0</v>
      </c>
      <c r="Q29" s="236">
        <f>VLOOKUP(C29,融科!B:N,10,FALSE)</f>
        <v>0</v>
      </c>
      <c r="R29" s="236">
        <f>VLOOKUP(C29,融科!B:N,11,FALSE)</f>
        <v>0</v>
      </c>
      <c r="S29" s="236">
        <f>VLOOKUP(C29,融科!B:N,12,FALSE)</f>
        <v>-2500</v>
      </c>
      <c r="T29" s="237">
        <f>VLOOKUP(C29,融科!B:N,13,FALSE)</f>
        <v>19200</v>
      </c>
      <c r="U29" s="93">
        <f>VLOOKUP($D29,社保!$C:$AF,MATCH(U$1,社保!$C$1:$AF$1,0),FALSE)</f>
        <v>1736</v>
      </c>
      <c r="V29" s="93">
        <f>VLOOKUP($D29,社保!$C:$AF,MATCH(V$1,社保!$C$1:$AF$1,0),FALSE)+VLOOKUP($D29,社保!$C:$AF,MATCH("个人大病",社保!$C$1:$AF$1,0),FALSE)</f>
        <v>437</v>
      </c>
      <c r="W29" s="93">
        <f>VLOOKUP($D29,社保!$C:$AF,MATCH(W$1,社保!$C$1:$AF$1,0),FALSE)</f>
        <v>108.5</v>
      </c>
      <c r="X29" s="93">
        <f t="shared" si="9"/>
        <v>2281.5</v>
      </c>
      <c r="Y29" s="93">
        <f>VLOOKUP($D29,社保!$C:$AF,MATCH(Y$1,社保!$C$1:$AF$1,0),FALSE)</f>
        <v>2604</v>
      </c>
      <c r="Z29" s="93">
        <f t="shared" si="10"/>
        <v>4885.5</v>
      </c>
      <c r="AA29" s="77"/>
      <c r="AB29" s="78">
        <f>VLOOKUP($D29,个税系统表!$D:$AN,MATCH(海淀分公司工资表!AB$1,个税系统表!$D$1:$AM$1,0),FALSE)</f>
        <v>19200</v>
      </c>
      <c r="AC29" s="78">
        <f>VLOOKUP($D29,个税系统表!$D:$AN,MATCH(海淀分公司工资表!AC$1,个税系统表!$D$1:$AM$1,0),FALSE)</f>
        <v>5000</v>
      </c>
      <c r="AD29" s="78">
        <f>VLOOKUP($D29,个税系统表!$D:$AN,MATCH(海淀分公司工资表!AD$1,个税系统表!$D$1:$AM$1,0),FALSE)</f>
        <v>4885.5</v>
      </c>
      <c r="AE29" s="78">
        <f>VLOOKUP($D29,个税系统表!$D:$AN,MATCH(海淀分公司工资表!AE$2,个税系统表!$D$1:$AM$1,0),FALSE)</f>
        <v>0</v>
      </c>
      <c r="AF29" s="78">
        <f>VLOOKUP($D29,个税系统表!$D:$AN,MATCH(海淀分公司工资表!AF$2,个税系统表!$D$1:$AM$1,0),FALSE)</f>
        <v>0</v>
      </c>
      <c r="AG29" s="78">
        <f>VLOOKUP($D29,个税系统表!$D:$AN,MATCH(海淀分公司工资表!AG$2,个税系统表!$D$1:$AM$1,0),FALSE)</f>
        <v>0</v>
      </c>
      <c r="AH29" s="78">
        <f>VLOOKUP($D29,个税系统表!$D:$AN,MATCH(海淀分公司工资表!AH$2,个税系统表!$D$1:$AM$1,0),FALSE)</f>
        <v>0</v>
      </c>
      <c r="AI29" s="78">
        <f>VLOOKUP($D29,个税系统表!$D:$AN,MATCH(海淀分公司工资表!AI$2,个税系统表!$D$1:$AM$1,0),FALSE)</f>
        <v>0</v>
      </c>
      <c r="AJ29" s="77"/>
      <c r="AK29" s="78">
        <f t="shared" si="11"/>
        <v>0</v>
      </c>
      <c r="AL29" s="78">
        <f>VLOOKUP($D29,个税系统表!$D:$AN,MATCH(海淀分公司工资表!AL$1,个税系统表!$D$1:$AM$1,0),FALSE)</f>
        <v>0</v>
      </c>
      <c r="AM29" s="78">
        <f>VLOOKUP($D29,个税系统表!$D:$AN,MATCH(海淀分公司工资表!AM$1,个税系统表!$D$1:$AM$1,0),FALSE)</f>
        <v>9314.5</v>
      </c>
      <c r="AN29" s="78">
        <f>VLOOKUP($D29,个税系统表!$D:$AN,MATCH(海淀分公司工资表!AN$1,个税系统表!$D$1:$AM$1,0),FALSE)</f>
        <v>279.44</v>
      </c>
      <c r="AO29" s="78">
        <f>VLOOKUP($D29,个税系统表!$D:$AN,MATCH(海淀分公司工资表!AO$1,个税系统表!$D$1:$AM$1,0),FALSE)</f>
        <v>0</v>
      </c>
      <c r="AP29" s="78">
        <f>VLOOKUP($D29,个税系统表!$D:$AN,MATCH(海淀分公司工资表!AP$1,个税系统表!$D$1:$AM$1,0),FALSE)</f>
        <v>279.44</v>
      </c>
      <c r="AQ29" s="96">
        <f t="shared" si="12"/>
        <v>14035.06</v>
      </c>
      <c r="AR29" s="79"/>
      <c r="AS29" s="113">
        <f t="shared" si="5"/>
        <v>14035.06</v>
      </c>
      <c r="AT29" s="93">
        <f>VLOOKUP($H29,缴费比例!$B:$O,MATCH(AT$1,缴费比例!$B$1:$O$1,0),FALSE)</f>
        <v>170</v>
      </c>
      <c r="AU29" s="93"/>
      <c r="AV29" s="93">
        <f t="shared" si="6"/>
        <v>14484.5</v>
      </c>
      <c r="AW29" s="99" t="s">
        <v>430</v>
      </c>
      <c r="AX29" s="100" t="s">
        <v>440</v>
      </c>
      <c r="AY29" s="100" t="s">
        <v>431</v>
      </c>
      <c r="AZ29" s="205"/>
      <c r="BA29" s="80" t="str">
        <f t="shared" si="13"/>
        <v>正确</v>
      </c>
    </row>
    <row r="30" spans="1:53">
      <c r="A30" s="74">
        <v>28</v>
      </c>
      <c r="B30" s="75" t="s">
        <v>63</v>
      </c>
      <c r="C30" s="198" t="s">
        <v>241</v>
      </c>
      <c r="D30" s="201" t="s">
        <v>242</v>
      </c>
      <c r="E30" s="76" t="str">
        <f t="shared" si="14"/>
        <v>男</v>
      </c>
      <c r="F30" s="94">
        <f t="shared" si="15"/>
        <v>29542</v>
      </c>
      <c r="G30" s="231" t="s">
        <v>415</v>
      </c>
      <c r="H30" s="83" t="s">
        <v>371</v>
      </c>
      <c r="I30" s="87">
        <v>44593</v>
      </c>
      <c r="J30" s="82"/>
      <c r="K30" s="203">
        <f>VLOOKUP(C30,融科!B:N,4,FALSE)</f>
        <v>0.5</v>
      </c>
      <c r="L30" s="203">
        <f>VLOOKUP(C30,融科!B:N,5,FALSE)</f>
        <v>0.5</v>
      </c>
      <c r="M30" s="236">
        <f>VLOOKUP(C30,融科!B:N,6,FALSE)</f>
        <v>11450</v>
      </c>
      <c r="N30" s="236">
        <f>VLOOKUP(C30,融科!B:N,7,FALSE)</f>
        <v>11450</v>
      </c>
      <c r="O30" s="236">
        <f>VLOOKUP(C30,融科!B:N,8,FALSE)</f>
        <v>0</v>
      </c>
      <c r="P30" s="236">
        <f>VLOOKUP(C30,融科!B:N,9,FALSE)</f>
        <v>0</v>
      </c>
      <c r="Q30" s="236">
        <f>VLOOKUP(C30,融科!B:N,10,FALSE)</f>
        <v>0</v>
      </c>
      <c r="R30" s="236">
        <f>VLOOKUP(C30,融科!B:N,11,FALSE)</f>
        <v>0</v>
      </c>
      <c r="S30" s="236">
        <f>VLOOKUP(C30,融科!B:N,12,FALSE)</f>
        <v>-7499.99</v>
      </c>
      <c r="T30" s="237">
        <f>VLOOKUP(C30,融科!B:N,13,FALSE)</f>
        <v>15400.01</v>
      </c>
      <c r="U30" s="93">
        <f>VLOOKUP($D30,社保!$C:$AF,MATCH(U$1,社保!$C$1:$AF$1,0),FALSE)</f>
        <v>1832</v>
      </c>
      <c r="V30" s="93">
        <f>VLOOKUP($D30,社保!$C:$AF,MATCH(V$1,社保!$C$1:$AF$1,0),FALSE)+VLOOKUP($D30,社保!$C:$AF,MATCH("个人大病",社保!$C$1:$AF$1,0),FALSE)</f>
        <v>461</v>
      </c>
      <c r="W30" s="93">
        <f>VLOOKUP($D30,社保!$C:$AF,MATCH(W$1,社保!$C$1:$AF$1,0),FALSE)</f>
        <v>114.5</v>
      </c>
      <c r="X30" s="93">
        <f t="shared" si="9"/>
        <v>2407.5</v>
      </c>
      <c r="Y30" s="93">
        <f>VLOOKUP($D30,社保!$C:$AF,MATCH(Y$1,社保!$C$1:$AF$1,0),FALSE)</f>
        <v>2748</v>
      </c>
      <c r="Z30" s="93">
        <f t="shared" si="10"/>
        <v>5155.5</v>
      </c>
      <c r="AA30" s="77"/>
      <c r="AB30" s="78">
        <f>VLOOKUP($D30,个税系统表!$D:$AN,MATCH(海淀分公司工资表!AB$1,个税系统表!$D$1:$AM$1,0),FALSE)</f>
        <v>15400.01</v>
      </c>
      <c r="AC30" s="78">
        <f>VLOOKUP($D30,个税系统表!$D:$AN,MATCH(海淀分公司工资表!AC$1,个税系统表!$D$1:$AM$1,0),FALSE)</f>
        <v>5000</v>
      </c>
      <c r="AD30" s="78">
        <f>VLOOKUP($D30,个税系统表!$D:$AN,MATCH(海淀分公司工资表!AD$1,个税系统表!$D$1:$AM$1,0),FALSE)</f>
        <v>5155.5</v>
      </c>
      <c r="AE30" s="78">
        <f>VLOOKUP($D30,个税系统表!$D:$AN,MATCH(海淀分公司工资表!AE$2,个税系统表!$D$1:$AM$1,0),FALSE)</f>
        <v>0</v>
      </c>
      <c r="AF30" s="78">
        <f>VLOOKUP($D30,个税系统表!$D:$AN,MATCH(海淀分公司工资表!AF$2,个税系统表!$D$1:$AM$1,0),FALSE)</f>
        <v>0</v>
      </c>
      <c r="AG30" s="78">
        <f>VLOOKUP($D30,个税系统表!$D:$AN,MATCH(海淀分公司工资表!AG$2,个税系统表!$D$1:$AM$1,0),FALSE)</f>
        <v>0</v>
      </c>
      <c r="AH30" s="78">
        <f>VLOOKUP($D30,个税系统表!$D:$AN,MATCH(海淀分公司工资表!AH$2,个税系统表!$D$1:$AM$1,0),FALSE)</f>
        <v>0</v>
      </c>
      <c r="AI30" s="78">
        <f>VLOOKUP($D30,个税系统表!$D:$AN,MATCH(海淀分公司工资表!AI$2,个税系统表!$D$1:$AM$1,0),FALSE)</f>
        <v>0</v>
      </c>
      <c r="AJ30" s="77"/>
      <c r="AK30" s="78">
        <f t="shared" si="11"/>
        <v>0</v>
      </c>
      <c r="AL30" s="78">
        <f>VLOOKUP($D30,个税系统表!$D:$AN,MATCH(海淀分公司工资表!AL$1,个税系统表!$D$1:$AM$1,0),FALSE)</f>
        <v>0</v>
      </c>
      <c r="AM30" s="78">
        <f>VLOOKUP($D30,个税系统表!$D:$AN,MATCH(海淀分公司工资表!AM$1,个税系统表!$D$1:$AM$1,0),FALSE)</f>
        <v>5244.51</v>
      </c>
      <c r="AN30" s="78">
        <f>VLOOKUP($D30,个税系统表!$D:$AN,MATCH(海淀分公司工资表!AN$1,个税系统表!$D$1:$AM$1,0),FALSE)</f>
        <v>157.34</v>
      </c>
      <c r="AO30" s="78">
        <f>VLOOKUP($D30,个税系统表!$D:$AN,MATCH(海淀分公司工资表!AO$1,个税系统表!$D$1:$AM$1,0),FALSE)</f>
        <v>0</v>
      </c>
      <c r="AP30" s="78">
        <f>VLOOKUP($D30,个税系统表!$D:$AN,MATCH(海淀分公司工资表!AP$1,个税系统表!$D$1:$AM$1,0),FALSE)</f>
        <v>157.34</v>
      </c>
      <c r="AQ30" s="96">
        <f t="shared" si="12"/>
        <v>10087.17</v>
      </c>
      <c r="AR30" s="79"/>
      <c r="AS30" s="113">
        <f t="shared" si="5"/>
        <v>10087.17</v>
      </c>
      <c r="AT30" s="93">
        <f>VLOOKUP($H30,缴费比例!$B:$O,MATCH(AT$1,缴费比例!$B$1:$O$1,0),FALSE)</f>
        <v>170</v>
      </c>
      <c r="AU30" s="93">
        <v>2</v>
      </c>
      <c r="AV30" s="93">
        <f t="shared" si="6"/>
        <v>10416.51</v>
      </c>
      <c r="AW30" s="99" t="s">
        <v>432</v>
      </c>
      <c r="AX30" s="100" t="s">
        <v>404</v>
      </c>
      <c r="AY30" s="100" t="s">
        <v>451</v>
      </c>
      <c r="AZ30" s="205"/>
      <c r="BA30" s="80" t="str">
        <f t="shared" si="13"/>
        <v>正确</v>
      </c>
    </row>
    <row r="31" spans="1:53">
      <c r="A31" s="74">
        <v>29</v>
      </c>
      <c r="B31" s="75" t="s">
        <v>63</v>
      </c>
      <c r="C31" s="198" t="s">
        <v>247</v>
      </c>
      <c r="D31" s="201" t="s">
        <v>248</v>
      </c>
      <c r="E31" s="76" t="str">
        <f t="shared" si="14"/>
        <v>女</v>
      </c>
      <c r="F31" s="94">
        <f t="shared" si="15"/>
        <v>30457</v>
      </c>
      <c r="G31" s="231" t="s">
        <v>416</v>
      </c>
      <c r="H31" s="83" t="s">
        <v>371</v>
      </c>
      <c r="I31" s="87">
        <v>44593</v>
      </c>
      <c r="J31" s="82"/>
      <c r="K31" s="203">
        <f>VLOOKUP(C31,融科!B:N,4,FALSE)</f>
        <v>0.5</v>
      </c>
      <c r="L31" s="203">
        <f>VLOOKUP(C31,融科!B:N,5,FALSE)</f>
        <v>0.5</v>
      </c>
      <c r="M31" s="236">
        <f>VLOOKUP(C31,融科!B:N,6,FALSE)</f>
        <v>10850</v>
      </c>
      <c r="N31" s="236">
        <f>VLOOKUP(C31,融科!B:N,7,FALSE)</f>
        <v>10850</v>
      </c>
      <c r="O31" s="236">
        <f>VLOOKUP(C31,融科!B:N,8,FALSE)</f>
        <v>0</v>
      </c>
      <c r="P31" s="236">
        <f>VLOOKUP(C31,融科!B:N,9,FALSE)</f>
        <v>0</v>
      </c>
      <c r="Q31" s="236">
        <f>VLOOKUP(C31,融科!B:N,10,FALSE)</f>
        <v>0</v>
      </c>
      <c r="R31" s="236">
        <f>VLOOKUP(C31,融科!B:N,11,FALSE)</f>
        <v>0</v>
      </c>
      <c r="S31" s="236">
        <f>VLOOKUP(C31,融科!B:N,12,FALSE)</f>
        <v>-4166.67</v>
      </c>
      <c r="T31" s="237">
        <f>VLOOKUP(C31,融科!B:N,13,FALSE)</f>
        <v>17533.330000000002</v>
      </c>
      <c r="U31" s="93">
        <f>VLOOKUP($D31,社保!$C:$AF,MATCH(U$1,社保!$C$1:$AF$1,0),FALSE)</f>
        <v>1736</v>
      </c>
      <c r="V31" s="93">
        <f>VLOOKUP($D31,社保!$C:$AF,MATCH(V$1,社保!$C$1:$AF$1,0),FALSE)+VLOOKUP($D31,社保!$C:$AF,MATCH("个人大病",社保!$C$1:$AF$1,0),FALSE)</f>
        <v>437</v>
      </c>
      <c r="W31" s="93">
        <f>VLOOKUP($D31,社保!$C:$AF,MATCH(W$1,社保!$C$1:$AF$1,0),FALSE)</f>
        <v>108.5</v>
      </c>
      <c r="X31" s="93">
        <f t="shared" si="9"/>
        <v>2281.5</v>
      </c>
      <c r="Y31" s="93">
        <f>VLOOKUP($D31,社保!$C:$AF,MATCH(Y$1,社保!$C$1:$AF$1,0),FALSE)</f>
        <v>2604</v>
      </c>
      <c r="Z31" s="93">
        <f t="shared" si="10"/>
        <v>4885.5</v>
      </c>
      <c r="AA31" s="77"/>
      <c r="AB31" s="78">
        <f>VLOOKUP($D31,个税系统表!$D:$AN,MATCH(海淀分公司工资表!AB$1,个税系统表!$D$1:$AM$1,0),FALSE)</f>
        <v>17533.330000000002</v>
      </c>
      <c r="AC31" s="78">
        <f>VLOOKUP($D31,个税系统表!$D:$AN,MATCH(海淀分公司工资表!AC$1,个税系统表!$D$1:$AM$1,0),FALSE)</f>
        <v>5000</v>
      </c>
      <c r="AD31" s="78">
        <f>VLOOKUP($D31,个税系统表!$D:$AN,MATCH(海淀分公司工资表!AD$1,个税系统表!$D$1:$AM$1,0),FALSE)</f>
        <v>4885.5</v>
      </c>
      <c r="AE31" s="78">
        <f>VLOOKUP($D31,个税系统表!$D:$AN,MATCH(海淀分公司工资表!AE$2,个税系统表!$D$1:$AM$1,0),FALSE)</f>
        <v>0</v>
      </c>
      <c r="AF31" s="78">
        <f>VLOOKUP($D31,个税系统表!$D:$AN,MATCH(海淀分公司工资表!AF$2,个税系统表!$D$1:$AM$1,0),FALSE)</f>
        <v>0</v>
      </c>
      <c r="AG31" s="78">
        <f>VLOOKUP($D31,个税系统表!$D:$AN,MATCH(海淀分公司工资表!AG$2,个税系统表!$D$1:$AM$1,0),FALSE)</f>
        <v>0</v>
      </c>
      <c r="AH31" s="78">
        <f>VLOOKUP($D31,个税系统表!$D:$AN,MATCH(海淀分公司工资表!AH$2,个税系统表!$D$1:$AM$1,0),FALSE)</f>
        <v>0</v>
      </c>
      <c r="AI31" s="78">
        <f>VLOOKUP($D31,个税系统表!$D:$AN,MATCH(海淀分公司工资表!AI$2,个税系统表!$D$1:$AM$1,0),FALSE)</f>
        <v>0</v>
      </c>
      <c r="AJ31" s="77"/>
      <c r="AK31" s="78">
        <f t="shared" si="11"/>
        <v>0</v>
      </c>
      <c r="AL31" s="78">
        <f>VLOOKUP($D31,个税系统表!$D:$AN,MATCH(海淀分公司工资表!AL$1,个税系统表!$D$1:$AM$1,0),FALSE)</f>
        <v>0</v>
      </c>
      <c r="AM31" s="78">
        <f>VLOOKUP($D31,个税系统表!$D:$AN,MATCH(海淀分公司工资表!AM$1,个税系统表!$D$1:$AM$1,0),FALSE)</f>
        <v>7647.83</v>
      </c>
      <c r="AN31" s="78">
        <f>VLOOKUP($D31,个税系统表!$D:$AN,MATCH(海淀分公司工资表!AN$1,个税系统表!$D$1:$AM$1,0),FALSE)</f>
        <v>229.43</v>
      </c>
      <c r="AO31" s="78">
        <f>VLOOKUP($D31,个税系统表!$D:$AN,MATCH(海淀分公司工资表!AO$1,个税系统表!$D$1:$AM$1,0),FALSE)</f>
        <v>0</v>
      </c>
      <c r="AP31" s="78">
        <f>VLOOKUP($D31,个税系统表!$D:$AN,MATCH(海淀分公司工资表!AP$1,个税系统表!$D$1:$AM$1,0),FALSE)</f>
        <v>229.43</v>
      </c>
      <c r="AQ31" s="96">
        <f t="shared" si="12"/>
        <v>12418.400000000001</v>
      </c>
      <c r="AR31" s="79"/>
      <c r="AS31" s="113">
        <f t="shared" si="5"/>
        <v>12418.4</v>
      </c>
      <c r="AT31" s="93">
        <f>VLOOKUP($H31,缴费比例!$B:$O,MATCH(AT$1,缴费比例!$B$1:$O$1,0),FALSE)</f>
        <v>170</v>
      </c>
      <c r="AU31" s="93">
        <v>2</v>
      </c>
      <c r="AV31" s="93">
        <f t="shared" si="6"/>
        <v>12819.83</v>
      </c>
      <c r="AW31" s="99" t="s">
        <v>433</v>
      </c>
      <c r="AX31" s="100" t="s">
        <v>439</v>
      </c>
      <c r="AY31" s="100" t="s">
        <v>427</v>
      </c>
      <c r="AZ31" s="205"/>
      <c r="BA31" s="80" t="str">
        <f t="shared" si="13"/>
        <v>正确</v>
      </c>
    </row>
    <row r="32" spans="1:53">
      <c r="A32" s="74">
        <v>30</v>
      </c>
      <c r="B32" s="75" t="s">
        <v>63</v>
      </c>
      <c r="C32" s="198" t="s">
        <v>249</v>
      </c>
      <c r="D32" s="201" t="s">
        <v>250</v>
      </c>
      <c r="E32" s="76" t="str">
        <f t="shared" si="14"/>
        <v>女</v>
      </c>
      <c r="F32" s="94">
        <f t="shared" si="15"/>
        <v>30654</v>
      </c>
      <c r="G32" s="231" t="s">
        <v>417</v>
      </c>
      <c r="H32" s="83" t="s">
        <v>371</v>
      </c>
      <c r="I32" s="87">
        <v>44593</v>
      </c>
      <c r="J32" s="82"/>
      <c r="K32" s="203">
        <f>VLOOKUP(C32,融科!B:N,4,FALSE)</f>
        <v>0.5</v>
      </c>
      <c r="L32" s="203">
        <f>VLOOKUP(C32,融科!B:N,5,FALSE)</f>
        <v>0.5</v>
      </c>
      <c r="M32" s="236">
        <f>VLOOKUP(C32,融科!B:N,6,FALSE)</f>
        <v>10300</v>
      </c>
      <c r="N32" s="236">
        <f>VLOOKUP(C32,融科!B:N,7,FALSE)</f>
        <v>10300</v>
      </c>
      <c r="O32" s="236">
        <f>VLOOKUP(C32,融科!B:N,8,FALSE)</f>
        <v>0</v>
      </c>
      <c r="P32" s="236">
        <f>VLOOKUP(C32,融科!B:N,9,FALSE)</f>
        <v>0</v>
      </c>
      <c r="Q32" s="236">
        <f>VLOOKUP(C32,融科!B:N,10,FALSE)</f>
        <v>0</v>
      </c>
      <c r="R32" s="236">
        <f>VLOOKUP(C32,融科!B:N,11,FALSE)</f>
        <v>0</v>
      </c>
      <c r="S32" s="236">
        <f>VLOOKUP(C32,融科!B:N,12,FALSE)</f>
        <v>-1666.67</v>
      </c>
      <c r="T32" s="237">
        <f>VLOOKUP(C32,融科!B:N,13,FALSE)</f>
        <v>18933.330000000002</v>
      </c>
      <c r="U32" s="93">
        <f>VLOOKUP($D32,社保!$C:$AF,MATCH(U$1,社保!$C$1:$AF$1,0),FALSE)</f>
        <v>800</v>
      </c>
      <c r="V32" s="93">
        <f>VLOOKUP($D32,社保!$C:$AF,MATCH(V$1,社保!$C$1:$AF$1,0),FALSE)+VLOOKUP($D32,社保!$C:$AF,MATCH("个人大病",社保!$C$1:$AF$1,0),FALSE)</f>
        <v>203</v>
      </c>
      <c r="W32" s="93">
        <f>VLOOKUP($D32,社保!$C:$AF,MATCH(W$1,社保!$C$1:$AF$1,0),FALSE)</f>
        <v>50</v>
      </c>
      <c r="X32" s="93">
        <f t="shared" si="9"/>
        <v>1053</v>
      </c>
      <c r="Y32" s="93">
        <f>VLOOKUP($D32,社保!$C:$AF,MATCH(Y$1,社保!$C$1:$AF$1,0),FALSE)</f>
        <v>1800</v>
      </c>
      <c r="Z32" s="93">
        <f t="shared" si="10"/>
        <v>2853</v>
      </c>
      <c r="AA32" s="77"/>
      <c r="AB32" s="78">
        <f>VLOOKUP($D32,个税系统表!$D:$AN,MATCH(海淀分公司工资表!AB$1,个税系统表!$D$1:$AM$1,0),FALSE)</f>
        <v>18933.330000000002</v>
      </c>
      <c r="AC32" s="78">
        <f>VLOOKUP($D32,个税系统表!$D:$AN,MATCH(海淀分公司工资表!AC$1,个税系统表!$D$1:$AM$1,0),FALSE)</f>
        <v>5000</v>
      </c>
      <c r="AD32" s="78">
        <f>VLOOKUP($D32,个税系统表!$D:$AN,MATCH(海淀分公司工资表!AD$1,个税系统表!$D$1:$AM$1,0),FALSE)</f>
        <v>2853</v>
      </c>
      <c r="AE32" s="78">
        <f>VLOOKUP($D32,个税系统表!$D:$AN,MATCH(海淀分公司工资表!AE$2,个税系统表!$D$1:$AM$1,0),FALSE)</f>
        <v>0</v>
      </c>
      <c r="AF32" s="78">
        <f>VLOOKUP($D32,个税系统表!$D:$AN,MATCH(海淀分公司工资表!AF$2,个税系统表!$D$1:$AM$1,0),FALSE)</f>
        <v>0</v>
      </c>
      <c r="AG32" s="78">
        <f>VLOOKUP($D32,个税系统表!$D:$AN,MATCH(海淀分公司工资表!AG$2,个税系统表!$D$1:$AM$1,0),FALSE)</f>
        <v>0</v>
      </c>
      <c r="AH32" s="78">
        <f>VLOOKUP($D32,个税系统表!$D:$AN,MATCH(海淀分公司工资表!AH$2,个税系统表!$D$1:$AM$1,0),FALSE)</f>
        <v>0</v>
      </c>
      <c r="AI32" s="78">
        <f>VLOOKUP($D32,个税系统表!$D:$AN,MATCH(海淀分公司工资表!AI$2,个税系统表!$D$1:$AM$1,0),FALSE)</f>
        <v>0</v>
      </c>
      <c r="AJ32" s="77"/>
      <c r="AK32" s="78">
        <f t="shared" si="11"/>
        <v>0</v>
      </c>
      <c r="AL32" s="78">
        <f>VLOOKUP($D32,个税系统表!$D:$AN,MATCH(海淀分公司工资表!AL$1,个税系统表!$D$1:$AM$1,0),FALSE)</f>
        <v>0</v>
      </c>
      <c r="AM32" s="78">
        <f>VLOOKUP($D32,个税系统表!$D:$AN,MATCH(海淀分公司工资表!AM$1,个税系统表!$D$1:$AM$1,0),FALSE)</f>
        <v>11080.33</v>
      </c>
      <c r="AN32" s="78">
        <f>VLOOKUP($D32,个税系统表!$D:$AN,MATCH(海淀分公司工资表!AN$1,个税系统表!$D$1:$AM$1,0),FALSE)</f>
        <v>332.41</v>
      </c>
      <c r="AO32" s="78">
        <f>VLOOKUP($D32,个税系统表!$D:$AN,MATCH(海淀分公司工资表!AO$1,个税系统表!$D$1:$AM$1,0),FALSE)</f>
        <v>0</v>
      </c>
      <c r="AP32" s="78">
        <f>VLOOKUP($D32,个税系统表!$D:$AN,MATCH(海淀分公司工资表!AP$1,个税系统表!$D$1:$AM$1,0),FALSE)</f>
        <v>332.41</v>
      </c>
      <c r="AQ32" s="96">
        <f t="shared" si="12"/>
        <v>15747.920000000002</v>
      </c>
      <c r="AR32" s="79"/>
      <c r="AS32" s="113">
        <f t="shared" si="5"/>
        <v>15747.92</v>
      </c>
      <c r="AT32" s="93">
        <f>VLOOKUP($H32,缴费比例!$B:$O,MATCH(AT$1,缴费比例!$B$1:$O$1,0),FALSE)</f>
        <v>170</v>
      </c>
      <c r="AU32" s="93"/>
      <c r="AV32" s="93">
        <f t="shared" si="6"/>
        <v>16250.33</v>
      </c>
      <c r="AW32" s="99" t="s">
        <v>434</v>
      </c>
      <c r="AX32" s="100" t="s">
        <v>440</v>
      </c>
      <c r="AY32" s="100" t="s">
        <v>435</v>
      </c>
      <c r="AZ32" s="205"/>
      <c r="BA32" s="80" t="str">
        <f t="shared" si="13"/>
        <v>正确</v>
      </c>
    </row>
    <row r="33" spans="1:53">
      <c r="A33" s="74">
        <v>31</v>
      </c>
      <c r="B33" s="75" t="s">
        <v>63</v>
      </c>
      <c r="C33" s="198" t="s">
        <v>251</v>
      </c>
      <c r="D33" s="201" t="s">
        <v>252</v>
      </c>
      <c r="E33" s="76" t="str">
        <f t="shared" si="14"/>
        <v>男</v>
      </c>
      <c r="F33" s="94">
        <f t="shared" si="15"/>
        <v>34659</v>
      </c>
      <c r="G33" s="231" t="s">
        <v>418</v>
      </c>
      <c r="H33" s="83" t="s">
        <v>371</v>
      </c>
      <c r="I33" s="87">
        <v>44593</v>
      </c>
      <c r="J33" s="82"/>
      <c r="K33" s="203">
        <f>VLOOKUP(C33,融科!B:N,4,FALSE)</f>
        <v>0.5</v>
      </c>
      <c r="L33" s="203">
        <f>VLOOKUP(C33,融科!B:N,5,FALSE)</f>
        <v>0.5</v>
      </c>
      <c r="M33" s="236">
        <f>VLOOKUP(C33,融科!B:N,6,FALSE)</f>
        <v>8850</v>
      </c>
      <c r="N33" s="236">
        <f>VLOOKUP(C33,融科!B:N,7,FALSE)</f>
        <v>8850</v>
      </c>
      <c r="O33" s="236">
        <f>VLOOKUP(C33,融科!B:N,8,FALSE)</f>
        <v>0</v>
      </c>
      <c r="P33" s="236">
        <f>VLOOKUP(C33,融科!B:N,9,FALSE)</f>
        <v>0</v>
      </c>
      <c r="Q33" s="236">
        <f>VLOOKUP(C33,融科!B:N,10,FALSE)</f>
        <v>0</v>
      </c>
      <c r="R33" s="236">
        <f>VLOOKUP(C33,融科!B:N,11,FALSE)</f>
        <v>0</v>
      </c>
      <c r="S33" s="236">
        <f>VLOOKUP(C33,融科!B:N,12,FALSE)</f>
        <v>-833.33</v>
      </c>
      <c r="T33" s="237">
        <f>VLOOKUP(C33,融科!B:N,13,FALSE)</f>
        <v>16866.669999999998</v>
      </c>
      <c r="U33" s="93">
        <f>VLOOKUP($D33,社保!$C:$AF,MATCH(U$1,社保!$C$1:$AF$1,0),FALSE)</f>
        <v>428.8</v>
      </c>
      <c r="V33" s="93">
        <f>VLOOKUP($D33,社保!$C:$AF,MATCH(V$1,社保!$C$1:$AF$1,0),FALSE)+VLOOKUP($D33,社保!$C:$AF,MATCH("个人大病",社保!$C$1:$AF$1,0),FALSE)</f>
        <v>110.2</v>
      </c>
      <c r="W33" s="93">
        <f>VLOOKUP($D33,社保!$C:$AF,MATCH(W$1,社保!$C$1:$AF$1,0),FALSE)</f>
        <v>26.8</v>
      </c>
      <c r="X33" s="93">
        <f t="shared" si="9"/>
        <v>565.79999999999995</v>
      </c>
      <c r="Y33" s="93">
        <f>VLOOKUP($D33,社保!$C:$AF,MATCH(Y$1,社保!$C$1:$AF$1,0),FALSE)</f>
        <v>960</v>
      </c>
      <c r="Z33" s="93">
        <f t="shared" si="10"/>
        <v>1525.8</v>
      </c>
      <c r="AA33" s="77"/>
      <c r="AB33" s="78">
        <f>VLOOKUP($D33,个税系统表!$D:$AN,MATCH(海淀分公司工资表!AB$1,个税系统表!$D$1:$AM$1,0),FALSE)</f>
        <v>16866.669999999998</v>
      </c>
      <c r="AC33" s="78">
        <f>VLOOKUP($D33,个税系统表!$D:$AN,MATCH(海淀分公司工资表!AC$1,个税系统表!$D$1:$AM$1,0),FALSE)</f>
        <v>5000</v>
      </c>
      <c r="AD33" s="78">
        <f>VLOOKUP($D33,个税系统表!$D:$AN,MATCH(海淀分公司工资表!AD$1,个税系统表!$D$1:$AM$1,0),FALSE)</f>
        <v>1525.8</v>
      </c>
      <c r="AE33" s="78">
        <f>VLOOKUP($D33,个税系统表!$D:$AN,MATCH(海淀分公司工资表!AE$2,个税系统表!$D$1:$AM$1,0),FALSE)</f>
        <v>0</v>
      </c>
      <c r="AF33" s="78">
        <f>VLOOKUP($D33,个税系统表!$D:$AN,MATCH(海淀分公司工资表!AF$2,个税系统表!$D$1:$AM$1,0),FALSE)</f>
        <v>0</v>
      </c>
      <c r="AG33" s="78">
        <f>VLOOKUP($D33,个税系统表!$D:$AN,MATCH(海淀分公司工资表!AG$2,个税系统表!$D$1:$AM$1,0),FALSE)</f>
        <v>0</v>
      </c>
      <c r="AH33" s="78">
        <f>VLOOKUP($D33,个税系统表!$D:$AN,MATCH(海淀分公司工资表!AH$2,个税系统表!$D$1:$AM$1,0),FALSE)</f>
        <v>0</v>
      </c>
      <c r="AI33" s="78">
        <f>VLOOKUP($D33,个税系统表!$D:$AN,MATCH(海淀分公司工资表!AI$2,个税系统表!$D$1:$AM$1,0),FALSE)</f>
        <v>0</v>
      </c>
      <c r="AJ33" s="77"/>
      <c r="AK33" s="78">
        <f t="shared" si="11"/>
        <v>0</v>
      </c>
      <c r="AL33" s="78">
        <f>VLOOKUP($D33,个税系统表!$D:$AN,MATCH(海淀分公司工资表!AL$1,个税系统表!$D$1:$AM$1,0),FALSE)</f>
        <v>0</v>
      </c>
      <c r="AM33" s="78">
        <f>VLOOKUP($D33,个税系统表!$D:$AN,MATCH(海淀分公司工资表!AM$1,个税系统表!$D$1:$AM$1,0),FALSE)</f>
        <v>10340.870000000001</v>
      </c>
      <c r="AN33" s="78">
        <f>VLOOKUP($D33,个税系统表!$D:$AN,MATCH(海淀分公司工资表!AN$1,个税系统表!$D$1:$AM$1,0),FALSE)</f>
        <v>310.23</v>
      </c>
      <c r="AO33" s="78">
        <f>VLOOKUP($D33,个税系统表!$D:$AN,MATCH(海淀分公司工资表!AO$1,个税系统表!$D$1:$AM$1,0),FALSE)</f>
        <v>0</v>
      </c>
      <c r="AP33" s="78">
        <f>VLOOKUP($D33,个税系统表!$D:$AN,MATCH(海淀分公司工资表!AP$1,个税系统表!$D$1:$AM$1,0),FALSE)</f>
        <v>310.23</v>
      </c>
      <c r="AQ33" s="96">
        <f t="shared" si="12"/>
        <v>15030.64</v>
      </c>
      <c r="AR33" s="79"/>
      <c r="AS33" s="113">
        <f t="shared" si="5"/>
        <v>15030.64</v>
      </c>
      <c r="AT33" s="93">
        <f>VLOOKUP($H33,缴费比例!$B:$O,MATCH(AT$1,缴费比例!$B$1:$O$1,0),FALSE)</f>
        <v>170</v>
      </c>
      <c r="AU33" s="93">
        <v>2</v>
      </c>
      <c r="AV33" s="93">
        <f t="shared" si="6"/>
        <v>15512.87</v>
      </c>
      <c r="AW33" s="221" t="s">
        <v>452</v>
      </c>
      <c r="AX33" s="100" t="s">
        <v>404</v>
      </c>
      <c r="AY33" s="100" t="s">
        <v>453</v>
      </c>
      <c r="AZ33" s="205"/>
      <c r="BA33" s="80" t="str">
        <f t="shared" si="13"/>
        <v>正确</v>
      </c>
    </row>
    <row r="34" spans="1:53">
      <c r="A34" s="74">
        <v>32</v>
      </c>
      <c r="B34" s="75" t="s">
        <v>63</v>
      </c>
      <c r="C34" s="198" t="s">
        <v>255</v>
      </c>
      <c r="D34" s="201" t="s">
        <v>256</v>
      </c>
      <c r="E34" s="76" t="str">
        <f t="shared" si="14"/>
        <v>女</v>
      </c>
      <c r="F34" s="94">
        <f t="shared" si="15"/>
        <v>30875</v>
      </c>
      <c r="G34" s="231" t="s">
        <v>419</v>
      </c>
      <c r="H34" s="83" t="s">
        <v>371</v>
      </c>
      <c r="I34" s="87">
        <v>44593</v>
      </c>
      <c r="J34" s="82"/>
      <c r="K34" s="203">
        <f>VLOOKUP(C34,融科!B:N,4,FALSE)</f>
        <v>0.5</v>
      </c>
      <c r="L34" s="203">
        <f>VLOOKUP(C34,融科!B:N,5,FALSE)</f>
        <v>0.5</v>
      </c>
      <c r="M34" s="236">
        <f>VLOOKUP(C34,融科!B:N,6,FALSE)</f>
        <v>7850</v>
      </c>
      <c r="N34" s="236">
        <f>VLOOKUP(C34,融科!B:N,7,FALSE)</f>
        <v>7850</v>
      </c>
      <c r="O34" s="236">
        <f>VLOOKUP(C34,融科!B:N,8,FALSE)</f>
        <v>0</v>
      </c>
      <c r="P34" s="236">
        <f>VLOOKUP(C34,融科!B:N,9,FALSE)</f>
        <v>0</v>
      </c>
      <c r="Q34" s="236">
        <f>VLOOKUP(C34,融科!B:N,10,FALSE)</f>
        <v>0</v>
      </c>
      <c r="R34" s="236">
        <f>VLOOKUP(C34,融科!B:N,11,FALSE)</f>
        <v>0</v>
      </c>
      <c r="S34" s="236">
        <f>VLOOKUP(C34,融科!B:N,12,FALSE)</f>
        <v>-1666.67</v>
      </c>
      <c r="T34" s="237">
        <f>VLOOKUP(C34,融科!B:N,13,FALSE)</f>
        <v>14033.33</v>
      </c>
      <c r="U34" s="93">
        <f>VLOOKUP($D34,社保!$C:$AF,MATCH(U$1,社保!$C$1:$AF$1,0),FALSE)</f>
        <v>1256</v>
      </c>
      <c r="V34" s="93">
        <f>VLOOKUP($D34,社保!$C:$AF,MATCH(V$1,社保!$C$1:$AF$1,0),FALSE)+VLOOKUP($D34,社保!$C:$AF,MATCH("个人大病",社保!$C$1:$AF$1,0),FALSE)</f>
        <v>317</v>
      </c>
      <c r="W34" s="93">
        <f>VLOOKUP($D34,社保!$C:$AF,MATCH(W$1,社保!$C$1:$AF$1,0),FALSE)</f>
        <v>78.5</v>
      </c>
      <c r="X34" s="93">
        <f t="shared" si="9"/>
        <v>1651.5</v>
      </c>
      <c r="Y34" s="93">
        <f>VLOOKUP($D34,社保!$C:$AF,MATCH(Y$1,社保!$C$1:$AF$1,0),FALSE)</f>
        <v>1884</v>
      </c>
      <c r="Z34" s="93">
        <f t="shared" si="10"/>
        <v>3535.5</v>
      </c>
      <c r="AA34" s="77"/>
      <c r="AB34" s="78">
        <f>VLOOKUP($D34,个税系统表!$D:$AN,MATCH(海淀分公司工资表!AB$1,个税系统表!$D$1:$AM$1,0),FALSE)</f>
        <v>14033.33</v>
      </c>
      <c r="AC34" s="78">
        <f>VLOOKUP($D34,个税系统表!$D:$AN,MATCH(海淀分公司工资表!AC$1,个税系统表!$D$1:$AM$1,0),FALSE)</f>
        <v>5000</v>
      </c>
      <c r="AD34" s="78">
        <f>VLOOKUP($D34,个税系统表!$D:$AN,MATCH(海淀分公司工资表!AD$1,个税系统表!$D$1:$AM$1,0),FALSE)</f>
        <v>3535.5</v>
      </c>
      <c r="AE34" s="78">
        <f>VLOOKUP($D34,个税系统表!$D:$AN,MATCH(海淀分公司工资表!AE$2,个税系统表!$D$1:$AM$1,0),FALSE)</f>
        <v>0</v>
      </c>
      <c r="AF34" s="78">
        <f>VLOOKUP($D34,个税系统表!$D:$AN,MATCH(海淀分公司工资表!AF$2,个税系统表!$D$1:$AM$1,0),FALSE)</f>
        <v>0</v>
      </c>
      <c r="AG34" s="78">
        <f>VLOOKUP($D34,个税系统表!$D:$AN,MATCH(海淀分公司工资表!AG$2,个税系统表!$D$1:$AM$1,0),FALSE)</f>
        <v>0</v>
      </c>
      <c r="AH34" s="78">
        <f>VLOOKUP($D34,个税系统表!$D:$AN,MATCH(海淀分公司工资表!AH$2,个税系统表!$D$1:$AM$1,0),FALSE)</f>
        <v>0</v>
      </c>
      <c r="AI34" s="78">
        <f>VLOOKUP($D34,个税系统表!$D:$AN,MATCH(海淀分公司工资表!AI$2,个税系统表!$D$1:$AM$1,0),FALSE)</f>
        <v>0</v>
      </c>
      <c r="AJ34" s="77"/>
      <c r="AK34" s="78">
        <f t="shared" si="11"/>
        <v>0</v>
      </c>
      <c r="AL34" s="78">
        <f>VLOOKUP($D34,个税系统表!$D:$AN,MATCH(海淀分公司工资表!AL$1,个税系统表!$D$1:$AM$1,0),FALSE)</f>
        <v>0</v>
      </c>
      <c r="AM34" s="78">
        <f>VLOOKUP($D34,个税系统表!$D:$AN,MATCH(海淀分公司工资表!AM$1,个税系统表!$D$1:$AM$1,0),FALSE)</f>
        <v>5497.83</v>
      </c>
      <c r="AN34" s="78">
        <f>VLOOKUP($D34,个税系统表!$D:$AN,MATCH(海淀分公司工资表!AN$1,个税系统表!$D$1:$AM$1,0),FALSE)</f>
        <v>164.93</v>
      </c>
      <c r="AO34" s="78">
        <f>VLOOKUP($D34,个税系统表!$D:$AN,MATCH(海淀分公司工资表!AO$1,个税系统表!$D$1:$AM$1,0),FALSE)</f>
        <v>0</v>
      </c>
      <c r="AP34" s="78">
        <f>VLOOKUP($D34,个税系统表!$D:$AN,MATCH(海淀分公司工资表!AP$1,个税系统表!$D$1:$AM$1,0),FALSE)</f>
        <v>164.93</v>
      </c>
      <c r="AQ34" s="96">
        <f t="shared" si="12"/>
        <v>10332.9</v>
      </c>
      <c r="AR34" s="79"/>
      <c r="AS34" s="113">
        <f t="shared" si="5"/>
        <v>10332.9</v>
      </c>
      <c r="AT34" s="93">
        <f>VLOOKUP($H34,缴费比例!$B:$O,MATCH(AT$1,缴费比例!$B$1:$O$1,0),FALSE)</f>
        <v>170</v>
      </c>
      <c r="AU34" s="93">
        <v>2</v>
      </c>
      <c r="AV34" s="93">
        <f t="shared" si="6"/>
        <v>10669.83</v>
      </c>
      <c r="AW34" s="99" t="s">
        <v>436</v>
      </c>
      <c r="AX34" s="100" t="s">
        <v>441</v>
      </c>
      <c r="AY34" s="100" t="s">
        <v>437</v>
      </c>
      <c r="AZ34" s="205"/>
      <c r="BA34" s="80" t="str">
        <f t="shared" si="13"/>
        <v>正确</v>
      </c>
    </row>
    <row r="35" spans="1:53">
      <c r="A35" s="74">
        <v>33</v>
      </c>
      <c r="B35" s="75" t="s">
        <v>63</v>
      </c>
      <c r="C35" s="198" t="s">
        <v>257</v>
      </c>
      <c r="D35" s="201" t="s">
        <v>258</v>
      </c>
      <c r="E35" s="76" t="str">
        <f t="shared" si="14"/>
        <v>女</v>
      </c>
      <c r="F35" s="94">
        <f t="shared" si="15"/>
        <v>34959</v>
      </c>
      <c r="G35" s="231" t="s">
        <v>420</v>
      </c>
      <c r="H35" s="83" t="s">
        <v>371</v>
      </c>
      <c r="I35" s="87">
        <v>44593</v>
      </c>
      <c r="J35" s="82"/>
      <c r="K35" s="203">
        <f>VLOOKUP(C35,融科!B:N,4,FALSE)</f>
        <v>0.5</v>
      </c>
      <c r="L35" s="203">
        <f>VLOOKUP(C35,融科!B:N,5,FALSE)</f>
        <v>0.5</v>
      </c>
      <c r="M35" s="236">
        <f>VLOOKUP(C35,融科!B:N,6,FALSE)</f>
        <v>8500</v>
      </c>
      <c r="N35" s="236">
        <f>VLOOKUP(C35,融科!B:N,7,FALSE)</f>
        <v>8500</v>
      </c>
      <c r="O35" s="236">
        <f>VLOOKUP(C35,融科!B:N,8,FALSE)</f>
        <v>0</v>
      </c>
      <c r="P35" s="236">
        <f>VLOOKUP(C35,融科!B:N,9,FALSE)</f>
        <v>0</v>
      </c>
      <c r="Q35" s="236">
        <f>VLOOKUP(C35,融科!B:N,10,FALSE)</f>
        <v>0</v>
      </c>
      <c r="R35" s="236">
        <f>VLOOKUP(C35,融科!B:N,11,FALSE)</f>
        <v>0</v>
      </c>
      <c r="S35" s="236">
        <f>VLOOKUP(C35,融科!B:N,12,FALSE)</f>
        <v>-2500</v>
      </c>
      <c r="T35" s="237">
        <f>VLOOKUP(C35,融科!B:N,13,FALSE)</f>
        <v>14500</v>
      </c>
      <c r="U35" s="93">
        <f>VLOOKUP($D35,社保!$C:$AF,MATCH(U$1,社保!$C$1:$AF$1,0),FALSE)</f>
        <v>800</v>
      </c>
      <c r="V35" s="93">
        <f>VLOOKUP($D35,社保!$C:$AF,MATCH(V$1,社保!$C$1:$AF$1,0),FALSE)+VLOOKUP($D35,社保!$C:$AF,MATCH("个人大病",社保!$C$1:$AF$1,0),FALSE)</f>
        <v>203</v>
      </c>
      <c r="W35" s="93">
        <f>VLOOKUP($D35,社保!$C:$AF,MATCH(W$1,社保!$C$1:$AF$1,0),FALSE)</f>
        <v>50</v>
      </c>
      <c r="X35" s="93">
        <f t="shared" si="9"/>
        <v>1053</v>
      </c>
      <c r="Y35" s="93">
        <f>VLOOKUP($D35,社保!$C:$AF,MATCH(Y$1,社保!$C$1:$AF$1,0),FALSE)</f>
        <v>1200</v>
      </c>
      <c r="Z35" s="93">
        <f t="shared" si="10"/>
        <v>2253</v>
      </c>
      <c r="AA35" s="77"/>
      <c r="AB35" s="78">
        <f>VLOOKUP($D35,个税系统表!$D:$AN,MATCH(海淀分公司工资表!AB$1,个税系统表!$D$1:$AM$1,0),FALSE)</f>
        <v>14500</v>
      </c>
      <c r="AC35" s="78">
        <f>VLOOKUP($D35,个税系统表!$D:$AN,MATCH(海淀分公司工资表!AC$1,个税系统表!$D$1:$AM$1,0),FALSE)</f>
        <v>5000</v>
      </c>
      <c r="AD35" s="78">
        <f>VLOOKUP($D35,个税系统表!$D:$AN,MATCH(海淀分公司工资表!AD$1,个税系统表!$D$1:$AM$1,0),FALSE)</f>
        <v>2253</v>
      </c>
      <c r="AE35" s="78">
        <f>VLOOKUP($D35,个税系统表!$D:$AN,MATCH(海淀分公司工资表!AE$2,个税系统表!$D$1:$AM$1,0),FALSE)</f>
        <v>0</v>
      </c>
      <c r="AF35" s="78">
        <f>VLOOKUP($D35,个税系统表!$D:$AN,MATCH(海淀分公司工资表!AF$2,个税系统表!$D$1:$AM$1,0),FALSE)</f>
        <v>0</v>
      </c>
      <c r="AG35" s="78">
        <f>VLOOKUP($D35,个税系统表!$D:$AN,MATCH(海淀分公司工资表!AG$2,个税系统表!$D$1:$AM$1,0),FALSE)</f>
        <v>0</v>
      </c>
      <c r="AH35" s="78">
        <f>VLOOKUP($D35,个税系统表!$D:$AN,MATCH(海淀分公司工资表!AH$2,个税系统表!$D$1:$AM$1,0),FALSE)</f>
        <v>0</v>
      </c>
      <c r="AI35" s="78">
        <f>VLOOKUP($D35,个税系统表!$D:$AN,MATCH(海淀分公司工资表!AI$2,个税系统表!$D$1:$AM$1,0),FALSE)</f>
        <v>0</v>
      </c>
      <c r="AJ35" s="77"/>
      <c r="AK35" s="78">
        <f t="shared" si="11"/>
        <v>0</v>
      </c>
      <c r="AL35" s="78">
        <f>VLOOKUP($D35,个税系统表!$D:$AN,MATCH(海淀分公司工资表!AL$1,个税系统表!$D$1:$AM$1,0),FALSE)</f>
        <v>0</v>
      </c>
      <c r="AM35" s="78">
        <f>VLOOKUP($D35,个税系统表!$D:$AN,MATCH(海淀分公司工资表!AM$1,个税系统表!$D$1:$AM$1,0),FALSE)</f>
        <v>7247</v>
      </c>
      <c r="AN35" s="78">
        <f>VLOOKUP($D35,个税系统表!$D:$AN,MATCH(海淀分公司工资表!AN$1,个税系统表!$D$1:$AM$1,0),FALSE)</f>
        <v>217.41</v>
      </c>
      <c r="AO35" s="78">
        <f>VLOOKUP($D35,个税系统表!$D:$AN,MATCH(海淀分公司工资表!AO$1,个税系统表!$D$1:$AM$1,0),FALSE)</f>
        <v>0</v>
      </c>
      <c r="AP35" s="78">
        <f>VLOOKUP($D35,个税系统表!$D:$AN,MATCH(海淀分公司工资表!AP$1,个税系统表!$D$1:$AM$1,0),FALSE)</f>
        <v>217.41</v>
      </c>
      <c r="AQ35" s="96">
        <f t="shared" si="12"/>
        <v>12029.59</v>
      </c>
      <c r="AR35" s="79"/>
      <c r="AS35" s="113">
        <f t="shared" si="5"/>
        <v>12029.59</v>
      </c>
      <c r="AT35" s="93">
        <f>VLOOKUP($H35,缴费比例!$B:$O,MATCH(AT$1,缴费比例!$B$1:$O$1,0),FALSE)</f>
        <v>170</v>
      </c>
      <c r="AU35" s="93">
        <v>2</v>
      </c>
      <c r="AV35" s="93">
        <f t="shared" si="6"/>
        <v>12419</v>
      </c>
      <c r="AW35" s="221" t="s">
        <v>454</v>
      </c>
      <c r="AX35" s="100" t="s">
        <v>404</v>
      </c>
      <c r="AY35" s="100" t="s">
        <v>455</v>
      </c>
      <c r="AZ35" s="205"/>
      <c r="BA35" s="80" t="str">
        <f t="shared" si="13"/>
        <v>正确</v>
      </c>
    </row>
    <row r="36" spans="1:53">
      <c r="A36" s="74">
        <v>34</v>
      </c>
      <c r="B36" s="75" t="s">
        <v>63</v>
      </c>
      <c r="C36" s="198" t="s">
        <v>235</v>
      </c>
      <c r="D36" s="201" t="s">
        <v>236</v>
      </c>
      <c r="E36" s="76" t="str">
        <f t="shared" si="14"/>
        <v>女</v>
      </c>
      <c r="F36" s="94">
        <f t="shared" si="15"/>
        <v>34931</v>
      </c>
      <c r="G36" s="231" t="s">
        <v>421</v>
      </c>
      <c r="H36" s="83" t="s">
        <v>371</v>
      </c>
      <c r="I36" s="87">
        <v>44593</v>
      </c>
      <c r="J36" s="82"/>
      <c r="K36" s="203">
        <f>VLOOKUP(C36,融科!B:N,4,FALSE)</f>
        <v>0.5</v>
      </c>
      <c r="L36" s="203">
        <f>VLOOKUP(C36,融科!B:N,5,FALSE)</f>
        <v>0.5</v>
      </c>
      <c r="M36" s="236">
        <f>VLOOKUP(C36,融科!B:N,6,FALSE)</f>
        <v>8500</v>
      </c>
      <c r="N36" s="236">
        <f>VLOOKUP(C36,融科!B:N,7,FALSE)</f>
        <v>8500</v>
      </c>
      <c r="O36" s="236">
        <f>VLOOKUP(C36,融科!B:N,8,FALSE)</f>
        <v>0</v>
      </c>
      <c r="P36" s="236">
        <f>VLOOKUP(C36,融科!B:N,9,FALSE)</f>
        <v>0</v>
      </c>
      <c r="Q36" s="236">
        <f>VLOOKUP(C36,融科!B:N,10,FALSE)</f>
        <v>0</v>
      </c>
      <c r="R36" s="236">
        <f>VLOOKUP(C36,融科!B:N,11,FALSE)</f>
        <v>0</v>
      </c>
      <c r="S36" s="236">
        <f>VLOOKUP(C36,融科!B:N,12,FALSE)</f>
        <v>-2500</v>
      </c>
      <c r="T36" s="237">
        <f>VLOOKUP(C36,融科!B:N,13,FALSE)</f>
        <v>14500</v>
      </c>
      <c r="U36" s="93">
        <f>VLOOKUP($D36,社保!$C:$AF,MATCH(U$1,社保!$C$1:$AF$1,0),FALSE)</f>
        <v>800</v>
      </c>
      <c r="V36" s="93">
        <f>VLOOKUP($D36,社保!$C:$AF,MATCH(V$1,社保!$C$1:$AF$1,0),FALSE)+VLOOKUP($D36,社保!$C:$AF,MATCH("个人大病",社保!$C$1:$AF$1,0),FALSE)</f>
        <v>203</v>
      </c>
      <c r="W36" s="93">
        <f>VLOOKUP($D36,社保!$C:$AF,MATCH(W$1,社保!$C$1:$AF$1,0),FALSE)</f>
        <v>50</v>
      </c>
      <c r="X36" s="93">
        <f t="shared" si="9"/>
        <v>1053</v>
      </c>
      <c r="Y36" s="93">
        <f>VLOOKUP($D36,社保!$C:$AF,MATCH(Y$1,社保!$C$1:$AF$1,0),FALSE)</f>
        <v>1200</v>
      </c>
      <c r="Z36" s="93">
        <f t="shared" si="10"/>
        <v>2253</v>
      </c>
      <c r="AA36" s="77"/>
      <c r="AB36" s="78">
        <f>VLOOKUP($D36,个税系统表!$D:$AN,MATCH(海淀分公司工资表!AB$1,个税系统表!$D$1:$AM$1,0),FALSE)</f>
        <v>14500</v>
      </c>
      <c r="AC36" s="78">
        <f>VLOOKUP($D36,个税系统表!$D:$AN,MATCH(海淀分公司工资表!AC$1,个税系统表!$D$1:$AM$1,0),FALSE)</f>
        <v>5000</v>
      </c>
      <c r="AD36" s="78">
        <f>VLOOKUP($D36,个税系统表!$D:$AN,MATCH(海淀分公司工资表!AD$1,个税系统表!$D$1:$AM$1,0),FALSE)</f>
        <v>2253</v>
      </c>
      <c r="AE36" s="78">
        <f>VLOOKUP($D36,个税系统表!$D:$AN,MATCH(海淀分公司工资表!AE$2,个税系统表!$D$1:$AM$1,0),FALSE)</f>
        <v>0</v>
      </c>
      <c r="AF36" s="78">
        <f>VLOOKUP($D36,个税系统表!$D:$AN,MATCH(海淀分公司工资表!AF$2,个税系统表!$D$1:$AM$1,0),FALSE)</f>
        <v>0</v>
      </c>
      <c r="AG36" s="78">
        <f>VLOOKUP($D36,个税系统表!$D:$AN,MATCH(海淀分公司工资表!AG$2,个税系统表!$D$1:$AM$1,0),FALSE)</f>
        <v>0</v>
      </c>
      <c r="AH36" s="78">
        <f>VLOOKUP($D36,个税系统表!$D:$AN,MATCH(海淀分公司工资表!AH$2,个税系统表!$D$1:$AM$1,0),FALSE)</f>
        <v>0</v>
      </c>
      <c r="AI36" s="78">
        <f>VLOOKUP($D36,个税系统表!$D:$AN,MATCH(海淀分公司工资表!AI$2,个税系统表!$D$1:$AM$1,0),FALSE)</f>
        <v>0</v>
      </c>
      <c r="AJ36" s="77"/>
      <c r="AK36" s="78">
        <f t="shared" si="11"/>
        <v>0</v>
      </c>
      <c r="AL36" s="78">
        <f>VLOOKUP($D36,个税系统表!$D:$AN,MATCH(海淀分公司工资表!AL$1,个税系统表!$D$1:$AM$1,0),FALSE)</f>
        <v>0</v>
      </c>
      <c r="AM36" s="78">
        <f>VLOOKUP($D36,个税系统表!$D:$AN,MATCH(海淀分公司工资表!AM$1,个税系统表!$D$1:$AM$1,0),FALSE)</f>
        <v>7247</v>
      </c>
      <c r="AN36" s="78">
        <f>VLOOKUP($D36,个税系统表!$D:$AN,MATCH(海淀分公司工资表!AN$1,个税系统表!$D$1:$AM$1,0),FALSE)</f>
        <v>217.41</v>
      </c>
      <c r="AO36" s="78">
        <f>VLOOKUP($D36,个税系统表!$D:$AN,MATCH(海淀分公司工资表!AO$1,个税系统表!$D$1:$AM$1,0),FALSE)</f>
        <v>0</v>
      </c>
      <c r="AP36" s="78">
        <f>VLOOKUP($D36,个税系统表!$D:$AN,MATCH(海淀分公司工资表!AP$1,个税系统表!$D$1:$AM$1,0),FALSE)</f>
        <v>217.41</v>
      </c>
      <c r="AQ36" s="96">
        <f t="shared" si="12"/>
        <v>12029.59</v>
      </c>
      <c r="AR36" s="79"/>
      <c r="AS36" s="113">
        <f t="shared" si="5"/>
        <v>12029.59</v>
      </c>
      <c r="AT36" s="93">
        <f>VLOOKUP($H36,缴费比例!$B:$O,MATCH(AT$1,缴费比例!$B$1:$O$1,0),FALSE)</f>
        <v>170</v>
      </c>
      <c r="AU36" s="93">
        <v>2</v>
      </c>
      <c r="AV36" s="93">
        <f t="shared" si="6"/>
        <v>12419</v>
      </c>
      <c r="AW36" s="221" t="s">
        <v>456</v>
      </c>
      <c r="AX36" s="100" t="s">
        <v>404</v>
      </c>
      <c r="AY36" s="100" t="s">
        <v>457</v>
      </c>
      <c r="AZ36" s="205"/>
      <c r="BA36" s="80" t="str">
        <f t="shared" si="13"/>
        <v>正确</v>
      </c>
    </row>
    <row r="37" spans="1:53">
      <c r="A37" s="74">
        <v>35</v>
      </c>
      <c r="B37" s="75" t="s">
        <v>401</v>
      </c>
      <c r="C37" s="198" t="s">
        <v>253</v>
      </c>
      <c r="D37" s="201" t="s">
        <v>254</v>
      </c>
      <c r="E37" s="76" t="str">
        <f t="shared" si="14"/>
        <v>男</v>
      </c>
      <c r="F37" s="94">
        <f t="shared" si="15"/>
        <v>34634</v>
      </c>
      <c r="G37" s="231" t="s">
        <v>422</v>
      </c>
      <c r="H37" s="83" t="s">
        <v>371</v>
      </c>
      <c r="I37" s="87">
        <v>44593</v>
      </c>
      <c r="J37" s="82"/>
      <c r="K37" s="203">
        <f>VLOOKUP(C37,融科!B:N,4,FALSE)</f>
        <v>0.5</v>
      </c>
      <c r="L37" s="203">
        <f>VLOOKUP(C37,融科!B:N,5,FALSE)</f>
        <v>0.5</v>
      </c>
      <c r="M37" s="236">
        <f>VLOOKUP(C37,融科!B:N,6,FALSE)</f>
        <v>7150</v>
      </c>
      <c r="N37" s="236">
        <f>VLOOKUP(C37,融科!B:N,7,FALSE)</f>
        <v>7150</v>
      </c>
      <c r="O37" s="236">
        <f>VLOOKUP(C37,融科!B:N,8,FALSE)</f>
        <v>0</v>
      </c>
      <c r="P37" s="236">
        <f>VLOOKUP(C37,融科!B:N,9,FALSE)</f>
        <v>0</v>
      </c>
      <c r="Q37" s="236">
        <f>VLOOKUP(C37,融科!B:N,10,FALSE)</f>
        <v>0</v>
      </c>
      <c r="R37" s="236">
        <f>VLOOKUP(C37,融科!B:N,11,FALSE)</f>
        <v>0</v>
      </c>
      <c r="S37" s="236">
        <f>VLOOKUP(C37,融科!B:N,12,FALSE)</f>
        <v>0</v>
      </c>
      <c r="T37" s="237">
        <f>VLOOKUP(C37,融科!B:N,13,FALSE)</f>
        <v>14300</v>
      </c>
      <c r="U37" s="93">
        <f>VLOOKUP($D37,社保!$C:$AF,MATCH(U$1,社保!$C$1:$AF$1,0),FALSE)</f>
        <v>428.8</v>
      </c>
      <c r="V37" s="93">
        <f>VLOOKUP($D37,社保!$C:$AF,MATCH(V$1,社保!$C$1:$AF$1,0),FALSE)+VLOOKUP($D37,社保!$C:$AF,MATCH("个人大病",社保!$C$1:$AF$1,0),FALSE)</f>
        <v>110.2</v>
      </c>
      <c r="W37" s="93">
        <f>VLOOKUP($D37,社保!$C:$AF,MATCH(W$1,社保!$C$1:$AF$1,0),FALSE)</f>
        <v>26.8</v>
      </c>
      <c r="X37" s="93">
        <f t="shared" si="9"/>
        <v>565.79999999999995</v>
      </c>
      <c r="Y37" s="93">
        <f>VLOOKUP($D37,社保!$C:$AF,MATCH(Y$1,社保!$C$1:$AF$1,0),FALSE)</f>
        <v>960</v>
      </c>
      <c r="Z37" s="93">
        <f t="shared" si="10"/>
        <v>1525.8</v>
      </c>
      <c r="AA37" s="77"/>
      <c r="AB37" s="78">
        <f>VLOOKUP($D37,个税系统表!$D:$AN,MATCH(海淀分公司工资表!AB$1,个税系统表!$D$1:$AM$1,0),FALSE)</f>
        <v>14300</v>
      </c>
      <c r="AC37" s="78">
        <f>VLOOKUP($D37,个税系统表!$D:$AN,MATCH(海淀分公司工资表!AC$1,个税系统表!$D$1:$AM$1,0),FALSE)</f>
        <v>5000</v>
      </c>
      <c r="AD37" s="78">
        <f>VLOOKUP($D37,个税系统表!$D:$AN,MATCH(海淀分公司工资表!AD$1,个税系统表!$D$1:$AM$1,0),FALSE)</f>
        <v>1525.8</v>
      </c>
      <c r="AE37" s="78">
        <f>VLOOKUP($D37,个税系统表!$D:$AN,MATCH(海淀分公司工资表!AE$2,个税系统表!$D$1:$AM$1,0),FALSE)</f>
        <v>0</v>
      </c>
      <c r="AF37" s="78">
        <f>VLOOKUP($D37,个税系统表!$D:$AN,MATCH(海淀分公司工资表!AF$2,个税系统表!$D$1:$AM$1,0),FALSE)</f>
        <v>0</v>
      </c>
      <c r="AG37" s="78">
        <f>VLOOKUP($D37,个税系统表!$D:$AN,MATCH(海淀分公司工资表!AG$2,个税系统表!$D$1:$AM$1,0),FALSE)</f>
        <v>0</v>
      </c>
      <c r="AH37" s="78">
        <f>VLOOKUP($D37,个税系统表!$D:$AN,MATCH(海淀分公司工资表!AH$2,个税系统表!$D$1:$AM$1,0),FALSE)</f>
        <v>0</v>
      </c>
      <c r="AI37" s="78">
        <f>VLOOKUP($D37,个税系统表!$D:$AN,MATCH(海淀分公司工资表!AI$2,个税系统表!$D$1:$AM$1,0),FALSE)</f>
        <v>0</v>
      </c>
      <c r="AJ37" s="77"/>
      <c r="AK37" s="78">
        <f t="shared" si="11"/>
        <v>0</v>
      </c>
      <c r="AL37" s="78">
        <f>VLOOKUP($D37,个税系统表!$D:$AN,MATCH(海淀分公司工资表!AL$1,个税系统表!$D$1:$AM$1,0),FALSE)</f>
        <v>0</v>
      </c>
      <c r="AM37" s="78">
        <f>VLOOKUP($D37,个税系统表!$D:$AN,MATCH(海淀分公司工资表!AM$1,个税系统表!$D$1:$AM$1,0),FALSE)</f>
        <v>7774.2</v>
      </c>
      <c r="AN37" s="78">
        <f>VLOOKUP($D37,个税系统表!$D:$AN,MATCH(海淀分公司工资表!AN$1,个税系统表!$D$1:$AM$1,0),FALSE)</f>
        <v>233.23</v>
      </c>
      <c r="AO37" s="78">
        <f>VLOOKUP($D37,个税系统表!$D:$AN,MATCH(海淀分公司工资表!AO$1,个税系统表!$D$1:$AM$1,0),FALSE)</f>
        <v>0</v>
      </c>
      <c r="AP37" s="78">
        <f>VLOOKUP($D37,个税系统表!$D:$AN,MATCH(海淀分公司工资表!AP$1,个税系统表!$D$1:$AM$1,0),FALSE)</f>
        <v>233.23</v>
      </c>
      <c r="AQ37" s="96">
        <f t="shared" si="12"/>
        <v>12540.970000000001</v>
      </c>
      <c r="AR37" s="79"/>
      <c r="AS37" s="113">
        <f t="shared" si="5"/>
        <v>12540.97</v>
      </c>
      <c r="AT37" s="93">
        <f>VLOOKUP($H37,缴费比例!$B:$O,MATCH(AT$1,缴费比例!$B$1:$O$1,0),FALSE)</f>
        <v>170</v>
      </c>
      <c r="AU37" s="93">
        <v>2</v>
      </c>
      <c r="AV37" s="93">
        <f t="shared" si="6"/>
        <v>12946.2</v>
      </c>
      <c r="AW37" s="221" t="s">
        <v>458</v>
      </c>
      <c r="AX37" s="100" t="s">
        <v>404</v>
      </c>
      <c r="AY37" s="100" t="s">
        <v>459</v>
      </c>
      <c r="AZ37" s="205"/>
      <c r="BA37" s="80" t="str">
        <f t="shared" si="13"/>
        <v>正确</v>
      </c>
    </row>
    <row r="38" spans="1:53" ht="14">
      <c r="A38" s="207"/>
      <c r="B38" s="208"/>
      <c r="C38" s="198"/>
      <c r="D38" s="209"/>
      <c r="E38" s="210"/>
      <c r="F38" s="211"/>
      <c r="G38" s="233"/>
      <c r="H38" s="202"/>
      <c r="I38" s="212"/>
      <c r="J38" s="199"/>
      <c r="K38" s="203"/>
      <c r="L38" s="203"/>
      <c r="M38" s="236"/>
      <c r="N38" s="236"/>
      <c r="O38" s="238"/>
      <c r="P38" s="236"/>
      <c r="Q38" s="236"/>
      <c r="R38" s="236"/>
      <c r="S38" s="236"/>
      <c r="T38" s="239"/>
      <c r="U38" s="93"/>
      <c r="V38" s="93"/>
      <c r="W38" s="93"/>
      <c r="X38" s="93"/>
      <c r="Y38" s="93"/>
      <c r="Z38" s="93"/>
      <c r="AA38" s="215"/>
      <c r="AB38" s="216"/>
      <c r="AC38" s="216"/>
      <c r="AD38" s="216"/>
      <c r="AE38" s="216"/>
      <c r="AF38" s="216"/>
      <c r="AG38" s="216"/>
      <c r="AH38" s="216"/>
      <c r="AI38" s="216"/>
      <c r="AJ38" s="215"/>
      <c r="AK38" s="216"/>
      <c r="AL38" s="216"/>
      <c r="AM38" s="216"/>
      <c r="AN38" s="216"/>
      <c r="AO38" s="216"/>
      <c r="AP38" s="216"/>
      <c r="AQ38" s="217"/>
      <c r="AR38" s="218"/>
      <c r="AS38" s="219"/>
      <c r="AT38" s="213"/>
      <c r="AU38" s="213"/>
      <c r="AV38" s="213"/>
      <c r="AW38" s="225"/>
      <c r="AX38" s="205"/>
      <c r="AY38" s="205"/>
      <c r="AZ38" s="205"/>
      <c r="BA38" s="220"/>
    </row>
    <row r="39" spans="1:53">
      <c r="A39" s="207"/>
      <c r="B39" s="208"/>
      <c r="C39" s="198"/>
      <c r="D39" s="209"/>
      <c r="E39" s="210"/>
      <c r="F39" s="211"/>
      <c r="G39" s="233"/>
      <c r="H39" s="202"/>
      <c r="I39" s="212"/>
      <c r="J39" s="199"/>
      <c r="K39" s="203"/>
      <c r="L39" s="203"/>
      <c r="M39" s="236"/>
      <c r="N39" s="236"/>
      <c r="O39" s="236"/>
      <c r="P39" s="236"/>
      <c r="Q39" s="236"/>
      <c r="R39" s="236"/>
      <c r="S39" s="236"/>
      <c r="T39" s="239"/>
      <c r="U39" s="213"/>
      <c r="V39" s="213"/>
      <c r="W39" s="213"/>
      <c r="X39" s="213"/>
      <c r="Y39" s="213"/>
      <c r="Z39" s="214"/>
      <c r="AA39" s="215"/>
      <c r="AB39" s="216"/>
      <c r="AC39" s="216"/>
      <c r="AD39" s="216"/>
      <c r="AE39" s="216"/>
      <c r="AF39" s="216"/>
      <c r="AG39" s="216"/>
      <c r="AH39" s="216"/>
      <c r="AI39" s="216"/>
      <c r="AJ39" s="215"/>
      <c r="AK39" s="216"/>
      <c r="AL39" s="216"/>
      <c r="AM39" s="216"/>
      <c r="AN39" s="216"/>
      <c r="AO39" s="216"/>
      <c r="AP39" s="216"/>
      <c r="AQ39" s="217"/>
      <c r="AR39" s="218"/>
      <c r="AS39" s="219"/>
      <c r="AT39" s="213"/>
      <c r="AU39" s="213"/>
      <c r="AV39" s="213"/>
      <c r="AW39" s="225"/>
      <c r="AX39" s="205"/>
      <c r="AY39" s="205"/>
      <c r="AZ39" s="205"/>
      <c r="BA39" s="220"/>
    </row>
    <row r="40" spans="1:53">
      <c r="A40" s="207"/>
      <c r="B40" s="208"/>
      <c r="C40" s="198"/>
      <c r="D40" s="209"/>
      <c r="E40" s="210"/>
      <c r="F40" s="211"/>
      <c r="G40" s="233"/>
      <c r="H40" s="202"/>
      <c r="I40" s="212"/>
      <c r="J40" s="199"/>
      <c r="K40" s="203"/>
      <c r="L40" s="203"/>
      <c r="M40" s="236"/>
      <c r="N40" s="236"/>
      <c r="O40" s="236"/>
      <c r="P40" s="236"/>
      <c r="Q40" s="236"/>
      <c r="R40" s="236"/>
      <c r="S40" s="236"/>
      <c r="T40" s="239"/>
      <c r="U40" s="213"/>
      <c r="V40" s="213"/>
      <c r="W40" s="213"/>
      <c r="X40" s="213"/>
      <c r="Y40" s="213"/>
      <c r="Z40" s="214"/>
      <c r="AA40" s="215"/>
      <c r="AB40" s="216"/>
      <c r="AC40" s="216"/>
      <c r="AD40" s="216"/>
      <c r="AE40" s="216"/>
      <c r="AF40" s="216"/>
      <c r="AG40" s="216"/>
      <c r="AH40" s="216"/>
      <c r="AI40" s="216"/>
      <c r="AJ40" s="215"/>
      <c r="AK40" s="216"/>
      <c r="AL40" s="216"/>
      <c r="AM40" s="216"/>
      <c r="AN40" s="216"/>
      <c r="AO40" s="216"/>
      <c r="AP40" s="216"/>
      <c r="AQ40" s="217"/>
      <c r="AR40" s="218"/>
      <c r="AS40" s="219"/>
      <c r="AT40" s="213"/>
      <c r="AU40" s="213"/>
      <c r="AV40" s="213"/>
      <c r="AW40" s="225"/>
      <c r="AX40" s="205"/>
      <c r="AY40" s="205"/>
      <c r="AZ40" s="205"/>
      <c r="BA40" s="220"/>
    </row>
    <row r="43" spans="1:53">
      <c r="A43" s="84"/>
      <c r="B43" s="84"/>
      <c r="C43" s="84"/>
      <c r="D43" s="84"/>
      <c r="E43" s="84"/>
      <c r="F43" s="84"/>
      <c r="G43" s="234"/>
      <c r="H43" s="84"/>
      <c r="I43" s="84"/>
      <c r="J43" s="84"/>
      <c r="M43" s="97"/>
      <c r="N43" s="97"/>
      <c r="O43" s="97"/>
      <c r="P43" s="97"/>
      <c r="Q43" s="97"/>
      <c r="R43" s="97"/>
      <c r="S43" s="97"/>
      <c r="T43" s="97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73"/>
      <c r="AN43" s="84"/>
      <c r="AO43" s="84"/>
      <c r="AP43" s="84"/>
      <c r="AQ43" s="97"/>
      <c r="AR43" s="84"/>
      <c r="AS43" s="84"/>
      <c r="AT43" s="84"/>
      <c r="AU43" s="84"/>
      <c r="AV43" s="84"/>
      <c r="AW43" s="226"/>
      <c r="AX43" s="101"/>
      <c r="AY43" s="101"/>
      <c r="AZ43" s="101"/>
      <c r="BA43" s="84"/>
    </row>
  </sheetData>
  <mergeCells count="50">
    <mergeCell ref="BB1:BB2"/>
    <mergeCell ref="BC1:BC2"/>
    <mergeCell ref="AB1:AB2"/>
    <mergeCell ref="AC1:AC2"/>
    <mergeCell ref="AD1:AD2"/>
    <mergeCell ref="BA1:BA2"/>
    <mergeCell ref="AW1:AW2"/>
    <mergeCell ref="AX1:AX2"/>
    <mergeCell ref="AY1:AY2"/>
    <mergeCell ref="AZ1:AZ2"/>
    <mergeCell ref="AE1:AJ1"/>
    <mergeCell ref="AL1:AL2"/>
    <mergeCell ref="AM1:AM2"/>
    <mergeCell ref="AN1:AN2"/>
    <mergeCell ref="AO1:AO2"/>
    <mergeCell ref="AK1:AK2"/>
    <mergeCell ref="AA1:AA2"/>
    <mergeCell ref="T1:T2"/>
    <mergeCell ref="U1:U2"/>
    <mergeCell ref="V1:V2"/>
    <mergeCell ref="X1:X2"/>
    <mergeCell ref="J1:J2"/>
    <mergeCell ref="Z1:Z2"/>
    <mergeCell ref="H1:H2"/>
    <mergeCell ref="W1:W2"/>
    <mergeCell ref="Y1:Y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E1:E2"/>
    <mergeCell ref="G1:G2"/>
    <mergeCell ref="I1:I2"/>
    <mergeCell ref="A1:A2"/>
    <mergeCell ref="B1:B2"/>
    <mergeCell ref="C1:C2"/>
    <mergeCell ref="D1:D2"/>
    <mergeCell ref="F1:F2"/>
    <mergeCell ref="AV1:AV2"/>
    <mergeCell ref="AU1:AU2"/>
    <mergeCell ref="AP1:AP2"/>
    <mergeCell ref="AT1:AT2"/>
    <mergeCell ref="AQ1:AQ2"/>
    <mergeCell ref="AR1:AR2"/>
    <mergeCell ref="AS1:AS2"/>
  </mergeCells>
  <phoneticPr fontId="2" type="noConversion"/>
  <conditionalFormatting sqref="C22:C24">
    <cfRule type="duplicateValues" dxfId="14" priority="5"/>
  </conditionalFormatting>
  <conditionalFormatting sqref="C25:C36">
    <cfRule type="duplicateValues" dxfId="13" priority="20"/>
  </conditionalFormatting>
  <conditionalFormatting sqref="C37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71"/>
  <sheetViews>
    <sheetView workbookViewId="0">
      <pane xSplit="4" ySplit="1" topLeftCell="E42" activePane="bottomRight" state="frozen"/>
      <selection pane="topRight" activeCell="E1" sqref="E1"/>
      <selection pane="bottomLeft" activeCell="A2" sqref="A2"/>
      <selection pane="bottomRight" activeCell="A51" sqref="A51:XFD71"/>
    </sheetView>
  </sheetViews>
  <sheetFormatPr defaultColWidth="9" defaultRowHeight="20.25" customHeight="1"/>
  <cols>
    <col min="1" max="1" width="9" style="54"/>
    <col min="2" max="2" width="6.7265625" style="54" bestFit="1" customWidth="1"/>
    <col min="3" max="3" width="15.453125" style="54" customWidth="1"/>
    <col min="4" max="4" width="7.36328125" style="54" customWidth="1"/>
    <col min="5" max="5" width="8.36328125" style="54" customWidth="1"/>
    <col min="6" max="6" width="11.26953125" style="54" customWidth="1"/>
    <col min="7" max="10" width="7.36328125" style="65" customWidth="1"/>
    <col min="11" max="11" width="8.90625" style="65" customWidth="1"/>
    <col min="12" max="21" width="7.36328125" style="54" customWidth="1"/>
    <col min="22" max="23" width="7.36328125" style="144" customWidth="1"/>
    <col min="24" max="26" width="9.6328125" style="139" customWidth="1"/>
    <col min="27" max="27" width="26.36328125" style="54" bestFit="1" customWidth="1"/>
    <col min="28" max="16384" width="9" style="54"/>
  </cols>
  <sheetData>
    <row r="1" spans="1:34" ht="24">
      <c r="A1" s="47" t="s">
        <v>138</v>
      </c>
      <c r="B1" s="48" t="s">
        <v>0</v>
      </c>
      <c r="C1" s="42" t="s">
        <v>131</v>
      </c>
      <c r="D1" s="42" t="s">
        <v>139</v>
      </c>
      <c r="E1" s="123" t="s">
        <v>270</v>
      </c>
      <c r="F1" s="123" t="s">
        <v>271</v>
      </c>
      <c r="G1" s="49" t="s">
        <v>132</v>
      </c>
      <c r="H1" s="49" t="s">
        <v>133</v>
      </c>
      <c r="I1" s="49" t="s">
        <v>134</v>
      </c>
      <c r="J1" s="49" t="s">
        <v>135</v>
      </c>
      <c r="K1" s="49" t="s">
        <v>136</v>
      </c>
      <c r="L1" s="50" t="s">
        <v>71</v>
      </c>
      <c r="M1" s="50" t="s">
        <v>27</v>
      </c>
      <c r="N1" s="50" t="s">
        <v>72</v>
      </c>
      <c r="O1" s="50" t="s">
        <v>29</v>
      </c>
      <c r="P1" s="50" t="s">
        <v>73</v>
      </c>
      <c r="Q1" s="66" t="s">
        <v>74</v>
      </c>
      <c r="R1" s="66" t="s">
        <v>28</v>
      </c>
      <c r="S1" s="66" t="s">
        <v>75</v>
      </c>
      <c r="T1" s="51" t="s">
        <v>76</v>
      </c>
      <c r="U1" s="51" t="s">
        <v>30</v>
      </c>
      <c r="V1" s="142" t="s">
        <v>310</v>
      </c>
      <c r="W1" s="142" t="s">
        <v>312</v>
      </c>
      <c r="X1" s="137" t="s">
        <v>289</v>
      </c>
      <c r="Y1" s="137" t="s">
        <v>290</v>
      </c>
      <c r="Z1" s="137" t="s">
        <v>314</v>
      </c>
      <c r="AA1" s="52" t="s">
        <v>284</v>
      </c>
      <c r="AB1" s="53"/>
      <c r="AC1" s="53"/>
      <c r="AD1" s="53"/>
      <c r="AE1" s="53"/>
      <c r="AF1" s="53"/>
      <c r="AG1" s="53"/>
      <c r="AH1" s="53"/>
    </row>
    <row r="2" spans="1:34" ht="20.25" customHeight="1">
      <c r="A2" s="67" t="s">
        <v>63</v>
      </c>
      <c r="B2" s="120" t="s">
        <v>3</v>
      </c>
      <c r="C2" s="121" t="s">
        <v>6</v>
      </c>
      <c r="D2" s="45" t="s">
        <v>65</v>
      </c>
      <c r="E2" s="40">
        <v>44562</v>
      </c>
      <c r="F2" s="122">
        <v>44593</v>
      </c>
      <c r="G2" s="68">
        <v>5360</v>
      </c>
      <c r="H2" s="68">
        <v>5360</v>
      </c>
      <c r="I2" s="68">
        <v>5360</v>
      </c>
      <c r="J2" s="68">
        <v>5360</v>
      </c>
      <c r="K2" s="68">
        <v>9000</v>
      </c>
      <c r="L2" s="56">
        <f>ROUND(G2*(VLOOKUP($D2,缴费比例!$B:$N,MATCH(L$1,缴费比例!$B$1:$N$1,0),FALSE)),2)</f>
        <v>857.6</v>
      </c>
      <c r="M2" s="56">
        <f>ROUND(G2*(VLOOKUP($D2,缴费比例!$B:$N,MATCH(M$1,缴费比例!$B$1:$N$1,0),FALSE)),2)</f>
        <v>428.8</v>
      </c>
      <c r="N2" s="56">
        <f>ROUND(H2*(VLOOKUP($D2,缴费比例!$B:$N,MATCH(N$1,缴费比例!$B$1:$N$1,0),FALSE)),2)</f>
        <v>26.8</v>
      </c>
      <c r="O2" s="56">
        <f>ROUND(H2*(VLOOKUP($D2,缴费比例!$B:$N,MATCH(O$1,缴费比例!$B$1:$N$1,0),FALSE)),2)</f>
        <v>26.8</v>
      </c>
      <c r="P2" s="56">
        <f>ROUND(I2*(VLOOKUP($D2,缴费比例!$B:$N,MATCH(P$1,缴费比例!$B$1:$N$1,0),FALSE)),2)</f>
        <v>10.72</v>
      </c>
      <c r="Q2" s="56">
        <f>ROUND(J2*(VLOOKUP($D2,缴费比例!$B:$N,MATCH(Q$1,缴费比例!$B$1:$N$1,0),FALSE)),2)+VLOOKUP($D2,缴费比例!$B:$N,MATCH("单位大病",缴费比例!$B$1:$N$1,0),FALSE)</f>
        <v>525.28</v>
      </c>
      <c r="R2" s="56">
        <f>ROUND(J2*(VLOOKUP($D2,缴费比例!$B:$N,MATCH(R$1,缴费比例!$B$1:$N$1,0),FALSE)),2)</f>
        <v>107.2</v>
      </c>
      <c r="S2" s="56">
        <f>ROUND((VLOOKUP($D2,缴费比例!$B:$N,MATCH(S$1,缴费比例!$B$1:$N$1,0),FALSE)),2)</f>
        <v>3</v>
      </c>
      <c r="T2" s="56">
        <f>IF(D2="合肥",ROUND(K2*(VLOOKUP($D2,缴费比例!$B:$N,MATCH(T$1,缴费比例!$B$1:$N$1,0),FALSE)),1),ROUND(K2*(VLOOKUP($D2,缴费比例!$B:$N,MATCH(T$1,缴费比例!$B$1:$N$1,0),FALSE)),0))</f>
        <v>1080</v>
      </c>
      <c r="U2" s="56">
        <f>IF(D2="合肥",ROUND(K2*(VLOOKUP($D2,缴费比例!$B:$N,MATCH(U$1,缴费比例!$B$1:$N$1,0),FALSE)),1),ROUND(K2*(VLOOKUP($D2,缴费比例!$B:$N,MATCH(U$1,缴费比例!$B$1:$N$1,0),FALSE)),0))</f>
        <v>1080</v>
      </c>
      <c r="V2" s="143">
        <f>L2+N2+P2+Q2</f>
        <v>1420.4</v>
      </c>
      <c r="W2" s="143">
        <f>M2+O2+R2+S2</f>
        <v>565.80000000000007</v>
      </c>
      <c r="X2" s="138">
        <f>SUM(L2:S2)</f>
        <v>1986.2</v>
      </c>
      <c r="Y2" s="138">
        <f>SUM(T2:U2)</f>
        <v>2160</v>
      </c>
      <c r="Z2" s="138" t="str">
        <f>IF(D2="北京","北京","外地")</f>
        <v>北京</v>
      </c>
      <c r="AA2" s="58"/>
      <c r="AB2" s="59"/>
      <c r="AC2" s="59"/>
      <c r="AD2" s="60"/>
      <c r="AE2" s="60"/>
      <c r="AF2" s="60"/>
      <c r="AG2" s="61"/>
      <c r="AH2" s="60"/>
    </row>
    <row r="3" spans="1:34" ht="20.25" customHeight="1">
      <c r="A3" s="67" t="s">
        <v>63</v>
      </c>
      <c r="B3" s="120" t="s">
        <v>147</v>
      </c>
      <c r="C3" s="121" t="s">
        <v>33</v>
      </c>
      <c r="D3" s="45" t="s">
        <v>65</v>
      </c>
      <c r="E3" s="40">
        <v>44562</v>
      </c>
      <c r="F3" s="122">
        <v>44593</v>
      </c>
      <c r="G3" s="68">
        <v>5360</v>
      </c>
      <c r="H3" s="68">
        <v>5360</v>
      </c>
      <c r="I3" s="68">
        <v>5360</v>
      </c>
      <c r="J3" s="68">
        <v>5360</v>
      </c>
      <c r="K3" s="68">
        <v>2636</v>
      </c>
      <c r="L3" s="56">
        <f>ROUND(G3*(VLOOKUP($D3,缴费比例!B:N,MATCH(L$1,缴费比例!$B$1:$N$1,0),FALSE)),2)</f>
        <v>857.6</v>
      </c>
      <c r="M3" s="56">
        <f>ROUND(G3*(VLOOKUP($D3,缴费比例!$B:$N,MATCH(M$1,缴费比例!$B$1:$N$1,0),FALSE)),2)</f>
        <v>428.8</v>
      </c>
      <c r="N3" s="56">
        <f>ROUND(H3*(VLOOKUP($D3,缴费比例!$B:$N,MATCH(N$1,缴费比例!$B$1:$N$1,0),FALSE)),2)</f>
        <v>26.8</v>
      </c>
      <c r="O3" s="56">
        <f>ROUND(H3*(VLOOKUP($D3,缴费比例!$B:$N,MATCH(O$1,缴费比例!$B$1:$N$1,0),FALSE)),2)</f>
        <v>26.8</v>
      </c>
      <c r="P3" s="56">
        <f>ROUND(I3*(VLOOKUP($D3,缴费比例!$B:$N,MATCH(P$1,缴费比例!$B$1:$N$1,0),FALSE)),2)</f>
        <v>10.72</v>
      </c>
      <c r="Q3" s="56">
        <f>ROUND(J3*(VLOOKUP($D3,缴费比例!$B:$N,MATCH(Q$1,缴费比例!$B$1:$N$1,0),FALSE)),2)+VLOOKUP($D3,缴费比例!$B:$N,MATCH("单位大病",缴费比例!$B$1:$N$1,0),FALSE)</f>
        <v>525.28</v>
      </c>
      <c r="R3" s="56">
        <f>ROUND(J3*(VLOOKUP($D3,缴费比例!$B:$N,MATCH(R$1,缴费比例!$B$1:$N$1,0),FALSE)),2)</f>
        <v>107.2</v>
      </c>
      <c r="S3" s="56">
        <f>ROUND((VLOOKUP($D3,缴费比例!$B:$N,MATCH(S$1,缴费比例!$B$1:$N$1,0),FALSE)),2)</f>
        <v>3</v>
      </c>
      <c r="T3" s="56">
        <f>IF(D3="合肥",ROUND(K3*(VLOOKUP($D3,缴费比例!$B:$N,MATCH(T$1,缴费比例!$B$1:$N$1,0),FALSE)),1),ROUND(K3*(VLOOKUP($D3,缴费比例!$B:$N,MATCH(T$1,缴费比例!$B$1:$N$1,0),FALSE)),0))</f>
        <v>316</v>
      </c>
      <c r="U3" s="56">
        <f>IF(D3="合肥",ROUND(K3*(VLOOKUP($D3,缴费比例!$B:$N,MATCH(U$1,缴费比例!$B$1:$N$1,0),FALSE)),1),ROUND(K3*(VLOOKUP($D3,缴费比例!$B:$N,MATCH(U$1,缴费比例!$B$1:$N$1,0),FALSE)),0))</f>
        <v>316</v>
      </c>
      <c r="V3" s="143">
        <f t="shared" ref="V3:V50" si="0">L3+N3+P3+Q3</f>
        <v>1420.4</v>
      </c>
      <c r="W3" s="143">
        <f t="shared" ref="W3:W50" si="1">M3+O3+R3+S3</f>
        <v>565.80000000000007</v>
      </c>
      <c r="X3" s="138">
        <f t="shared" ref="X3:X50" si="2">SUM(L3:S3)</f>
        <v>1986.2</v>
      </c>
      <c r="Y3" s="138">
        <f t="shared" ref="Y3:Y50" si="3">SUM(T3:U3)</f>
        <v>632</v>
      </c>
      <c r="Z3" s="138" t="str">
        <f t="shared" ref="Z3:Z50" si="4">IF(D3="北京","北京","外地")</f>
        <v>北京</v>
      </c>
      <c r="AA3" s="58"/>
      <c r="AB3" s="59"/>
      <c r="AC3" s="59"/>
      <c r="AD3" s="60"/>
      <c r="AE3" s="60"/>
      <c r="AF3" s="60"/>
      <c r="AG3" s="60"/>
      <c r="AH3" s="61"/>
    </row>
    <row r="4" spans="1:34" ht="20.25" customHeight="1">
      <c r="A4" s="67" t="s">
        <v>63</v>
      </c>
      <c r="B4" s="120" t="s">
        <v>34</v>
      </c>
      <c r="C4" s="121" t="s">
        <v>35</v>
      </c>
      <c r="D4" s="45" t="s">
        <v>65</v>
      </c>
      <c r="E4" s="40">
        <v>44562</v>
      </c>
      <c r="F4" s="122">
        <v>44593</v>
      </c>
      <c r="G4" s="68">
        <v>5360</v>
      </c>
      <c r="H4" s="68">
        <v>5360</v>
      </c>
      <c r="I4" s="68">
        <v>5360</v>
      </c>
      <c r="J4" s="68">
        <v>5360</v>
      </c>
      <c r="K4" s="68">
        <v>2636</v>
      </c>
      <c r="L4" s="56">
        <f>ROUND(G4*(VLOOKUP($D4,缴费比例!B:N,MATCH(L$1,缴费比例!$B$1:$N$1,0),FALSE)),2)</f>
        <v>857.6</v>
      </c>
      <c r="M4" s="56">
        <f>ROUND(G4*(VLOOKUP($D4,缴费比例!$B:$N,MATCH(M$1,缴费比例!$B$1:$N$1,0),FALSE)),2)</f>
        <v>428.8</v>
      </c>
      <c r="N4" s="56">
        <f>ROUND(H4*(VLOOKUP($D4,缴费比例!$B:$N,MATCH(N$1,缴费比例!$B$1:$N$1,0),FALSE)),2)</f>
        <v>26.8</v>
      </c>
      <c r="O4" s="56">
        <f>ROUND(H4*(VLOOKUP($D4,缴费比例!$B:$N,MATCH(O$1,缴费比例!$B$1:$N$1,0),FALSE)),2)</f>
        <v>26.8</v>
      </c>
      <c r="P4" s="56">
        <f>ROUND(I4*(VLOOKUP($D4,缴费比例!$B:$N,MATCH(P$1,缴费比例!$B$1:$N$1,0),FALSE)),2)</f>
        <v>10.72</v>
      </c>
      <c r="Q4" s="56">
        <f>ROUND(J4*(VLOOKUP($D4,缴费比例!$B:$N,MATCH(Q$1,缴费比例!$B$1:$N$1,0),FALSE)),2)+VLOOKUP($D4,缴费比例!$B:$N,MATCH("单位大病",缴费比例!$B$1:$N$1,0),FALSE)</f>
        <v>525.28</v>
      </c>
      <c r="R4" s="56">
        <f>ROUND(J4*(VLOOKUP($D4,缴费比例!$B:$N,MATCH(R$1,缴费比例!$B$1:$N$1,0),FALSE)),2)</f>
        <v>107.2</v>
      </c>
      <c r="S4" s="56">
        <f>ROUND((VLOOKUP($D4,缴费比例!$B:$N,MATCH(S$1,缴费比例!$B$1:$N$1,0),FALSE)),2)</f>
        <v>3</v>
      </c>
      <c r="T4" s="56">
        <f>IF(D4="合肥",ROUND(K4*(VLOOKUP($D4,缴费比例!$B:$N,MATCH(T$1,缴费比例!$B$1:$N$1,0),FALSE)),1),ROUND(K4*(VLOOKUP($D4,缴费比例!$B:$N,MATCH(T$1,缴费比例!$B$1:$N$1,0),FALSE)),0))</f>
        <v>316</v>
      </c>
      <c r="U4" s="56">
        <f>IF(D4="合肥",ROUND(K4*(VLOOKUP($D4,缴费比例!$B:$N,MATCH(U$1,缴费比例!$B$1:$N$1,0),FALSE)),1),ROUND(K4*(VLOOKUP($D4,缴费比例!$B:$N,MATCH(U$1,缴费比例!$B$1:$N$1,0),FALSE)),0))</f>
        <v>316</v>
      </c>
      <c r="V4" s="143">
        <f t="shared" si="0"/>
        <v>1420.4</v>
      </c>
      <c r="W4" s="143">
        <f t="shared" si="1"/>
        <v>565.80000000000007</v>
      </c>
      <c r="X4" s="138">
        <f t="shared" si="2"/>
        <v>1986.2</v>
      </c>
      <c r="Y4" s="138">
        <f t="shared" si="3"/>
        <v>632</v>
      </c>
      <c r="Z4" s="138" t="str">
        <f t="shared" si="4"/>
        <v>北京</v>
      </c>
      <c r="AA4" s="58"/>
      <c r="AB4" s="59"/>
      <c r="AC4" s="59"/>
      <c r="AD4" s="60"/>
      <c r="AE4" s="60"/>
      <c r="AF4" s="60"/>
      <c r="AG4" s="60"/>
      <c r="AH4" s="61"/>
    </row>
    <row r="5" spans="1:34" ht="20.25" customHeight="1">
      <c r="A5" s="67" t="s">
        <v>63</v>
      </c>
      <c r="B5" s="120" t="s">
        <v>2</v>
      </c>
      <c r="C5" s="118" t="s">
        <v>5</v>
      </c>
      <c r="D5" s="45" t="s">
        <v>65</v>
      </c>
      <c r="E5" s="40">
        <v>44562</v>
      </c>
      <c r="F5" s="122">
        <v>44593</v>
      </c>
      <c r="G5" s="68">
        <v>5360</v>
      </c>
      <c r="H5" s="68">
        <v>5360</v>
      </c>
      <c r="I5" s="68">
        <v>5360</v>
      </c>
      <c r="J5" s="68">
        <v>5360</v>
      </c>
      <c r="K5" s="68">
        <v>2636</v>
      </c>
      <c r="L5" s="56">
        <f>ROUND(G5*(VLOOKUP($D5,缴费比例!B:N,MATCH(L$1,缴费比例!$B$1:$N$1,0),FALSE)),2)</f>
        <v>857.6</v>
      </c>
      <c r="M5" s="56">
        <f>ROUND(G5*(VLOOKUP($D5,缴费比例!$B:$N,MATCH(M$1,缴费比例!$B$1:$N$1,0),FALSE)),2)</f>
        <v>428.8</v>
      </c>
      <c r="N5" s="56">
        <f>ROUND(H5*(VLOOKUP($D5,缴费比例!$B:$N,MATCH(N$1,缴费比例!$B$1:$N$1,0),FALSE)),2)</f>
        <v>26.8</v>
      </c>
      <c r="O5" s="56">
        <f>ROUND(H5*(VLOOKUP($D5,缴费比例!$B:$N,MATCH(O$1,缴费比例!$B$1:$N$1,0),FALSE)),2)</f>
        <v>26.8</v>
      </c>
      <c r="P5" s="56">
        <f>ROUND(I5*(VLOOKUP($D5,缴费比例!$B:$N,MATCH(P$1,缴费比例!$B$1:$N$1,0),FALSE)),2)</f>
        <v>10.72</v>
      </c>
      <c r="Q5" s="56">
        <f>ROUND(J5*(VLOOKUP($D5,缴费比例!$B:$N,MATCH(Q$1,缴费比例!$B$1:$N$1,0),FALSE)),2)+VLOOKUP($D5,缴费比例!$B:$N,MATCH("单位大病",缴费比例!$B$1:$N$1,0),FALSE)</f>
        <v>525.28</v>
      </c>
      <c r="R5" s="56">
        <f>ROUND(J5*(VLOOKUP($D5,缴费比例!$B:$N,MATCH(R$1,缴费比例!$B$1:$N$1,0),FALSE)),2)</f>
        <v>107.2</v>
      </c>
      <c r="S5" s="56">
        <f>ROUND((VLOOKUP($D5,缴费比例!$B:$N,MATCH(S$1,缴费比例!$B$1:$N$1,0),FALSE)),2)</f>
        <v>3</v>
      </c>
      <c r="T5" s="56">
        <f>IF(D5="合肥",ROUND(K5*(VLOOKUP($D5,缴费比例!$B:$N,MATCH(T$1,缴费比例!$B$1:$N$1,0),FALSE)),1),ROUND(K5*(VLOOKUP($D5,缴费比例!$B:$N,MATCH(T$1,缴费比例!$B$1:$N$1,0),FALSE)),0))</f>
        <v>316</v>
      </c>
      <c r="U5" s="56">
        <f>IF(D5="合肥",ROUND(K5*(VLOOKUP($D5,缴费比例!$B:$N,MATCH(U$1,缴费比例!$B$1:$N$1,0),FALSE)),1),ROUND(K5*(VLOOKUP($D5,缴费比例!$B:$N,MATCH(U$1,缴费比例!$B$1:$N$1,0),FALSE)),0))</f>
        <v>316</v>
      </c>
      <c r="V5" s="143">
        <f t="shared" si="0"/>
        <v>1420.4</v>
      </c>
      <c r="W5" s="143">
        <f t="shared" si="1"/>
        <v>565.80000000000007</v>
      </c>
      <c r="X5" s="138">
        <f t="shared" si="2"/>
        <v>1986.2</v>
      </c>
      <c r="Y5" s="138">
        <f t="shared" si="3"/>
        <v>632</v>
      </c>
      <c r="Z5" s="138" t="str">
        <f t="shared" si="4"/>
        <v>北京</v>
      </c>
      <c r="AA5" s="58"/>
      <c r="AB5" s="59"/>
      <c r="AC5" s="59"/>
      <c r="AD5" s="60"/>
      <c r="AE5" s="60"/>
      <c r="AF5" s="60"/>
      <c r="AG5" s="60"/>
      <c r="AH5" s="61"/>
    </row>
    <row r="6" spans="1:34" ht="20.25" customHeight="1">
      <c r="A6" s="67" t="s">
        <v>63</v>
      </c>
      <c r="B6" s="120" t="s">
        <v>1</v>
      </c>
      <c r="C6" s="118" t="s">
        <v>4</v>
      </c>
      <c r="D6" s="45" t="s">
        <v>65</v>
      </c>
      <c r="E6" s="40">
        <v>44562</v>
      </c>
      <c r="F6" s="122">
        <v>44593</v>
      </c>
      <c r="G6" s="68">
        <v>5360</v>
      </c>
      <c r="H6" s="68">
        <v>5360</v>
      </c>
      <c r="I6" s="68">
        <v>5360</v>
      </c>
      <c r="J6" s="68">
        <v>5360</v>
      </c>
      <c r="K6" s="68">
        <v>2636</v>
      </c>
      <c r="L6" s="56">
        <f>ROUND(G6*(VLOOKUP($D6,缴费比例!B:N,MATCH(L$1,缴费比例!$B$1:$N$1,0),FALSE)),2)</f>
        <v>857.6</v>
      </c>
      <c r="M6" s="56">
        <f>ROUND(G6*(VLOOKUP($D6,缴费比例!$B:$N,MATCH(M$1,缴费比例!$B$1:$N$1,0),FALSE)),2)</f>
        <v>428.8</v>
      </c>
      <c r="N6" s="56">
        <f>ROUND(H6*(VLOOKUP($D6,缴费比例!$B:$N,MATCH(N$1,缴费比例!$B$1:$N$1,0),FALSE)),2)</f>
        <v>26.8</v>
      </c>
      <c r="O6" s="56">
        <f>ROUND(H6*(VLOOKUP($D6,缴费比例!$B:$N,MATCH(O$1,缴费比例!$B$1:$N$1,0),FALSE)),2)</f>
        <v>26.8</v>
      </c>
      <c r="P6" s="56">
        <f>ROUND(I6*(VLOOKUP($D6,缴费比例!$B:$N,MATCH(P$1,缴费比例!$B$1:$N$1,0),FALSE)),2)</f>
        <v>10.72</v>
      </c>
      <c r="Q6" s="56">
        <f>ROUND(J6*(VLOOKUP($D6,缴费比例!$B:$N,MATCH(Q$1,缴费比例!$B$1:$N$1,0),FALSE)),2)+VLOOKUP($D6,缴费比例!$B:$N,MATCH("单位大病",缴费比例!$B$1:$N$1,0),FALSE)</f>
        <v>525.28</v>
      </c>
      <c r="R6" s="56">
        <f>ROUND(J6*(VLOOKUP($D6,缴费比例!$B:$N,MATCH(R$1,缴费比例!$B$1:$N$1,0),FALSE)),2)</f>
        <v>107.2</v>
      </c>
      <c r="S6" s="56">
        <f>ROUND((VLOOKUP($D6,缴费比例!$B:$N,MATCH(S$1,缴费比例!$B$1:$N$1,0),FALSE)),2)</f>
        <v>3</v>
      </c>
      <c r="T6" s="56">
        <f>IF(D6="合肥",ROUND(K6*(VLOOKUP($D6,缴费比例!$B:$N,MATCH(T$1,缴费比例!$B$1:$N$1,0),FALSE)),1),ROUND(K6*(VLOOKUP($D6,缴费比例!$B:$N,MATCH(T$1,缴费比例!$B$1:$N$1,0),FALSE)),0))</f>
        <v>316</v>
      </c>
      <c r="U6" s="56">
        <f>IF(D6="合肥",ROUND(K6*(VLOOKUP($D6,缴费比例!$B:$N,MATCH(U$1,缴费比例!$B$1:$N$1,0),FALSE)),1),ROUND(K6*(VLOOKUP($D6,缴费比例!$B:$N,MATCH(U$1,缴费比例!$B$1:$N$1,0),FALSE)),0))</f>
        <v>316</v>
      </c>
      <c r="V6" s="143">
        <f t="shared" si="0"/>
        <v>1420.4</v>
      </c>
      <c r="W6" s="143">
        <f t="shared" si="1"/>
        <v>565.80000000000007</v>
      </c>
      <c r="X6" s="138">
        <f t="shared" si="2"/>
        <v>1986.2</v>
      </c>
      <c r="Y6" s="138">
        <f t="shared" si="3"/>
        <v>632</v>
      </c>
      <c r="Z6" s="138" t="str">
        <f t="shared" si="4"/>
        <v>北京</v>
      </c>
      <c r="AA6" s="58"/>
      <c r="AB6" s="59"/>
      <c r="AC6" s="59"/>
      <c r="AD6" s="60"/>
      <c r="AE6" s="60"/>
      <c r="AF6" s="60"/>
      <c r="AG6" s="60"/>
      <c r="AH6" s="60"/>
    </row>
    <row r="7" spans="1:34" ht="20.25" customHeight="1">
      <c r="A7" s="67" t="s">
        <v>63</v>
      </c>
      <c r="B7" s="120" t="s">
        <v>36</v>
      </c>
      <c r="C7" s="118" t="s">
        <v>37</v>
      </c>
      <c r="D7" s="45" t="s">
        <v>65</v>
      </c>
      <c r="E7" s="40">
        <v>44593</v>
      </c>
      <c r="F7" s="122">
        <v>44593</v>
      </c>
      <c r="G7" s="68">
        <v>5360</v>
      </c>
      <c r="H7" s="68">
        <v>5360</v>
      </c>
      <c r="I7" s="68">
        <v>5360</v>
      </c>
      <c r="J7" s="68">
        <v>5360</v>
      </c>
      <c r="K7" s="68">
        <v>3800</v>
      </c>
      <c r="L7" s="56">
        <f>ROUND(G7*(VLOOKUP($D7,缴费比例!B:N,MATCH(L$1,缴费比例!$B$1:$N$1,0),FALSE)),2)</f>
        <v>857.6</v>
      </c>
      <c r="M7" s="56">
        <f>ROUND(G7*(VLOOKUP($D7,缴费比例!$B:$N,MATCH(M$1,缴费比例!$B$1:$N$1,0),FALSE)),2)</f>
        <v>428.8</v>
      </c>
      <c r="N7" s="56">
        <f>ROUND(H7*(VLOOKUP($D7,缴费比例!$B:$N,MATCH(N$1,缴费比例!$B$1:$N$1,0),FALSE)),2)</f>
        <v>26.8</v>
      </c>
      <c r="O7" s="56">
        <f>ROUND(H7*(VLOOKUP($D7,缴费比例!$B:$N,MATCH(O$1,缴费比例!$B$1:$N$1,0),FALSE)),2)</f>
        <v>26.8</v>
      </c>
      <c r="P7" s="56">
        <f>ROUND(I7*(VLOOKUP($D7,缴费比例!$B:$N,MATCH(P$1,缴费比例!$B$1:$N$1,0),FALSE)),2)</f>
        <v>10.72</v>
      </c>
      <c r="Q7" s="56">
        <f>ROUND(J7*(VLOOKUP($D7,缴费比例!$B:$N,MATCH(Q$1,缴费比例!$B$1:$N$1,0),FALSE)),2)+VLOOKUP($D7,缴费比例!$B:$N,MATCH("单位大病",缴费比例!$B$1:$N$1,0),FALSE)</f>
        <v>525.28</v>
      </c>
      <c r="R7" s="56">
        <f>ROUND(J7*(VLOOKUP($D7,缴费比例!$B:$N,MATCH(R$1,缴费比例!$B$1:$N$1,0),FALSE)),2)</f>
        <v>107.2</v>
      </c>
      <c r="S7" s="56">
        <f>ROUND((VLOOKUP($D7,缴费比例!$B:$N,MATCH(S$1,缴费比例!$B$1:$N$1,0),FALSE)),2)</f>
        <v>3</v>
      </c>
      <c r="T7" s="56">
        <f>IF(D7="合肥",ROUND(K7*(VLOOKUP($D7,缴费比例!$B:$N,MATCH(T$1,缴费比例!$B$1:$N$1,0),FALSE)),1),ROUND(K7*(VLOOKUP($D7,缴费比例!$B:$N,MATCH(T$1,缴费比例!$B$1:$N$1,0),FALSE)),0))</f>
        <v>456</v>
      </c>
      <c r="U7" s="56">
        <f>IF(D7="合肥",ROUND(K7*(VLOOKUP($D7,缴费比例!$B:$N,MATCH(U$1,缴费比例!$B$1:$N$1,0),FALSE)),1),ROUND(K7*(VLOOKUP($D7,缴费比例!$B:$N,MATCH(U$1,缴费比例!$B$1:$N$1,0),FALSE)),0))</f>
        <v>456</v>
      </c>
      <c r="V7" s="143">
        <f t="shared" si="0"/>
        <v>1420.4</v>
      </c>
      <c r="W7" s="143">
        <f t="shared" si="1"/>
        <v>565.80000000000007</v>
      </c>
      <c r="X7" s="138">
        <f t="shared" si="2"/>
        <v>1986.2</v>
      </c>
      <c r="Y7" s="138">
        <f t="shared" si="3"/>
        <v>912</v>
      </c>
      <c r="Z7" s="138" t="str">
        <f t="shared" si="4"/>
        <v>北京</v>
      </c>
      <c r="AA7" s="41"/>
      <c r="AB7" s="59"/>
      <c r="AC7" s="59"/>
      <c r="AD7" s="41"/>
      <c r="AE7" s="41"/>
      <c r="AF7" s="41"/>
      <c r="AG7" s="41"/>
      <c r="AH7" s="41"/>
    </row>
    <row r="8" spans="1:34" ht="20.25" customHeight="1">
      <c r="A8" s="67" t="s">
        <v>63</v>
      </c>
      <c r="B8" s="120" t="s">
        <v>38</v>
      </c>
      <c r="C8" s="118" t="s">
        <v>39</v>
      </c>
      <c r="D8" s="45" t="s">
        <v>65</v>
      </c>
      <c r="E8" s="40">
        <v>44593</v>
      </c>
      <c r="F8" s="122">
        <v>44593</v>
      </c>
      <c r="G8" s="68">
        <v>5360</v>
      </c>
      <c r="H8" s="68">
        <v>5360</v>
      </c>
      <c r="I8" s="68">
        <v>5360</v>
      </c>
      <c r="J8" s="68">
        <v>5360</v>
      </c>
      <c r="K8" s="68">
        <v>3800</v>
      </c>
      <c r="L8" s="56">
        <f>ROUND(G8*(VLOOKUP($D8,缴费比例!B:N,MATCH(L$1,缴费比例!$B$1:$N$1,0),FALSE)),2)</f>
        <v>857.6</v>
      </c>
      <c r="M8" s="56">
        <f>ROUND(G8*(VLOOKUP($D8,缴费比例!$B:$N,MATCH(M$1,缴费比例!$B$1:$N$1,0),FALSE)),2)</f>
        <v>428.8</v>
      </c>
      <c r="N8" s="56">
        <f>ROUND(H8*(VLOOKUP($D8,缴费比例!$B:$N,MATCH(N$1,缴费比例!$B$1:$N$1,0),FALSE)),2)</f>
        <v>26.8</v>
      </c>
      <c r="O8" s="56">
        <f>ROUND(H8*(VLOOKUP($D8,缴费比例!$B:$N,MATCH(O$1,缴费比例!$B$1:$N$1,0),FALSE)),2)</f>
        <v>26.8</v>
      </c>
      <c r="P8" s="56">
        <f>ROUND(I8*(VLOOKUP($D8,缴费比例!$B:$N,MATCH(P$1,缴费比例!$B$1:$N$1,0),FALSE)),2)</f>
        <v>10.72</v>
      </c>
      <c r="Q8" s="56">
        <f>ROUND(J8*(VLOOKUP($D8,缴费比例!$B:$N,MATCH(Q$1,缴费比例!$B$1:$N$1,0),FALSE)),2)+VLOOKUP($D8,缴费比例!$B:$N,MATCH("单位大病",缴费比例!$B$1:$N$1,0),FALSE)</f>
        <v>525.28</v>
      </c>
      <c r="R8" s="56">
        <f>ROUND(J8*(VLOOKUP($D8,缴费比例!$B:$N,MATCH(R$1,缴费比例!$B$1:$N$1,0),FALSE)),2)</f>
        <v>107.2</v>
      </c>
      <c r="S8" s="56">
        <f>ROUND((VLOOKUP($D8,缴费比例!$B:$N,MATCH(S$1,缴费比例!$B$1:$N$1,0),FALSE)),2)</f>
        <v>3</v>
      </c>
      <c r="T8" s="56">
        <f>IF(D8="合肥",ROUND(K8*(VLOOKUP($D8,缴费比例!$B:$N,MATCH(T$1,缴费比例!$B$1:$N$1,0),FALSE)),1),ROUND(K8*(VLOOKUP($D8,缴费比例!$B:$N,MATCH(T$1,缴费比例!$B$1:$N$1,0),FALSE)),0))</f>
        <v>456</v>
      </c>
      <c r="U8" s="56">
        <f>IF(D8="合肥",ROUND(K8*(VLOOKUP($D8,缴费比例!$B:$N,MATCH(U$1,缴费比例!$B$1:$N$1,0),FALSE)),1),ROUND(K8*(VLOOKUP($D8,缴费比例!$B:$N,MATCH(U$1,缴费比例!$B$1:$N$1,0),FALSE)),0))</f>
        <v>456</v>
      </c>
      <c r="V8" s="143">
        <f t="shared" si="0"/>
        <v>1420.4</v>
      </c>
      <c r="W8" s="143">
        <f t="shared" si="1"/>
        <v>565.80000000000007</v>
      </c>
      <c r="X8" s="138">
        <f t="shared" si="2"/>
        <v>1986.2</v>
      </c>
      <c r="Y8" s="138">
        <f t="shared" si="3"/>
        <v>912</v>
      </c>
      <c r="Z8" s="138" t="str">
        <f t="shared" si="4"/>
        <v>北京</v>
      </c>
      <c r="AA8" s="58"/>
      <c r="AB8" s="59"/>
      <c r="AC8" s="59"/>
      <c r="AD8" s="60"/>
      <c r="AE8" s="60"/>
      <c r="AF8" s="60"/>
      <c r="AG8" s="61"/>
      <c r="AH8" s="60"/>
    </row>
    <row r="9" spans="1:34" ht="20.25" customHeight="1">
      <c r="A9" s="67" t="s">
        <v>63</v>
      </c>
      <c r="B9" s="119" t="s">
        <v>146</v>
      </c>
      <c r="C9" s="118" t="s">
        <v>40</v>
      </c>
      <c r="D9" s="45" t="s">
        <v>65</v>
      </c>
      <c r="E9" s="40">
        <v>44593</v>
      </c>
      <c r="F9" s="122">
        <v>44593</v>
      </c>
      <c r="G9" s="68">
        <v>5360</v>
      </c>
      <c r="H9" s="68">
        <v>5360</v>
      </c>
      <c r="I9" s="68">
        <v>5360</v>
      </c>
      <c r="J9" s="68">
        <v>5360</v>
      </c>
      <c r="K9" s="68">
        <v>5360</v>
      </c>
      <c r="L9" s="56">
        <f>ROUND(G9*(VLOOKUP($D9,缴费比例!B:N,MATCH(L$1,缴费比例!$B$1:$N$1,0),FALSE)),2)</f>
        <v>857.6</v>
      </c>
      <c r="M9" s="56">
        <f>ROUND(G9*(VLOOKUP($D9,缴费比例!$B:$N,MATCH(M$1,缴费比例!$B$1:$N$1,0),FALSE)),2)</f>
        <v>428.8</v>
      </c>
      <c r="N9" s="56">
        <f>ROUND(H9*(VLOOKUP($D9,缴费比例!$B:$N,MATCH(N$1,缴费比例!$B$1:$N$1,0),FALSE)),2)</f>
        <v>26.8</v>
      </c>
      <c r="O9" s="56">
        <f>ROUND(H9*(VLOOKUP($D9,缴费比例!$B:$N,MATCH(O$1,缴费比例!$B$1:$N$1,0),FALSE)),2)</f>
        <v>26.8</v>
      </c>
      <c r="P9" s="56">
        <f>ROUND(I9*(VLOOKUP($D9,缴费比例!$B:$N,MATCH(P$1,缴费比例!$B$1:$N$1,0),FALSE)),2)</f>
        <v>10.72</v>
      </c>
      <c r="Q9" s="56">
        <f>ROUND(J9*(VLOOKUP($D9,缴费比例!$B:$N,MATCH(Q$1,缴费比例!$B$1:$N$1,0),FALSE)),2)+VLOOKUP($D9,缴费比例!$B:$N,MATCH("单位大病",缴费比例!$B$1:$N$1,0),FALSE)</f>
        <v>525.28</v>
      </c>
      <c r="R9" s="56">
        <f>ROUND(J9*(VLOOKUP($D9,缴费比例!$B:$N,MATCH(R$1,缴费比例!$B$1:$N$1,0),FALSE)),2)</f>
        <v>107.2</v>
      </c>
      <c r="S9" s="56">
        <f>ROUND((VLOOKUP($D9,缴费比例!$B:$N,MATCH(S$1,缴费比例!$B$1:$N$1,0),FALSE)),2)</f>
        <v>3</v>
      </c>
      <c r="T9" s="56">
        <f>IF(D9="合肥",ROUND(K9*(VLOOKUP($D9,缴费比例!$B:$N,MATCH(T$1,缴费比例!$B$1:$N$1,0),FALSE)),1),ROUND(K9*(VLOOKUP($D9,缴费比例!$B:$N,MATCH(T$1,缴费比例!$B$1:$N$1,0),FALSE)),0))</f>
        <v>643</v>
      </c>
      <c r="U9" s="56">
        <f>IF(D9="合肥",ROUND(K9*(VLOOKUP($D9,缴费比例!$B:$N,MATCH(U$1,缴费比例!$B$1:$N$1,0),FALSE)),1),ROUND(K9*(VLOOKUP($D9,缴费比例!$B:$N,MATCH(U$1,缴费比例!$B$1:$N$1,0),FALSE)),0))</f>
        <v>643</v>
      </c>
      <c r="V9" s="143">
        <f t="shared" si="0"/>
        <v>1420.4</v>
      </c>
      <c r="W9" s="143">
        <f t="shared" si="1"/>
        <v>565.80000000000007</v>
      </c>
      <c r="X9" s="138">
        <f t="shared" si="2"/>
        <v>1986.2</v>
      </c>
      <c r="Y9" s="138">
        <f t="shared" si="3"/>
        <v>1286</v>
      </c>
      <c r="Z9" s="138" t="str">
        <f t="shared" si="4"/>
        <v>北京</v>
      </c>
      <c r="AA9" s="41"/>
      <c r="AB9" s="59"/>
      <c r="AC9" s="59"/>
      <c r="AD9" s="41"/>
      <c r="AE9" s="41"/>
      <c r="AF9" s="41"/>
      <c r="AG9" s="41"/>
      <c r="AH9" s="41"/>
    </row>
    <row r="10" spans="1:34" ht="20.25" customHeight="1">
      <c r="A10" s="67" t="s">
        <v>63</v>
      </c>
      <c r="B10" s="119" t="s">
        <v>41</v>
      </c>
      <c r="C10" s="118" t="s">
        <v>42</v>
      </c>
      <c r="D10" s="45" t="s">
        <v>65</v>
      </c>
      <c r="E10" s="40">
        <v>44593</v>
      </c>
      <c r="F10" s="122">
        <v>44593</v>
      </c>
      <c r="G10" s="68">
        <v>11000</v>
      </c>
      <c r="H10" s="68">
        <v>11000</v>
      </c>
      <c r="I10" s="68">
        <v>11000</v>
      </c>
      <c r="J10" s="68">
        <v>11000</v>
      </c>
      <c r="K10" s="68">
        <v>11000</v>
      </c>
      <c r="L10" s="56">
        <f>ROUND(G10*(VLOOKUP($D10,缴费比例!B:N,MATCH(L$1,缴费比例!$B$1:$N$1,0),FALSE)),2)</f>
        <v>1760</v>
      </c>
      <c r="M10" s="56">
        <f>ROUND(G10*(VLOOKUP($D10,缴费比例!$B:$N,MATCH(M$1,缴费比例!$B$1:$N$1,0),FALSE)),2)</f>
        <v>880</v>
      </c>
      <c r="N10" s="56">
        <f>ROUND(H10*(VLOOKUP($D10,缴费比例!$B:$N,MATCH(N$1,缴费比例!$B$1:$N$1,0),FALSE)),2)</f>
        <v>55</v>
      </c>
      <c r="O10" s="56">
        <f>ROUND(H10*(VLOOKUP($D10,缴费比例!$B:$N,MATCH(O$1,缴费比例!$B$1:$N$1,0),FALSE)),2)</f>
        <v>55</v>
      </c>
      <c r="P10" s="56">
        <f>ROUND(I10*(VLOOKUP($D10,缴费比例!$B:$N,MATCH(P$1,缴费比例!$B$1:$N$1,0),FALSE)),2)</f>
        <v>22</v>
      </c>
      <c r="Q10" s="56">
        <f>ROUND(J10*(VLOOKUP($D10,缴费比例!$B:$N,MATCH(Q$1,缴费比例!$B$1:$N$1,0),FALSE)),2)+VLOOKUP($D10,缴费比例!$B:$N,MATCH("单位大病",缴费比例!$B$1:$N$1,0),FALSE)</f>
        <v>1078</v>
      </c>
      <c r="R10" s="56">
        <f>ROUND(J10*(VLOOKUP($D10,缴费比例!$B:$N,MATCH(R$1,缴费比例!$B$1:$N$1,0),FALSE)),2)</f>
        <v>220</v>
      </c>
      <c r="S10" s="56">
        <f>ROUND((VLOOKUP($D10,缴费比例!$B:$N,MATCH(S$1,缴费比例!$B$1:$N$1,0),FALSE)),2)</f>
        <v>3</v>
      </c>
      <c r="T10" s="56">
        <f>IF(D10="合肥",ROUND(K10*(VLOOKUP($D10,缴费比例!$B:$N,MATCH(T$1,缴费比例!$B$1:$N$1,0),FALSE)),1),ROUND(K10*(VLOOKUP($D10,缴费比例!$B:$N,MATCH(T$1,缴费比例!$B$1:$N$1,0),FALSE)),0))</f>
        <v>1320</v>
      </c>
      <c r="U10" s="56">
        <f>IF(D10="合肥",ROUND(K10*(VLOOKUP($D10,缴费比例!$B:$N,MATCH(U$1,缴费比例!$B$1:$N$1,0),FALSE)),1),ROUND(K10*(VLOOKUP($D10,缴费比例!$B:$N,MATCH(U$1,缴费比例!$B$1:$N$1,0),FALSE)),0))</f>
        <v>1320</v>
      </c>
      <c r="V10" s="143">
        <f t="shared" si="0"/>
        <v>2915</v>
      </c>
      <c r="W10" s="143">
        <f t="shared" si="1"/>
        <v>1158</v>
      </c>
      <c r="X10" s="138">
        <f t="shared" si="2"/>
        <v>4073</v>
      </c>
      <c r="Y10" s="138">
        <f t="shared" si="3"/>
        <v>2640</v>
      </c>
      <c r="Z10" s="138" t="str">
        <f t="shared" si="4"/>
        <v>北京</v>
      </c>
      <c r="AA10" s="41"/>
      <c r="AB10" s="59"/>
      <c r="AC10" s="59"/>
      <c r="AD10" s="41"/>
      <c r="AE10" s="41"/>
      <c r="AF10" s="41"/>
      <c r="AG10" s="41"/>
      <c r="AH10" s="41"/>
    </row>
    <row r="11" spans="1:34" ht="20.25" customHeight="1">
      <c r="A11" s="67" t="s">
        <v>63</v>
      </c>
      <c r="B11" s="119" t="s">
        <v>43</v>
      </c>
      <c r="C11" s="46" t="s">
        <v>44</v>
      </c>
      <c r="D11" s="46" t="s">
        <v>69</v>
      </c>
      <c r="E11" s="40">
        <v>44593</v>
      </c>
      <c r="F11" s="122">
        <v>44621</v>
      </c>
      <c r="G11" s="68">
        <v>2075</v>
      </c>
      <c r="H11" s="68">
        <v>2075</v>
      </c>
      <c r="I11" s="68">
        <v>3488.4</v>
      </c>
      <c r="J11" s="68">
        <v>3676</v>
      </c>
      <c r="K11" s="68">
        <v>1720</v>
      </c>
      <c r="L11" s="56">
        <f>ROUND(G11*(VLOOKUP($D11,缴费比例!B:N,MATCH(L$1,缴费比例!$B$1:$N$1,0),FALSE)),2)</f>
        <v>332</v>
      </c>
      <c r="M11" s="56">
        <f>ROUND(G11*(VLOOKUP($D11,缴费比例!$B:$N,MATCH(M$1,缴费比例!$B$1:$N$1,0),FALSE)),2)</f>
        <v>166</v>
      </c>
      <c r="N11" s="56">
        <f>ROUND(H11*(VLOOKUP($D11,缴费比例!$B:$N,MATCH(N$1,缴费比例!$B$1:$N$1,0),FALSE)),2)</f>
        <v>10.38</v>
      </c>
      <c r="O11" s="56">
        <f>ROUND(H11*(VLOOKUP($D11,缴费比例!$B:$N,MATCH(O$1,缴费比例!$B$1:$N$1,0),FALSE)),2)</f>
        <v>10.38</v>
      </c>
      <c r="P11" s="56">
        <f>ROUND(I11*(VLOOKUP($D11,缴费比例!$B:$N,MATCH(P$1,缴费比例!$B$1:$N$1,0),FALSE)),2)</f>
        <v>12.21</v>
      </c>
      <c r="Q11" s="56">
        <f>ROUND(J11*(VLOOKUP($D11,缴费比例!$B:$N,MATCH(Q$1,缴费比例!$B$1:$N$1,0),FALSE)),2)+VLOOKUP($D11,缴费比例!$B:$N,MATCH("单位大病",缴费比例!$B$1:$N$1,0),FALSE)</f>
        <v>319.81</v>
      </c>
      <c r="R11" s="56">
        <f>ROUND(J11*(VLOOKUP($D11,缴费比例!$B:$N,MATCH(R$1,缴费比例!$B$1:$N$1,0),FALSE)),2)</f>
        <v>73.52</v>
      </c>
      <c r="S11" s="56">
        <f>ROUND((VLOOKUP($D11,缴费比例!$B:$N,MATCH(S$1,缴费比例!$B$1:$N$1,0),FALSE)),2)</f>
        <v>0</v>
      </c>
      <c r="T11" s="56">
        <f>IF(D11="合肥",ROUND(K11*(VLOOKUP($D11,缴费比例!$B:$N,MATCH(T$1,缴费比例!$B$1:$N$1,0),FALSE)),1),ROUND(K11*(VLOOKUP($D11,缴费比例!$B:$N,MATCH(T$1,缴费比例!$B$1:$N$1,0),FALSE)),0))</f>
        <v>86</v>
      </c>
      <c r="U11" s="56">
        <f>IF(D11="合肥",ROUND(K11*(VLOOKUP($D11,缴费比例!$B:$N,MATCH(U$1,缴费比例!$B$1:$N$1,0),FALSE)),1),ROUND(K11*(VLOOKUP($D11,缴费比例!$B:$N,MATCH(U$1,缴费比例!$B$1:$N$1,0),FALSE)),0))</f>
        <v>86</v>
      </c>
      <c r="V11" s="143">
        <f t="shared" si="0"/>
        <v>674.4</v>
      </c>
      <c r="W11" s="143">
        <f t="shared" si="1"/>
        <v>249.89999999999998</v>
      </c>
      <c r="X11" s="138">
        <f t="shared" si="2"/>
        <v>924.3</v>
      </c>
      <c r="Y11" s="138">
        <f t="shared" si="3"/>
        <v>172</v>
      </c>
      <c r="Z11" s="138" t="str">
        <f t="shared" si="4"/>
        <v>外地</v>
      </c>
      <c r="AA11" s="41"/>
      <c r="AB11" s="59"/>
      <c r="AC11" s="59"/>
      <c r="AD11" s="41"/>
      <c r="AE11" s="41"/>
      <c r="AF11" s="41"/>
      <c r="AG11" s="41"/>
      <c r="AH11" s="41"/>
    </row>
    <row r="12" spans="1:34" ht="20.25" customHeight="1">
      <c r="A12" s="67" t="s">
        <v>63</v>
      </c>
      <c r="B12" s="119" t="s">
        <v>45</v>
      </c>
      <c r="C12" s="46" t="s">
        <v>46</v>
      </c>
      <c r="D12" s="46" t="s">
        <v>67</v>
      </c>
      <c r="E12" s="40">
        <v>44593</v>
      </c>
      <c r="F12" s="122">
        <v>44621</v>
      </c>
      <c r="G12" s="68">
        <v>3430</v>
      </c>
      <c r="H12" s="68">
        <v>3430</v>
      </c>
      <c r="I12" s="68">
        <v>3430</v>
      </c>
      <c r="J12" s="68">
        <v>3430</v>
      </c>
      <c r="K12" s="68">
        <v>1650</v>
      </c>
      <c r="L12" s="56">
        <f>ROUND(G12*(VLOOKUP($D12,缴费比例!B:N,MATCH(L$1,缴费比例!$B$1:$N$1,0),FALSE)),2)</f>
        <v>548.79999999999995</v>
      </c>
      <c r="M12" s="56">
        <f>ROUND(G12*(VLOOKUP($D12,缴费比例!$B:$N,MATCH(M$1,缴费比例!$B$1:$N$1,0),FALSE)),2)</f>
        <v>274.39999999999998</v>
      </c>
      <c r="N12" s="56">
        <f>ROUND(H12*(VLOOKUP($D12,缴费比例!$B:$N,MATCH(N$1,缴费比例!$B$1:$N$1,0),FALSE)),2)</f>
        <v>17.149999999999999</v>
      </c>
      <c r="O12" s="56">
        <f>ROUND(H12*(VLOOKUP($D12,缴费比例!$B:$N,MATCH(O$1,缴费比例!$B$1:$N$1,0),FALSE)),2)</f>
        <v>17.149999999999999</v>
      </c>
      <c r="P12" s="56">
        <f>ROUND(I12*(VLOOKUP($D12,缴费比例!$B:$N,MATCH(P$1,缴费比例!$B$1:$N$1,0),FALSE)),2)</f>
        <v>6.86</v>
      </c>
      <c r="Q12" s="56">
        <f>ROUND(J12*(VLOOKUP($D12,缴费比例!$B:$N,MATCH(Q$1,缴费比例!$B$1:$N$1,0),FALSE)),2)+VLOOKUP($D12,缴费比例!$B:$N,MATCH("单位大病",缴费比例!$B$1:$N$1,0),FALSE)</f>
        <v>234.52</v>
      </c>
      <c r="R12" s="56">
        <f>ROUND(J12*(VLOOKUP($D12,缴费比例!$B:$N,MATCH(R$1,缴费比例!$B$1:$N$1,0),FALSE)),2)</f>
        <v>68.599999999999994</v>
      </c>
      <c r="S12" s="56">
        <f>ROUND((VLOOKUP($D12,缴费比例!$B:$N,MATCH(S$1,缴费比例!$B$1:$N$1,0),FALSE)),2)</f>
        <v>0</v>
      </c>
      <c r="T12" s="56">
        <f>IF(D12="合肥",ROUND(K12*(VLOOKUP($D12,缴费比例!$B:$N,MATCH(T$1,缴费比例!$B$1:$N$1,0),FALSE)),1),ROUND(K12*(VLOOKUP($D12,缴费比例!$B:$N,MATCH(T$1,缴费比例!$B$1:$N$1,0),FALSE)),0))</f>
        <v>82.5</v>
      </c>
      <c r="U12" s="56">
        <f>IF(D12="合肥",ROUND(K12*(VLOOKUP($D12,缴费比例!$B:$N,MATCH(U$1,缴费比例!$B$1:$N$1,0),FALSE)),1),ROUND(K12*(VLOOKUP($D12,缴费比例!$B:$N,MATCH(U$1,缴费比例!$B$1:$N$1,0),FALSE)),0))</f>
        <v>82.5</v>
      </c>
      <c r="V12" s="143">
        <f t="shared" si="0"/>
        <v>807.32999999999993</v>
      </c>
      <c r="W12" s="143">
        <f t="shared" si="1"/>
        <v>360.15</v>
      </c>
      <c r="X12" s="138">
        <f t="shared" si="2"/>
        <v>1167.4799999999998</v>
      </c>
      <c r="Y12" s="138">
        <f t="shared" si="3"/>
        <v>165</v>
      </c>
      <c r="Z12" s="138" t="str">
        <f t="shared" si="4"/>
        <v>外地</v>
      </c>
      <c r="AA12" s="41"/>
      <c r="AB12" s="59"/>
      <c r="AC12" s="59"/>
      <c r="AD12" s="41"/>
      <c r="AE12" s="41"/>
      <c r="AF12" s="41"/>
      <c r="AG12" s="41"/>
      <c r="AH12" s="41"/>
    </row>
    <row r="13" spans="1:34" ht="20.25" customHeight="1">
      <c r="A13" s="67" t="s">
        <v>63</v>
      </c>
      <c r="B13" s="119" t="s">
        <v>47</v>
      </c>
      <c r="C13" s="46" t="s">
        <v>48</v>
      </c>
      <c r="D13" s="46" t="s">
        <v>67</v>
      </c>
      <c r="E13" s="40">
        <v>44593</v>
      </c>
      <c r="F13" s="122">
        <v>44621</v>
      </c>
      <c r="G13" s="68">
        <v>3430</v>
      </c>
      <c r="H13" s="68">
        <v>3430</v>
      </c>
      <c r="I13" s="68">
        <v>3430</v>
      </c>
      <c r="J13" s="68">
        <v>3430</v>
      </c>
      <c r="K13" s="68">
        <v>1650</v>
      </c>
      <c r="L13" s="56">
        <f>ROUND(G13*(VLOOKUP($D13,缴费比例!B:N,MATCH(L$1,缴费比例!$B$1:$N$1,0),FALSE)),2)</f>
        <v>548.79999999999995</v>
      </c>
      <c r="M13" s="56">
        <f>ROUND(G13*(VLOOKUP($D13,缴费比例!$B:$N,MATCH(M$1,缴费比例!$B$1:$N$1,0),FALSE)),2)</f>
        <v>274.39999999999998</v>
      </c>
      <c r="N13" s="56">
        <f>ROUND(H13*(VLOOKUP($D13,缴费比例!$B:$N,MATCH(N$1,缴费比例!$B$1:$N$1,0),FALSE)),2)</f>
        <v>17.149999999999999</v>
      </c>
      <c r="O13" s="56">
        <f>ROUND(H13*(VLOOKUP($D13,缴费比例!$B:$N,MATCH(O$1,缴费比例!$B$1:$N$1,0),FALSE)),2)</f>
        <v>17.149999999999999</v>
      </c>
      <c r="P13" s="56">
        <f>ROUND(I13*(VLOOKUP($D13,缴费比例!$B:$N,MATCH(P$1,缴费比例!$B$1:$N$1,0),FALSE)),2)</f>
        <v>6.86</v>
      </c>
      <c r="Q13" s="56">
        <f>ROUND(J13*(VLOOKUP($D13,缴费比例!$B:$N,MATCH(Q$1,缴费比例!$B$1:$N$1,0),FALSE)),2)+VLOOKUP($D13,缴费比例!$B:$N,MATCH("单位大病",缴费比例!$B$1:$N$1,0),FALSE)</f>
        <v>234.52</v>
      </c>
      <c r="R13" s="56">
        <f>ROUND(J13*(VLOOKUP($D13,缴费比例!$B:$N,MATCH(R$1,缴费比例!$B$1:$N$1,0),FALSE)),2)</f>
        <v>68.599999999999994</v>
      </c>
      <c r="S13" s="56">
        <f>ROUND((VLOOKUP($D13,缴费比例!$B:$N,MATCH(S$1,缴费比例!$B$1:$N$1,0),FALSE)),2)</f>
        <v>0</v>
      </c>
      <c r="T13" s="56">
        <f>IF(D13="合肥",ROUND(K13*(VLOOKUP($D13,缴费比例!$B:$N,MATCH(T$1,缴费比例!$B$1:$N$1,0),FALSE)),1),ROUND(K13*(VLOOKUP($D13,缴费比例!$B:$N,MATCH(T$1,缴费比例!$B$1:$N$1,0),FALSE)),0))</f>
        <v>82.5</v>
      </c>
      <c r="U13" s="56">
        <f>IF(D13="合肥",ROUND(K13*(VLOOKUP($D13,缴费比例!$B:$N,MATCH(U$1,缴费比例!$B$1:$N$1,0),FALSE)),1),ROUND(K13*(VLOOKUP($D13,缴费比例!$B:$N,MATCH(U$1,缴费比例!$B$1:$N$1,0),FALSE)),0))</f>
        <v>82.5</v>
      </c>
      <c r="V13" s="143">
        <f t="shared" si="0"/>
        <v>807.32999999999993</v>
      </c>
      <c r="W13" s="143">
        <f t="shared" si="1"/>
        <v>360.15</v>
      </c>
      <c r="X13" s="138">
        <f t="shared" si="2"/>
        <v>1167.4799999999998</v>
      </c>
      <c r="Y13" s="138">
        <f t="shared" si="3"/>
        <v>165</v>
      </c>
      <c r="Z13" s="138" t="str">
        <f t="shared" si="4"/>
        <v>外地</v>
      </c>
      <c r="AA13" s="41"/>
      <c r="AB13" s="59"/>
      <c r="AC13" s="59"/>
      <c r="AD13" s="41"/>
      <c r="AE13" s="41"/>
      <c r="AF13" s="41"/>
      <c r="AG13" s="41"/>
      <c r="AH13" s="41"/>
    </row>
    <row r="14" spans="1:34" ht="20.25" customHeight="1">
      <c r="A14" s="67" t="s">
        <v>63</v>
      </c>
      <c r="B14" s="119" t="s">
        <v>49</v>
      </c>
      <c r="C14" s="46" t="s">
        <v>50</v>
      </c>
      <c r="D14" s="46" t="s">
        <v>67</v>
      </c>
      <c r="E14" s="40">
        <v>44593</v>
      </c>
      <c r="F14" s="122">
        <v>44621</v>
      </c>
      <c r="G14" s="68">
        <v>3430</v>
      </c>
      <c r="H14" s="68">
        <v>3430</v>
      </c>
      <c r="I14" s="68">
        <v>3430</v>
      </c>
      <c r="J14" s="68">
        <v>3430</v>
      </c>
      <c r="K14" s="68">
        <v>1650</v>
      </c>
      <c r="L14" s="56">
        <f>ROUND(G14*(VLOOKUP($D14,缴费比例!B:N,MATCH(L$1,缴费比例!$B$1:$N$1,0),FALSE)),2)</f>
        <v>548.79999999999995</v>
      </c>
      <c r="M14" s="56">
        <f>ROUND(G14*(VLOOKUP($D14,缴费比例!$B:$N,MATCH(M$1,缴费比例!$B$1:$N$1,0),FALSE)),2)</f>
        <v>274.39999999999998</v>
      </c>
      <c r="N14" s="56">
        <f>ROUND(H14*(VLOOKUP($D14,缴费比例!$B:$N,MATCH(N$1,缴费比例!$B$1:$N$1,0),FALSE)),2)</f>
        <v>17.149999999999999</v>
      </c>
      <c r="O14" s="56">
        <f>ROUND(H14*(VLOOKUP($D14,缴费比例!$B:$N,MATCH(O$1,缴费比例!$B$1:$N$1,0),FALSE)),2)</f>
        <v>17.149999999999999</v>
      </c>
      <c r="P14" s="56">
        <f>ROUND(I14*(VLOOKUP($D14,缴费比例!$B:$N,MATCH(P$1,缴费比例!$B$1:$N$1,0),FALSE)),2)</f>
        <v>6.86</v>
      </c>
      <c r="Q14" s="56">
        <f>ROUND(J14*(VLOOKUP($D14,缴费比例!$B:$N,MATCH(Q$1,缴费比例!$B$1:$N$1,0),FALSE)),2)+VLOOKUP($D14,缴费比例!$B:$N,MATCH("单位大病",缴费比例!$B$1:$N$1,0),FALSE)</f>
        <v>234.52</v>
      </c>
      <c r="R14" s="56">
        <f>ROUND(J14*(VLOOKUP($D14,缴费比例!$B:$N,MATCH(R$1,缴费比例!$B$1:$N$1,0),FALSE)),2)</f>
        <v>68.599999999999994</v>
      </c>
      <c r="S14" s="56">
        <f>ROUND((VLOOKUP($D14,缴费比例!$B:$N,MATCH(S$1,缴费比例!$B$1:$N$1,0),FALSE)),2)</f>
        <v>0</v>
      </c>
      <c r="T14" s="56">
        <f>IF(D14="合肥",ROUND(K14*(VLOOKUP($D14,缴费比例!$B:$N,MATCH(T$1,缴费比例!$B$1:$N$1,0),FALSE)),1),ROUND(K14*(VLOOKUP($D14,缴费比例!$B:$N,MATCH(T$1,缴费比例!$B$1:$N$1,0),FALSE)),0))</f>
        <v>82.5</v>
      </c>
      <c r="U14" s="56">
        <f>IF(D14="合肥",ROUND(K14*(VLOOKUP($D14,缴费比例!$B:$N,MATCH(U$1,缴费比例!$B$1:$N$1,0),FALSE)),1),ROUND(K14*(VLOOKUP($D14,缴费比例!$B:$N,MATCH(U$1,缴费比例!$B$1:$N$1,0),FALSE)),0))</f>
        <v>82.5</v>
      </c>
      <c r="V14" s="143">
        <f t="shared" si="0"/>
        <v>807.32999999999993</v>
      </c>
      <c r="W14" s="143">
        <f t="shared" si="1"/>
        <v>360.15</v>
      </c>
      <c r="X14" s="138">
        <f t="shared" si="2"/>
        <v>1167.4799999999998</v>
      </c>
      <c r="Y14" s="138">
        <f t="shared" si="3"/>
        <v>165</v>
      </c>
      <c r="Z14" s="138" t="str">
        <f t="shared" si="4"/>
        <v>外地</v>
      </c>
      <c r="AA14" s="41"/>
      <c r="AB14" s="59"/>
      <c r="AC14" s="59"/>
      <c r="AD14" s="41"/>
      <c r="AE14" s="41"/>
      <c r="AF14" s="41"/>
      <c r="AG14" s="41"/>
      <c r="AH14" s="41"/>
    </row>
    <row r="15" spans="1:34" ht="20.25" customHeight="1">
      <c r="A15" s="67" t="s">
        <v>63</v>
      </c>
      <c r="B15" s="119" t="s">
        <v>51</v>
      </c>
      <c r="C15" s="46" t="s">
        <v>52</v>
      </c>
      <c r="D15" s="46" t="s">
        <v>67</v>
      </c>
      <c r="E15" s="40">
        <v>44593</v>
      </c>
      <c r="F15" s="122">
        <v>44621</v>
      </c>
      <c r="G15" s="68">
        <v>3430</v>
      </c>
      <c r="H15" s="68">
        <v>3430</v>
      </c>
      <c r="I15" s="68">
        <v>3430</v>
      </c>
      <c r="J15" s="68">
        <v>3430</v>
      </c>
      <c r="K15" s="68">
        <v>1650</v>
      </c>
      <c r="L15" s="56">
        <f>ROUND(G15*(VLOOKUP($D15,缴费比例!B:N,MATCH(L$1,缴费比例!$B$1:$N$1,0),FALSE)),2)</f>
        <v>548.79999999999995</v>
      </c>
      <c r="M15" s="56">
        <f>ROUND(G15*(VLOOKUP($D15,缴费比例!$B:$N,MATCH(M$1,缴费比例!$B$1:$N$1,0),FALSE)),2)</f>
        <v>274.39999999999998</v>
      </c>
      <c r="N15" s="56">
        <f>ROUND(H15*(VLOOKUP($D15,缴费比例!$B:$N,MATCH(N$1,缴费比例!$B$1:$N$1,0),FALSE)),2)</f>
        <v>17.149999999999999</v>
      </c>
      <c r="O15" s="56">
        <f>ROUND(H15*(VLOOKUP($D15,缴费比例!$B:$N,MATCH(O$1,缴费比例!$B$1:$N$1,0),FALSE)),2)</f>
        <v>17.149999999999999</v>
      </c>
      <c r="P15" s="56">
        <f>ROUND(I15*(VLOOKUP($D15,缴费比例!$B:$N,MATCH(P$1,缴费比例!$B$1:$N$1,0),FALSE)),2)</f>
        <v>6.86</v>
      </c>
      <c r="Q15" s="56">
        <f>ROUND(J15*(VLOOKUP($D15,缴费比例!$B:$N,MATCH(Q$1,缴费比例!$B$1:$N$1,0),FALSE)),2)+VLOOKUP($D15,缴费比例!$B:$N,MATCH("单位大病",缴费比例!$B$1:$N$1,0),FALSE)</f>
        <v>234.52</v>
      </c>
      <c r="R15" s="56">
        <f>ROUND(J15*(VLOOKUP($D15,缴费比例!$B:$N,MATCH(R$1,缴费比例!$B$1:$N$1,0),FALSE)),2)</f>
        <v>68.599999999999994</v>
      </c>
      <c r="S15" s="56">
        <f>ROUND((VLOOKUP($D15,缴费比例!$B:$N,MATCH(S$1,缴费比例!$B$1:$N$1,0),FALSE)),2)</f>
        <v>0</v>
      </c>
      <c r="T15" s="56">
        <f>IF(D15="合肥",ROUND(K15*(VLOOKUP($D15,缴费比例!$B:$N,MATCH(T$1,缴费比例!$B$1:$N$1,0),FALSE)),1),ROUND(K15*(VLOOKUP($D15,缴费比例!$B:$N,MATCH(T$1,缴费比例!$B$1:$N$1,0),FALSE)),0))</f>
        <v>82.5</v>
      </c>
      <c r="U15" s="56">
        <f>IF(D15="合肥",ROUND(K15*(VLOOKUP($D15,缴费比例!$B:$N,MATCH(U$1,缴费比例!$B$1:$N$1,0),FALSE)),1),ROUND(K15*(VLOOKUP($D15,缴费比例!$B:$N,MATCH(U$1,缴费比例!$B$1:$N$1,0),FALSE)),0))</f>
        <v>82.5</v>
      </c>
      <c r="V15" s="143">
        <f t="shared" si="0"/>
        <v>807.32999999999993</v>
      </c>
      <c r="W15" s="143">
        <f t="shared" si="1"/>
        <v>360.15</v>
      </c>
      <c r="X15" s="138">
        <f t="shared" si="2"/>
        <v>1167.4799999999998</v>
      </c>
      <c r="Y15" s="138">
        <f t="shared" si="3"/>
        <v>165</v>
      </c>
      <c r="Z15" s="138" t="str">
        <f t="shared" si="4"/>
        <v>外地</v>
      </c>
      <c r="AA15" s="41"/>
      <c r="AB15" s="59"/>
      <c r="AC15" s="59"/>
      <c r="AD15" s="41"/>
      <c r="AE15" s="41"/>
      <c r="AF15" s="41"/>
      <c r="AG15" s="41"/>
      <c r="AH15" s="41"/>
    </row>
    <row r="16" spans="1:34" ht="20.25" customHeight="1">
      <c r="A16" s="67" t="s">
        <v>63</v>
      </c>
      <c r="B16" s="119" t="s">
        <v>53</v>
      </c>
      <c r="C16" s="46" t="s">
        <v>54</v>
      </c>
      <c r="D16" s="46" t="s">
        <v>67</v>
      </c>
      <c r="E16" s="40">
        <v>44593</v>
      </c>
      <c r="F16" s="122">
        <v>44621</v>
      </c>
      <c r="G16" s="68">
        <v>3430</v>
      </c>
      <c r="H16" s="68">
        <v>3430</v>
      </c>
      <c r="I16" s="68">
        <v>3430</v>
      </c>
      <c r="J16" s="68">
        <v>3430</v>
      </c>
      <c r="K16" s="68">
        <v>1650</v>
      </c>
      <c r="L16" s="56">
        <f>ROUND(G16*(VLOOKUP($D16,缴费比例!B:N,MATCH(L$1,缴费比例!$B$1:$N$1,0),FALSE)),2)</f>
        <v>548.79999999999995</v>
      </c>
      <c r="M16" s="56">
        <f>ROUND(G16*(VLOOKUP($D16,缴费比例!$B:$N,MATCH(M$1,缴费比例!$B$1:$N$1,0),FALSE)),2)</f>
        <v>274.39999999999998</v>
      </c>
      <c r="N16" s="56">
        <f>ROUND(H16*(VLOOKUP($D16,缴费比例!$B:$N,MATCH(N$1,缴费比例!$B$1:$N$1,0),FALSE)),2)</f>
        <v>17.149999999999999</v>
      </c>
      <c r="O16" s="56">
        <f>ROUND(H16*(VLOOKUP($D16,缴费比例!$B:$N,MATCH(O$1,缴费比例!$B$1:$N$1,0),FALSE)),2)</f>
        <v>17.149999999999999</v>
      </c>
      <c r="P16" s="56">
        <f>ROUND(I16*(VLOOKUP($D16,缴费比例!$B:$N,MATCH(P$1,缴费比例!$B$1:$N$1,0),FALSE)),2)</f>
        <v>6.86</v>
      </c>
      <c r="Q16" s="56">
        <f>ROUND(J16*(VLOOKUP($D16,缴费比例!$B:$N,MATCH(Q$1,缴费比例!$B$1:$N$1,0),FALSE)),2)+VLOOKUP($D16,缴费比例!$B:$N,MATCH("单位大病",缴费比例!$B$1:$N$1,0),FALSE)</f>
        <v>234.52</v>
      </c>
      <c r="R16" s="56">
        <f>ROUND(J16*(VLOOKUP($D16,缴费比例!$B:$N,MATCH(R$1,缴费比例!$B$1:$N$1,0),FALSE)),2)</f>
        <v>68.599999999999994</v>
      </c>
      <c r="S16" s="56">
        <f>ROUND((VLOOKUP($D16,缴费比例!$B:$N,MATCH(S$1,缴费比例!$B$1:$N$1,0),FALSE)),2)</f>
        <v>0</v>
      </c>
      <c r="T16" s="56">
        <f>IF(D16="合肥",ROUND(K16*(VLOOKUP($D16,缴费比例!$B:$N,MATCH(T$1,缴费比例!$B$1:$N$1,0),FALSE)),1),ROUND(K16*(VLOOKUP($D16,缴费比例!$B:$N,MATCH(T$1,缴费比例!$B$1:$N$1,0),FALSE)),0))</f>
        <v>82.5</v>
      </c>
      <c r="U16" s="56">
        <f>IF(D16="合肥",ROUND(K16*(VLOOKUP($D16,缴费比例!$B:$N,MATCH(U$1,缴费比例!$B$1:$N$1,0),FALSE)),1),ROUND(K16*(VLOOKUP($D16,缴费比例!$B:$N,MATCH(U$1,缴费比例!$B$1:$N$1,0),FALSE)),0))</f>
        <v>82.5</v>
      </c>
      <c r="V16" s="143">
        <f t="shared" si="0"/>
        <v>807.32999999999993</v>
      </c>
      <c r="W16" s="143">
        <f t="shared" si="1"/>
        <v>360.15</v>
      </c>
      <c r="X16" s="138">
        <f t="shared" si="2"/>
        <v>1167.4799999999998</v>
      </c>
      <c r="Y16" s="138">
        <f t="shared" si="3"/>
        <v>165</v>
      </c>
      <c r="Z16" s="138" t="str">
        <f t="shared" si="4"/>
        <v>外地</v>
      </c>
      <c r="AA16" s="41"/>
      <c r="AB16" s="59"/>
      <c r="AC16" s="59"/>
      <c r="AD16" s="41"/>
      <c r="AE16" s="41"/>
      <c r="AF16" s="41"/>
      <c r="AG16" s="41"/>
      <c r="AH16" s="41"/>
    </row>
    <row r="17" spans="1:29" ht="20.25" customHeight="1">
      <c r="A17" s="67" t="s">
        <v>63</v>
      </c>
      <c r="B17" s="119" t="s">
        <v>55</v>
      </c>
      <c r="C17" s="46" t="s">
        <v>56</v>
      </c>
      <c r="D17" s="46" t="s">
        <v>129</v>
      </c>
      <c r="E17" s="40">
        <v>44593</v>
      </c>
      <c r="F17" s="122">
        <v>44621</v>
      </c>
      <c r="G17" s="68">
        <v>3430</v>
      </c>
      <c r="H17" s="68">
        <v>3430</v>
      </c>
      <c r="I17" s="68">
        <v>3430</v>
      </c>
      <c r="J17" s="68">
        <v>3430</v>
      </c>
      <c r="K17" s="68">
        <v>11000</v>
      </c>
      <c r="L17" s="56">
        <f>ROUND(G17*(VLOOKUP($D17,缴费比例!B:N,MATCH(L$1,缴费比例!$B$1:$N$1,0),FALSE)),2)</f>
        <v>548.79999999999995</v>
      </c>
      <c r="M17" s="56">
        <f>ROUND(G17*(VLOOKUP($D17,缴费比例!$B:$N,MATCH(M$1,缴费比例!$B$1:$N$1,0),FALSE)),2)</f>
        <v>274.39999999999998</v>
      </c>
      <c r="N17" s="56">
        <f>ROUND(H17*(VLOOKUP($D17,缴费比例!$B:$N,MATCH(N$1,缴费比例!$B$1:$N$1,0),FALSE)),2)</f>
        <v>17.149999999999999</v>
      </c>
      <c r="O17" s="56">
        <f>ROUND(H17*(VLOOKUP($D17,缴费比例!$B:$N,MATCH(O$1,缴费比例!$B$1:$N$1,0),FALSE)),2)</f>
        <v>17.149999999999999</v>
      </c>
      <c r="P17" s="56">
        <f>ROUND(I17*(VLOOKUP($D17,缴费比例!$B:$N,MATCH(P$1,缴费比例!$B$1:$N$1,0),FALSE)),2)</f>
        <v>6.86</v>
      </c>
      <c r="Q17" s="56">
        <f>ROUND(J17*(VLOOKUP($D17,缴费比例!$B:$N,MATCH(Q$1,缴费比例!$B$1:$N$1,0),FALSE)),2)+VLOOKUP($D17,缴费比例!$B:$N,MATCH("单位大病",缴费比例!$B$1:$N$1,0),FALSE)</f>
        <v>234.52</v>
      </c>
      <c r="R17" s="56">
        <f>ROUND(J17*(VLOOKUP($D17,缴费比例!$B:$N,MATCH(R$1,缴费比例!$B$1:$N$1,0),FALSE)),2)</f>
        <v>68.599999999999994</v>
      </c>
      <c r="S17" s="56">
        <f>ROUND((VLOOKUP($D17,缴费比例!$B:$N,MATCH(S$1,缴费比例!$B$1:$N$1,0),FALSE)),2)</f>
        <v>0</v>
      </c>
      <c r="T17" s="56">
        <f>IF(D17="合肥",ROUND(K17*(VLOOKUP($D17,缴费比例!$B:$N,MATCH(T$1,缴费比例!$B$1:$N$1,0),FALSE)),1),ROUND(K17*(VLOOKUP($D17,缴费比例!$B:$N,MATCH(T$1,缴费比例!$B$1:$N$1,0),FALSE)),0))</f>
        <v>1320</v>
      </c>
      <c r="U17" s="56">
        <f>IF(D17="合肥",ROUND(K17*(VLOOKUP($D17,缴费比例!$B:$N,MATCH(U$1,缴费比例!$B$1:$N$1,0),FALSE)),1),ROUND(K17*(VLOOKUP($D17,缴费比例!$B:$N,MATCH(U$1,缴费比例!$B$1:$N$1,0),FALSE)),0))</f>
        <v>1320</v>
      </c>
      <c r="V17" s="143">
        <f t="shared" si="0"/>
        <v>807.32999999999993</v>
      </c>
      <c r="W17" s="143">
        <f t="shared" si="1"/>
        <v>360.15</v>
      </c>
      <c r="X17" s="138">
        <f t="shared" si="2"/>
        <v>1167.4799999999998</v>
      </c>
      <c r="Y17" s="138">
        <f t="shared" si="3"/>
        <v>2640</v>
      </c>
      <c r="Z17" s="138" t="str">
        <f t="shared" si="4"/>
        <v>外地</v>
      </c>
      <c r="AA17" s="41"/>
      <c r="AB17" s="59"/>
      <c r="AC17" s="59"/>
    </row>
    <row r="18" spans="1:29" ht="20.25" customHeight="1">
      <c r="A18" s="67" t="s">
        <v>63</v>
      </c>
      <c r="B18" s="119" t="s">
        <v>57</v>
      </c>
      <c r="C18" s="46" t="s">
        <v>58</v>
      </c>
      <c r="D18" s="46" t="s">
        <v>67</v>
      </c>
      <c r="E18" s="40">
        <v>44593</v>
      </c>
      <c r="F18" s="122">
        <v>44621</v>
      </c>
      <c r="G18" s="68">
        <v>3430</v>
      </c>
      <c r="H18" s="68">
        <v>3430</v>
      </c>
      <c r="I18" s="68">
        <v>3430</v>
      </c>
      <c r="J18" s="68">
        <v>3430</v>
      </c>
      <c r="K18" s="68">
        <v>1650</v>
      </c>
      <c r="L18" s="56">
        <f>ROUND(G18*(VLOOKUP($D18,缴费比例!B:N,MATCH(L$1,缴费比例!$B$1:$N$1,0),FALSE)),2)</f>
        <v>548.79999999999995</v>
      </c>
      <c r="M18" s="56">
        <f>ROUND(G18*(VLOOKUP($D18,缴费比例!$B:$N,MATCH(M$1,缴费比例!$B$1:$N$1,0),FALSE)),2)</f>
        <v>274.39999999999998</v>
      </c>
      <c r="N18" s="56">
        <f>ROUND(H18*(VLOOKUP($D18,缴费比例!$B:$N,MATCH(N$1,缴费比例!$B$1:$N$1,0),FALSE)),2)</f>
        <v>17.149999999999999</v>
      </c>
      <c r="O18" s="56">
        <f>ROUND(H18*(VLOOKUP($D18,缴费比例!$B:$N,MATCH(O$1,缴费比例!$B$1:$N$1,0),FALSE)),2)</f>
        <v>17.149999999999999</v>
      </c>
      <c r="P18" s="56">
        <f>ROUND(I18*(VLOOKUP($D18,缴费比例!$B:$N,MATCH(P$1,缴费比例!$B$1:$N$1,0),FALSE)),2)</f>
        <v>6.86</v>
      </c>
      <c r="Q18" s="56">
        <f>ROUND(J18*(VLOOKUP($D18,缴费比例!$B:$N,MATCH(Q$1,缴费比例!$B$1:$N$1,0),FALSE)),2)+VLOOKUP($D18,缴费比例!$B:$N,MATCH("单位大病",缴费比例!$B$1:$N$1,0),FALSE)</f>
        <v>234.52</v>
      </c>
      <c r="R18" s="56">
        <f>ROUND(J18*(VLOOKUP($D18,缴费比例!$B:$N,MATCH(R$1,缴费比例!$B$1:$N$1,0),FALSE)),2)</f>
        <v>68.599999999999994</v>
      </c>
      <c r="S18" s="56">
        <f>ROUND((VLOOKUP($D18,缴费比例!$B:$N,MATCH(S$1,缴费比例!$B$1:$N$1,0),FALSE)),2)</f>
        <v>0</v>
      </c>
      <c r="T18" s="56">
        <f>IF(D18="合肥",ROUND(K18*(VLOOKUP($D18,缴费比例!$B:$N,MATCH(T$1,缴费比例!$B$1:$N$1,0),FALSE)),1),ROUND(K18*(VLOOKUP($D18,缴费比例!$B:$N,MATCH(T$1,缴费比例!$B$1:$N$1,0),FALSE)),0))</f>
        <v>82.5</v>
      </c>
      <c r="U18" s="56">
        <f>IF(D18="合肥",ROUND(K18*(VLOOKUP($D18,缴费比例!$B:$N,MATCH(U$1,缴费比例!$B$1:$N$1,0),FALSE)),1),ROUND(K18*(VLOOKUP($D18,缴费比例!$B:$N,MATCH(U$1,缴费比例!$B$1:$N$1,0),FALSE)),0))</f>
        <v>82.5</v>
      </c>
      <c r="V18" s="143">
        <f t="shared" si="0"/>
        <v>807.32999999999993</v>
      </c>
      <c r="W18" s="143">
        <f t="shared" si="1"/>
        <v>360.15</v>
      </c>
      <c r="X18" s="138">
        <f t="shared" si="2"/>
        <v>1167.4799999999998</v>
      </c>
      <c r="Y18" s="138">
        <f t="shared" si="3"/>
        <v>165</v>
      </c>
      <c r="Z18" s="138" t="str">
        <f t="shared" si="4"/>
        <v>外地</v>
      </c>
      <c r="AA18" s="41"/>
      <c r="AB18" s="59"/>
      <c r="AC18" s="59"/>
    </row>
    <row r="19" spans="1:29" ht="20.25" customHeight="1">
      <c r="A19" s="67" t="s">
        <v>63</v>
      </c>
      <c r="B19" s="119" t="s">
        <v>59</v>
      </c>
      <c r="C19" s="46" t="s">
        <v>60</v>
      </c>
      <c r="D19" s="46" t="s">
        <v>67</v>
      </c>
      <c r="E19" s="40">
        <v>44593</v>
      </c>
      <c r="F19" s="122">
        <v>44621</v>
      </c>
      <c r="G19" s="68">
        <v>3430</v>
      </c>
      <c r="H19" s="68">
        <v>3430</v>
      </c>
      <c r="I19" s="68">
        <v>3430</v>
      </c>
      <c r="J19" s="68">
        <v>3430</v>
      </c>
      <c r="K19" s="68">
        <v>1650</v>
      </c>
      <c r="L19" s="56">
        <f>ROUND(G19*(VLOOKUP($D19,缴费比例!B:N,MATCH(L$1,缴费比例!$B$1:$N$1,0),FALSE)),2)</f>
        <v>548.79999999999995</v>
      </c>
      <c r="M19" s="56">
        <f>ROUND(G19*(VLOOKUP($D19,缴费比例!$B:$N,MATCH(M$1,缴费比例!$B$1:$N$1,0),FALSE)),2)</f>
        <v>274.39999999999998</v>
      </c>
      <c r="N19" s="56">
        <f>ROUND(H19*(VLOOKUP($D19,缴费比例!$B:$N,MATCH(N$1,缴费比例!$B$1:$N$1,0),FALSE)),2)</f>
        <v>17.149999999999999</v>
      </c>
      <c r="O19" s="56">
        <f>ROUND(H19*(VLOOKUP($D19,缴费比例!$B:$N,MATCH(O$1,缴费比例!$B$1:$N$1,0),FALSE)),2)</f>
        <v>17.149999999999999</v>
      </c>
      <c r="P19" s="56">
        <f>ROUND(I19*(VLOOKUP($D19,缴费比例!$B:$N,MATCH(P$1,缴费比例!$B$1:$N$1,0),FALSE)),2)</f>
        <v>6.86</v>
      </c>
      <c r="Q19" s="56">
        <f>ROUND(J19*(VLOOKUP($D19,缴费比例!$B:$N,MATCH(Q$1,缴费比例!$B$1:$N$1,0),FALSE)),2)+VLOOKUP($D19,缴费比例!$B:$N,MATCH("单位大病",缴费比例!$B$1:$N$1,0),FALSE)</f>
        <v>234.52</v>
      </c>
      <c r="R19" s="56">
        <f>ROUND(J19*(VLOOKUP($D19,缴费比例!$B:$N,MATCH(R$1,缴费比例!$B$1:$N$1,0),FALSE)),2)</f>
        <v>68.599999999999994</v>
      </c>
      <c r="S19" s="56">
        <f>ROUND((VLOOKUP($D19,缴费比例!$B:$N,MATCH(S$1,缴费比例!$B$1:$N$1,0),FALSE)),2)</f>
        <v>0</v>
      </c>
      <c r="T19" s="56">
        <f>IF(D19="合肥",ROUND(K19*(VLOOKUP($D19,缴费比例!$B:$N,MATCH(T$1,缴费比例!$B$1:$N$1,0),FALSE)),1),ROUND(K19*(VLOOKUP($D19,缴费比例!$B:$N,MATCH(T$1,缴费比例!$B$1:$N$1,0),FALSE)),0))</f>
        <v>82.5</v>
      </c>
      <c r="U19" s="56">
        <f>IF(D19="合肥",ROUND(K19*(VLOOKUP($D19,缴费比例!$B:$N,MATCH(U$1,缴费比例!$B$1:$N$1,0),FALSE)),1),ROUND(K19*(VLOOKUP($D19,缴费比例!$B:$N,MATCH(U$1,缴费比例!$B$1:$N$1,0),FALSE)),0))</f>
        <v>82.5</v>
      </c>
      <c r="V19" s="143">
        <f t="shared" si="0"/>
        <v>807.32999999999993</v>
      </c>
      <c r="W19" s="143">
        <f t="shared" si="1"/>
        <v>360.15</v>
      </c>
      <c r="X19" s="138">
        <f t="shared" si="2"/>
        <v>1167.4799999999998</v>
      </c>
      <c r="Y19" s="138">
        <f t="shared" si="3"/>
        <v>165</v>
      </c>
      <c r="Z19" s="138" t="str">
        <f t="shared" si="4"/>
        <v>外地</v>
      </c>
      <c r="AA19" s="41"/>
      <c r="AB19" s="59"/>
      <c r="AC19" s="59"/>
    </row>
    <row r="20" spans="1:29" ht="20.25" customHeight="1">
      <c r="A20" s="67" t="s">
        <v>63</v>
      </c>
      <c r="B20" s="119" t="s">
        <v>61</v>
      </c>
      <c r="C20" s="46" t="s">
        <v>62</v>
      </c>
      <c r="D20" s="46" t="s">
        <v>67</v>
      </c>
      <c r="E20" s="40">
        <v>44593</v>
      </c>
      <c r="F20" s="122">
        <v>44621</v>
      </c>
      <c r="G20" s="68">
        <v>3430</v>
      </c>
      <c r="H20" s="68">
        <v>3430</v>
      </c>
      <c r="I20" s="68">
        <v>3430</v>
      </c>
      <c r="J20" s="68">
        <v>3430</v>
      </c>
      <c r="K20" s="68">
        <v>1650</v>
      </c>
      <c r="L20" s="56">
        <f>ROUND(G20*(VLOOKUP($D20,缴费比例!B:N,MATCH(L$1,缴费比例!$B$1:$N$1,0),FALSE)),2)</f>
        <v>548.79999999999995</v>
      </c>
      <c r="M20" s="56">
        <f>ROUND(G20*(VLOOKUP($D20,缴费比例!$B:$N,MATCH(M$1,缴费比例!$B$1:$N$1,0),FALSE)),2)</f>
        <v>274.39999999999998</v>
      </c>
      <c r="N20" s="56">
        <f>ROUND(H20*(VLOOKUP($D20,缴费比例!$B:$N,MATCH(N$1,缴费比例!$B$1:$N$1,0),FALSE)),2)</f>
        <v>17.149999999999999</v>
      </c>
      <c r="O20" s="56">
        <f>ROUND(H20*(VLOOKUP($D20,缴费比例!$B:$N,MATCH(O$1,缴费比例!$B$1:$N$1,0),FALSE)),2)</f>
        <v>17.149999999999999</v>
      </c>
      <c r="P20" s="56">
        <f>ROUND(I20*(VLOOKUP($D20,缴费比例!$B:$N,MATCH(P$1,缴费比例!$B$1:$N$1,0),FALSE)),2)</f>
        <v>6.86</v>
      </c>
      <c r="Q20" s="56">
        <f>ROUND(J20*(VLOOKUP($D20,缴费比例!$B:$N,MATCH(Q$1,缴费比例!$B$1:$N$1,0),FALSE)),2)+VLOOKUP($D20,缴费比例!$B:$N,MATCH("单位大病",缴费比例!$B$1:$N$1,0),FALSE)</f>
        <v>234.52</v>
      </c>
      <c r="R20" s="56">
        <f>ROUND(J20*(VLOOKUP($D20,缴费比例!$B:$N,MATCH(R$1,缴费比例!$B$1:$N$1,0),FALSE)),2)</f>
        <v>68.599999999999994</v>
      </c>
      <c r="S20" s="56">
        <f>ROUND((VLOOKUP($D20,缴费比例!$B:$N,MATCH(S$1,缴费比例!$B$1:$N$1,0),FALSE)),2)</f>
        <v>0</v>
      </c>
      <c r="T20" s="56">
        <f>IF(D20="合肥",ROUND(K20*(VLOOKUP($D20,缴费比例!$B:$N,MATCH(T$1,缴费比例!$B$1:$N$1,0),FALSE)),1),ROUND(K20*(VLOOKUP($D20,缴费比例!$B:$N,MATCH(T$1,缴费比例!$B$1:$N$1,0),FALSE)),0))</f>
        <v>82.5</v>
      </c>
      <c r="U20" s="56">
        <f>IF(D20="合肥",ROUND(K20*(VLOOKUP($D20,缴费比例!$B:$N,MATCH(U$1,缴费比例!$B$1:$N$1,0),FALSE)),1),ROUND(K20*(VLOOKUP($D20,缴费比例!$B:$N,MATCH(U$1,缴费比例!$B$1:$N$1,0),FALSE)),0))</f>
        <v>82.5</v>
      </c>
      <c r="V20" s="143">
        <f t="shared" si="0"/>
        <v>807.32999999999993</v>
      </c>
      <c r="W20" s="143">
        <f t="shared" si="1"/>
        <v>360.15</v>
      </c>
      <c r="X20" s="138">
        <f t="shared" si="2"/>
        <v>1167.4799999999998</v>
      </c>
      <c r="Y20" s="138">
        <f t="shared" si="3"/>
        <v>165</v>
      </c>
      <c r="Z20" s="138" t="str">
        <f t="shared" si="4"/>
        <v>外地</v>
      </c>
      <c r="AA20" s="41"/>
      <c r="AB20" s="59"/>
      <c r="AC20" s="59"/>
    </row>
    <row r="21" spans="1:29" ht="20.25" customHeight="1">
      <c r="A21" s="67" t="s">
        <v>267</v>
      </c>
      <c r="B21" s="119" t="s">
        <v>235</v>
      </c>
      <c r="C21" s="46" t="s">
        <v>236</v>
      </c>
      <c r="D21" s="46" t="s">
        <v>268</v>
      </c>
      <c r="E21" s="40">
        <v>44593</v>
      </c>
      <c r="F21" s="122">
        <v>44593</v>
      </c>
      <c r="G21" s="68" t="s">
        <v>266</v>
      </c>
      <c r="H21" s="68" t="s">
        <v>266</v>
      </c>
      <c r="I21" s="68" t="s">
        <v>266</v>
      </c>
      <c r="J21" s="68" t="s">
        <v>266</v>
      </c>
      <c r="K21" s="68" t="s">
        <v>266</v>
      </c>
      <c r="L21" s="56">
        <f>ROUND(G21*(VLOOKUP($D21,缴费比例!B:N,MATCH(L$1,缴费比例!$B$1:$N$1,0),FALSE)),2)</f>
        <v>1600</v>
      </c>
      <c r="M21" s="56">
        <f>ROUND(G21*(VLOOKUP($D21,缴费比例!$B:$N,MATCH(M$1,缴费比例!$B$1:$N$1,0),FALSE)),2)</f>
        <v>800</v>
      </c>
      <c r="N21" s="56">
        <f>ROUND(H21*(VLOOKUP($D21,缴费比例!$B:$N,MATCH(N$1,缴费比例!$B$1:$N$1,0),FALSE)),2)</f>
        <v>50</v>
      </c>
      <c r="O21" s="56">
        <f>ROUND(H21*(VLOOKUP($D21,缴费比例!$B:$N,MATCH(O$1,缴费比例!$B$1:$N$1,0),FALSE)),2)</f>
        <v>50</v>
      </c>
      <c r="P21" s="56">
        <f>ROUND(I21*(VLOOKUP($D21,缴费比例!$B:$N,MATCH(P$1,缴费比例!$B$1:$N$1,0),FALSE)),2)</f>
        <v>20</v>
      </c>
      <c r="Q21" s="56">
        <f>ROUND(J21*(VLOOKUP($D21,缴费比例!$B:$N,MATCH(Q$1,缴费比例!$B$1:$N$1,0),FALSE)),2)+VLOOKUP($D21,缴费比例!$B:$N,MATCH("单位大病",缴费比例!$B$1:$N$1,0),FALSE)</f>
        <v>980</v>
      </c>
      <c r="R21" s="56">
        <f>ROUND(J21*(VLOOKUP($D21,缴费比例!$B:$N,MATCH(R$1,缴费比例!$B$1:$N$1,0),FALSE)),2)</f>
        <v>200</v>
      </c>
      <c r="S21" s="56">
        <f>ROUND((VLOOKUP($D21,缴费比例!$B:$N,MATCH(S$1,缴费比例!$B$1:$N$1,0),FALSE)),2)</f>
        <v>3</v>
      </c>
      <c r="T21" s="56">
        <f>IF(D21="合肥",ROUND(K21*(VLOOKUP($D21,缴费比例!$B:$N,MATCH(T$1,缴费比例!$B$1:$N$1,0),FALSE)),1),ROUND(K21*(VLOOKUP($D21,缴费比例!$B:$N,MATCH(T$1,缴费比例!$B$1:$N$1,0),FALSE)),0))</f>
        <v>1200</v>
      </c>
      <c r="U21" s="56">
        <f>IF(D21="合肥",ROUND(K21*(VLOOKUP($D21,缴费比例!$B:$N,MATCH(U$1,缴费比例!$B$1:$N$1,0),FALSE)),1),ROUND(K21*(VLOOKUP($D21,缴费比例!$B:$N,MATCH(U$1,缴费比例!$B$1:$N$1,0),FALSE)),0))</f>
        <v>1200</v>
      </c>
      <c r="V21" s="143">
        <f t="shared" si="0"/>
        <v>2650</v>
      </c>
      <c r="W21" s="143">
        <f t="shared" si="1"/>
        <v>1053</v>
      </c>
      <c r="X21" s="138">
        <f t="shared" si="2"/>
        <v>3703</v>
      </c>
      <c r="Y21" s="138">
        <f t="shared" si="3"/>
        <v>2400</v>
      </c>
      <c r="Z21" s="138" t="str">
        <f t="shared" si="4"/>
        <v>北京</v>
      </c>
      <c r="AA21" s="41"/>
      <c r="AB21" s="59"/>
      <c r="AC21" s="59"/>
    </row>
    <row r="22" spans="1:29" ht="20.25" customHeight="1">
      <c r="A22" s="67" t="s">
        <v>267</v>
      </c>
      <c r="B22" s="119" t="s">
        <v>237</v>
      </c>
      <c r="C22" s="46" t="s">
        <v>238</v>
      </c>
      <c r="D22" s="46" t="s">
        <v>268</v>
      </c>
      <c r="E22" s="40">
        <v>44593</v>
      </c>
      <c r="F22" s="122">
        <v>44593</v>
      </c>
      <c r="G22" s="68">
        <v>22900</v>
      </c>
      <c r="H22" s="68">
        <v>22900</v>
      </c>
      <c r="I22" s="68">
        <v>22900</v>
      </c>
      <c r="J22" s="68">
        <v>22900</v>
      </c>
      <c r="K22" s="68">
        <v>22900</v>
      </c>
      <c r="L22" s="56">
        <f>ROUND(G22*(VLOOKUP($D22,缴费比例!B:N,MATCH(L$1,缴费比例!$B$1:$N$1,0),FALSE)),2)</f>
        <v>3664</v>
      </c>
      <c r="M22" s="56">
        <f>ROUND(G22*(VLOOKUP($D22,缴费比例!$B:$N,MATCH(M$1,缴费比例!$B$1:$N$1,0),FALSE)),2)</f>
        <v>1832</v>
      </c>
      <c r="N22" s="56">
        <f>ROUND(H22*(VLOOKUP($D22,缴费比例!$B:$N,MATCH(N$1,缴费比例!$B$1:$N$1,0),FALSE)),2)</f>
        <v>114.5</v>
      </c>
      <c r="O22" s="56">
        <f>ROUND(H22*(VLOOKUP($D22,缴费比例!$B:$N,MATCH(O$1,缴费比例!$B$1:$N$1,0),FALSE)),2)</f>
        <v>114.5</v>
      </c>
      <c r="P22" s="56">
        <f>ROUND(I22*(VLOOKUP($D22,缴费比例!$B:$N,MATCH(P$1,缴费比例!$B$1:$N$1,0),FALSE)),2)</f>
        <v>45.8</v>
      </c>
      <c r="Q22" s="56">
        <f>ROUND(J22*(VLOOKUP($D22,缴费比例!$B:$N,MATCH(Q$1,缴费比例!$B$1:$N$1,0),FALSE)),2)+VLOOKUP($D22,缴费比例!$B:$N,MATCH("单位大病",缴费比例!$B$1:$N$1,0),FALSE)</f>
        <v>2244.1999999999998</v>
      </c>
      <c r="R22" s="56">
        <f>ROUND(J22*(VLOOKUP($D22,缴费比例!$B:$N,MATCH(R$1,缴费比例!$B$1:$N$1,0),FALSE)),2)</f>
        <v>458</v>
      </c>
      <c r="S22" s="56">
        <f>ROUND((VLOOKUP($D22,缴费比例!$B:$N,MATCH(S$1,缴费比例!$B$1:$N$1,0),FALSE)),2)</f>
        <v>3</v>
      </c>
      <c r="T22" s="56">
        <f>IF(D22="合肥",ROUND(K22*(VLOOKUP($D22,缴费比例!$B:$N,MATCH(T$1,缴费比例!$B$1:$N$1,0),FALSE)),1),ROUND(K22*(VLOOKUP($D22,缴费比例!$B:$N,MATCH(T$1,缴费比例!$B$1:$N$1,0),FALSE)),0))</f>
        <v>2748</v>
      </c>
      <c r="U22" s="56">
        <f>IF(D22="合肥",ROUND(K22*(VLOOKUP($D22,缴费比例!$B:$N,MATCH(U$1,缴费比例!$B$1:$N$1,0),FALSE)),1),ROUND(K22*(VLOOKUP($D22,缴费比例!$B:$N,MATCH(U$1,缴费比例!$B$1:$N$1,0),FALSE)),0))</f>
        <v>2748</v>
      </c>
      <c r="V22" s="143">
        <f t="shared" si="0"/>
        <v>6068.5</v>
      </c>
      <c r="W22" s="143">
        <f t="shared" si="1"/>
        <v>2407.5</v>
      </c>
      <c r="X22" s="138">
        <f t="shared" si="2"/>
        <v>8476</v>
      </c>
      <c r="Y22" s="138">
        <f t="shared" si="3"/>
        <v>5496</v>
      </c>
      <c r="Z22" s="138" t="str">
        <f t="shared" si="4"/>
        <v>北京</v>
      </c>
      <c r="AA22" s="41"/>
      <c r="AB22" s="59"/>
      <c r="AC22" s="59"/>
    </row>
    <row r="23" spans="1:29" ht="20.25" customHeight="1">
      <c r="A23" s="67" t="s">
        <v>267</v>
      </c>
      <c r="B23" s="119" t="s">
        <v>239</v>
      </c>
      <c r="C23" s="46" t="s">
        <v>240</v>
      </c>
      <c r="D23" s="46" t="s">
        <v>268</v>
      </c>
      <c r="E23" s="40">
        <v>44593</v>
      </c>
      <c r="F23" s="122">
        <v>44593</v>
      </c>
      <c r="G23" s="68">
        <v>22900</v>
      </c>
      <c r="H23" s="68">
        <v>22900</v>
      </c>
      <c r="I23" s="68">
        <v>22900</v>
      </c>
      <c r="J23" s="68">
        <v>22900</v>
      </c>
      <c r="K23" s="68">
        <v>22900</v>
      </c>
      <c r="L23" s="56">
        <f>ROUND(G23*(VLOOKUP($D23,缴费比例!B:N,MATCH(L$1,缴费比例!$B$1:$N$1,0),FALSE)),2)</f>
        <v>3664</v>
      </c>
      <c r="M23" s="56">
        <f>ROUND(G23*(VLOOKUP($D23,缴费比例!$B:$N,MATCH(M$1,缴费比例!$B$1:$N$1,0),FALSE)),2)</f>
        <v>1832</v>
      </c>
      <c r="N23" s="56">
        <f>ROUND(H23*(VLOOKUP($D23,缴费比例!$B:$N,MATCH(N$1,缴费比例!$B$1:$N$1,0),FALSE)),2)</f>
        <v>114.5</v>
      </c>
      <c r="O23" s="56">
        <f>ROUND(H23*(VLOOKUP($D23,缴费比例!$B:$N,MATCH(O$1,缴费比例!$B$1:$N$1,0),FALSE)),2)</f>
        <v>114.5</v>
      </c>
      <c r="P23" s="56">
        <f>ROUND(I23*(VLOOKUP($D23,缴费比例!$B:$N,MATCH(P$1,缴费比例!$B$1:$N$1,0),FALSE)),2)</f>
        <v>45.8</v>
      </c>
      <c r="Q23" s="56">
        <f>ROUND(J23*(VLOOKUP($D23,缴费比例!$B:$N,MATCH(Q$1,缴费比例!$B$1:$N$1,0),FALSE)),2)+VLOOKUP($D23,缴费比例!$B:$N,MATCH("单位大病",缴费比例!$B$1:$N$1,0),FALSE)</f>
        <v>2244.1999999999998</v>
      </c>
      <c r="R23" s="56">
        <f>ROUND(J23*(VLOOKUP($D23,缴费比例!$B:$N,MATCH(R$1,缴费比例!$B$1:$N$1,0),FALSE)),2)</f>
        <v>458</v>
      </c>
      <c r="S23" s="56">
        <f>ROUND((VLOOKUP($D23,缴费比例!$B:$N,MATCH(S$1,缴费比例!$B$1:$N$1,0),FALSE)),2)</f>
        <v>3</v>
      </c>
      <c r="T23" s="56">
        <f>IF(D23="合肥",ROUND(K23*(VLOOKUP($D23,缴费比例!$B:$N,MATCH(T$1,缴费比例!$B$1:$N$1,0),FALSE)),1),ROUND(K23*(VLOOKUP($D23,缴费比例!$B:$N,MATCH(T$1,缴费比例!$B$1:$N$1,0),FALSE)),0))</f>
        <v>2748</v>
      </c>
      <c r="U23" s="56">
        <f>IF(D23="合肥",ROUND(K23*(VLOOKUP($D23,缴费比例!$B:$N,MATCH(U$1,缴费比例!$B$1:$N$1,0),FALSE)),1),ROUND(K23*(VLOOKUP($D23,缴费比例!$B:$N,MATCH(U$1,缴费比例!$B$1:$N$1,0),FALSE)),0))</f>
        <v>2748</v>
      </c>
      <c r="V23" s="143">
        <f t="shared" si="0"/>
        <v>6068.5</v>
      </c>
      <c r="W23" s="143">
        <f t="shared" si="1"/>
        <v>2407.5</v>
      </c>
      <c r="X23" s="138">
        <f t="shared" si="2"/>
        <v>8476</v>
      </c>
      <c r="Y23" s="138">
        <f t="shared" si="3"/>
        <v>5496</v>
      </c>
      <c r="Z23" s="138" t="str">
        <f t="shared" si="4"/>
        <v>北京</v>
      </c>
      <c r="AA23" s="41"/>
      <c r="AB23" s="59"/>
      <c r="AC23" s="59"/>
    </row>
    <row r="24" spans="1:29" ht="20.25" customHeight="1">
      <c r="A24" s="67" t="s">
        <v>267</v>
      </c>
      <c r="B24" s="119" t="s">
        <v>241</v>
      </c>
      <c r="C24" s="46" t="s">
        <v>242</v>
      </c>
      <c r="D24" s="46" t="s">
        <v>268</v>
      </c>
      <c r="E24" s="40">
        <v>44593</v>
      </c>
      <c r="F24" s="122">
        <v>44593</v>
      </c>
      <c r="G24" s="68">
        <v>22900</v>
      </c>
      <c r="H24" s="68">
        <v>22900</v>
      </c>
      <c r="I24" s="68">
        <v>22900</v>
      </c>
      <c r="J24" s="68">
        <v>22900</v>
      </c>
      <c r="K24" s="68">
        <v>22900</v>
      </c>
      <c r="L24" s="56">
        <f>ROUND(G24*(VLOOKUP($D24,缴费比例!B:N,MATCH(L$1,缴费比例!$B$1:$N$1,0),FALSE)),2)</f>
        <v>3664</v>
      </c>
      <c r="M24" s="56">
        <f>ROUND(G24*(VLOOKUP($D24,缴费比例!$B:$N,MATCH(M$1,缴费比例!$B$1:$N$1,0),FALSE)),2)</f>
        <v>1832</v>
      </c>
      <c r="N24" s="56">
        <f>ROUND(H24*(VLOOKUP($D24,缴费比例!$B:$N,MATCH(N$1,缴费比例!$B$1:$N$1,0),FALSE)),2)</f>
        <v>114.5</v>
      </c>
      <c r="O24" s="56">
        <f>ROUND(H24*(VLOOKUP($D24,缴费比例!$B:$N,MATCH(O$1,缴费比例!$B$1:$N$1,0),FALSE)),2)</f>
        <v>114.5</v>
      </c>
      <c r="P24" s="56">
        <f>ROUND(I24*(VLOOKUP($D24,缴费比例!$B:$N,MATCH(P$1,缴费比例!$B$1:$N$1,0),FALSE)),2)</f>
        <v>45.8</v>
      </c>
      <c r="Q24" s="56">
        <f>ROUND(J24*(VLOOKUP($D24,缴费比例!$B:$N,MATCH(Q$1,缴费比例!$B$1:$N$1,0),FALSE)),2)+VLOOKUP($D24,缴费比例!$B:$N,MATCH("单位大病",缴费比例!$B$1:$N$1,0),FALSE)</f>
        <v>2244.1999999999998</v>
      </c>
      <c r="R24" s="56">
        <f>ROUND(J24*(VLOOKUP($D24,缴费比例!$B:$N,MATCH(R$1,缴费比例!$B$1:$N$1,0),FALSE)),2)</f>
        <v>458</v>
      </c>
      <c r="S24" s="56">
        <f>ROUND((VLOOKUP($D24,缴费比例!$B:$N,MATCH(S$1,缴费比例!$B$1:$N$1,0),FALSE)),2)</f>
        <v>3</v>
      </c>
      <c r="T24" s="56">
        <f>IF(D24="合肥",ROUND(K24*(VLOOKUP($D24,缴费比例!$B:$N,MATCH(T$1,缴费比例!$B$1:$N$1,0),FALSE)),1),ROUND(K24*(VLOOKUP($D24,缴费比例!$B:$N,MATCH(T$1,缴费比例!$B$1:$N$1,0),FALSE)),0))</f>
        <v>2748</v>
      </c>
      <c r="U24" s="56">
        <f>IF(D24="合肥",ROUND(K24*(VLOOKUP($D24,缴费比例!$B:$N,MATCH(U$1,缴费比例!$B$1:$N$1,0),FALSE)),1),ROUND(K24*(VLOOKUP($D24,缴费比例!$B:$N,MATCH(U$1,缴费比例!$B$1:$N$1,0),FALSE)),0))</f>
        <v>2748</v>
      </c>
      <c r="V24" s="143">
        <f t="shared" si="0"/>
        <v>6068.5</v>
      </c>
      <c r="W24" s="143">
        <f t="shared" si="1"/>
        <v>2407.5</v>
      </c>
      <c r="X24" s="138">
        <f t="shared" si="2"/>
        <v>8476</v>
      </c>
      <c r="Y24" s="138">
        <f t="shared" si="3"/>
        <v>5496</v>
      </c>
      <c r="Z24" s="138" t="str">
        <f t="shared" si="4"/>
        <v>北京</v>
      </c>
      <c r="AA24" s="41"/>
      <c r="AB24" s="59"/>
      <c r="AC24" s="59"/>
    </row>
    <row r="25" spans="1:29" ht="20.25" customHeight="1">
      <c r="A25" s="67" t="s">
        <v>267</v>
      </c>
      <c r="B25" s="119" t="s">
        <v>243</v>
      </c>
      <c r="C25" s="46" t="s">
        <v>244</v>
      </c>
      <c r="D25" s="46" t="s">
        <v>268</v>
      </c>
      <c r="E25" s="40">
        <v>44593</v>
      </c>
      <c r="F25" s="122">
        <v>44593</v>
      </c>
      <c r="G25" s="68">
        <v>5360</v>
      </c>
      <c r="H25" s="68">
        <v>5360</v>
      </c>
      <c r="I25" s="68">
        <v>5360</v>
      </c>
      <c r="J25" s="68">
        <v>5360</v>
      </c>
      <c r="K25" s="68">
        <v>27100</v>
      </c>
      <c r="L25" s="56">
        <f>ROUND(G25*(VLOOKUP($D25,缴费比例!B:N,MATCH(L$1,缴费比例!$B$1:$N$1,0),FALSE)),2)</f>
        <v>857.6</v>
      </c>
      <c r="M25" s="56">
        <f>ROUND(G25*(VLOOKUP($D25,缴费比例!$B:$N,MATCH(M$1,缴费比例!$B$1:$N$1,0),FALSE)),2)</f>
        <v>428.8</v>
      </c>
      <c r="N25" s="56">
        <f>ROUND(H25*(VLOOKUP($D25,缴费比例!$B:$N,MATCH(N$1,缴费比例!$B$1:$N$1,0),FALSE)),2)</f>
        <v>26.8</v>
      </c>
      <c r="O25" s="56">
        <f>ROUND(H25*(VLOOKUP($D25,缴费比例!$B:$N,MATCH(O$1,缴费比例!$B$1:$N$1,0),FALSE)),2)</f>
        <v>26.8</v>
      </c>
      <c r="P25" s="56">
        <f>ROUND(I25*(VLOOKUP($D25,缴费比例!$B:$N,MATCH(P$1,缴费比例!$B$1:$N$1,0),FALSE)),2)</f>
        <v>10.72</v>
      </c>
      <c r="Q25" s="56">
        <f>ROUND(J25*(VLOOKUP($D25,缴费比例!$B:$N,MATCH(Q$1,缴费比例!$B$1:$N$1,0),FALSE)),2)+VLOOKUP($D25,缴费比例!$B:$N,MATCH("单位大病",缴费比例!$B$1:$N$1,0),FALSE)</f>
        <v>525.28</v>
      </c>
      <c r="R25" s="56">
        <f>ROUND(J25*(VLOOKUP($D25,缴费比例!$B:$N,MATCH(R$1,缴费比例!$B$1:$N$1,0),FALSE)),2)</f>
        <v>107.2</v>
      </c>
      <c r="S25" s="56">
        <f>ROUND((VLOOKUP($D25,缴费比例!$B:$N,MATCH(S$1,缴费比例!$B$1:$N$1,0),FALSE)),2)</f>
        <v>3</v>
      </c>
      <c r="T25" s="56">
        <f>IF(D25="合肥",ROUND(K25*(VLOOKUP($D25,缴费比例!$B:$N,MATCH(T$1,缴费比例!$B$1:$N$1,0),FALSE)),1),ROUND(K25*(VLOOKUP($D25,缴费比例!$B:$N,MATCH(T$1,缴费比例!$B$1:$N$1,0),FALSE)),0))</f>
        <v>3252</v>
      </c>
      <c r="U25" s="56">
        <f>IF(D25="合肥",ROUND(K25*(VLOOKUP($D25,缴费比例!$B:$N,MATCH(U$1,缴费比例!$B$1:$N$1,0),FALSE)),1),ROUND(K25*(VLOOKUP($D25,缴费比例!$B:$N,MATCH(U$1,缴费比例!$B$1:$N$1,0),FALSE)),0))</f>
        <v>3252</v>
      </c>
      <c r="V25" s="143">
        <f t="shared" si="0"/>
        <v>1420.4</v>
      </c>
      <c r="W25" s="143">
        <f t="shared" si="1"/>
        <v>565.80000000000007</v>
      </c>
      <c r="X25" s="138">
        <f t="shared" si="2"/>
        <v>1986.2</v>
      </c>
      <c r="Y25" s="138">
        <f t="shared" si="3"/>
        <v>6504</v>
      </c>
      <c r="Z25" s="138" t="str">
        <f t="shared" si="4"/>
        <v>北京</v>
      </c>
      <c r="AA25" s="41"/>
      <c r="AB25" s="59"/>
      <c r="AC25" s="59"/>
    </row>
    <row r="26" spans="1:29" ht="20.25" customHeight="1">
      <c r="A26" s="67" t="s">
        <v>267</v>
      </c>
      <c r="B26" s="119" t="s">
        <v>245</v>
      </c>
      <c r="C26" s="46" t="s">
        <v>246</v>
      </c>
      <c r="D26" s="46" t="s">
        <v>268</v>
      </c>
      <c r="E26" s="40">
        <v>44593</v>
      </c>
      <c r="F26" s="122">
        <v>44593</v>
      </c>
      <c r="G26" s="68">
        <v>21700</v>
      </c>
      <c r="H26" s="68">
        <v>21700</v>
      </c>
      <c r="I26" s="68">
        <v>21700</v>
      </c>
      <c r="J26" s="68">
        <v>21700</v>
      </c>
      <c r="K26" s="68">
        <v>21700</v>
      </c>
      <c r="L26" s="56">
        <f>ROUND(G26*(VLOOKUP($D26,缴费比例!B:N,MATCH(L$1,缴费比例!$B$1:$N$1,0),FALSE)),2)</f>
        <v>3472</v>
      </c>
      <c r="M26" s="56">
        <f>ROUND(G26*(VLOOKUP($D26,缴费比例!$B:$N,MATCH(M$1,缴费比例!$B$1:$N$1,0),FALSE)),2)</f>
        <v>1736</v>
      </c>
      <c r="N26" s="56">
        <f>ROUND(H26*(VLOOKUP($D26,缴费比例!$B:$N,MATCH(N$1,缴费比例!$B$1:$N$1,0),FALSE)),2)</f>
        <v>108.5</v>
      </c>
      <c r="O26" s="56">
        <f>ROUND(H26*(VLOOKUP($D26,缴费比例!$B:$N,MATCH(O$1,缴费比例!$B$1:$N$1,0),FALSE)),2)</f>
        <v>108.5</v>
      </c>
      <c r="P26" s="56">
        <f>ROUND(I26*(VLOOKUP($D26,缴费比例!$B:$N,MATCH(P$1,缴费比例!$B$1:$N$1,0),FALSE)),2)</f>
        <v>43.4</v>
      </c>
      <c r="Q26" s="56">
        <f>ROUND(J26*(VLOOKUP($D26,缴费比例!$B:$N,MATCH(Q$1,缴费比例!$B$1:$N$1,0),FALSE)),2)+VLOOKUP($D26,缴费比例!$B:$N,MATCH("单位大病",缴费比例!$B$1:$N$1,0),FALSE)</f>
        <v>2126.6</v>
      </c>
      <c r="R26" s="56">
        <f>ROUND(J26*(VLOOKUP($D26,缴费比例!$B:$N,MATCH(R$1,缴费比例!$B$1:$N$1,0),FALSE)),2)</f>
        <v>434</v>
      </c>
      <c r="S26" s="56">
        <f>ROUND((VLOOKUP($D26,缴费比例!$B:$N,MATCH(S$1,缴费比例!$B$1:$N$1,0),FALSE)),2)</f>
        <v>3</v>
      </c>
      <c r="T26" s="56">
        <f>IF(D26="合肥",ROUND(K26*(VLOOKUP($D26,缴费比例!$B:$N,MATCH(T$1,缴费比例!$B$1:$N$1,0),FALSE)),1),ROUND(K26*(VLOOKUP($D26,缴费比例!$B:$N,MATCH(T$1,缴费比例!$B$1:$N$1,0),FALSE)),0))</f>
        <v>2604</v>
      </c>
      <c r="U26" s="56">
        <f>IF(D26="合肥",ROUND(K26*(VLOOKUP($D26,缴费比例!$B:$N,MATCH(U$1,缴费比例!$B$1:$N$1,0),FALSE)),1),ROUND(K26*(VLOOKUP($D26,缴费比例!$B:$N,MATCH(U$1,缴费比例!$B$1:$N$1,0),FALSE)),0))</f>
        <v>2604</v>
      </c>
      <c r="V26" s="143">
        <f t="shared" si="0"/>
        <v>5750.5</v>
      </c>
      <c r="W26" s="143">
        <f t="shared" si="1"/>
        <v>2281.5</v>
      </c>
      <c r="X26" s="138">
        <f t="shared" si="2"/>
        <v>8032</v>
      </c>
      <c r="Y26" s="138">
        <f t="shared" si="3"/>
        <v>5208</v>
      </c>
      <c r="Z26" s="138" t="str">
        <f t="shared" si="4"/>
        <v>北京</v>
      </c>
      <c r="AA26" s="41"/>
      <c r="AB26" s="59"/>
      <c r="AC26" s="59"/>
    </row>
    <row r="27" spans="1:29" ht="20.25" customHeight="1">
      <c r="A27" s="67" t="s">
        <v>267</v>
      </c>
      <c r="B27" s="119" t="s">
        <v>247</v>
      </c>
      <c r="C27" s="46" t="s">
        <v>248</v>
      </c>
      <c r="D27" s="46" t="s">
        <v>268</v>
      </c>
      <c r="E27" s="40">
        <v>44593</v>
      </c>
      <c r="F27" s="122">
        <v>44593</v>
      </c>
      <c r="G27" s="68">
        <v>21700</v>
      </c>
      <c r="H27" s="68">
        <v>21700</v>
      </c>
      <c r="I27" s="68">
        <v>21700</v>
      </c>
      <c r="J27" s="68">
        <v>21700</v>
      </c>
      <c r="K27" s="68">
        <v>21700</v>
      </c>
      <c r="L27" s="56">
        <f>ROUND(G27*(VLOOKUP($D27,缴费比例!B:N,MATCH(L$1,缴费比例!$B$1:$N$1,0),FALSE)),2)</f>
        <v>3472</v>
      </c>
      <c r="M27" s="56">
        <f>ROUND(G27*(VLOOKUP($D27,缴费比例!$B:$N,MATCH(M$1,缴费比例!$B$1:$N$1,0),FALSE)),2)</f>
        <v>1736</v>
      </c>
      <c r="N27" s="56">
        <f>ROUND(H27*(VLOOKUP($D27,缴费比例!$B:$N,MATCH(N$1,缴费比例!$B$1:$N$1,0),FALSE)),2)</f>
        <v>108.5</v>
      </c>
      <c r="O27" s="56">
        <f>ROUND(H27*(VLOOKUP($D27,缴费比例!$B:$N,MATCH(O$1,缴费比例!$B$1:$N$1,0),FALSE)),2)</f>
        <v>108.5</v>
      </c>
      <c r="P27" s="56">
        <f>ROUND(I27*(VLOOKUP($D27,缴费比例!$B:$N,MATCH(P$1,缴费比例!$B$1:$N$1,0),FALSE)),2)</f>
        <v>43.4</v>
      </c>
      <c r="Q27" s="56">
        <f>ROUND(J27*(VLOOKUP($D27,缴费比例!$B:$N,MATCH(Q$1,缴费比例!$B$1:$N$1,0),FALSE)),2)+VLOOKUP($D27,缴费比例!$B:$N,MATCH("单位大病",缴费比例!$B$1:$N$1,0),FALSE)</f>
        <v>2126.6</v>
      </c>
      <c r="R27" s="56">
        <f>ROUND(J27*(VLOOKUP($D27,缴费比例!$B:$N,MATCH(R$1,缴费比例!$B$1:$N$1,0),FALSE)),2)</f>
        <v>434</v>
      </c>
      <c r="S27" s="56">
        <f>ROUND((VLOOKUP($D27,缴费比例!$B:$N,MATCH(S$1,缴费比例!$B$1:$N$1,0),FALSE)),2)</f>
        <v>3</v>
      </c>
      <c r="T27" s="56">
        <f>IF(D27="合肥",ROUND(K27*(VLOOKUP($D27,缴费比例!$B:$N,MATCH(T$1,缴费比例!$B$1:$N$1,0),FALSE)),1),ROUND(K27*(VLOOKUP($D27,缴费比例!$B:$N,MATCH(T$1,缴费比例!$B$1:$N$1,0),FALSE)),0))</f>
        <v>2604</v>
      </c>
      <c r="U27" s="56">
        <f>IF(D27="合肥",ROUND(K27*(VLOOKUP($D27,缴费比例!$B:$N,MATCH(U$1,缴费比例!$B$1:$N$1,0),FALSE)),1),ROUND(K27*(VLOOKUP($D27,缴费比例!$B:$N,MATCH(U$1,缴费比例!$B$1:$N$1,0),FALSE)),0))</f>
        <v>2604</v>
      </c>
      <c r="V27" s="143">
        <f t="shared" si="0"/>
        <v>5750.5</v>
      </c>
      <c r="W27" s="143">
        <f t="shared" si="1"/>
        <v>2281.5</v>
      </c>
      <c r="X27" s="138">
        <f t="shared" si="2"/>
        <v>8032</v>
      </c>
      <c r="Y27" s="138">
        <f t="shared" si="3"/>
        <v>5208</v>
      </c>
      <c r="Z27" s="138" t="str">
        <f t="shared" si="4"/>
        <v>北京</v>
      </c>
      <c r="AA27" s="41"/>
      <c r="AB27" s="59"/>
      <c r="AC27" s="59"/>
    </row>
    <row r="28" spans="1:29" ht="20.25" customHeight="1">
      <c r="A28" s="67" t="s">
        <v>267</v>
      </c>
      <c r="B28" s="119" t="s">
        <v>249</v>
      </c>
      <c r="C28" s="46" t="s">
        <v>250</v>
      </c>
      <c r="D28" s="46" t="s">
        <v>268</v>
      </c>
      <c r="E28" s="40">
        <v>44593</v>
      </c>
      <c r="F28" s="122">
        <v>44593</v>
      </c>
      <c r="G28" s="68">
        <v>10000</v>
      </c>
      <c r="H28" s="68">
        <v>10000</v>
      </c>
      <c r="I28" s="68">
        <v>10000</v>
      </c>
      <c r="J28" s="68">
        <v>10000</v>
      </c>
      <c r="K28" s="68">
        <v>15000</v>
      </c>
      <c r="L28" s="56">
        <f>ROUND(G28*(VLOOKUP($D28,缴费比例!B:N,MATCH(L$1,缴费比例!$B$1:$N$1,0),FALSE)),2)</f>
        <v>1600</v>
      </c>
      <c r="M28" s="56">
        <f>ROUND(G28*(VLOOKUP($D28,缴费比例!$B:$N,MATCH(M$1,缴费比例!$B$1:$N$1,0),FALSE)),2)</f>
        <v>800</v>
      </c>
      <c r="N28" s="56">
        <f>ROUND(H28*(VLOOKUP($D28,缴费比例!$B:$N,MATCH(N$1,缴费比例!$B$1:$N$1,0),FALSE)),2)</f>
        <v>50</v>
      </c>
      <c r="O28" s="56">
        <f>ROUND(H28*(VLOOKUP($D28,缴费比例!$B:$N,MATCH(O$1,缴费比例!$B$1:$N$1,0),FALSE)),2)</f>
        <v>50</v>
      </c>
      <c r="P28" s="56">
        <f>ROUND(I28*(VLOOKUP($D28,缴费比例!$B:$N,MATCH(P$1,缴费比例!$B$1:$N$1,0),FALSE)),2)</f>
        <v>20</v>
      </c>
      <c r="Q28" s="56">
        <f>ROUND(J28*(VLOOKUP($D28,缴费比例!$B:$N,MATCH(Q$1,缴费比例!$B$1:$N$1,0),FALSE)),2)+VLOOKUP($D28,缴费比例!$B:$N,MATCH("单位大病",缴费比例!$B$1:$N$1,0),FALSE)</f>
        <v>980</v>
      </c>
      <c r="R28" s="56">
        <f>ROUND(J28*(VLOOKUP($D28,缴费比例!$B:$N,MATCH(R$1,缴费比例!$B$1:$N$1,0),FALSE)),2)</f>
        <v>200</v>
      </c>
      <c r="S28" s="56">
        <f>ROUND((VLOOKUP($D28,缴费比例!$B:$N,MATCH(S$1,缴费比例!$B$1:$N$1,0),FALSE)),2)</f>
        <v>3</v>
      </c>
      <c r="T28" s="56">
        <f>IF(D28="合肥",ROUND(K28*(VLOOKUP($D28,缴费比例!$B:$N,MATCH(T$1,缴费比例!$B$1:$N$1,0),FALSE)),1),ROUND(K28*(VLOOKUP($D28,缴费比例!$B:$N,MATCH(T$1,缴费比例!$B$1:$N$1,0),FALSE)),0))</f>
        <v>1800</v>
      </c>
      <c r="U28" s="56">
        <f>IF(D28="合肥",ROUND(K28*(VLOOKUP($D28,缴费比例!$B:$N,MATCH(U$1,缴费比例!$B$1:$N$1,0),FALSE)),1),ROUND(K28*(VLOOKUP($D28,缴费比例!$B:$N,MATCH(U$1,缴费比例!$B$1:$N$1,0),FALSE)),0))</f>
        <v>1800</v>
      </c>
      <c r="V28" s="143">
        <f t="shared" si="0"/>
        <v>2650</v>
      </c>
      <c r="W28" s="143">
        <f t="shared" si="1"/>
        <v>1053</v>
      </c>
      <c r="X28" s="138">
        <f t="shared" si="2"/>
        <v>3703</v>
      </c>
      <c r="Y28" s="138">
        <f t="shared" si="3"/>
        <v>3600</v>
      </c>
      <c r="Z28" s="138" t="str">
        <f t="shared" si="4"/>
        <v>北京</v>
      </c>
      <c r="AA28" s="41"/>
      <c r="AB28" s="59"/>
      <c r="AC28" s="59"/>
    </row>
    <row r="29" spans="1:29" ht="20.25" customHeight="1">
      <c r="A29" s="67" t="s">
        <v>267</v>
      </c>
      <c r="B29" s="119" t="s">
        <v>251</v>
      </c>
      <c r="C29" s="46" t="s">
        <v>252</v>
      </c>
      <c r="D29" s="46" t="s">
        <v>268</v>
      </c>
      <c r="E29" s="40">
        <v>44593</v>
      </c>
      <c r="F29" s="122">
        <v>44593</v>
      </c>
      <c r="G29" s="68">
        <v>5360</v>
      </c>
      <c r="H29" s="68">
        <v>5360</v>
      </c>
      <c r="I29" s="68">
        <v>5360</v>
      </c>
      <c r="J29" s="68">
        <v>5360</v>
      </c>
      <c r="K29" s="68">
        <v>8000</v>
      </c>
      <c r="L29" s="56">
        <f>ROUND(G29*(VLOOKUP($D29,缴费比例!B:N,MATCH(L$1,缴费比例!$B$1:$N$1,0),FALSE)),2)</f>
        <v>857.6</v>
      </c>
      <c r="M29" s="56">
        <f>ROUND(G29*(VLOOKUP($D29,缴费比例!$B:$N,MATCH(M$1,缴费比例!$B$1:$N$1,0),FALSE)),2)</f>
        <v>428.8</v>
      </c>
      <c r="N29" s="56">
        <f>ROUND(H29*(VLOOKUP($D29,缴费比例!$B:$N,MATCH(N$1,缴费比例!$B$1:$N$1,0),FALSE)),2)</f>
        <v>26.8</v>
      </c>
      <c r="O29" s="56">
        <f>ROUND(H29*(VLOOKUP($D29,缴费比例!$B:$N,MATCH(O$1,缴费比例!$B$1:$N$1,0),FALSE)),2)</f>
        <v>26.8</v>
      </c>
      <c r="P29" s="56">
        <f>ROUND(I29*(VLOOKUP($D29,缴费比例!$B:$N,MATCH(P$1,缴费比例!$B$1:$N$1,0),FALSE)),2)</f>
        <v>10.72</v>
      </c>
      <c r="Q29" s="56">
        <f>ROUND(J29*(VLOOKUP($D29,缴费比例!$B:$N,MATCH(Q$1,缴费比例!$B$1:$N$1,0),FALSE)),2)+VLOOKUP($D29,缴费比例!$B:$N,MATCH("单位大病",缴费比例!$B$1:$N$1,0),FALSE)</f>
        <v>525.28</v>
      </c>
      <c r="R29" s="56">
        <f>ROUND(J29*(VLOOKUP($D29,缴费比例!$B:$N,MATCH(R$1,缴费比例!$B$1:$N$1,0),FALSE)),2)</f>
        <v>107.2</v>
      </c>
      <c r="S29" s="56">
        <f>ROUND((VLOOKUP($D29,缴费比例!$B:$N,MATCH(S$1,缴费比例!$B$1:$N$1,0),FALSE)),2)</f>
        <v>3</v>
      </c>
      <c r="T29" s="56">
        <f>IF(D29="合肥",ROUND(K29*(VLOOKUP($D29,缴费比例!$B:$N,MATCH(T$1,缴费比例!$B$1:$N$1,0),FALSE)),1),ROUND(K29*(VLOOKUP($D29,缴费比例!$B:$N,MATCH(T$1,缴费比例!$B$1:$N$1,0),FALSE)),0))</f>
        <v>960</v>
      </c>
      <c r="U29" s="56">
        <f>IF(D29="合肥",ROUND(K29*(VLOOKUP($D29,缴费比例!$B:$N,MATCH(U$1,缴费比例!$B$1:$N$1,0),FALSE)),1),ROUND(K29*(VLOOKUP($D29,缴费比例!$B:$N,MATCH(U$1,缴费比例!$B$1:$N$1,0),FALSE)),0))</f>
        <v>960</v>
      </c>
      <c r="V29" s="143">
        <f t="shared" si="0"/>
        <v>1420.4</v>
      </c>
      <c r="W29" s="143">
        <f t="shared" si="1"/>
        <v>565.80000000000007</v>
      </c>
      <c r="X29" s="138">
        <f t="shared" si="2"/>
        <v>1986.2</v>
      </c>
      <c r="Y29" s="138">
        <f t="shared" si="3"/>
        <v>1920</v>
      </c>
      <c r="Z29" s="138" t="str">
        <f t="shared" si="4"/>
        <v>北京</v>
      </c>
      <c r="AA29" s="41"/>
      <c r="AB29" s="59"/>
      <c r="AC29" s="59"/>
    </row>
    <row r="30" spans="1:29" ht="20.25" customHeight="1">
      <c r="A30" s="67" t="s">
        <v>267</v>
      </c>
      <c r="B30" s="119" t="s">
        <v>253</v>
      </c>
      <c r="C30" s="46" t="s">
        <v>254</v>
      </c>
      <c r="D30" s="46" t="s">
        <v>268</v>
      </c>
      <c r="E30" s="40">
        <v>44593</v>
      </c>
      <c r="F30" s="122">
        <v>44593</v>
      </c>
      <c r="G30" s="68">
        <v>5360</v>
      </c>
      <c r="H30" s="68">
        <v>5360</v>
      </c>
      <c r="I30" s="68">
        <v>5360</v>
      </c>
      <c r="J30" s="68">
        <v>5360</v>
      </c>
      <c r="K30" s="68">
        <v>8000</v>
      </c>
      <c r="L30" s="56">
        <f>ROUND(G30*(VLOOKUP($D30,缴费比例!B:N,MATCH(L$1,缴费比例!$B$1:$N$1,0),FALSE)),2)</f>
        <v>857.6</v>
      </c>
      <c r="M30" s="56">
        <f>ROUND(G30*(VLOOKUP($D30,缴费比例!$B:$N,MATCH(M$1,缴费比例!$B$1:$N$1,0),FALSE)),2)</f>
        <v>428.8</v>
      </c>
      <c r="N30" s="56">
        <f>ROUND(H30*(VLOOKUP($D30,缴费比例!$B:$N,MATCH(N$1,缴费比例!$B$1:$N$1,0),FALSE)),2)</f>
        <v>26.8</v>
      </c>
      <c r="O30" s="56">
        <f>ROUND(H30*(VLOOKUP($D30,缴费比例!$B:$N,MATCH(O$1,缴费比例!$B$1:$N$1,0),FALSE)),2)</f>
        <v>26.8</v>
      </c>
      <c r="P30" s="56">
        <f>ROUND(I30*(VLOOKUP($D30,缴费比例!$B:$N,MATCH(P$1,缴费比例!$B$1:$N$1,0),FALSE)),2)</f>
        <v>10.72</v>
      </c>
      <c r="Q30" s="56">
        <f>ROUND(J30*(VLOOKUP($D30,缴费比例!$B:$N,MATCH(Q$1,缴费比例!$B$1:$N$1,0),FALSE)),2)+VLOOKUP($D30,缴费比例!$B:$N,MATCH("单位大病",缴费比例!$B$1:$N$1,0),FALSE)</f>
        <v>525.28</v>
      </c>
      <c r="R30" s="56">
        <f>ROUND(J30*(VLOOKUP($D30,缴费比例!$B:$N,MATCH(R$1,缴费比例!$B$1:$N$1,0),FALSE)),2)</f>
        <v>107.2</v>
      </c>
      <c r="S30" s="56">
        <f>ROUND((VLOOKUP($D30,缴费比例!$B:$N,MATCH(S$1,缴费比例!$B$1:$N$1,0),FALSE)),2)</f>
        <v>3</v>
      </c>
      <c r="T30" s="56">
        <f>IF(D30="合肥",ROUND(K30*(VLOOKUP($D30,缴费比例!$B:$N,MATCH(T$1,缴费比例!$B$1:$N$1,0),FALSE)),1),ROUND(K30*(VLOOKUP($D30,缴费比例!$B:$N,MATCH(T$1,缴费比例!$B$1:$N$1,0),FALSE)),0))</f>
        <v>960</v>
      </c>
      <c r="U30" s="56">
        <f>IF(D30="合肥",ROUND(K30*(VLOOKUP($D30,缴费比例!$B:$N,MATCH(U$1,缴费比例!$B$1:$N$1,0),FALSE)),1),ROUND(K30*(VLOOKUP($D30,缴费比例!$B:$N,MATCH(U$1,缴费比例!$B$1:$N$1,0),FALSE)),0))</f>
        <v>960</v>
      </c>
      <c r="V30" s="143">
        <f t="shared" si="0"/>
        <v>1420.4</v>
      </c>
      <c r="W30" s="143">
        <f t="shared" si="1"/>
        <v>565.80000000000007</v>
      </c>
      <c r="X30" s="138">
        <f t="shared" si="2"/>
        <v>1986.2</v>
      </c>
      <c r="Y30" s="138">
        <f t="shared" si="3"/>
        <v>1920</v>
      </c>
      <c r="Z30" s="138" t="str">
        <f t="shared" si="4"/>
        <v>北京</v>
      </c>
      <c r="AA30" s="41"/>
      <c r="AB30" s="59"/>
      <c r="AC30" s="59"/>
    </row>
    <row r="31" spans="1:29" ht="20.25" customHeight="1">
      <c r="A31" s="67" t="s">
        <v>267</v>
      </c>
      <c r="B31" s="119" t="s">
        <v>255</v>
      </c>
      <c r="C31" s="46" t="s">
        <v>256</v>
      </c>
      <c r="D31" s="46" t="s">
        <v>268</v>
      </c>
      <c r="E31" s="40">
        <v>44593</v>
      </c>
      <c r="F31" s="122">
        <v>44593</v>
      </c>
      <c r="G31" s="68">
        <v>15700</v>
      </c>
      <c r="H31" s="68">
        <v>15700</v>
      </c>
      <c r="I31" s="68">
        <v>15700</v>
      </c>
      <c r="J31" s="68">
        <v>15700</v>
      </c>
      <c r="K31" s="68">
        <v>15700</v>
      </c>
      <c r="L31" s="56">
        <f>ROUND(G31*(VLOOKUP($D31,缴费比例!B:N,MATCH(L$1,缴费比例!$B$1:$N$1,0),FALSE)),2)</f>
        <v>2512</v>
      </c>
      <c r="M31" s="56">
        <f>ROUND(G31*(VLOOKUP($D31,缴费比例!$B:$N,MATCH(M$1,缴费比例!$B$1:$N$1,0),FALSE)),2)</f>
        <v>1256</v>
      </c>
      <c r="N31" s="56">
        <f>ROUND(H31*(VLOOKUP($D31,缴费比例!$B:$N,MATCH(N$1,缴费比例!$B$1:$N$1,0),FALSE)),2)</f>
        <v>78.5</v>
      </c>
      <c r="O31" s="56">
        <f>ROUND(H31*(VLOOKUP($D31,缴费比例!$B:$N,MATCH(O$1,缴费比例!$B$1:$N$1,0),FALSE)),2)</f>
        <v>78.5</v>
      </c>
      <c r="P31" s="56">
        <f>ROUND(I31*(VLOOKUP($D31,缴费比例!$B:$N,MATCH(P$1,缴费比例!$B$1:$N$1,0),FALSE)),2)</f>
        <v>31.4</v>
      </c>
      <c r="Q31" s="56">
        <f>ROUND(J31*(VLOOKUP($D31,缴费比例!$B:$N,MATCH(Q$1,缴费比例!$B$1:$N$1,0),FALSE)),2)+VLOOKUP($D31,缴费比例!$B:$N,MATCH("单位大病",缴费比例!$B$1:$N$1,0),FALSE)</f>
        <v>1538.6</v>
      </c>
      <c r="R31" s="56">
        <f>ROUND(J31*(VLOOKUP($D31,缴费比例!$B:$N,MATCH(R$1,缴费比例!$B$1:$N$1,0),FALSE)),2)</f>
        <v>314</v>
      </c>
      <c r="S31" s="56">
        <f>ROUND((VLOOKUP($D31,缴费比例!$B:$N,MATCH(S$1,缴费比例!$B$1:$N$1,0),FALSE)),2)</f>
        <v>3</v>
      </c>
      <c r="T31" s="56">
        <f>IF(D31="合肥",ROUND(K31*(VLOOKUP($D31,缴费比例!$B:$N,MATCH(T$1,缴费比例!$B$1:$N$1,0),FALSE)),1),ROUND(K31*(VLOOKUP($D31,缴费比例!$B:$N,MATCH(T$1,缴费比例!$B$1:$N$1,0),FALSE)),0))</f>
        <v>1884</v>
      </c>
      <c r="U31" s="56">
        <f>IF(D31="合肥",ROUND(K31*(VLOOKUP($D31,缴费比例!$B:$N,MATCH(U$1,缴费比例!$B$1:$N$1,0),FALSE)),1),ROUND(K31*(VLOOKUP($D31,缴费比例!$B:$N,MATCH(U$1,缴费比例!$B$1:$N$1,0),FALSE)),0))</f>
        <v>1884</v>
      </c>
      <c r="V31" s="143">
        <f t="shared" si="0"/>
        <v>4160.5</v>
      </c>
      <c r="W31" s="143">
        <f t="shared" si="1"/>
        <v>1651.5</v>
      </c>
      <c r="X31" s="138">
        <f t="shared" si="2"/>
        <v>5812</v>
      </c>
      <c r="Y31" s="138">
        <f t="shared" si="3"/>
        <v>3768</v>
      </c>
      <c r="Z31" s="138" t="str">
        <f t="shared" si="4"/>
        <v>北京</v>
      </c>
      <c r="AA31" s="41"/>
      <c r="AB31" s="59"/>
      <c r="AC31" s="59"/>
    </row>
    <row r="32" spans="1:29" ht="20.25" customHeight="1">
      <c r="A32" s="67" t="s">
        <v>267</v>
      </c>
      <c r="B32" s="119" t="s">
        <v>257</v>
      </c>
      <c r="C32" s="46" t="s">
        <v>258</v>
      </c>
      <c r="D32" s="46" t="s">
        <v>313</v>
      </c>
      <c r="E32" s="40">
        <v>44593</v>
      </c>
      <c r="F32" s="122">
        <v>44593</v>
      </c>
      <c r="G32" s="68" t="s">
        <v>266</v>
      </c>
      <c r="H32" s="68" t="s">
        <v>266</v>
      </c>
      <c r="I32" s="68" t="s">
        <v>266</v>
      </c>
      <c r="J32" s="68" t="s">
        <v>266</v>
      </c>
      <c r="K32" s="68">
        <v>10000</v>
      </c>
      <c r="L32" s="56">
        <f>ROUND(G32*(VLOOKUP($D32,缴费比例!B:N,MATCH(L$1,缴费比例!$B$1:$N$1,0),FALSE)),2)</f>
        <v>1600</v>
      </c>
      <c r="M32" s="56">
        <f>ROUND(G32*(VLOOKUP($D32,缴费比例!$B:$N,MATCH(M$1,缴费比例!$B$1:$N$1,0),FALSE)),2)</f>
        <v>800</v>
      </c>
      <c r="N32" s="56">
        <f>ROUND(H32*(VLOOKUP($D32,缴费比例!$B:$N,MATCH(N$1,缴费比例!$B$1:$N$1,0),FALSE)),2)</f>
        <v>50</v>
      </c>
      <c r="O32" s="56">
        <f>ROUND(H32*(VLOOKUP($D32,缴费比例!$B:$N,MATCH(O$1,缴费比例!$B$1:$N$1,0),FALSE)),2)</f>
        <v>50</v>
      </c>
      <c r="P32" s="56">
        <f>ROUND(I32*(VLOOKUP($D32,缴费比例!$B:$N,MATCH(P$1,缴费比例!$B$1:$N$1,0),FALSE)),2)</f>
        <v>20</v>
      </c>
      <c r="Q32" s="56">
        <f>ROUND(J32*(VLOOKUP($D32,缴费比例!$B:$N,MATCH(Q$1,缴费比例!$B$1:$N$1,0),FALSE)),2)+VLOOKUP($D32,缴费比例!$B:$N,MATCH("单位大病",缴费比例!$B$1:$N$1,0),FALSE)</f>
        <v>980</v>
      </c>
      <c r="R32" s="56">
        <f>ROUND(J32*(VLOOKUP($D32,缴费比例!$B:$N,MATCH(R$1,缴费比例!$B$1:$N$1,0),FALSE)),2)</f>
        <v>200</v>
      </c>
      <c r="S32" s="56">
        <f>ROUND((VLOOKUP($D32,缴费比例!$B:$N,MATCH(S$1,缴费比例!$B$1:$N$1,0),FALSE)),2)</f>
        <v>3</v>
      </c>
      <c r="T32" s="56">
        <f>IF(D32="合肥",ROUND(K32*(VLOOKUP($D32,缴费比例!$B:$N,MATCH(T$1,缴费比例!$B$1:$N$1,0),FALSE)),1),ROUND(K32*(VLOOKUP($D32,缴费比例!$B:$N,MATCH(T$1,缴费比例!$B$1:$N$1,0),FALSE)),0))</f>
        <v>1200</v>
      </c>
      <c r="U32" s="56">
        <f>IF(D32="合肥",ROUND(K32*(VLOOKUP($D32,缴费比例!$B:$N,MATCH(U$1,缴费比例!$B$1:$N$1,0),FALSE)),1),ROUND(K32*(VLOOKUP($D32,缴费比例!$B:$N,MATCH(U$1,缴费比例!$B$1:$N$1,0),FALSE)),0))</f>
        <v>1200</v>
      </c>
      <c r="V32" s="143">
        <f t="shared" si="0"/>
        <v>2650</v>
      </c>
      <c r="W32" s="143">
        <f t="shared" si="1"/>
        <v>1053</v>
      </c>
      <c r="X32" s="138">
        <f t="shared" si="2"/>
        <v>3703</v>
      </c>
      <c r="Y32" s="138">
        <f t="shared" si="3"/>
        <v>2400</v>
      </c>
      <c r="Z32" s="138" t="str">
        <f t="shared" si="4"/>
        <v>北京</v>
      </c>
      <c r="AA32" s="41"/>
      <c r="AB32" s="59"/>
      <c r="AC32" s="59"/>
    </row>
    <row r="33" spans="1:34" ht="20.25" customHeight="1">
      <c r="A33" s="67" t="s">
        <v>267</v>
      </c>
      <c r="B33" s="120" t="s">
        <v>259</v>
      </c>
      <c r="C33" s="46" t="s">
        <v>260</v>
      </c>
      <c r="D33" s="46" t="s">
        <v>268</v>
      </c>
      <c r="E33" s="40">
        <v>44593</v>
      </c>
      <c r="F33" s="122">
        <v>44593</v>
      </c>
      <c r="G33" s="68">
        <v>19300</v>
      </c>
      <c r="H33" s="68">
        <v>19300</v>
      </c>
      <c r="I33" s="68">
        <v>19300</v>
      </c>
      <c r="J33" s="68">
        <v>19300</v>
      </c>
      <c r="K33" s="68">
        <v>19300</v>
      </c>
      <c r="L33" s="56">
        <f>ROUND(G33*(VLOOKUP($D33,缴费比例!B:N,MATCH(L$1,缴费比例!$B$1:$N$1,0),FALSE)),2)</f>
        <v>3088</v>
      </c>
      <c r="M33" s="56">
        <f>ROUND(G33*(VLOOKUP($D33,缴费比例!$B:$N,MATCH(M$1,缴费比例!$B$1:$N$1,0),FALSE)),2)</f>
        <v>1544</v>
      </c>
      <c r="N33" s="56">
        <f>ROUND(H33*(VLOOKUP($D33,缴费比例!$B:$N,MATCH(N$1,缴费比例!$B$1:$N$1,0),FALSE)),2)</f>
        <v>96.5</v>
      </c>
      <c r="O33" s="56">
        <f>ROUND(H33*(VLOOKUP($D33,缴费比例!$B:$N,MATCH(O$1,缴费比例!$B$1:$N$1,0),FALSE)),2)</f>
        <v>96.5</v>
      </c>
      <c r="P33" s="56">
        <f>ROUND(I33*(VLOOKUP($D33,缴费比例!$B:$N,MATCH(P$1,缴费比例!$B$1:$N$1,0),FALSE)),2)</f>
        <v>38.6</v>
      </c>
      <c r="Q33" s="56">
        <f>ROUND(J33*(VLOOKUP($D33,缴费比例!$B:$N,MATCH(Q$1,缴费比例!$B$1:$N$1,0),FALSE)),2)+VLOOKUP($D33,缴费比例!$B:$N,MATCH("单位大病",缴费比例!$B$1:$N$1,0),FALSE)</f>
        <v>1891.4</v>
      </c>
      <c r="R33" s="56">
        <f>ROUND(J33*(VLOOKUP($D33,缴费比例!$B:$N,MATCH(R$1,缴费比例!$B$1:$N$1,0),FALSE)),2)</f>
        <v>386</v>
      </c>
      <c r="S33" s="56">
        <f>ROUND((VLOOKUP($D33,缴费比例!$B:$N,MATCH(S$1,缴费比例!$B$1:$N$1,0),FALSE)),2)</f>
        <v>3</v>
      </c>
      <c r="T33" s="56">
        <f>IF(D33="合肥",ROUND(K33*(VLOOKUP($D33,缴费比例!$B:$N,MATCH(T$1,缴费比例!$B$1:$N$1,0),FALSE)),1),ROUND(K33*(VLOOKUP($D33,缴费比例!$B:$N,MATCH(T$1,缴费比例!$B$1:$N$1,0),FALSE)),0))</f>
        <v>2316</v>
      </c>
      <c r="U33" s="56">
        <f>IF(D33="合肥",ROUND(K33*(VLOOKUP($D33,缴费比例!$B:$N,MATCH(U$1,缴费比例!$B$1:$N$1,0),FALSE)),1),ROUND(K33*(VLOOKUP($D33,缴费比例!$B:$N,MATCH(U$1,缴费比例!$B$1:$N$1,0),FALSE)),0))</f>
        <v>2316</v>
      </c>
      <c r="V33" s="143">
        <f t="shared" si="0"/>
        <v>5114.5</v>
      </c>
      <c r="W33" s="143">
        <f t="shared" si="1"/>
        <v>2029.5</v>
      </c>
      <c r="X33" s="138">
        <f t="shared" si="2"/>
        <v>7144</v>
      </c>
      <c r="Y33" s="138">
        <f t="shared" si="3"/>
        <v>4632</v>
      </c>
      <c r="Z33" s="138" t="str">
        <f t="shared" si="4"/>
        <v>北京</v>
      </c>
      <c r="AA33" s="41"/>
      <c r="AB33" s="59"/>
      <c r="AC33" s="59"/>
    </row>
    <row r="34" spans="1:34" ht="20.25" customHeight="1">
      <c r="A34" s="67" t="s">
        <v>267</v>
      </c>
      <c r="B34" s="120" t="s">
        <v>261</v>
      </c>
      <c r="C34" s="46" t="s">
        <v>262</v>
      </c>
      <c r="D34" s="46" t="s">
        <v>269</v>
      </c>
      <c r="E34" s="40">
        <v>44621</v>
      </c>
      <c r="F34" s="122" t="s">
        <v>346</v>
      </c>
      <c r="G34" s="68">
        <v>3430</v>
      </c>
      <c r="H34" s="68">
        <v>3430</v>
      </c>
      <c r="I34" s="68">
        <v>3430</v>
      </c>
      <c r="J34" s="68">
        <v>3430</v>
      </c>
      <c r="K34" s="68">
        <v>1650</v>
      </c>
      <c r="L34" s="56">
        <f>ROUND(G34*(VLOOKUP($D34,缴费比例!B:N,MATCH(L$1,缴费比例!$B$1:$N$1,0),FALSE)),2)</f>
        <v>548.79999999999995</v>
      </c>
      <c r="M34" s="56">
        <f>ROUND(G34*(VLOOKUP($D34,缴费比例!$B:$N,MATCH(M$1,缴费比例!$B$1:$N$1,0),FALSE)),2)</f>
        <v>274.39999999999998</v>
      </c>
      <c r="N34" s="56">
        <f>ROUND(H34*(VLOOKUP($D34,缴费比例!$B:$N,MATCH(N$1,缴费比例!$B$1:$N$1,0),FALSE)),2)</f>
        <v>17.149999999999999</v>
      </c>
      <c r="O34" s="56">
        <f>ROUND(H34*(VLOOKUP($D34,缴费比例!$B:$N,MATCH(O$1,缴费比例!$B$1:$N$1,0),FALSE)),2)</f>
        <v>17.149999999999999</v>
      </c>
      <c r="P34" s="56">
        <f>ROUND(I34*(VLOOKUP($D34,缴费比例!$B:$N,MATCH(P$1,缴费比例!$B$1:$N$1,0),FALSE)),2)</f>
        <v>6.86</v>
      </c>
      <c r="Q34" s="56">
        <f>ROUND(J34*(VLOOKUP($D34,缴费比例!$B:$N,MATCH(Q$1,缴费比例!$B$1:$N$1,0),FALSE)),2)+VLOOKUP($D34,缴费比例!$B:$N,MATCH("单位大病",缴费比例!$B$1:$N$1,0),FALSE)</f>
        <v>234.52</v>
      </c>
      <c r="R34" s="56">
        <f>ROUND(J34*(VLOOKUP($D34,缴费比例!$B:$N,MATCH(R$1,缴费比例!$B$1:$N$1,0),FALSE)),2)</f>
        <v>68.599999999999994</v>
      </c>
      <c r="S34" s="56">
        <f>ROUND((VLOOKUP($D34,缴费比例!$B:$N,MATCH(S$1,缴费比例!$B$1:$N$1,0),FALSE)),2)</f>
        <v>0</v>
      </c>
      <c r="T34" s="56">
        <f>IF(D34="合肥",ROUND(K34*(VLOOKUP($D34,缴费比例!$B:$N,MATCH(T$1,缴费比例!$B$1:$N$1,0),FALSE)),1),ROUND(K34*(VLOOKUP($D34,缴费比例!$B:$N,MATCH(T$1,缴费比例!$B$1:$N$1,0),FALSE)),0))</f>
        <v>82.5</v>
      </c>
      <c r="U34" s="56">
        <f>IF(D34="合肥",ROUND(K34*(VLOOKUP($D34,缴费比例!$B:$N,MATCH(U$1,缴费比例!$B$1:$N$1,0),FALSE)),1),ROUND(K34*(VLOOKUP($D34,缴费比例!$B:$N,MATCH(U$1,缴费比例!$B$1:$N$1,0),FALSE)),0))</f>
        <v>82.5</v>
      </c>
      <c r="V34" s="143">
        <f t="shared" si="0"/>
        <v>807.32999999999993</v>
      </c>
      <c r="W34" s="143">
        <f t="shared" si="1"/>
        <v>360.15</v>
      </c>
      <c r="X34" s="138">
        <f t="shared" si="2"/>
        <v>1167.4799999999998</v>
      </c>
      <c r="Y34" s="138">
        <f t="shared" si="3"/>
        <v>165</v>
      </c>
      <c r="Z34" s="138" t="str">
        <f t="shared" si="4"/>
        <v>外地</v>
      </c>
      <c r="AA34" s="41"/>
      <c r="AB34" s="59"/>
      <c r="AC34" s="59"/>
    </row>
    <row r="35" spans="1:34" ht="20.25" customHeight="1">
      <c r="A35" s="67" t="s">
        <v>267</v>
      </c>
      <c r="B35" s="120" t="s">
        <v>263</v>
      </c>
      <c r="C35" s="46" t="s">
        <v>264</v>
      </c>
      <c r="D35" s="46" t="s">
        <v>269</v>
      </c>
      <c r="E35" s="40">
        <v>44621</v>
      </c>
      <c r="F35" s="122" t="s">
        <v>346</v>
      </c>
      <c r="G35" s="68">
        <v>3430</v>
      </c>
      <c r="H35" s="68">
        <v>3430</v>
      </c>
      <c r="I35" s="68">
        <v>3430</v>
      </c>
      <c r="J35" s="68">
        <v>3430</v>
      </c>
      <c r="K35" s="68">
        <v>1650</v>
      </c>
      <c r="L35" s="56">
        <f>ROUND(G35*(VLOOKUP($D35,缴费比例!B:N,MATCH(L$1,缴费比例!$B$1:$N$1,0),FALSE)),2)</f>
        <v>548.79999999999995</v>
      </c>
      <c r="M35" s="56">
        <f>ROUND(G35*(VLOOKUP($D35,缴费比例!$B:$N,MATCH(M$1,缴费比例!$B$1:$N$1,0),FALSE)),2)</f>
        <v>274.39999999999998</v>
      </c>
      <c r="N35" s="56">
        <f>ROUND(H35*(VLOOKUP($D35,缴费比例!$B:$N,MATCH(N$1,缴费比例!$B$1:$N$1,0),FALSE)),2)</f>
        <v>17.149999999999999</v>
      </c>
      <c r="O35" s="56">
        <f>ROUND(H35*(VLOOKUP($D35,缴费比例!$B:$N,MATCH(O$1,缴费比例!$B$1:$N$1,0),FALSE)),2)</f>
        <v>17.149999999999999</v>
      </c>
      <c r="P35" s="56">
        <f>ROUND(I35*(VLOOKUP($D35,缴费比例!$B:$N,MATCH(P$1,缴费比例!$B$1:$N$1,0),FALSE)),2)</f>
        <v>6.86</v>
      </c>
      <c r="Q35" s="56">
        <f>ROUND(J35*(VLOOKUP($D35,缴费比例!$B:$N,MATCH(Q$1,缴费比例!$B$1:$N$1,0),FALSE)),2)+VLOOKUP($D35,缴费比例!$B:$N,MATCH("单位大病",缴费比例!$B$1:$N$1,0),FALSE)</f>
        <v>234.52</v>
      </c>
      <c r="R35" s="56">
        <f>ROUND(J35*(VLOOKUP($D35,缴费比例!$B:$N,MATCH(R$1,缴费比例!$B$1:$N$1,0),FALSE)),2)</f>
        <v>68.599999999999994</v>
      </c>
      <c r="S35" s="56">
        <f>ROUND((VLOOKUP($D35,缴费比例!$B:$N,MATCH(S$1,缴费比例!$B$1:$N$1,0),FALSE)),2)</f>
        <v>0</v>
      </c>
      <c r="T35" s="56">
        <f>IF(D35="合肥",ROUND(K35*(VLOOKUP($D35,缴费比例!$B:$N,MATCH(T$1,缴费比例!$B$1:$N$1,0),FALSE)),1),ROUND(K35*(VLOOKUP($D35,缴费比例!$B:$N,MATCH(T$1,缴费比例!$B$1:$N$1,0),FALSE)),0))</f>
        <v>82.5</v>
      </c>
      <c r="U35" s="56">
        <f>IF(D35="合肥",ROUND(K35*(VLOOKUP($D35,缴费比例!$B:$N,MATCH(U$1,缴费比例!$B$1:$N$1,0),FALSE)),1),ROUND(K35*(VLOOKUP($D35,缴费比例!$B:$N,MATCH(U$1,缴费比例!$B$1:$N$1,0),FALSE)),0))</f>
        <v>82.5</v>
      </c>
      <c r="V35" s="143">
        <f t="shared" si="0"/>
        <v>807.32999999999993</v>
      </c>
      <c r="W35" s="143">
        <f t="shared" si="1"/>
        <v>360.15</v>
      </c>
      <c r="X35" s="138">
        <f t="shared" si="2"/>
        <v>1167.4799999999998</v>
      </c>
      <c r="Y35" s="138">
        <f t="shared" si="3"/>
        <v>165</v>
      </c>
      <c r="Z35" s="138" t="str">
        <f t="shared" si="4"/>
        <v>外地</v>
      </c>
      <c r="AA35" s="41"/>
      <c r="AB35" s="59"/>
      <c r="AC35" s="59"/>
    </row>
    <row r="36" spans="1:34" ht="20.25" customHeight="1">
      <c r="A36" s="67" t="s">
        <v>267</v>
      </c>
      <c r="B36" s="120" t="s">
        <v>265</v>
      </c>
      <c r="C36" s="46" t="s">
        <v>406</v>
      </c>
      <c r="D36" s="46" t="s">
        <v>269</v>
      </c>
      <c r="E36" s="40">
        <v>44621</v>
      </c>
      <c r="F36" s="122" t="s">
        <v>346</v>
      </c>
      <c r="G36" s="68">
        <v>3430</v>
      </c>
      <c r="H36" s="68">
        <v>3430</v>
      </c>
      <c r="I36" s="68">
        <v>3430</v>
      </c>
      <c r="J36" s="68">
        <v>3430</v>
      </c>
      <c r="K36" s="68">
        <v>1650</v>
      </c>
      <c r="L36" s="56">
        <f>ROUND(G36*(VLOOKUP($D36,缴费比例!B:N,MATCH(L$1,缴费比例!$B$1:$N$1,0),FALSE)),2)</f>
        <v>548.79999999999995</v>
      </c>
      <c r="M36" s="56">
        <f>ROUND(G36*(VLOOKUP($D36,缴费比例!$B:$N,MATCH(M$1,缴费比例!$B$1:$N$1,0),FALSE)),2)</f>
        <v>274.39999999999998</v>
      </c>
      <c r="N36" s="56">
        <f>ROUND(H36*(VLOOKUP($D36,缴费比例!$B:$N,MATCH(N$1,缴费比例!$B$1:$N$1,0),FALSE)),2)</f>
        <v>17.149999999999999</v>
      </c>
      <c r="O36" s="56">
        <f>ROUND(H36*(VLOOKUP($D36,缴费比例!$B:$N,MATCH(O$1,缴费比例!$B$1:$N$1,0),FALSE)),2)</f>
        <v>17.149999999999999</v>
      </c>
      <c r="P36" s="56">
        <f>ROUND(I36*(VLOOKUP($D36,缴费比例!$B:$N,MATCH(P$1,缴费比例!$B$1:$N$1,0),FALSE)),2)</f>
        <v>6.86</v>
      </c>
      <c r="Q36" s="56">
        <f>ROUND(J36*(VLOOKUP($D36,缴费比例!$B:$N,MATCH(Q$1,缴费比例!$B$1:$N$1,0),FALSE)),2)+VLOOKUP($D36,缴费比例!$B:$N,MATCH("单位大病",缴费比例!$B$1:$N$1,0),FALSE)</f>
        <v>234.52</v>
      </c>
      <c r="R36" s="56">
        <f>ROUND(J36*(VLOOKUP($D36,缴费比例!$B:$N,MATCH(R$1,缴费比例!$B$1:$N$1,0),FALSE)),2)</f>
        <v>68.599999999999994</v>
      </c>
      <c r="S36" s="56">
        <f>ROUND((VLOOKUP($D36,缴费比例!$B:$N,MATCH(S$1,缴费比例!$B$1:$N$1,0),FALSE)),2)</f>
        <v>0</v>
      </c>
      <c r="T36" s="56">
        <f>IF(D36="合肥",ROUND(K36*(VLOOKUP($D36,缴费比例!$B:$N,MATCH(T$1,缴费比例!$B$1:$N$1,0),FALSE)),1),ROUND(K36*(VLOOKUP($D36,缴费比例!$B:$N,MATCH(T$1,缴费比例!$B$1:$N$1,0),FALSE)),0))</f>
        <v>82.5</v>
      </c>
      <c r="U36" s="56">
        <f>IF(D36="合肥",ROUND(K36*(VLOOKUP($D36,缴费比例!$B:$N,MATCH(U$1,缴费比例!$B$1:$N$1,0),FALSE)),1),ROUND(K36*(VLOOKUP($D36,缴费比例!$B:$N,MATCH(U$1,缴费比例!$B$1:$N$1,0),FALSE)),0))</f>
        <v>82.5</v>
      </c>
      <c r="V36" s="143">
        <f t="shared" si="0"/>
        <v>807.32999999999993</v>
      </c>
      <c r="W36" s="143">
        <f t="shared" si="1"/>
        <v>360.15</v>
      </c>
      <c r="X36" s="138">
        <f t="shared" si="2"/>
        <v>1167.4799999999998</v>
      </c>
      <c r="Y36" s="138">
        <f t="shared" si="3"/>
        <v>165</v>
      </c>
      <c r="Z36" s="138" t="str">
        <f t="shared" si="4"/>
        <v>外地</v>
      </c>
      <c r="AA36" s="41"/>
      <c r="AB36" s="59"/>
      <c r="AC36" s="59"/>
    </row>
    <row r="37" spans="1:34" s="131" customFormat="1" ht="18" customHeight="1">
      <c r="A37" s="125" t="s">
        <v>274</v>
      </c>
      <c r="B37" s="69" t="s">
        <v>45</v>
      </c>
      <c r="C37" s="117" t="s">
        <v>46</v>
      </c>
      <c r="D37" s="117" t="s">
        <v>276</v>
      </c>
      <c r="E37" s="126">
        <v>44593</v>
      </c>
      <c r="F37" s="127">
        <v>44593</v>
      </c>
      <c r="G37" s="124">
        <v>3430</v>
      </c>
      <c r="H37" s="124">
        <v>3430</v>
      </c>
      <c r="I37" s="124">
        <v>3430</v>
      </c>
      <c r="J37" s="124">
        <v>3430</v>
      </c>
      <c r="K37" s="124">
        <v>1650</v>
      </c>
      <c r="L37" s="128">
        <v>548.79999999999995</v>
      </c>
      <c r="M37" s="128"/>
      <c r="N37" s="128">
        <v>17.149999999999999</v>
      </c>
      <c r="O37" s="128"/>
      <c r="P37" s="128">
        <v>6.86</v>
      </c>
      <c r="Q37" s="128">
        <v>234.52</v>
      </c>
      <c r="R37" s="128"/>
      <c r="S37" s="128">
        <v>0</v>
      </c>
      <c r="T37" s="128">
        <v>82.5</v>
      </c>
      <c r="U37" s="128"/>
      <c r="V37" s="143">
        <f t="shared" si="0"/>
        <v>807.32999999999993</v>
      </c>
      <c r="W37" s="143">
        <f t="shared" si="1"/>
        <v>0</v>
      </c>
      <c r="X37" s="138">
        <f t="shared" si="2"/>
        <v>807.32999999999993</v>
      </c>
      <c r="Y37" s="138">
        <f t="shared" si="3"/>
        <v>82.5</v>
      </c>
      <c r="Z37" s="138" t="str">
        <f t="shared" si="4"/>
        <v>外地</v>
      </c>
      <c r="AA37" s="129" t="s">
        <v>285</v>
      </c>
      <c r="AB37" s="130"/>
      <c r="AC37" s="130"/>
      <c r="AD37" s="129"/>
      <c r="AE37" s="129"/>
      <c r="AF37" s="129"/>
      <c r="AG37" s="129"/>
      <c r="AH37" s="129"/>
    </row>
    <row r="38" spans="1:34" s="131" customFormat="1" ht="18" customHeight="1">
      <c r="A38" s="125" t="s">
        <v>274</v>
      </c>
      <c r="B38" s="69" t="s">
        <v>47</v>
      </c>
      <c r="C38" s="117" t="s">
        <v>48</v>
      </c>
      <c r="D38" s="117" t="s">
        <v>276</v>
      </c>
      <c r="E38" s="126">
        <v>44593</v>
      </c>
      <c r="F38" s="127">
        <v>44593</v>
      </c>
      <c r="G38" s="124">
        <v>3430</v>
      </c>
      <c r="H38" s="124">
        <v>3430</v>
      </c>
      <c r="I38" s="124">
        <v>3430</v>
      </c>
      <c r="J38" s="124">
        <v>3430</v>
      </c>
      <c r="K38" s="124">
        <v>1650</v>
      </c>
      <c r="L38" s="128">
        <v>548.79999999999995</v>
      </c>
      <c r="M38" s="128"/>
      <c r="N38" s="128">
        <v>17.149999999999999</v>
      </c>
      <c r="O38" s="128"/>
      <c r="P38" s="128">
        <v>6.86</v>
      </c>
      <c r="Q38" s="128">
        <v>234.52</v>
      </c>
      <c r="R38" s="128"/>
      <c r="S38" s="128">
        <v>0</v>
      </c>
      <c r="T38" s="128">
        <v>82.5</v>
      </c>
      <c r="U38" s="128"/>
      <c r="V38" s="143">
        <f t="shared" si="0"/>
        <v>807.32999999999993</v>
      </c>
      <c r="W38" s="143">
        <f t="shared" si="1"/>
        <v>0</v>
      </c>
      <c r="X38" s="138">
        <f t="shared" si="2"/>
        <v>807.32999999999993</v>
      </c>
      <c r="Y38" s="138">
        <f t="shared" si="3"/>
        <v>82.5</v>
      </c>
      <c r="Z38" s="138" t="str">
        <f t="shared" si="4"/>
        <v>外地</v>
      </c>
      <c r="AA38" s="129" t="s">
        <v>285</v>
      </c>
      <c r="AB38" s="130"/>
      <c r="AC38" s="130"/>
      <c r="AD38" s="129"/>
      <c r="AE38" s="129"/>
      <c r="AF38" s="129"/>
      <c r="AG38" s="129"/>
      <c r="AH38" s="129"/>
    </row>
    <row r="39" spans="1:34" s="131" customFormat="1" ht="18" customHeight="1">
      <c r="A39" s="125" t="s">
        <v>274</v>
      </c>
      <c r="B39" s="69" t="s">
        <v>49</v>
      </c>
      <c r="C39" s="117" t="s">
        <v>50</v>
      </c>
      <c r="D39" s="117" t="s">
        <v>276</v>
      </c>
      <c r="E39" s="126">
        <v>44593</v>
      </c>
      <c r="F39" s="127">
        <v>44593</v>
      </c>
      <c r="G39" s="124">
        <v>3430</v>
      </c>
      <c r="H39" s="124">
        <v>3430</v>
      </c>
      <c r="I39" s="124">
        <v>3430</v>
      </c>
      <c r="J39" s="124">
        <v>3430</v>
      </c>
      <c r="K39" s="124">
        <v>1650</v>
      </c>
      <c r="L39" s="128">
        <v>548.79999999999995</v>
      </c>
      <c r="M39" s="128"/>
      <c r="N39" s="128">
        <v>17.149999999999999</v>
      </c>
      <c r="O39" s="128"/>
      <c r="P39" s="128">
        <v>6.86</v>
      </c>
      <c r="Q39" s="128">
        <v>234.52</v>
      </c>
      <c r="R39" s="128"/>
      <c r="S39" s="128">
        <v>0</v>
      </c>
      <c r="T39" s="128">
        <v>82.5</v>
      </c>
      <c r="U39" s="128"/>
      <c r="V39" s="143">
        <f t="shared" si="0"/>
        <v>807.32999999999993</v>
      </c>
      <c r="W39" s="143">
        <f t="shared" si="1"/>
        <v>0</v>
      </c>
      <c r="X39" s="138">
        <f t="shared" si="2"/>
        <v>807.32999999999993</v>
      </c>
      <c r="Y39" s="138">
        <f t="shared" si="3"/>
        <v>82.5</v>
      </c>
      <c r="Z39" s="138" t="str">
        <f t="shared" si="4"/>
        <v>外地</v>
      </c>
      <c r="AA39" s="129" t="s">
        <v>285</v>
      </c>
      <c r="AB39" s="130"/>
      <c r="AC39" s="130"/>
      <c r="AD39" s="129"/>
      <c r="AE39" s="129"/>
      <c r="AF39" s="129"/>
      <c r="AG39" s="129"/>
      <c r="AH39" s="129"/>
    </row>
    <row r="40" spans="1:34" s="131" customFormat="1" ht="18" customHeight="1">
      <c r="A40" s="125" t="s">
        <v>274</v>
      </c>
      <c r="B40" s="69" t="s">
        <v>51</v>
      </c>
      <c r="C40" s="117" t="s">
        <v>52</v>
      </c>
      <c r="D40" s="117" t="s">
        <v>276</v>
      </c>
      <c r="E40" s="126">
        <v>44593</v>
      </c>
      <c r="F40" s="127">
        <v>44593</v>
      </c>
      <c r="G40" s="124">
        <v>3430</v>
      </c>
      <c r="H40" s="124">
        <v>3430</v>
      </c>
      <c r="I40" s="124">
        <v>3430</v>
      </c>
      <c r="J40" s="124">
        <v>3430</v>
      </c>
      <c r="K40" s="124">
        <v>1650</v>
      </c>
      <c r="L40" s="128">
        <v>548.79999999999995</v>
      </c>
      <c r="M40" s="128"/>
      <c r="N40" s="128">
        <v>17.149999999999999</v>
      </c>
      <c r="O40" s="128"/>
      <c r="P40" s="128">
        <v>6.86</v>
      </c>
      <c r="Q40" s="128">
        <v>234.52</v>
      </c>
      <c r="R40" s="128"/>
      <c r="S40" s="128">
        <v>0</v>
      </c>
      <c r="T40" s="128">
        <v>82.5</v>
      </c>
      <c r="U40" s="128"/>
      <c r="V40" s="143">
        <f t="shared" si="0"/>
        <v>807.32999999999993</v>
      </c>
      <c r="W40" s="143">
        <f t="shared" si="1"/>
        <v>0</v>
      </c>
      <c r="X40" s="138">
        <f t="shared" si="2"/>
        <v>807.32999999999993</v>
      </c>
      <c r="Y40" s="138">
        <f t="shared" si="3"/>
        <v>82.5</v>
      </c>
      <c r="Z40" s="138" t="str">
        <f t="shared" si="4"/>
        <v>外地</v>
      </c>
      <c r="AA40" s="129" t="s">
        <v>285</v>
      </c>
      <c r="AB40" s="130"/>
      <c r="AC40" s="130"/>
      <c r="AD40" s="129"/>
      <c r="AE40" s="129"/>
      <c r="AF40" s="129"/>
      <c r="AG40" s="129"/>
      <c r="AH40" s="129"/>
    </row>
    <row r="41" spans="1:34" s="131" customFormat="1" ht="18" customHeight="1">
      <c r="A41" s="125" t="s">
        <v>274</v>
      </c>
      <c r="B41" s="69" t="s">
        <v>53</v>
      </c>
      <c r="C41" s="117" t="s">
        <v>54</v>
      </c>
      <c r="D41" s="117" t="s">
        <v>276</v>
      </c>
      <c r="E41" s="126">
        <v>44593</v>
      </c>
      <c r="F41" s="127">
        <v>44593</v>
      </c>
      <c r="G41" s="124">
        <v>3430</v>
      </c>
      <c r="H41" s="124">
        <v>3430</v>
      </c>
      <c r="I41" s="124">
        <v>3430</v>
      </c>
      <c r="J41" s="124">
        <v>3430</v>
      </c>
      <c r="K41" s="124">
        <v>1650</v>
      </c>
      <c r="L41" s="128">
        <v>548.79999999999995</v>
      </c>
      <c r="M41" s="128"/>
      <c r="N41" s="128">
        <v>17.149999999999999</v>
      </c>
      <c r="O41" s="128"/>
      <c r="P41" s="128">
        <v>6.86</v>
      </c>
      <c r="Q41" s="128">
        <v>234.52</v>
      </c>
      <c r="R41" s="128"/>
      <c r="S41" s="128">
        <v>0</v>
      </c>
      <c r="T41" s="128">
        <v>82.5</v>
      </c>
      <c r="U41" s="128"/>
      <c r="V41" s="143">
        <f t="shared" si="0"/>
        <v>807.32999999999993</v>
      </c>
      <c r="W41" s="143">
        <f t="shared" si="1"/>
        <v>0</v>
      </c>
      <c r="X41" s="138">
        <f t="shared" si="2"/>
        <v>807.32999999999993</v>
      </c>
      <c r="Y41" s="138">
        <f t="shared" si="3"/>
        <v>82.5</v>
      </c>
      <c r="Z41" s="138" t="str">
        <f t="shared" si="4"/>
        <v>外地</v>
      </c>
      <c r="AA41" s="129" t="s">
        <v>285</v>
      </c>
      <c r="AB41" s="130"/>
      <c r="AC41" s="130"/>
      <c r="AD41" s="129"/>
      <c r="AE41" s="129"/>
      <c r="AF41" s="129"/>
      <c r="AG41" s="129"/>
      <c r="AH41" s="129"/>
    </row>
    <row r="42" spans="1:34" s="131" customFormat="1" ht="18" customHeight="1">
      <c r="A42" s="125" t="s">
        <v>274</v>
      </c>
      <c r="B42" s="69" t="s">
        <v>55</v>
      </c>
      <c r="C42" s="117" t="s">
        <v>56</v>
      </c>
      <c r="D42" s="117" t="s">
        <v>277</v>
      </c>
      <c r="E42" s="126">
        <v>44593</v>
      </c>
      <c r="F42" s="127">
        <v>44593</v>
      </c>
      <c r="G42" s="124">
        <v>3430</v>
      </c>
      <c r="H42" s="124">
        <v>3430</v>
      </c>
      <c r="I42" s="124">
        <v>3430</v>
      </c>
      <c r="J42" s="124">
        <v>3430</v>
      </c>
      <c r="K42" s="124">
        <v>11000</v>
      </c>
      <c r="L42" s="128">
        <v>548.79999999999995</v>
      </c>
      <c r="M42" s="128"/>
      <c r="N42" s="128">
        <v>17.149999999999999</v>
      </c>
      <c r="O42" s="128"/>
      <c r="P42" s="128">
        <v>6.86</v>
      </c>
      <c r="Q42" s="128">
        <v>234.52</v>
      </c>
      <c r="R42" s="128"/>
      <c r="S42" s="128">
        <v>0</v>
      </c>
      <c r="T42" s="128">
        <v>1320</v>
      </c>
      <c r="U42" s="128"/>
      <c r="V42" s="143">
        <f t="shared" si="0"/>
        <v>807.32999999999993</v>
      </c>
      <c r="W42" s="143">
        <f t="shared" si="1"/>
        <v>0</v>
      </c>
      <c r="X42" s="138">
        <f t="shared" si="2"/>
        <v>807.32999999999993</v>
      </c>
      <c r="Y42" s="138">
        <f t="shared" si="3"/>
        <v>1320</v>
      </c>
      <c r="Z42" s="138" t="str">
        <f t="shared" si="4"/>
        <v>外地</v>
      </c>
      <c r="AA42" s="129" t="s">
        <v>285</v>
      </c>
      <c r="AB42" s="130"/>
      <c r="AC42" s="130"/>
    </row>
    <row r="43" spans="1:34" s="131" customFormat="1" ht="18" customHeight="1">
      <c r="A43" s="125" t="s">
        <v>274</v>
      </c>
      <c r="B43" s="69" t="s">
        <v>57</v>
      </c>
      <c r="C43" s="117" t="s">
        <v>58</v>
      </c>
      <c r="D43" s="117" t="s">
        <v>276</v>
      </c>
      <c r="E43" s="126">
        <v>44593</v>
      </c>
      <c r="F43" s="127">
        <v>44593</v>
      </c>
      <c r="G43" s="124">
        <v>3430</v>
      </c>
      <c r="H43" s="124">
        <v>3430</v>
      </c>
      <c r="I43" s="124">
        <v>3430</v>
      </c>
      <c r="J43" s="124">
        <v>3430</v>
      </c>
      <c r="K43" s="124">
        <v>1650</v>
      </c>
      <c r="L43" s="128">
        <v>548.79999999999995</v>
      </c>
      <c r="M43" s="128"/>
      <c r="N43" s="128">
        <v>17.149999999999999</v>
      </c>
      <c r="O43" s="128"/>
      <c r="P43" s="128">
        <v>6.86</v>
      </c>
      <c r="Q43" s="128">
        <v>234.52</v>
      </c>
      <c r="R43" s="128"/>
      <c r="S43" s="128">
        <v>0</v>
      </c>
      <c r="T43" s="128">
        <v>82.5</v>
      </c>
      <c r="U43" s="128"/>
      <c r="V43" s="143">
        <f t="shared" si="0"/>
        <v>807.32999999999993</v>
      </c>
      <c r="W43" s="143">
        <f t="shared" si="1"/>
        <v>0</v>
      </c>
      <c r="X43" s="138">
        <f t="shared" si="2"/>
        <v>807.32999999999993</v>
      </c>
      <c r="Y43" s="138">
        <f t="shared" si="3"/>
        <v>82.5</v>
      </c>
      <c r="Z43" s="138" t="str">
        <f t="shared" si="4"/>
        <v>外地</v>
      </c>
      <c r="AA43" s="129" t="s">
        <v>285</v>
      </c>
      <c r="AB43" s="130"/>
      <c r="AC43" s="130"/>
    </row>
    <row r="44" spans="1:34" s="131" customFormat="1" ht="18" customHeight="1">
      <c r="A44" s="125" t="s">
        <v>274</v>
      </c>
      <c r="B44" s="69" t="s">
        <v>59</v>
      </c>
      <c r="C44" s="117" t="s">
        <v>60</v>
      </c>
      <c r="D44" s="117" t="s">
        <v>276</v>
      </c>
      <c r="E44" s="126">
        <v>44593</v>
      </c>
      <c r="F44" s="127">
        <v>44593</v>
      </c>
      <c r="G44" s="124">
        <v>3430</v>
      </c>
      <c r="H44" s="124">
        <v>3430</v>
      </c>
      <c r="I44" s="124">
        <v>3430</v>
      </c>
      <c r="J44" s="124">
        <v>3430</v>
      </c>
      <c r="K44" s="124">
        <v>1650</v>
      </c>
      <c r="L44" s="128">
        <v>548.79999999999995</v>
      </c>
      <c r="M44" s="128"/>
      <c r="N44" s="128">
        <v>17.149999999999999</v>
      </c>
      <c r="O44" s="128"/>
      <c r="P44" s="128">
        <v>6.86</v>
      </c>
      <c r="Q44" s="128">
        <v>234.52</v>
      </c>
      <c r="R44" s="128"/>
      <c r="S44" s="128">
        <v>0</v>
      </c>
      <c r="T44" s="128">
        <v>82.5</v>
      </c>
      <c r="U44" s="128"/>
      <c r="V44" s="143">
        <f t="shared" si="0"/>
        <v>807.32999999999993</v>
      </c>
      <c r="W44" s="143">
        <f t="shared" si="1"/>
        <v>0</v>
      </c>
      <c r="X44" s="138">
        <f t="shared" si="2"/>
        <v>807.32999999999993</v>
      </c>
      <c r="Y44" s="138">
        <f t="shared" si="3"/>
        <v>82.5</v>
      </c>
      <c r="Z44" s="138" t="str">
        <f t="shared" si="4"/>
        <v>外地</v>
      </c>
      <c r="AA44" s="129" t="s">
        <v>285</v>
      </c>
      <c r="AB44" s="130"/>
      <c r="AC44" s="130"/>
    </row>
    <row r="45" spans="1:34" s="131" customFormat="1" ht="18" customHeight="1">
      <c r="A45" s="125" t="s">
        <v>274</v>
      </c>
      <c r="B45" s="69" t="s">
        <v>61</v>
      </c>
      <c r="C45" s="117" t="s">
        <v>62</v>
      </c>
      <c r="D45" s="117" t="s">
        <v>276</v>
      </c>
      <c r="E45" s="126">
        <v>44593</v>
      </c>
      <c r="F45" s="127">
        <v>44593</v>
      </c>
      <c r="G45" s="124">
        <v>3430</v>
      </c>
      <c r="H45" s="124">
        <v>3430</v>
      </c>
      <c r="I45" s="124">
        <v>3430</v>
      </c>
      <c r="J45" s="124">
        <v>3430</v>
      </c>
      <c r="K45" s="124">
        <v>1650</v>
      </c>
      <c r="L45" s="128">
        <v>548.79999999999995</v>
      </c>
      <c r="M45" s="128"/>
      <c r="N45" s="128">
        <v>17.149999999999999</v>
      </c>
      <c r="O45" s="128"/>
      <c r="P45" s="128">
        <v>6.86</v>
      </c>
      <c r="Q45" s="128">
        <v>234.52</v>
      </c>
      <c r="R45" s="128"/>
      <c r="S45" s="128">
        <v>0</v>
      </c>
      <c r="T45" s="128">
        <v>82.5</v>
      </c>
      <c r="U45" s="128"/>
      <c r="V45" s="143">
        <f t="shared" si="0"/>
        <v>807.32999999999993</v>
      </c>
      <c r="W45" s="143">
        <f t="shared" si="1"/>
        <v>0</v>
      </c>
      <c r="X45" s="138">
        <f t="shared" si="2"/>
        <v>807.32999999999993</v>
      </c>
      <c r="Y45" s="138">
        <f t="shared" si="3"/>
        <v>82.5</v>
      </c>
      <c r="Z45" s="138" t="str">
        <f t="shared" si="4"/>
        <v>外地</v>
      </c>
      <c r="AA45" s="129" t="s">
        <v>285</v>
      </c>
      <c r="AB45" s="130"/>
      <c r="AC45" s="130"/>
    </row>
    <row r="46" spans="1:34" s="131" customFormat="1" ht="18" customHeight="1">
      <c r="A46" s="125" t="s">
        <v>274</v>
      </c>
      <c r="B46" s="69" t="s">
        <v>43</v>
      </c>
      <c r="C46" s="117" t="s">
        <v>44</v>
      </c>
      <c r="D46" s="117" t="s">
        <v>275</v>
      </c>
      <c r="E46" s="126">
        <v>44593</v>
      </c>
      <c r="F46" s="127">
        <v>44593</v>
      </c>
      <c r="G46" s="124">
        <v>2075</v>
      </c>
      <c r="H46" s="124">
        <v>2075</v>
      </c>
      <c r="I46" s="124">
        <v>3488.4</v>
      </c>
      <c r="J46" s="124">
        <v>3676</v>
      </c>
      <c r="K46" s="124">
        <v>1720</v>
      </c>
      <c r="L46" s="128">
        <v>332</v>
      </c>
      <c r="M46" s="128"/>
      <c r="N46" s="128">
        <v>10.38</v>
      </c>
      <c r="O46" s="128"/>
      <c r="P46" s="128">
        <v>12.21</v>
      </c>
      <c r="Q46" s="128">
        <v>319.81</v>
      </c>
      <c r="R46" s="128"/>
      <c r="S46" s="128">
        <v>0</v>
      </c>
      <c r="T46" s="128">
        <v>86</v>
      </c>
      <c r="U46" s="128"/>
      <c r="V46" s="143">
        <f t="shared" si="0"/>
        <v>674.4</v>
      </c>
      <c r="W46" s="143">
        <f t="shared" si="1"/>
        <v>0</v>
      </c>
      <c r="X46" s="138">
        <f t="shared" si="2"/>
        <v>674.4</v>
      </c>
      <c r="Y46" s="138">
        <f t="shared" si="3"/>
        <v>86</v>
      </c>
      <c r="Z46" s="138" t="str">
        <f t="shared" si="4"/>
        <v>外地</v>
      </c>
      <c r="AA46" s="129" t="s">
        <v>285</v>
      </c>
      <c r="AB46" s="130"/>
      <c r="AC46" s="130"/>
    </row>
    <row r="47" spans="1:34" s="131" customFormat="1" ht="18" customHeight="1">
      <c r="A47" s="125" t="s">
        <v>63</v>
      </c>
      <c r="B47" s="124" t="s">
        <v>36</v>
      </c>
      <c r="C47" s="70" t="s">
        <v>37</v>
      </c>
      <c r="D47" s="134" t="s">
        <v>65</v>
      </c>
      <c r="E47" s="126">
        <v>44593</v>
      </c>
      <c r="F47" s="127">
        <v>44593</v>
      </c>
      <c r="G47" s="124">
        <v>5360</v>
      </c>
      <c r="H47" s="124">
        <v>5360</v>
      </c>
      <c r="I47" s="124">
        <v>5360</v>
      </c>
      <c r="J47" s="124">
        <v>5360</v>
      </c>
      <c r="K47" s="124">
        <v>3800</v>
      </c>
      <c r="L47" s="128"/>
      <c r="M47" s="128">
        <f>(ROUND(G47*(VLOOKUP($D47,缴费比例!$B:$N,MATCH(M$1,缴费比例!$B$1:$N$1,0),FALSE)),2))*-1</f>
        <v>-428.8</v>
      </c>
      <c r="N47" s="128"/>
      <c r="O47" s="128">
        <f>(ROUND(H47*(VLOOKUP($D47,缴费比例!$B:$N,MATCH(O$1,缴费比例!$B$1:$N$1,0),FALSE)),2))*-1</f>
        <v>-26.8</v>
      </c>
      <c r="P47" s="128"/>
      <c r="Q47" s="128"/>
      <c r="R47" s="128">
        <f>(ROUND(J47*(VLOOKUP($D47,缴费比例!$B:$N,MATCH(R$1,缴费比例!$B$1:$N$1,0),FALSE)),2))*-1</f>
        <v>-107.2</v>
      </c>
      <c r="S47" s="128">
        <f>(ROUND((VLOOKUP($D47,缴费比例!$B:$N,MATCH(S$1,缴费比例!$B$1:$N$1,0),FALSE)),2))*-1</f>
        <v>-3</v>
      </c>
      <c r="T47" s="128"/>
      <c r="U47" s="128">
        <f>(IF(D47="合肥",ROUND(K47*(VLOOKUP($D47,缴费比例!$B:$N,MATCH(U$1,缴费比例!$B$1:$N$1,0),FALSE)),1),ROUND(K47*(VLOOKUP($D47,缴费比例!$B:$N,MATCH(U$1,缴费比例!$B$1:$N$1,0),FALSE)),0)))*-1</f>
        <v>-456</v>
      </c>
      <c r="V47" s="143">
        <f t="shared" si="0"/>
        <v>0</v>
      </c>
      <c r="W47" s="143">
        <f t="shared" si="1"/>
        <v>-565.80000000000007</v>
      </c>
      <c r="X47" s="138">
        <f t="shared" si="2"/>
        <v>-565.80000000000007</v>
      </c>
      <c r="Y47" s="138">
        <f t="shared" si="3"/>
        <v>-456</v>
      </c>
      <c r="Z47" s="138" t="str">
        <f t="shared" si="4"/>
        <v>北京</v>
      </c>
      <c r="AA47" s="129" t="s">
        <v>286</v>
      </c>
      <c r="AB47" s="130"/>
      <c r="AC47" s="130"/>
      <c r="AD47" s="129"/>
      <c r="AE47" s="129"/>
      <c r="AF47" s="129"/>
      <c r="AG47" s="129"/>
      <c r="AH47" s="129"/>
    </row>
    <row r="48" spans="1:34" s="131" customFormat="1" ht="18" customHeight="1">
      <c r="A48" s="125" t="s">
        <v>63</v>
      </c>
      <c r="B48" s="124" t="s">
        <v>38</v>
      </c>
      <c r="C48" s="70" t="s">
        <v>39</v>
      </c>
      <c r="D48" s="134" t="s">
        <v>65</v>
      </c>
      <c r="E48" s="126">
        <v>44593</v>
      </c>
      <c r="F48" s="127">
        <v>44593</v>
      </c>
      <c r="G48" s="124">
        <v>5360</v>
      </c>
      <c r="H48" s="124">
        <v>5360</v>
      </c>
      <c r="I48" s="124">
        <v>5360</v>
      </c>
      <c r="J48" s="124">
        <v>5360</v>
      </c>
      <c r="K48" s="124">
        <v>3800</v>
      </c>
      <c r="L48" s="128"/>
      <c r="M48" s="128">
        <f>(ROUND(G48*(VLOOKUP($D48,缴费比例!$B:$N,MATCH(M$1,缴费比例!$B$1:$N$1,0),FALSE)),2))*-1</f>
        <v>-428.8</v>
      </c>
      <c r="N48" s="128"/>
      <c r="O48" s="128">
        <f>(ROUND(H48*(VLOOKUP($D48,缴费比例!$B:$N,MATCH(O$1,缴费比例!$B$1:$N$1,0),FALSE)),2))*-1</f>
        <v>-26.8</v>
      </c>
      <c r="P48" s="128"/>
      <c r="Q48" s="128"/>
      <c r="R48" s="128">
        <f>(ROUND(J48*(VLOOKUP($D48,缴费比例!$B:$N,MATCH(R$1,缴费比例!$B$1:$N$1,0),FALSE)),2))*-1</f>
        <v>-107.2</v>
      </c>
      <c r="S48" s="128">
        <f>(ROUND((VLOOKUP($D48,缴费比例!$B:$N,MATCH(S$1,缴费比例!$B$1:$N$1,0),FALSE)),2))*-1</f>
        <v>-3</v>
      </c>
      <c r="T48" s="128"/>
      <c r="U48" s="128">
        <f>(IF(D48="合肥",ROUND(K48*(VLOOKUP($D48,缴费比例!$B:$N,MATCH(U$1,缴费比例!$B$1:$N$1,0),FALSE)),1),ROUND(K48*(VLOOKUP($D48,缴费比例!$B:$N,MATCH(U$1,缴费比例!$B$1:$N$1,0),FALSE)),0)))*-1</f>
        <v>-456</v>
      </c>
      <c r="V48" s="143">
        <f t="shared" si="0"/>
        <v>0</v>
      </c>
      <c r="W48" s="143">
        <f t="shared" si="1"/>
        <v>-565.80000000000007</v>
      </c>
      <c r="X48" s="138">
        <f t="shared" si="2"/>
        <v>-565.80000000000007</v>
      </c>
      <c r="Y48" s="138">
        <f t="shared" si="3"/>
        <v>-456</v>
      </c>
      <c r="Z48" s="138" t="str">
        <f t="shared" si="4"/>
        <v>北京</v>
      </c>
      <c r="AA48" s="129" t="s">
        <v>286</v>
      </c>
      <c r="AB48" s="130"/>
      <c r="AC48" s="130"/>
      <c r="AD48" s="135"/>
      <c r="AE48" s="135"/>
      <c r="AF48" s="135"/>
      <c r="AG48" s="136"/>
      <c r="AH48" s="135"/>
    </row>
    <row r="49" spans="1:34" s="131" customFormat="1" ht="18" customHeight="1">
      <c r="A49" s="125" t="s">
        <v>63</v>
      </c>
      <c r="B49" s="69" t="s">
        <v>145</v>
      </c>
      <c r="C49" s="70" t="s">
        <v>40</v>
      </c>
      <c r="D49" s="134" t="s">
        <v>65</v>
      </c>
      <c r="E49" s="126">
        <v>44593</v>
      </c>
      <c r="F49" s="127">
        <v>44593</v>
      </c>
      <c r="G49" s="124">
        <v>5360</v>
      </c>
      <c r="H49" s="124">
        <v>5360</v>
      </c>
      <c r="I49" s="124">
        <v>5360</v>
      </c>
      <c r="J49" s="124">
        <v>5360</v>
      </c>
      <c r="K49" s="124">
        <v>5360</v>
      </c>
      <c r="L49" s="128"/>
      <c r="M49" s="128">
        <f>(ROUND(G49*(VLOOKUP($D49,缴费比例!$B:$N,MATCH(M$1,缴费比例!$B$1:$N$1,0),FALSE)),2))*-1</f>
        <v>-428.8</v>
      </c>
      <c r="N49" s="128"/>
      <c r="O49" s="128">
        <f>(ROUND(H49*(VLOOKUP($D49,缴费比例!$B:$N,MATCH(O$1,缴费比例!$B$1:$N$1,0),FALSE)),2))*-1</f>
        <v>-26.8</v>
      </c>
      <c r="P49" s="128"/>
      <c r="Q49" s="128"/>
      <c r="R49" s="128">
        <f>(ROUND(J49*(VLOOKUP($D49,缴费比例!$B:$N,MATCH(R$1,缴费比例!$B$1:$N$1,0),FALSE)),2))*-1</f>
        <v>-107.2</v>
      </c>
      <c r="S49" s="128">
        <f>(ROUND((VLOOKUP($D49,缴费比例!$B:$N,MATCH(S$1,缴费比例!$B$1:$N$1,0),FALSE)),2))*-1</f>
        <v>-3</v>
      </c>
      <c r="T49" s="128"/>
      <c r="U49" s="128">
        <f>(IF(D49="合肥",ROUND(K49*(VLOOKUP($D49,缴费比例!$B:$N,MATCH(U$1,缴费比例!$B$1:$N$1,0),FALSE)),1),ROUND(K49*(VLOOKUP($D49,缴费比例!$B:$N,MATCH(U$1,缴费比例!$B$1:$N$1,0),FALSE)),0)))*-1</f>
        <v>-643</v>
      </c>
      <c r="V49" s="143">
        <f t="shared" si="0"/>
        <v>0</v>
      </c>
      <c r="W49" s="143">
        <f t="shared" si="1"/>
        <v>-565.80000000000007</v>
      </c>
      <c r="X49" s="138">
        <f t="shared" si="2"/>
        <v>-565.80000000000007</v>
      </c>
      <c r="Y49" s="138">
        <f t="shared" si="3"/>
        <v>-643</v>
      </c>
      <c r="Z49" s="138" t="str">
        <f t="shared" si="4"/>
        <v>北京</v>
      </c>
      <c r="AA49" s="129" t="s">
        <v>286</v>
      </c>
      <c r="AB49" s="130"/>
      <c r="AC49" s="130"/>
      <c r="AD49" s="129"/>
      <c r="AE49" s="129"/>
      <c r="AF49" s="129"/>
      <c r="AG49" s="129"/>
      <c r="AH49" s="129"/>
    </row>
    <row r="50" spans="1:34" s="131" customFormat="1" ht="18" customHeight="1">
      <c r="A50" s="125" t="s">
        <v>63</v>
      </c>
      <c r="B50" s="69" t="s">
        <v>41</v>
      </c>
      <c r="C50" s="70" t="s">
        <v>42</v>
      </c>
      <c r="D50" s="134" t="s">
        <v>65</v>
      </c>
      <c r="E50" s="126">
        <v>44593</v>
      </c>
      <c r="F50" s="127">
        <v>44593</v>
      </c>
      <c r="G50" s="124">
        <v>11000</v>
      </c>
      <c r="H50" s="124">
        <v>11000</v>
      </c>
      <c r="I50" s="124">
        <v>11000</v>
      </c>
      <c r="J50" s="124">
        <v>11000</v>
      </c>
      <c r="K50" s="124">
        <v>11000</v>
      </c>
      <c r="L50" s="128"/>
      <c r="M50" s="128">
        <f>(ROUND(G50*(VLOOKUP($D50,缴费比例!$B:$N,MATCH(M$1,缴费比例!$B$1:$N$1,0),FALSE)),2))*-1</f>
        <v>-880</v>
      </c>
      <c r="N50" s="128"/>
      <c r="O50" s="128">
        <f>(ROUND(H50*(VLOOKUP($D50,缴费比例!$B:$N,MATCH(O$1,缴费比例!$B$1:$N$1,0),FALSE)),2))*-1</f>
        <v>-55</v>
      </c>
      <c r="P50" s="128"/>
      <c r="Q50" s="128"/>
      <c r="R50" s="128">
        <f>(ROUND(J50*(VLOOKUP($D50,缴费比例!$B:$N,MATCH(R$1,缴费比例!$B$1:$N$1,0),FALSE)),2))*-1</f>
        <v>-220</v>
      </c>
      <c r="S50" s="128">
        <f>(ROUND((VLOOKUP($D50,缴费比例!$B:$N,MATCH(S$1,缴费比例!$B$1:$N$1,0),FALSE)),2))*-1</f>
        <v>-3</v>
      </c>
      <c r="T50" s="128"/>
      <c r="U50" s="128">
        <f>(IF(D50="合肥",ROUND(K50*(VLOOKUP($D50,缴费比例!$B:$N,MATCH(U$1,缴费比例!$B$1:$N$1,0),FALSE)),1),ROUND(K50*(VLOOKUP($D50,缴费比例!$B:$N,MATCH(U$1,缴费比例!$B$1:$N$1,0),FALSE)),0)))*-1</f>
        <v>-1320</v>
      </c>
      <c r="V50" s="143">
        <f t="shared" si="0"/>
        <v>0</v>
      </c>
      <c r="W50" s="143">
        <f t="shared" si="1"/>
        <v>-1158</v>
      </c>
      <c r="X50" s="138">
        <f t="shared" si="2"/>
        <v>-1158</v>
      </c>
      <c r="Y50" s="138">
        <f t="shared" si="3"/>
        <v>-1320</v>
      </c>
      <c r="Z50" s="138" t="str">
        <f t="shared" si="4"/>
        <v>北京</v>
      </c>
      <c r="AA50" s="129" t="s">
        <v>286</v>
      </c>
      <c r="AB50" s="130"/>
      <c r="AC50" s="130"/>
      <c r="AD50" s="129"/>
      <c r="AE50" s="129"/>
      <c r="AF50" s="129"/>
      <c r="AG50" s="129"/>
      <c r="AH50" s="129"/>
    </row>
    <row r="51" spans="1:34" ht="20.25" customHeight="1">
      <c r="A51" s="43"/>
      <c r="B51" s="62"/>
      <c r="C51" s="39"/>
      <c r="D51" s="39"/>
      <c r="E51" s="55"/>
      <c r="F51" s="55"/>
      <c r="G51" s="63"/>
      <c r="H51" s="63"/>
      <c r="I51" s="63"/>
      <c r="J51" s="63"/>
      <c r="K51" s="63"/>
      <c r="L51" s="56"/>
      <c r="M51" s="56"/>
      <c r="N51" s="57"/>
      <c r="O51" s="57"/>
      <c r="P51" s="57"/>
      <c r="Q51" s="57"/>
      <c r="R51" s="57"/>
      <c r="S51" s="57"/>
      <c r="T51" s="56"/>
      <c r="U51" s="56"/>
      <c r="V51" s="143"/>
      <c r="W51" s="143"/>
      <c r="X51" s="138"/>
      <c r="Y51" s="138"/>
      <c r="Z51" s="138"/>
      <c r="AA51" s="41"/>
      <c r="AB51" s="59"/>
      <c r="AC51" s="41"/>
    </row>
    <row r="52" spans="1:34" ht="20.25" customHeight="1">
      <c r="A52" s="43"/>
      <c r="B52" s="62"/>
      <c r="C52" s="38"/>
      <c r="D52" s="38"/>
      <c r="E52" s="55"/>
      <c r="F52" s="55"/>
      <c r="G52" s="63"/>
      <c r="H52" s="63"/>
      <c r="I52" s="63"/>
      <c r="J52" s="63"/>
      <c r="K52" s="63"/>
      <c r="L52" s="56"/>
      <c r="M52" s="56"/>
      <c r="N52" s="57"/>
      <c r="O52" s="57"/>
      <c r="P52" s="57"/>
      <c r="Q52" s="57"/>
      <c r="R52" s="57"/>
      <c r="S52" s="57"/>
      <c r="T52" s="56"/>
      <c r="U52" s="56"/>
      <c r="V52" s="143"/>
      <c r="W52" s="143"/>
      <c r="X52" s="138"/>
      <c r="Y52" s="138"/>
      <c r="Z52" s="138"/>
      <c r="AA52" s="41"/>
      <c r="AB52" s="59"/>
      <c r="AC52" s="41"/>
    </row>
    <row r="53" spans="1:34" ht="20.25" customHeight="1">
      <c r="A53" s="43"/>
      <c r="B53" s="62"/>
      <c r="C53" s="39"/>
      <c r="D53" s="39"/>
      <c r="E53" s="55"/>
      <c r="F53" s="55"/>
      <c r="G53" s="63"/>
      <c r="H53" s="63"/>
      <c r="I53" s="63"/>
      <c r="J53" s="63"/>
      <c r="K53" s="64"/>
      <c r="L53" s="56"/>
      <c r="M53" s="56"/>
      <c r="N53" s="57"/>
      <c r="O53" s="57"/>
      <c r="P53" s="57"/>
      <c r="Q53" s="57"/>
      <c r="R53" s="57"/>
      <c r="S53" s="57"/>
      <c r="T53" s="56"/>
      <c r="U53" s="56"/>
      <c r="V53" s="143"/>
      <c r="W53" s="143"/>
      <c r="X53" s="138"/>
      <c r="Y53" s="138"/>
      <c r="Z53" s="138"/>
      <c r="AA53" s="41"/>
      <c r="AB53" s="41"/>
      <c r="AC53" s="41"/>
    </row>
    <row r="54" spans="1:34" ht="20.25" customHeight="1">
      <c r="A54" s="43"/>
      <c r="B54" s="62"/>
      <c r="C54" s="39"/>
      <c r="D54" s="39"/>
      <c r="E54" s="55"/>
      <c r="F54" s="55"/>
      <c r="G54" s="63"/>
      <c r="H54" s="63"/>
      <c r="I54" s="63"/>
      <c r="J54" s="63"/>
      <c r="K54" s="63"/>
      <c r="L54" s="56"/>
      <c r="M54" s="56"/>
      <c r="N54" s="57"/>
      <c r="O54" s="57"/>
      <c r="P54" s="57"/>
      <c r="Q54" s="57"/>
      <c r="R54" s="57"/>
      <c r="S54" s="57"/>
      <c r="T54" s="56"/>
      <c r="U54" s="56"/>
      <c r="V54" s="143"/>
      <c r="W54" s="143"/>
      <c r="X54" s="138"/>
      <c r="Y54" s="138"/>
      <c r="Z54" s="138"/>
      <c r="AA54" s="41"/>
      <c r="AB54" s="41"/>
      <c r="AC54" s="41"/>
    </row>
    <row r="55" spans="1:34" ht="20.25" customHeight="1">
      <c r="A55" s="43"/>
      <c r="B55" s="62"/>
      <c r="C55" s="39"/>
      <c r="D55" s="39"/>
      <c r="E55" s="55"/>
      <c r="F55" s="55"/>
      <c r="G55" s="63"/>
      <c r="H55" s="63"/>
      <c r="I55" s="63"/>
      <c r="J55" s="63"/>
      <c r="K55" s="63"/>
      <c r="L55" s="56"/>
      <c r="M55" s="56"/>
      <c r="N55" s="57"/>
      <c r="O55" s="57"/>
      <c r="P55" s="57"/>
      <c r="Q55" s="57"/>
      <c r="R55" s="57"/>
      <c r="S55" s="57"/>
      <c r="T55" s="56"/>
      <c r="U55" s="56"/>
      <c r="V55" s="143"/>
      <c r="W55" s="143"/>
      <c r="X55" s="138"/>
      <c r="Y55" s="138"/>
      <c r="Z55" s="138"/>
      <c r="AA55" s="41"/>
      <c r="AB55" s="41"/>
      <c r="AC55" s="41"/>
    </row>
    <row r="56" spans="1:34" ht="20.25" customHeight="1">
      <c r="A56" s="43"/>
      <c r="B56" s="62"/>
      <c r="C56" s="39"/>
      <c r="D56" s="39"/>
      <c r="E56" s="55"/>
      <c r="F56" s="55"/>
      <c r="G56" s="63"/>
      <c r="H56" s="63"/>
      <c r="I56" s="63"/>
      <c r="J56" s="63"/>
      <c r="K56" s="63"/>
      <c r="L56" s="56"/>
      <c r="M56" s="56"/>
      <c r="N56" s="57"/>
      <c r="O56" s="57"/>
      <c r="P56" s="57"/>
      <c r="Q56" s="57"/>
      <c r="R56" s="57"/>
      <c r="S56" s="57"/>
      <c r="T56" s="56"/>
      <c r="U56" s="56"/>
      <c r="V56" s="143"/>
      <c r="W56" s="143"/>
      <c r="X56" s="138"/>
      <c r="Y56" s="138"/>
      <c r="Z56" s="138"/>
      <c r="AA56" s="41"/>
      <c r="AB56" s="41"/>
      <c r="AC56" s="41"/>
    </row>
    <row r="57" spans="1:34" ht="20.25" customHeight="1">
      <c r="A57" s="43"/>
      <c r="B57" s="62"/>
      <c r="C57" s="39"/>
      <c r="D57" s="39"/>
      <c r="E57" s="55"/>
      <c r="F57" s="55"/>
      <c r="G57" s="63"/>
      <c r="H57" s="63"/>
      <c r="I57" s="63"/>
      <c r="J57" s="63"/>
      <c r="K57" s="64"/>
      <c r="L57" s="56"/>
      <c r="M57" s="56"/>
      <c r="N57" s="57"/>
      <c r="O57" s="57"/>
      <c r="P57" s="57"/>
      <c r="Q57" s="57"/>
      <c r="R57" s="57"/>
      <c r="S57" s="57"/>
      <c r="T57" s="56"/>
      <c r="U57" s="56"/>
      <c r="V57" s="143"/>
      <c r="W57" s="143"/>
      <c r="X57" s="138"/>
      <c r="Y57" s="138"/>
      <c r="Z57" s="138"/>
      <c r="AA57" s="41"/>
      <c r="AB57" s="41"/>
      <c r="AC57" s="41"/>
    </row>
    <row r="58" spans="1:34" ht="20.25" customHeight="1">
      <c r="A58" s="43"/>
      <c r="B58" s="62"/>
      <c r="C58" s="39"/>
      <c r="D58" s="39"/>
      <c r="E58" s="55"/>
      <c r="F58" s="55"/>
      <c r="G58" s="63"/>
      <c r="H58" s="63"/>
      <c r="I58" s="63"/>
      <c r="J58" s="63"/>
      <c r="K58" s="64"/>
      <c r="L58" s="56"/>
      <c r="M58" s="56"/>
      <c r="N58" s="57"/>
      <c r="O58" s="57"/>
      <c r="P58" s="57"/>
      <c r="Q58" s="57"/>
      <c r="R58" s="57"/>
      <c r="S58" s="57"/>
      <c r="T58" s="56"/>
      <c r="U58" s="56"/>
      <c r="V58" s="143"/>
      <c r="W58" s="143"/>
      <c r="X58" s="138"/>
      <c r="Y58" s="138"/>
      <c r="Z58" s="138"/>
      <c r="AA58" s="41"/>
      <c r="AB58" s="41"/>
      <c r="AC58" s="41"/>
    </row>
    <row r="59" spans="1:34" ht="20.25" customHeight="1">
      <c r="A59" s="43"/>
      <c r="B59" s="62"/>
      <c r="C59" s="39"/>
      <c r="D59" s="39"/>
      <c r="E59" s="55"/>
      <c r="F59" s="55"/>
      <c r="G59" s="63"/>
      <c r="H59" s="63"/>
      <c r="I59" s="63"/>
      <c r="J59" s="63"/>
      <c r="K59" s="64"/>
      <c r="L59" s="56"/>
      <c r="M59" s="56"/>
      <c r="N59" s="57"/>
      <c r="O59" s="57"/>
      <c r="P59" s="57"/>
      <c r="Q59" s="57"/>
      <c r="R59" s="57"/>
      <c r="S59" s="57"/>
      <c r="T59" s="56"/>
      <c r="U59" s="56"/>
      <c r="V59" s="143"/>
      <c r="W59" s="143"/>
      <c r="X59" s="138"/>
      <c r="Y59" s="138"/>
      <c r="Z59" s="138"/>
    </row>
    <row r="60" spans="1:34" ht="20.25" customHeight="1">
      <c r="A60" s="43"/>
      <c r="B60" s="62"/>
      <c r="C60" s="39"/>
      <c r="D60" s="39"/>
      <c r="E60" s="55"/>
      <c r="F60" s="55"/>
      <c r="G60" s="63"/>
      <c r="H60" s="63"/>
      <c r="I60" s="63"/>
      <c r="J60" s="63"/>
      <c r="K60" s="64"/>
      <c r="L60" s="56"/>
      <c r="M60" s="56"/>
      <c r="N60" s="57"/>
      <c r="O60" s="57"/>
      <c r="P60" s="57"/>
      <c r="Q60" s="57"/>
      <c r="R60" s="57"/>
      <c r="S60" s="57"/>
      <c r="T60" s="56"/>
      <c r="U60" s="56"/>
      <c r="V60" s="143"/>
      <c r="W60" s="143"/>
      <c r="X60" s="138"/>
      <c r="Y60" s="138"/>
      <c r="Z60" s="138"/>
    </row>
    <row r="61" spans="1:34" ht="20.25" customHeight="1">
      <c r="A61" s="43"/>
      <c r="B61" s="62"/>
      <c r="C61" s="39"/>
      <c r="D61" s="39"/>
      <c r="E61" s="55"/>
      <c r="F61" s="55"/>
      <c r="G61" s="63"/>
      <c r="H61" s="63"/>
      <c r="I61" s="63"/>
      <c r="J61" s="63"/>
      <c r="K61" s="64"/>
      <c r="L61" s="56"/>
      <c r="M61" s="56"/>
      <c r="N61" s="57"/>
      <c r="O61" s="57"/>
      <c r="P61" s="57"/>
      <c r="Q61" s="57"/>
      <c r="R61" s="57"/>
      <c r="S61" s="57"/>
      <c r="T61" s="56"/>
      <c r="U61" s="56"/>
      <c r="V61" s="143"/>
      <c r="W61" s="143"/>
      <c r="X61" s="138"/>
      <c r="Y61" s="138"/>
      <c r="Z61" s="138"/>
    </row>
    <row r="62" spans="1:34" ht="20.25" customHeight="1">
      <c r="A62" s="43"/>
      <c r="B62" s="62"/>
      <c r="C62" s="39"/>
      <c r="D62" s="39"/>
      <c r="E62" s="55"/>
      <c r="F62" s="55"/>
      <c r="G62" s="63"/>
      <c r="H62" s="63"/>
      <c r="I62" s="63"/>
      <c r="J62" s="63"/>
      <c r="K62" s="64"/>
      <c r="L62" s="56"/>
      <c r="M62" s="56"/>
      <c r="N62" s="57"/>
      <c r="O62" s="57"/>
      <c r="P62" s="57"/>
      <c r="Q62" s="57"/>
      <c r="R62" s="57"/>
      <c r="S62" s="57"/>
      <c r="T62" s="56"/>
      <c r="U62" s="56"/>
      <c r="V62" s="143"/>
      <c r="W62" s="143"/>
      <c r="X62" s="138"/>
      <c r="Y62" s="138"/>
      <c r="Z62" s="138"/>
    </row>
    <row r="63" spans="1:34" ht="20.25" customHeight="1">
      <c r="A63" s="43"/>
      <c r="B63" s="62"/>
      <c r="C63" s="44"/>
      <c r="D63" s="44"/>
      <c r="E63" s="55"/>
      <c r="F63" s="55"/>
      <c r="G63" s="63"/>
      <c r="H63" s="63"/>
      <c r="I63" s="63"/>
      <c r="J63" s="63"/>
      <c r="K63" s="64"/>
      <c r="L63" s="56"/>
      <c r="M63" s="56"/>
      <c r="N63" s="57"/>
      <c r="O63" s="57"/>
      <c r="P63" s="57"/>
      <c r="Q63" s="57"/>
      <c r="R63" s="57"/>
      <c r="S63" s="57"/>
      <c r="T63" s="56"/>
      <c r="U63" s="56"/>
      <c r="V63" s="143"/>
      <c r="W63" s="143"/>
      <c r="X63" s="138"/>
      <c r="Y63" s="138"/>
      <c r="Z63" s="138"/>
    </row>
    <row r="64" spans="1:34" ht="20.25" customHeight="1">
      <c r="A64" s="43"/>
      <c r="B64" s="62"/>
      <c r="C64" s="44"/>
      <c r="D64" s="44"/>
      <c r="E64" s="55"/>
      <c r="F64" s="55"/>
      <c r="G64" s="63"/>
      <c r="H64" s="63"/>
      <c r="I64" s="63"/>
      <c r="J64" s="63"/>
      <c r="K64" s="64"/>
      <c r="L64" s="56"/>
      <c r="M64" s="56"/>
      <c r="N64" s="57"/>
      <c r="O64" s="57"/>
      <c r="P64" s="57"/>
      <c r="Q64" s="57"/>
      <c r="R64" s="57"/>
      <c r="S64" s="57"/>
      <c r="T64" s="56"/>
      <c r="U64" s="56"/>
      <c r="V64" s="143"/>
      <c r="W64" s="143"/>
      <c r="X64" s="138"/>
      <c r="Y64" s="138"/>
      <c r="Z64" s="138"/>
    </row>
    <row r="65" spans="1:26" ht="20.25" customHeight="1">
      <c r="A65" s="43"/>
      <c r="B65" s="62"/>
      <c r="C65" s="44"/>
      <c r="D65" s="44"/>
      <c r="E65" s="55"/>
      <c r="F65" s="55"/>
      <c r="G65" s="63"/>
      <c r="H65" s="63"/>
      <c r="I65" s="63"/>
      <c r="J65" s="63"/>
      <c r="K65" s="64"/>
      <c r="L65" s="56"/>
      <c r="M65" s="56"/>
      <c r="N65" s="57"/>
      <c r="O65" s="57"/>
      <c r="P65" s="57"/>
      <c r="Q65" s="57"/>
      <c r="R65" s="57"/>
      <c r="S65" s="57"/>
      <c r="T65" s="56"/>
      <c r="U65" s="56"/>
      <c r="V65" s="143"/>
      <c r="W65" s="143"/>
      <c r="X65" s="138"/>
      <c r="Y65" s="138"/>
      <c r="Z65" s="138"/>
    </row>
    <row r="66" spans="1:26" ht="20.25" customHeight="1">
      <c r="A66" s="43"/>
      <c r="B66" s="62"/>
      <c r="C66" s="44"/>
      <c r="D66" s="44"/>
      <c r="E66" s="55"/>
      <c r="F66" s="55"/>
      <c r="G66" s="63"/>
      <c r="H66" s="63"/>
      <c r="I66" s="63"/>
      <c r="J66" s="63"/>
      <c r="K66" s="64"/>
      <c r="L66" s="56"/>
      <c r="M66" s="56"/>
      <c r="N66" s="57"/>
      <c r="O66" s="57"/>
      <c r="P66" s="57"/>
      <c r="Q66" s="57"/>
      <c r="R66" s="57"/>
      <c r="S66" s="57"/>
      <c r="T66" s="56"/>
      <c r="U66" s="56"/>
      <c r="V66" s="143"/>
      <c r="W66" s="143"/>
      <c r="X66" s="138"/>
      <c r="Y66" s="138"/>
      <c r="Z66" s="138"/>
    </row>
    <row r="67" spans="1:26" ht="20.25" customHeight="1">
      <c r="A67" s="43"/>
      <c r="B67" s="62"/>
      <c r="C67" s="44"/>
      <c r="D67" s="44"/>
      <c r="E67" s="55"/>
      <c r="F67" s="55"/>
      <c r="G67" s="63"/>
      <c r="H67" s="63"/>
      <c r="I67" s="63"/>
      <c r="J67" s="63"/>
      <c r="K67" s="64"/>
      <c r="L67" s="56"/>
      <c r="M67" s="56"/>
      <c r="N67" s="57"/>
      <c r="O67" s="57"/>
      <c r="P67" s="57"/>
      <c r="Q67" s="57"/>
      <c r="R67" s="57"/>
      <c r="S67" s="57"/>
      <c r="T67" s="56"/>
      <c r="U67" s="56"/>
      <c r="V67" s="143"/>
      <c r="W67" s="143"/>
      <c r="X67" s="138"/>
      <c r="Y67" s="138"/>
      <c r="Z67" s="138"/>
    </row>
    <row r="68" spans="1:26" ht="20.25" customHeight="1">
      <c r="A68" s="43"/>
      <c r="B68" s="62"/>
      <c r="C68" s="44"/>
      <c r="D68" s="44"/>
      <c r="E68" s="55"/>
      <c r="F68" s="55"/>
      <c r="G68" s="63"/>
      <c r="H68" s="63"/>
      <c r="I68" s="63"/>
      <c r="J68" s="63"/>
      <c r="K68" s="64"/>
      <c r="L68" s="56"/>
      <c r="M68" s="56"/>
      <c r="N68" s="57"/>
      <c r="O68" s="57"/>
      <c r="P68" s="57"/>
      <c r="Q68" s="57"/>
      <c r="R68" s="57"/>
      <c r="S68" s="57"/>
      <c r="T68" s="56"/>
      <c r="U68" s="56"/>
      <c r="V68" s="143"/>
      <c r="W68" s="143"/>
      <c r="X68" s="138"/>
      <c r="Y68" s="138"/>
      <c r="Z68" s="138"/>
    </row>
    <row r="69" spans="1:26" ht="20.25" customHeight="1">
      <c r="A69" s="43"/>
      <c r="B69" s="62"/>
      <c r="C69" s="44"/>
      <c r="D69" s="44"/>
      <c r="E69" s="55"/>
      <c r="F69" s="55"/>
      <c r="G69" s="63"/>
      <c r="H69" s="63"/>
      <c r="I69" s="63"/>
      <c r="J69" s="63"/>
      <c r="K69" s="64"/>
      <c r="L69" s="56"/>
      <c r="M69" s="56"/>
      <c r="N69" s="57"/>
      <c r="O69" s="57"/>
      <c r="P69" s="57"/>
      <c r="Q69" s="57"/>
      <c r="R69" s="57"/>
      <c r="S69" s="57"/>
      <c r="T69" s="56"/>
      <c r="U69" s="56"/>
      <c r="V69" s="143"/>
      <c r="W69" s="143"/>
      <c r="X69" s="138"/>
      <c r="Y69" s="138"/>
      <c r="Z69" s="138"/>
    </row>
    <row r="70" spans="1:26" ht="20.25" customHeight="1">
      <c r="A70" s="43"/>
      <c r="B70" s="62"/>
      <c r="C70" s="44"/>
      <c r="D70" s="44"/>
      <c r="E70" s="55"/>
      <c r="F70" s="55"/>
      <c r="G70" s="63"/>
      <c r="H70" s="63"/>
      <c r="I70" s="63"/>
      <c r="J70" s="63"/>
      <c r="K70" s="64"/>
      <c r="L70" s="56"/>
      <c r="M70" s="56"/>
      <c r="N70" s="57"/>
      <c r="O70" s="57"/>
      <c r="P70" s="57"/>
      <c r="Q70" s="57"/>
      <c r="R70" s="57"/>
      <c r="S70" s="57"/>
      <c r="T70" s="56"/>
      <c r="U70" s="56"/>
      <c r="V70" s="143"/>
      <c r="W70" s="143"/>
      <c r="X70" s="138"/>
      <c r="Y70" s="138"/>
      <c r="Z70" s="138"/>
    </row>
    <row r="71" spans="1:26" ht="20.25" customHeight="1">
      <c r="A71" s="43"/>
      <c r="B71" s="62"/>
      <c r="C71" s="44"/>
      <c r="D71" s="44"/>
      <c r="E71" s="55"/>
      <c r="F71" s="55"/>
      <c r="G71" s="63"/>
      <c r="H71" s="63"/>
      <c r="I71" s="63"/>
      <c r="J71" s="63"/>
      <c r="K71" s="64"/>
      <c r="L71" s="56"/>
      <c r="M71" s="56"/>
      <c r="N71" s="57"/>
      <c r="O71" s="57"/>
      <c r="P71" s="57"/>
      <c r="Q71" s="57"/>
      <c r="R71" s="57"/>
      <c r="S71" s="57"/>
      <c r="T71" s="56"/>
      <c r="U71" s="56"/>
      <c r="V71" s="143"/>
      <c r="W71" s="143"/>
      <c r="X71" s="138"/>
      <c r="Y71" s="138"/>
      <c r="Z71" s="138"/>
    </row>
  </sheetData>
  <phoneticPr fontId="2" type="noConversion"/>
  <conditionalFormatting sqref="C1:C1048576">
    <cfRule type="duplicateValues" dxfId="11" priority="2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"/>
  <sheetViews>
    <sheetView topLeftCell="B1" workbookViewId="0">
      <selection activeCell="M15" sqref="M15"/>
    </sheetView>
  </sheetViews>
  <sheetFormatPr defaultRowHeight="14"/>
  <cols>
    <col min="2" max="2" width="6.7265625" customWidth="1"/>
    <col min="3" max="3" width="46.36328125" bestFit="1" customWidth="1"/>
    <col min="4" max="4" width="8.6328125" customWidth="1"/>
    <col min="15" max="15" width="9" style="91"/>
  </cols>
  <sheetData>
    <row r="1" spans="1:25" ht="28">
      <c r="A1" s="11"/>
      <c r="B1" s="5" t="s">
        <v>70</v>
      </c>
      <c r="C1" s="9" t="s">
        <v>117</v>
      </c>
      <c r="D1" s="6" t="s">
        <v>71</v>
      </c>
      <c r="E1" s="6" t="s">
        <v>27</v>
      </c>
      <c r="F1" s="6" t="s">
        <v>72</v>
      </c>
      <c r="G1" s="6" t="s">
        <v>29</v>
      </c>
      <c r="H1" s="6" t="s">
        <v>73</v>
      </c>
      <c r="I1" s="6" t="s">
        <v>74</v>
      </c>
      <c r="J1" s="13" t="s">
        <v>207</v>
      </c>
      <c r="K1" s="6" t="s">
        <v>28</v>
      </c>
      <c r="L1" s="13" t="s">
        <v>75</v>
      </c>
      <c r="M1" s="6" t="s">
        <v>76</v>
      </c>
      <c r="N1" s="6" t="s">
        <v>30</v>
      </c>
      <c r="O1" s="92" t="s">
        <v>140</v>
      </c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11"/>
      <c r="B2" s="3" t="s">
        <v>77</v>
      </c>
      <c r="C2" s="10"/>
      <c r="D2" s="7">
        <v>0.16</v>
      </c>
      <c r="E2" s="7">
        <v>0.08</v>
      </c>
      <c r="F2" s="7">
        <v>5.0000000000000001E-3</v>
      </c>
      <c r="G2" s="7">
        <v>5.0000000000000001E-3</v>
      </c>
      <c r="H2" s="7">
        <v>2E-3</v>
      </c>
      <c r="I2" s="7">
        <v>9.8000000000000004E-2</v>
      </c>
      <c r="J2" s="14"/>
      <c r="K2" s="7">
        <v>0.02</v>
      </c>
      <c r="L2" s="14">
        <v>3</v>
      </c>
      <c r="M2" s="7">
        <v>0.12</v>
      </c>
      <c r="N2" s="7">
        <v>0.12</v>
      </c>
      <c r="O2" s="14">
        <v>170</v>
      </c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3" t="s">
        <v>69</v>
      </c>
      <c r="C3" s="16" t="s">
        <v>130</v>
      </c>
      <c r="D3" s="17">
        <v>0.16</v>
      </c>
      <c r="E3" s="17">
        <v>0.08</v>
      </c>
      <c r="F3" s="7">
        <v>5.0000000000000001E-3</v>
      </c>
      <c r="G3" s="7">
        <v>5.0000000000000001E-3</v>
      </c>
      <c r="H3" s="7">
        <v>3.5000000000000001E-3</v>
      </c>
      <c r="I3" s="8">
        <v>8.6999999999999994E-2</v>
      </c>
      <c r="J3" s="15"/>
      <c r="K3" s="7">
        <v>0.02</v>
      </c>
      <c r="L3" s="14"/>
      <c r="M3" s="7">
        <v>0.05</v>
      </c>
      <c r="N3" s="7">
        <v>0.05</v>
      </c>
      <c r="O3" s="14">
        <v>180</v>
      </c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1"/>
      <c r="B4" s="4" t="s">
        <v>67</v>
      </c>
      <c r="C4" s="32" t="s">
        <v>118</v>
      </c>
      <c r="D4" s="7">
        <v>0.16</v>
      </c>
      <c r="E4" s="7">
        <v>0.08</v>
      </c>
      <c r="F4" s="7">
        <v>5.0000000000000001E-3</v>
      </c>
      <c r="G4" s="8">
        <v>5.0000000000000001E-3</v>
      </c>
      <c r="H4" s="7">
        <v>2E-3</v>
      </c>
      <c r="I4" s="8">
        <v>6.4000000000000001E-2</v>
      </c>
      <c r="J4" s="15">
        <v>15</v>
      </c>
      <c r="K4" s="7">
        <v>0.02</v>
      </c>
      <c r="L4" s="14"/>
      <c r="M4" s="7">
        <v>0.05</v>
      </c>
      <c r="N4" s="7">
        <v>0.05</v>
      </c>
      <c r="O4" s="14">
        <v>180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1"/>
      <c r="B5" s="4" t="s">
        <v>129</v>
      </c>
      <c r="C5" s="32" t="s">
        <v>118</v>
      </c>
      <c r="D5" s="7">
        <v>0.16</v>
      </c>
      <c r="E5" s="7">
        <v>0.08</v>
      </c>
      <c r="F5" s="7">
        <v>5.0000000000000001E-3</v>
      </c>
      <c r="G5" s="8">
        <v>5.0000000000000001E-3</v>
      </c>
      <c r="H5" s="7">
        <v>2E-3</v>
      </c>
      <c r="I5" s="8">
        <v>6.4000000000000001E-2</v>
      </c>
      <c r="J5" s="15">
        <v>15</v>
      </c>
      <c r="K5" s="7">
        <v>0.02</v>
      </c>
      <c r="L5" s="14"/>
      <c r="M5" s="7">
        <v>0.12</v>
      </c>
      <c r="N5" s="7">
        <v>0.12</v>
      </c>
      <c r="O5" s="14">
        <v>180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O6" s="12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"/>
  <sheetViews>
    <sheetView workbookViewId="0">
      <selection activeCell="N19" sqref="N19"/>
    </sheetView>
  </sheetViews>
  <sheetFormatPr defaultRowHeight="14"/>
  <cols>
    <col min="3" max="3" width="23.453125" bestFit="1" customWidth="1"/>
  </cols>
  <sheetData>
    <row r="1" spans="1:14" ht="28">
      <c r="A1" s="18" t="s">
        <v>78</v>
      </c>
      <c r="B1" s="18" t="s">
        <v>79</v>
      </c>
      <c r="C1" s="18" t="s">
        <v>80</v>
      </c>
      <c r="D1" s="18" t="s">
        <v>81</v>
      </c>
      <c r="E1" s="19" t="s">
        <v>82</v>
      </c>
      <c r="F1" s="19" t="s">
        <v>83</v>
      </c>
      <c r="G1" s="19" t="s">
        <v>84</v>
      </c>
      <c r="H1" s="19" t="s">
        <v>85</v>
      </c>
      <c r="I1" s="19" t="s">
        <v>86</v>
      </c>
      <c r="J1" s="19" t="s">
        <v>87</v>
      </c>
      <c r="K1" s="19" t="s">
        <v>88</v>
      </c>
      <c r="L1" s="19" t="s">
        <v>89</v>
      </c>
      <c r="M1" s="26" t="s">
        <v>90</v>
      </c>
      <c r="N1" s="26" t="s">
        <v>91</v>
      </c>
    </row>
    <row r="2" spans="1:14">
      <c r="A2" s="20" t="s">
        <v>68</v>
      </c>
      <c r="B2" s="21" t="s">
        <v>92</v>
      </c>
      <c r="C2" s="22" t="s">
        <v>93</v>
      </c>
      <c r="D2" s="23" t="s">
        <v>94</v>
      </c>
      <c r="E2" s="24" t="s">
        <v>95</v>
      </c>
      <c r="F2" s="25"/>
      <c r="G2" s="24">
        <v>0.08</v>
      </c>
      <c r="H2" s="25"/>
      <c r="I2" s="24" t="s">
        <v>96</v>
      </c>
      <c r="J2" s="24" t="s">
        <v>97</v>
      </c>
      <c r="K2" s="24" t="s">
        <v>96</v>
      </c>
      <c r="L2" s="24" t="s">
        <v>97</v>
      </c>
      <c r="M2" s="27">
        <v>2</v>
      </c>
      <c r="N2" s="335" t="s">
        <v>98</v>
      </c>
    </row>
    <row r="3" spans="1:14">
      <c r="A3" s="20" t="s">
        <v>68</v>
      </c>
      <c r="B3" s="21" t="s">
        <v>99</v>
      </c>
      <c r="C3" s="22" t="s">
        <v>100</v>
      </c>
      <c r="D3" s="23" t="s">
        <v>94</v>
      </c>
      <c r="E3" s="24" t="s">
        <v>101</v>
      </c>
      <c r="F3" s="25"/>
      <c r="G3" s="24">
        <v>0.02</v>
      </c>
      <c r="H3" s="25"/>
      <c r="I3" s="24" t="s">
        <v>96</v>
      </c>
      <c r="J3" s="24" t="s">
        <v>102</v>
      </c>
      <c r="K3" s="24" t="s">
        <v>96</v>
      </c>
      <c r="L3" s="24" t="s">
        <v>102</v>
      </c>
      <c r="M3" s="27">
        <v>2</v>
      </c>
      <c r="N3" s="336"/>
    </row>
    <row r="4" spans="1:14">
      <c r="A4" s="20" t="s">
        <v>68</v>
      </c>
      <c r="B4" s="21" t="s">
        <v>103</v>
      </c>
      <c r="C4" s="22" t="s">
        <v>93</v>
      </c>
      <c r="D4" s="23" t="s">
        <v>94</v>
      </c>
      <c r="E4" s="24" t="s">
        <v>104</v>
      </c>
      <c r="F4" s="25"/>
      <c r="G4" s="24" t="s">
        <v>104</v>
      </c>
      <c r="H4" s="25"/>
      <c r="I4" s="24" t="s">
        <v>96</v>
      </c>
      <c r="J4" s="24" t="s">
        <v>97</v>
      </c>
      <c r="K4" s="24" t="s">
        <v>96</v>
      </c>
      <c r="L4" s="24" t="s">
        <v>97</v>
      </c>
      <c r="M4" s="27">
        <v>0</v>
      </c>
      <c r="N4" s="336"/>
    </row>
    <row r="5" spans="1:14" s="107" customFormat="1">
      <c r="A5" s="192" t="s">
        <v>68</v>
      </c>
      <c r="B5" s="193" t="s">
        <v>105</v>
      </c>
      <c r="C5" s="194" t="s">
        <v>93</v>
      </c>
      <c r="D5" s="195" t="s">
        <v>94</v>
      </c>
      <c r="E5" s="196" t="s">
        <v>106</v>
      </c>
      <c r="F5" s="197"/>
      <c r="G5" s="197"/>
      <c r="H5" s="197"/>
      <c r="I5" s="196" t="s">
        <v>107</v>
      </c>
      <c r="J5" s="196" t="s">
        <v>108</v>
      </c>
      <c r="K5" s="196" t="s">
        <v>107</v>
      </c>
      <c r="L5" s="196" t="s">
        <v>108</v>
      </c>
      <c r="M5" s="37">
        <v>0</v>
      </c>
      <c r="N5" s="336"/>
    </row>
    <row r="6" spans="1:14">
      <c r="A6" s="20" t="s">
        <v>68</v>
      </c>
      <c r="B6" s="21" t="s">
        <v>109</v>
      </c>
      <c r="C6" s="22" t="s">
        <v>100</v>
      </c>
      <c r="D6" s="23" t="s">
        <v>94</v>
      </c>
      <c r="E6" s="24" t="s">
        <v>110</v>
      </c>
      <c r="F6" s="25"/>
      <c r="G6" s="25"/>
      <c r="H6" s="25"/>
      <c r="I6" s="24" t="s">
        <v>96</v>
      </c>
      <c r="J6" s="24" t="s">
        <v>102</v>
      </c>
      <c r="K6" s="24" t="s">
        <v>96</v>
      </c>
      <c r="L6" s="24" t="s">
        <v>102</v>
      </c>
      <c r="M6" s="27">
        <v>2</v>
      </c>
      <c r="N6" s="336"/>
    </row>
    <row r="7" spans="1:14">
      <c r="A7" s="20" t="s">
        <v>68</v>
      </c>
      <c r="B7" s="21" t="s">
        <v>111</v>
      </c>
      <c r="C7" s="22" t="s">
        <v>93</v>
      </c>
      <c r="D7" s="23" t="s">
        <v>94</v>
      </c>
      <c r="E7" s="24" t="s">
        <v>112</v>
      </c>
      <c r="F7" s="25"/>
      <c r="G7" s="24" t="s">
        <v>112</v>
      </c>
      <c r="H7" s="25"/>
      <c r="I7" s="24" t="s">
        <v>113</v>
      </c>
      <c r="J7" s="24" t="s">
        <v>114</v>
      </c>
      <c r="K7" s="24" t="s">
        <v>113</v>
      </c>
      <c r="L7" s="24" t="s">
        <v>114</v>
      </c>
      <c r="M7" s="27">
        <v>2</v>
      </c>
      <c r="N7" s="336"/>
    </row>
    <row r="8" spans="1:14">
      <c r="A8" s="20" t="s">
        <v>68</v>
      </c>
      <c r="B8" s="21" t="s">
        <v>111</v>
      </c>
      <c r="C8" s="22" t="s">
        <v>93</v>
      </c>
      <c r="D8" s="23" t="s">
        <v>94</v>
      </c>
      <c r="E8" s="24" t="s">
        <v>115</v>
      </c>
      <c r="F8" s="25"/>
      <c r="G8" s="24" t="s">
        <v>115</v>
      </c>
      <c r="H8" s="25"/>
      <c r="I8" s="24" t="s">
        <v>113</v>
      </c>
      <c r="J8" s="24" t="s">
        <v>114</v>
      </c>
      <c r="K8" s="24" t="s">
        <v>113</v>
      </c>
      <c r="L8" s="24" t="s">
        <v>114</v>
      </c>
      <c r="M8" s="27">
        <v>2</v>
      </c>
      <c r="N8" s="336"/>
    </row>
    <row r="9" spans="1:14">
      <c r="A9" s="20" t="s">
        <v>68</v>
      </c>
      <c r="B9" s="21" t="s">
        <v>111</v>
      </c>
      <c r="C9" s="22" t="s">
        <v>93</v>
      </c>
      <c r="D9" s="23" t="s">
        <v>94</v>
      </c>
      <c r="E9" s="24" t="s">
        <v>116</v>
      </c>
      <c r="F9" s="25"/>
      <c r="G9" s="24" t="s">
        <v>116</v>
      </c>
      <c r="H9" s="25"/>
      <c r="I9" s="24" t="s">
        <v>113</v>
      </c>
      <c r="J9" s="24" t="s">
        <v>114</v>
      </c>
      <c r="K9" s="24" t="s">
        <v>113</v>
      </c>
      <c r="L9" s="24" t="s">
        <v>114</v>
      </c>
      <c r="M9" s="27">
        <v>2</v>
      </c>
      <c r="N9" s="336"/>
    </row>
  </sheetData>
  <mergeCells count="1">
    <mergeCell ref="N2:N9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8"/>
  <sheetViews>
    <sheetView topLeftCell="A3" workbookViewId="0">
      <selection activeCell="A27" sqref="A27:A28"/>
    </sheetView>
  </sheetViews>
  <sheetFormatPr defaultRowHeight="14"/>
  <cols>
    <col min="3" max="3" width="23.453125" bestFit="1" customWidth="1"/>
  </cols>
  <sheetData>
    <row r="1" spans="1:14" ht="28">
      <c r="A1" s="28" t="s">
        <v>78</v>
      </c>
      <c r="B1" s="28" t="s">
        <v>79</v>
      </c>
      <c r="C1" s="28" t="s">
        <v>80</v>
      </c>
      <c r="D1" s="28" t="s">
        <v>81</v>
      </c>
      <c r="E1" s="29" t="s">
        <v>82</v>
      </c>
      <c r="F1" s="29" t="s">
        <v>83</v>
      </c>
      <c r="G1" s="29" t="s">
        <v>84</v>
      </c>
      <c r="H1" s="29" t="s">
        <v>85</v>
      </c>
      <c r="I1" s="29" t="s">
        <v>86</v>
      </c>
      <c r="J1" s="29" t="s">
        <v>87</v>
      </c>
      <c r="K1" s="29" t="s">
        <v>88</v>
      </c>
      <c r="L1" s="29" t="s">
        <v>89</v>
      </c>
      <c r="M1" s="36" t="s">
        <v>90</v>
      </c>
      <c r="N1" s="36" t="s">
        <v>91</v>
      </c>
    </row>
    <row r="2" spans="1:14">
      <c r="A2" s="30" t="s">
        <v>66</v>
      </c>
      <c r="B2" s="31" t="s">
        <v>92</v>
      </c>
      <c r="C2" s="32" t="s">
        <v>118</v>
      </c>
      <c r="D2" s="33" t="s">
        <v>119</v>
      </c>
      <c r="E2" s="34" t="s">
        <v>95</v>
      </c>
      <c r="F2" s="35"/>
      <c r="G2" s="34">
        <v>0.08</v>
      </c>
      <c r="H2" s="35"/>
      <c r="I2" s="34" t="s">
        <v>120</v>
      </c>
      <c r="J2" s="34" t="s">
        <v>121</v>
      </c>
      <c r="K2" s="34" t="s">
        <v>120</v>
      </c>
      <c r="L2" s="34" t="s">
        <v>121</v>
      </c>
      <c r="M2" s="37">
        <v>3</v>
      </c>
      <c r="N2" s="337" t="s">
        <v>122</v>
      </c>
    </row>
    <row r="3" spans="1:14">
      <c r="A3" s="30" t="s">
        <v>66</v>
      </c>
      <c r="B3" s="31" t="s">
        <v>99</v>
      </c>
      <c r="C3" s="32" t="s">
        <v>118</v>
      </c>
      <c r="D3" s="33" t="s">
        <v>119</v>
      </c>
      <c r="E3" s="34" t="s">
        <v>123</v>
      </c>
      <c r="F3" s="35"/>
      <c r="G3" s="34">
        <v>0.02</v>
      </c>
      <c r="H3" s="35"/>
      <c r="I3" s="34" t="s">
        <v>120</v>
      </c>
      <c r="J3" s="34" t="s">
        <v>121</v>
      </c>
      <c r="K3" s="34" t="s">
        <v>120</v>
      </c>
      <c r="L3" s="34" t="s">
        <v>121</v>
      </c>
      <c r="M3" s="37">
        <v>3</v>
      </c>
      <c r="N3" s="337"/>
    </row>
    <row r="4" spans="1:14">
      <c r="A4" s="30" t="s">
        <v>66</v>
      </c>
      <c r="B4" s="31" t="s">
        <v>103</v>
      </c>
      <c r="C4" s="32" t="s">
        <v>118</v>
      </c>
      <c r="D4" s="33" t="s">
        <v>119</v>
      </c>
      <c r="E4" s="34" t="s">
        <v>104</v>
      </c>
      <c r="F4" s="35"/>
      <c r="G4" s="34" t="s">
        <v>104</v>
      </c>
      <c r="H4" s="35"/>
      <c r="I4" s="34" t="s">
        <v>120</v>
      </c>
      <c r="J4" s="34" t="s">
        <v>121</v>
      </c>
      <c r="K4" s="34" t="s">
        <v>120</v>
      </c>
      <c r="L4" s="34" t="s">
        <v>121</v>
      </c>
      <c r="M4" s="37">
        <v>3</v>
      </c>
      <c r="N4" s="337"/>
    </row>
    <row r="5" spans="1:14">
      <c r="A5" s="30" t="s">
        <v>66</v>
      </c>
      <c r="B5" s="31" t="s">
        <v>105</v>
      </c>
      <c r="C5" s="32" t="s">
        <v>118</v>
      </c>
      <c r="D5" s="33" t="s">
        <v>119</v>
      </c>
      <c r="E5" s="34" t="s">
        <v>124</v>
      </c>
      <c r="F5" s="35"/>
      <c r="G5" s="35"/>
      <c r="H5" s="35"/>
      <c r="I5" s="34" t="s">
        <v>120</v>
      </c>
      <c r="J5" s="34" t="s">
        <v>121</v>
      </c>
      <c r="K5" s="34" t="s">
        <v>120</v>
      </c>
      <c r="L5" s="34" t="s">
        <v>121</v>
      </c>
      <c r="M5" s="37">
        <v>3</v>
      </c>
      <c r="N5" s="337"/>
    </row>
    <row r="6" spans="1:14">
      <c r="A6" s="30" t="s">
        <v>66</v>
      </c>
      <c r="B6" s="31" t="s">
        <v>125</v>
      </c>
      <c r="C6" s="32" t="s">
        <v>118</v>
      </c>
      <c r="D6" s="33" t="s">
        <v>119</v>
      </c>
      <c r="E6" s="34"/>
      <c r="F6" s="35" t="s">
        <v>126</v>
      </c>
      <c r="G6" s="35"/>
      <c r="H6" s="35"/>
      <c r="I6" s="34"/>
      <c r="J6" s="34"/>
      <c r="K6" s="34"/>
      <c r="L6" s="34"/>
      <c r="M6" s="37">
        <v>3</v>
      </c>
      <c r="N6" s="337"/>
    </row>
    <row r="7" spans="1:14">
      <c r="A7" s="30" t="s">
        <v>66</v>
      </c>
      <c r="B7" s="31" t="s">
        <v>111</v>
      </c>
      <c r="C7" s="32" t="s">
        <v>118</v>
      </c>
      <c r="D7" s="33" t="s">
        <v>119</v>
      </c>
      <c r="E7" s="34" t="s">
        <v>112</v>
      </c>
      <c r="F7" s="35"/>
      <c r="G7" s="34" t="s">
        <v>112</v>
      </c>
      <c r="H7" s="35"/>
      <c r="I7" s="34" t="s">
        <v>127</v>
      </c>
      <c r="J7" s="34" t="s">
        <v>128</v>
      </c>
      <c r="K7" s="34" t="s">
        <v>127</v>
      </c>
      <c r="L7" s="34" t="s">
        <v>128</v>
      </c>
      <c r="M7" s="37">
        <v>3</v>
      </c>
      <c r="N7" s="337"/>
    </row>
    <row r="8" spans="1:14">
      <c r="A8" s="30" t="s">
        <v>66</v>
      </c>
      <c r="B8" s="31" t="s">
        <v>111</v>
      </c>
      <c r="C8" s="32" t="s">
        <v>118</v>
      </c>
      <c r="D8" s="33" t="s">
        <v>119</v>
      </c>
      <c r="E8" s="34" t="s">
        <v>116</v>
      </c>
      <c r="F8" s="35"/>
      <c r="G8" s="34" t="s">
        <v>116</v>
      </c>
      <c r="H8" s="35"/>
      <c r="I8" s="34" t="s">
        <v>127</v>
      </c>
      <c r="J8" s="34" t="s">
        <v>128</v>
      </c>
      <c r="K8" s="34" t="s">
        <v>127</v>
      </c>
      <c r="L8" s="34" t="s">
        <v>128</v>
      </c>
      <c r="M8" s="37">
        <v>3</v>
      </c>
      <c r="N8" s="337"/>
    </row>
  </sheetData>
  <mergeCells count="1">
    <mergeCell ref="N2:N8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50"/>
  <sheetViews>
    <sheetView workbookViewId="0">
      <selection sqref="A1:XFD1048576"/>
    </sheetView>
  </sheetViews>
  <sheetFormatPr defaultRowHeight="14"/>
  <cols>
    <col min="3" max="3" width="11" bestFit="1" customWidth="1"/>
    <col min="4" max="4" width="20.453125" bestFit="1" customWidth="1"/>
    <col min="5" max="5" width="13" bestFit="1" customWidth="1"/>
    <col min="7" max="7" width="13" bestFit="1" customWidth="1"/>
    <col min="8" max="8" width="10.453125" bestFit="1" customWidth="1"/>
    <col min="19" max="19" width="11" bestFit="1" customWidth="1"/>
    <col min="21" max="21" width="11" bestFit="1" customWidth="1"/>
    <col min="28" max="28" width="6.08984375" customWidth="1"/>
    <col min="31" max="31" width="11" bestFit="1" customWidth="1"/>
  </cols>
  <sheetData>
    <row r="1" spans="1:40" s="246" customFormat="1" ht="37.5" customHeight="1">
      <c r="A1" s="105" t="s">
        <v>173</v>
      </c>
      <c r="B1" s="105" t="s">
        <v>0</v>
      </c>
      <c r="C1" s="105" t="s">
        <v>174</v>
      </c>
      <c r="D1" s="106" t="s">
        <v>175</v>
      </c>
      <c r="E1" s="107" t="s">
        <v>176</v>
      </c>
      <c r="F1" s="107" t="s">
        <v>177</v>
      </c>
      <c r="G1" s="107" t="s">
        <v>178</v>
      </c>
      <c r="H1" s="104" t="s">
        <v>179</v>
      </c>
      <c r="I1" s="104" t="s">
        <v>180</v>
      </c>
      <c r="J1" s="104" t="s">
        <v>181</v>
      </c>
      <c r="K1" s="104" t="s">
        <v>182</v>
      </c>
      <c r="L1" s="104" t="s">
        <v>183</v>
      </c>
      <c r="M1" s="104" t="s">
        <v>184</v>
      </c>
      <c r="N1" s="104" t="s">
        <v>185</v>
      </c>
      <c r="O1" s="104" t="s">
        <v>186</v>
      </c>
      <c r="P1" s="104" t="s">
        <v>187</v>
      </c>
      <c r="Q1" s="104" t="s">
        <v>188</v>
      </c>
      <c r="R1" s="104" t="s">
        <v>189</v>
      </c>
      <c r="S1" s="104" t="s">
        <v>16</v>
      </c>
      <c r="T1" s="104" t="s">
        <v>190</v>
      </c>
      <c r="U1" s="104" t="s">
        <v>17</v>
      </c>
      <c r="V1" s="104" t="s">
        <v>18</v>
      </c>
      <c r="W1" s="104" t="s">
        <v>168</v>
      </c>
      <c r="X1" s="104" t="s">
        <v>169</v>
      </c>
      <c r="Y1" s="104" t="s">
        <v>170</v>
      </c>
      <c r="Z1" s="104" t="s">
        <v>171</v>
      </c>
      <c r="AA1" s="104" t="s">
        <v>172</v>
      </c>
      <c r="AB1" s="104"/>
      <c r="AC1" s="104" t="s">
        <v>21</v>
      </c>
      <c r="AD1" s="104" t="s">
        <v>191</v>
      </c>
      <c r="AE1" s="104" t="s">
        <v>192</v>
      </c>
      <c r="AF1" s="108" t="s">
        <v>193</v>
      </c>
      <c r="AG1" s="104" t="s">
        <v>194</v>
      </c>
      <c r="AH1" s="104" t="s">
        <v>195</v>
      </c>
      <c r="AI1" s="104" t="s">
        <v>196</v>
      </c>
      <c r="AJ1" s="104" t="s">
        <v>197</v>
      </c>
      <c r="AK1" s="104" t="s">
        <v>198</v>
      </c>
      <c r="AL1" s="104" t="s">
        <v>199</v>
      </c>
      <c r="AM1" s="244" t="s">
        <v>200</v>
      </c>
      <c r="AN1" s="245"/>
    </row>
    <row r="2" spans="1:40">
      <c r="A2" s="110" t="s">
        <v>201</v>
      </c>
      <c r="B2" s="110" t="s">
        <v>34</v>
      </c>
      <c r="C2" s="110" t="s">
        <v>202</v>
      </c>
      <c r="D2" s="110" t="s">
        <v>35</v>
      </c>
      <c r="E2" s="110" t="s">
        <v>442</v>
      </c>
      <c r="F2" s="110" t="s">
        <v>443</v>
      </c>
      <c r="G2" s="111" t="s">
        <v>203</v>
      </c>
      <c r="H2" s="103">
        <v>11217</v>
      </c>
      <c r="I2" s="103">
        <v>0</v>
      </c>
      <c r="J2" s="103">
        <v>0</v>
      </c>
      <c r="K2" s="103">
        <v>428.8</v>
      </c>
      <c r="L2" s="103">
        <v>110.2</v>
      </c>
      <c r="M2" s="103">
        <v>26.8</v>
      </c>
      <c r="N2" s="103">
        <v>316</v>
      </c>
      <c r="O2" s="103">
        <v>0</v>
      </c>
      <c r="P2" s="103">
        <v>0</v>
      </c>
      <c r="Q2" s="103">
        <v>0</v>
      </c>
      <c r="R2" s="103">
        <v>0</v>
      </c>
      <c r="S2" s="103">
        <v>22434</v>
      </c>
      <c r="T2" s="103">
        <v>0</v>
      </c>
      <c r="U2" s="103">
        <v>10000</v>
      </c>
      <c r="V2" s="103">
        <v>1763.6</v>
      </c>
      <c r="W2" s="103">
        <v>0</v>
      </c>
      <c r="X2" s="103">
        <v>0</v>
      </c>
      <c r="Y2" s="103">
        <v>0</v>
      </c>
      <c r="Z2" s="103">
        <v>0</v>
      </c>
      <c r="AA2" s="103">
        <v>0</v>
      </c>
      <c r="AB2" s="103">
        <v>0</v>
      </c>
      <c r="AC2" s="103">
        <v>0</v>
      </c>
      <c r="AD2" s="103">
        <v>0</v>
      </c>
      <c r="AE2" s="103">
        <v>10670.4</v>
      </c>
      <c r="AF2" s="112">
        <v>0.03</v>
      </c>
      <c r="AG2" s="103">
        <v>0</v>
      </c>
      <c r="AH2" s="103">
        <v>320.11</v>
      </c>
      <c r="AI2" s="103">
        <v>0</v>
      </c>
      <c r="AJ2" s="103">
        <v>320.11</v>
      </c>
      <c r="AK2" s="103">
        <v>160.06</v>
      </c>
      <c r="AL2" s="103">
        <v>160.05000000000001</v>
      </c>
      <c r="AM2" s="110" t="s">
        <v>201</v>
      </c>
      <c r="AN2" s="109"/>
    </row>
    <row r="3" spans="1:40">
      <c r="A3" s="110" t="s">
        <v>201</v>
      </c>
      <c r="B3" s="110" t="s">
        <v>45</v>
      </c>
      <c r="C3" s="110" t="s">
        <v>202</v>
      </c>
      <c r="D3" s="110" t="s">
        <v>46</v>
      </c>
      <c r="E3" s="110" t="s">
        <v>442</v>
      </c>
      <c r="F3" s="110" t="s">
        <v>443</v>
      </c>
      <c r="G3" s="111" t="s">
        <v>203</v>
      </c>
      <c r="H3" s="103">
        <v>15600</v>
      </c>
      <c r="I3" s="103">
        <v>0</v>
      </c>
      <c r="J3" s="103">
        <v>0</v>
      </c>
      <c r="K3" s="103">
        <v>274.39999999999998</v>
      </c>
      <c r="L3" s="103">
        <v>68.599999999999994</v>
      </c>
      <c r="M3" s="103">
        <v>17.149999999999999</v>
      </c>
      <c r="N3" s="103">
        <v>82</v>
      </c>
      <c r="O3" s="103">
        <v>0</v>
      </c>
      <c r="P3" s="103">
        <v>0</v>
      </c>
      <c r="Q3" s="103">
        <v>0</v>
      </c>
      <c r="R3" s="103">
        <v>0</v>
      </c>
      <c r="S3" s="103">
        <v>28600</v>
      </c>
      <c r="T3" s="103">
        <v>0</v>
      </c>
      <c r="U3" s="103">
        <v>10000</v>
      </c>
      <c r="V3" s="103">
        <v>885.3</v>
      </c>
      <c r="W3" s="103">
        <v>0</v>
      </c>
      <c r="X3" s="103">
        <v>0</v>
      </c>
      <c r="Y3" s="103">
        <v>0</v>
      </c>
      <c r="Z3" s="103">
        <v>0</v>
      </c>
      <c r="AA3" s="103">
        <v>0</v>
      </c>
      <c r="AB3" s="103">
        <v>0</v>
      </c>
      <c r="AC3" s="103">
        <v>0</v>
      </c>
      <c r="AD3" s="103">
        <v>0</v>
      </c>
      <c r="AE3" s="103">
        <v>17714.7</v>
      </c>
      <c r="AF3" s="112">
        <v>0.03</v>
      </c>
      <c r="AG3" s="103">
        <v>0</v>
      </c>
      <c r="AH3" s="103">
        <v>531.44000000000005</v>
      </c>
      <c r="AI3" s="103">
        <v>0</v>
      </c>
      <c r="AJ3" s="103">
        <v>531.44000000000005</v>
      </c>
      <c r="AK3" s="103">
        <v>226.71</v>
      </c>
      <c r="AL3" s="103">
        <v>304.73</v>
      </c>
      <c r="AM3" s="110" t="s">
        <v>201</v>
      </c>
      <c r="AN3" s="109"/>
    </row>
    <row r="4" spans="1:40">
      <c r="A4" s="110" t="s">
        <v>201</v>
      </c>
      <c r="B4" s="110" t="s">
        <v>59</v>
      </c>
      <c r="C4" s="110" t="s">
        <v>202</v>
      </c>
      <c r="D4" s="110" t="s">
        <v>60</v>
      </c>
      <c r="E4" s="110" t="s">
        <v>442</v>
      </c>
      <c r="F4" s="110" t="s">
        <v>443</v>
      </c>
      <c r="G4" s="111" t="s">
        <v>203</v>
      </c>
      <c r="H4" s="103">
        <v>23508.05</v>
      </c>
      <c r="I4" s="103">
        <v>0</v>
      </c>
      <c r="J4" s="103">
        <v>0</v>
      </c>
      <c r="K4" s="103">
        <v>274.39999999999998</v>
      </c>
      <c r="L4" s="103">
        <v>68.599999999999994</v>
      </c>
      <c r="M4" s="103">
        <v>17.149999999999999</v>
      </c>
      <c r="N4" s="103">
        <v>82</v>
      </c>
      <c r="O4" s="103">
        <v>0</v>
      </c>
      <c r="P4" s="103">
        <v>0</v>
      </c>
      <c r="Q4" s="103">
        <v>0</v>
      </c>
      <c r="R4" s="103">
        <v>0</v>
      </c>
      <c r="S4" s="103">
        <v>40508.050000000003</v>
      </c>
      <c r="T4" s="103">
        <v>0</v>
      </c>
      <c r="U4" s="103">
        <v>10000</v>
      </c>
      <c r="V4" s="103">
        <v>885.3</v>
      </c>
      <c r="W4" s="103">
        <v>0</v>
      </c>
      <c r="X4" s="103">
        <v>0</v>
      </c>
      <c r="Y4" s="103">
        <v>0</v>
      </c>
      <c r="Z4" s="103">
        <v>0</v>
      </c>
      <c r="AA4" s="103">
        <v>0</v>
      </c>
      <c r="AB4" s="103">
        <v>0</v>
      </c>
      <c r="AC4" s="103">
        <v>0</v>
      </c>
      <c r="AD4" s="103">
        <v>0</v>
      </c>
      <c r="AE4" s="103">
        <v>29622.75</v>
      </c>
      <c r="AF4" s="112">
        <v>0.03</v>
      </c>
      <c r="AG4" s="103">
        <v>0</v>
      </c>
      <c r="AH4" s="103">
        <v>888.68</v>
      </c>
      <c r="AI4" s="103">
        <v>0</v>
      </c>
      <c r="AJ4" s="103">
        <v>888.68</v>
      </c>
      <c r="AK4" s="103">
        <v>346.71</v>
      </c>
      <c r="AL4" s="103">
        <v>541.97</v>
      </c>
      <c r="AM4" s="110" t="s">
        <v>201</v>
      </c>
      <c r="AN4" s="109"/>
    </row>
    <row r="5" spans="1:40">
      <c r="A5" s="110" t="s">
        <v>201</v>
      </c>
      <c r="B5" s="110" t="s">
        <v>253</v>
      </c>
      <c r="C5" s="110" t="s">
        <v>202</v>
      </c>
      <c r="D5" s="110" t="s">
        <v>254</v>
      </c>
      <c r="E5" s="110" t="s">
        <v>442</v>
      </c>
      <c r="F5" s="110" t="s">
        <v>443</v>
      </c>
      <c r="G5" s="111" t="s">
        <v>203</v>
      </c>
      <c r="H5" s="103">
        <v>14300</v>
      </c>
      <c r="I5" s="103">
        <v>0</v>
      </c>
      <c r="J5" s="103">
        <v>0</v>
      </c>
      <c r="K5" s="103">
        <v>428.8</v>
      </c>
      <c r="L5" s="103">
        <v>110.2</v>
      </c>
      <c r="M5" s="103">
        <v>26.8</v>
      </c>
      <c r="N5" s="103">
        <v>960</v>
      </c>
      <c r="O5" s="103">
        <v>0</v>
      </c>
      <c r="P5" s="103">
        <v>0</v>
      </c>
      <c r="Q5" s="103">
        <v>0</v>
      </c>
      <c r="R5" s="103">
        <v>0</v>
      </c>
      <c r="S5" s="103">
        <v>14300</v>
      </c>
      <c r="T5" s="103">
        <v>0</v>
      </c>
      <c r="U5" s="103">
        <v>5000</v>
      </c>
      <c r="V5" s="103">
        <v>1525.8</v>
      </c>
      <c r="W5" s="103">
        <v>0</v>
      </c>
      <c r="X5" s="103">
        <v>0</v>
      </c>
      <c r="Y5" s="103">
        <v>0</v>
      </c>
      <c r="Z5" s="103">
        <v>0</v>
      </c>
      <c r="AA5" s="103">
        <v>0</v>
      </c>
      <c r="AB5" s="103">
        <v>0</v>
      </c>
      <c r="AC5" s="103">
        <v>0</v>
      </c>
      <c r="AD5" s="103">
        <v>0</v>
      </c>
      <c r="AE5" s="103">
        <v>7774.2</v>
      </c>
      <c r="AF5" s="112">
        <v>0.03</v>
      </c>
      <c r="AG5" s="103">
        <v>0</v>
      </c>
      <c r="AH5" s="103">
        <v>233.23</v>
      </c>
      <c r="AI5" s="103">
        <v>0</v>
      </c>
      <c r="AJ5" s="103">
        <v>233.23</v>
      </c>
      <c r="AK5" s="103">
        <v>0</v>
      </c>
      <c r="AL5" s="103">
        <v>233.23</v>
      </c>
      <c r="AM5" s="110" t="s">
        <v>201</v>
      </c>
      <c r="AN5" s="109"/>
    </row>
    <row r="6" spans="1:40">
      <c r="A6" s="110" t="s">
        <v>201</v>
      </c>
      <c r="B6" s="110" t="s">
        <v>53</v>
      </c>
      <c r="C6" s="110" t="s">
        <v>202</v>
      </c>
      <c r="D6" s="110" t="s">
        <v>54</v>
      </c>
      <c r="E6" s="110" t="s">
        <v>442</v>
      </c>
      <c r="F6" s="110" t="s">
        <v>443</v>
      </c>
      <c r="G6" s="111" t="s">
        <v>203</v>
      </c>
      <c r="H6" s="103">
        <v>20358.62</v>
      </c>
      <c r="I6" s="103">
        <v>0</v>
      </c>
      <c r="J6" s="103">
        <v>0</v>
      </c>
      <c r="K6" s="103">
        <v>274.39999999999998</v>
      </c>
      <c r="L6" s="103">
        <v>68.599999999999994</v>
      </c>
      <c r="M6" s="103">
        <v>17.149999999999999</v>
      </c>
      <c r="N6" s="103">
        <v>82</v>
      </c>
      <c r="O6" s="103">
        <v>0</v>
      </c>
      <c r="P6" s="103">
        <v>0</v>
      </c>
      <c r="Q6" s="103">
        <v>0</v>
      </c>
      <c r="R6" s="103">
        <v>0</v>
      </c>
      <c r="S6" s="103">
        <v>36737.93</v>
      </c>
      <c r="T6" s="103">
        <v>0</v>
      </c>
      <c r="U6" s="103">
        <v>10000</v>
      </c>
      <c r="V6" s="103">
        <v>885.3</v>
      </c>
      <c r="W6" s="103">
        <v>0</v>
      </c>
      <c r="X6" s="103">
        <v>0</v>
      </c>
      <c r="Y6" s="103">
        <v>2000</v>
      </c>
      <c r="Z6" s="103">
        <v>0</v>
      </c>
      <c r="AA6" s="103">
        <v>0</v>
      </c>
      <c r="AB6" s="103">
        <v>0</v>
      </c>
      <c r="AC6" s="103">
        <v>0</v>
      </c>
      <c r="AD6" s="103">
        <v>0</v>
      </c>
      <c r="AE6" s="103">
        <v>23852.63</v>
      </c>
      <c r="AF6" s="112">
        <v>0.03</v>
      </c>
      <c r="AG6" s="103">
        <v>0</v>
      </c>
      <c r="AH6" s="103">
        <v>715.58</v>
      </c>
      <c r="AI6" s="103">
        <v>0</v>
      </c>
      <c r="AJ6" s="103">
        <v>715.58</v>
      </c>
      <c r="AK6" s="103">
        <v>328.08</v>
      </c>
      <c r="AL6" s="103">
        <v>387.5</v>
      </c>
      <c r="AM6" s="110" t="s">
        <v>201</v>
      </c>
      <c r="AN6" s="109"/>
    </row>
    <row r="7" spans="1:40">
      <c r="A7" s="110" t="s">
        <v>201</v>
      </c>
      <c r="B7" s="110" t="s">
        <v>255</v>
      </c>
      <c r="C7" s="110" t="s">
        <v>202</v>
      </c>
      <c r="D7" s="110" t="s">
        <v>256</v>
      </c>
      <c r="E7" s="110" t="s">
        <v>442</v>
      </c>
      <c r="F7" s="110" t="s">
        <v>443</v>
      </c>
      <c r="G7" s="111" t="s">
        <v>203</v>
      </c>
      <c r="H7" s="103">
        <v>14033.33</v>
      </c>
      <c r="I7" s="103">
        <v>0</v>
      </c>
      <c r="J7" s="103">
        <v>0</v>
      </c>
      <c r="K7" s="103">
        <v>1256</v>
      </c>
      <c r="L7" s="103">
        <v>317</v>
      </c>
      <c r="M7" s="103">
        <v>78.5</v>
      </c>
      <c r="N7" s="103">
        <v>1884</v>
      </c>
      <c r="O7" s="103">
        <v>0</v>
      </c>
      <c r="P7" s="103">
        <v>0</v>
      </c>
      <c r="Q7" s="103">
        <v>0</v>
      </c>
      <c r="R7" s="103">
        <v>0</v>
      </c>
      <c r="S7" s="103">
        <v>14033.33</v>
      </c>
      <c r="T7" s="103">
        <v>0</v>
      </c>
      <c r="U7" s="103">
        <v>5000</v>
      </c>
      <c r="V7" s="103">
        <v>3535.5</v>
      </c>
      <c r="W7" s="103">
        <v>0</v>
      </c>
      <c r="X7" s="103">
        <v>0</v>
      </c>
      <c r="Y7" s="103">
        <v>0</v>
      </c>
      <c r="Z7" s="103">
        <v>0</v>
      </c>
      <c r="AA7" s="103">
        <v>0</v>
      </c>
      <c r="AB7" s="103">
        <v>0</v>
      </c>
      <c r="AC7" s="103">
        <v>0</v>
      </c>
      <c r="AD7" s="103">
        <v>0</v>
      </c>
      <c r="AE7" s="103">
        <v>5497.83</v>
      </c>
      <c r="AF7" s="112">
        <v>0.03</v>
      </c>
      <c r="AG7" s="103">
        <v>0</v>
      </c>
      <c r="AH7" s="103">
        <v>164.93</v>
      </c>
      <c r="AI7" s="103">
        <v>0</v>
      </c>
      <c r="AJ7" s="103">
        <v>164.93</v>
      </c>
      <c r="AK7" s="103">
        <v>0</v>
      </c>
      <c r="AL7" s="103">
        <v>164.93</v>
      </c>
      <c r="AM7" s="110" t="s">
        <v>201</v>
      </c>
      <c r="AN7" s="109"/>
    </row>
    <row r="8" spans="1:40">
      <c r="A8" s="110" t="s">
        <v>201</v>
      </c>
      <c r="B8" s="110" t="s">
        <v>235</v>
      </c>
      <c r="C8" s="110" t="s">
        <v>202</v>
      </c>
      <c r="D8" s="110" t="s">
        <v>236</v>
      </c>
      <c r="E8" s="110" t="s">
        <v>442</v>
      </c>
      <c r="F8" s="110" t="s">
        <v>443</v>
      </c>
      <c r="G8" s="111" t="s">
        <v>203</v>
      </c>
      <c r="H8" s="103">
        <v>14500</v>
      </c>
      <c r="I8" s="103">
        <v>0</v>
      </c>
      <c r="J8" s="103">
        <v>0</v>
      </c>
      <c r="K8" s="103">
        <v>800</v>
      </c>
      <c r="L8" s="103">
        <v>203</v>
      </c>
      <c r="M8" s="103">
        <v>50</v>
      </c>
      <c r="N8" s="103">
        <v>1200</v>
      </c>
      <c r="O8" s="103">
        <v>0</v>
      </c>
      <c r="P8" s="103">
        <v>0</v>
      </c>
      <c r="Q8" s="103">
        <v>0</v>
      </c>
      <c r="R8" s="103">
        <v>0</v>
      </c>
      <c r="S8" s="103">
        <v>14500</v>
      </c>
      <c r="T8" s="103">
        <v>0</v>
      </c>
      <c r="U8" s="103">
        <v>5000</v>
      </c>
      <c r="V8" s="103">
        <v>2253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v>0</v>
      </c>
      <c r="AD8" s="103">
        <v>0</v>
      </c>
      <c r="AE8" s="103">
        <v>7247</v>
      </c>
      <c r="AF8" s="112">
        <v>0.03</v>
      </c>
      <c r="AG8" s="103">
        <v>0</v>
      </c>
      <c r="AH8" s="103">
        <v>217.41</v>
      </c>
      <c r="AI8" s="103">
        <v>0</v>
      </c>
      <c r="AJ8" s="103">
        <v>217.41</v>
      </c>
      <c r="AK8" s="103">
        <v>0</v>
      </c>
      <c r="AL8" s="103">
        <v>217.41</v>
      </c>
      <c r="AM8" s="110" t="s">
        <v>201</v>
      </c>
      <c r="AN8" s="109"/>
    </row>
    <row r="9" spans="1:40">
      <c r="A9" s="110" t="s">
        <v>201</v>
      </c>
      <c r="B9" s="110" t="s">
        <v>61</v>
      </c>
      <c r="C9" s="110" t="s">
        <v>202</v>
      </c>
      <c r="D9" s="110" t="s">
        <v>62</v>
      </c>
      <c r="E9" s="110" t="s">
        <v>442</v>
      </c>
      <c r="F9" s="110" t="s">
        <v>443</v>
      </c>
      <c r="G9" s="111" t="s">
        <v>203</v>
      </c>
      <c r="H9" s="103">
        <v>15600</v>
      </c>
      <c r="I9" s="103">
        <v>0</v>
      </c>
      <c r="J9" s="103">
        <v>0</v>
      </c>
      <c r="K9" s="103">
        <v>274.39999999999998</v>
      </c>
      <c r="L9" s="103">
        <v>68.599999999999994</v>
      </c>
      <c r="M9" s="103">
        <v>17.149999999999999</v>
      </c>
      <c r="N9" s="103">
        <v>82</v>
      </c>
      <c r="O9" s="103">
        <v>0</v>
      </c>
      <c r="P9" s="103">
        <v>0</v>
      </c>
      <c r="Q9" s="103">
        <v>0</v>
      </c>
      <c r="R9" s="103">
        <v>0</v>
      </c>
      <c r="S9" s="103">
        <v>30393.1</v>
      </c>
      <c r="T9" s="103">
        <v>0</v>
      </c>
      <c r="U9" s="103">
        <v>10000</v>
      </c>
      <c r="V9" s="103">
        <v>885.3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v>0</v>
      </c>
      <c r="AD9" s="103">
        <v>0</v>
      </c>
      <c r="AE9" s="103">
        <v>19507.8</v>
      </c>
      <c r="AF9" s="112">
        <v>0.03</v>
      </c>
      <c r="AG9" s="103">
        <v>0</v>
      </c>
      <c r="AH9" s="103">
        <v>585.23</v>
      </c>
      <c r="AI9" s="103">
        <v>0</v>
      </c>
      <c r="AJ9" s="103">
        <v>585.23</v>
      </c>
      <c r="AK9" s="103">
        <v>280.5</v>
      </c>
      <c r="AL9" s="103">
        <v>304.73</v>
      </c>
      <c r="AM9" s="110" t="s">
        <v>201</v>
      </c>
      <c r="AN9" s="109"/>
    </row>
    <row r="10" spans="1:40">
      <c r="A10" s="110" t="s">
        <v>201</v>
      </c>
      <c r="B10" s="110" t="s">
        <v>376</v>
      </c>
      <c r="C10" s="110" t="s">
        <v>202</v>
      </c>
      <c r="D10" s="110" t="s">
        <v>377</v>
      </c>
      <c r="E10" s="110" t="s">
        <v>442</v>
      </c>
      <c r="F10" s="110" t="s">
        <v>443</v>
      </c>
      <c r="G10" s="111" t="s">
        <v>203</v>
      </c>
      <c r="H10" s="103">
        <v>20000</v>
      </c>
      <c r="I10" s="103">
        <v>0</v>
      </c>
      <c r="J10" s="103">
        <v>0</v>
      </c>
      <c r="K10" s="103">
        <v>1283.5999999999999</v>
      </c>
      <c r="L10" s="103">
        <v>323.89999999999998</v>
      </c>
      <c r="M10" s="103">
        <v>80.23</v>
      </c>
      <c r="N10" s="103">
        <v>1925</v>
      </c>
      <c r="O10" s="103">
        <v>0</v>
      </c>
      <c r="P10" s="103">
        <v>0</v>
      </c>
      <c r="Q10" s="103">
        <v>0</v>
      </c>
      <c r="R10" s="103">
        <v>0</v>
      </c>
      <c r="S10" s="103">
        <v>20000</v>
      </c>
      <c r="T10" s="103">
        <v>0</v>
      </c>
      <c r="U10" s="103">
        <v>5000</v>
      </c>
      <c r="V10" s="103">
        <v>3612.73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v>0</v>
      </c>
      <c r="AD10" s="103">
        <v>0</v>
      </c>
      <c r="AE10" s="103">
        <v>11387.27</v>
      </c>
      <c r="AF10" s="112">
        <v>0.03</v>
      </c>
      <c r="AG10" s="103">
        <v>0</v>
      </c>
      <c r="AH10" s="103">
        <v>341.62</v>
      </c>
      <c r="AI10" s="103">
        <v>0</v>
      </c>
      <c r="AJ10" s="103">
        <v>341.62</v>
      </c>
      <c r="AK10" s="103">
        <v>0</v>
      </c>
      <c r="AL10" s="103">
        <v>341.62</v>
      </c>
      <c r="AM10" s="110" t="s">
        <v>201</v>
      </c>
      <c r="AN10" s="109"/>
    </row>
    <row r="11" spans="1:40">
      <c r="A11" s="110" t="s">
        <v>201</v>
      </c>
      <c r="B11" s="110" t="s">
        <v>390</v>
      </c>
      <c r="C11" s="110" t="s">
        <v>202</v>
      </c>
      <c r="D11" s="110" t="s">
        <v>391</v>
      </c>
      <c r="E11" s="110" t="s">
        <v>442</v>
      </c>
      <c r="F11" s="110" t="s">
        <v>443</v>
      </c>
      <c r="G11" s="111" t="s">
        <v>203</v>
      </c>
      <c r="H11" s="103">
        <v>21666.67</v>
      </c>
      <c r="I11" s="103">
        <v>0</v>
      </c>
      <c r="J11" s="103">
        <v>0</v>
      </c>
      <c r="K11" s="103">
        <v>1560</v>
      </c>
      <c r="L11" s="103">
        <v>393</v>
      </c>
      <c r="M11" s="103">
        <v>97.5</v>
      </c>
      <c r="N11" s="103">
        <v>2340</v>
      </c>
      <c r="O11" s="103">
        <v>0</v>
      </c>
      <c r="P11" s="103">
        <v>0</v>
      </c>
      <c r="Q11" s="103">
        <v>0</v>
      </c>
      <c r="R11" s="103">
        <v>0</v>
      </c>
      <c r="S11" s="103">
        <v>21666.67</v>
      </c>
      <c r="T11" s="103">
        <v>0</v>
      </c>
      <c r="U11" s="103">
        <v>5000</v>
      </c>
      <c r="V11" s="103">
        <v>4390.5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v>0</v>
      </c>
      <c r="AD11" s="103">
        <v>0</v>
      </c>
      <c r="AE11" s="103">
        <v>12276.17</v>
      </c>
      <c r="AF11" s="112">
        <v>0.03</v>
      </c>
      <c r="AG11" s="103">
        <v>0</v>
      </c>
      <c r="AH11" s="103">
        <v>368.29</v>
      </c>
      <c r="AI11" s="103">
        <v>0</v>
      </c>
      <c r="AJ11" s="103">
        <v>368.29</v>
      </c>
      <c r="AK11" s="103">
        <v>0</v>
      </c>
      <c r="AL11" s="103">
        <v>368.29</v>
      </c>
      <c r="AM11" s="110" t="s">
        <v>201</v>
      </c>
      <c r="AN11" s="109"/>
    </row>
    <row r="12" spans="1:40">
      <c r="A12" s="110" t="s">
        <v>201</v>
      </c>
      <c r="B12" s="110" t="s">
        <v>239</v>
      </c>
      <c r="C12" s="110" t="s">
        <v>202</v>
      </c>
      <c r="D12" s="110" t="s">
        <v>240</v>
      </c>
      <c r="E12" s="110" t="s">
        <v>442</v>
      </c>
      <c r="F12" s="110" t="s">
        <v>443</v>
      </c>
      <c r="G12" s="111" t="s">
        <v>203</v>
      </c>
      <c r="H12" s="103">
        <v>15400.01</v>
      </c>
      <c r="I12" s="103">
        <v>0</v>
      </c>
      <c r="J12" s="103">
        <v>0</v>
      </c>
      <c r="K12" s="103">
        <v>1832</v>
      </c>
      <c r="L12" s="103">
        <v>461</v>
      </c>
      <c r="M12" s="103">
        <v>114.5</v>
      </c>
      <c r="N12" s="103">
        <v>2748</v>
      </c>
      <c r="O12" s="103">
        <v>0</v>
      </c>
      <c r="P12" s="103">
        <v>0</v>
      </c>
      <c r="Q12" s="103">
        <v>0</v>
      </c>
      <c r="R12" s="103">
        <v>0</v>
      </c>
      <c r="S12" s="103">
        <v>15400.01</v>
      </c>
      <c r="T12" s="103">
        <v>0</v>
      </c>
      <c r="U12" s="103">
        <v>5000</v>
      </c>
      <c r="V12" s="103">
        <v>5155.5</v>
      </c>
      <c r="W12" s="103">
        <v>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v>0</v>
      </c>
      <c r="AD12" s="103">
        <v>0</v>
      </c>
      <c r="AE12" s="103">
        <v>5244.51</v>
      </c>
      <c r="AF12" s="112">
        <v>0.03</v>
      </c>
      <c r="AG12" s="103">
        <v>0</v>
      </c>
      <c r="AH12" s="103">
        <v>157.34</v>
      </c>
      <c r="AI12" s="103">
        <v>0</v>
      </c>
      <c r="AJ12" s="103">
        <v>157.34</v>
      </c>
      <c r="AK12" s="103">
        <v>0</v>
      </c>
      <c r="AL12" s="103">
        <v>157.34</v>
      </c>
      <c r="AM12" s="110" t="s">
        <v>201</v>
      </c>
      <c r="AN12" s="109"/>
    </row>
    <row r="13" spans="1:40">
      <c r="A13" s="110" t="s">
        <v>201</v>
      </c>
      <c r="B13" s="110" t="s">
        <v>1</v>
      </c>
      <c r="C13" s="110" t="s">
        <v>202</v>
      </c>
      <c r="D13" s="110" t="s">
        <v>4</v>
      </c>
      <c r="E13" s="110" t="s">
        <v>442</v>
      </c>
      <c r="F13" s="110" t="s">
        <v>443</v>
      </c>
      <c r="G13" s="111" t="s">
        <v>203</v>
      </c>
      <c r="H13" s="103">
        <v>8800</v>
      </c>
      <c r="I13" s="103">
        <v>0</v>
      </c>
      <c r="J13" s="103">
        <v>0</v>
      </c>
      <c r="K13" s="103">
        <v>428.8</v>
      </c>
      <c r="L13" s="103">
        <v>110.2</v>
      </c>
      <c r="M13" s="103">
        <v>26.8</v>
      </c>
      <c r="N13" s="103">
        <v>316</v>
      </c>
      <c r="O13" s="103">
        <v>0</v>
      </c>
      <c r="P13" s="103">
        <v>0</v>
      </c>
      <c r="Q13" s="103">
        <v>0</v>
      </c>
      <c r="R13" s="103">
        <v>0</v>
      </c>
      <c r="S13" s="103">
        <v>17600</v>
      </c>
      <c r="T13" s="103">
        <v>0</v>
      </c>
      <c r="U13" s="103">
        <v>10000</v>
      </c>
      <c r="V13" s="103">
        <v>1763.6</v>
      </c>
      <c r="W13" s="103">
        <v>0</v>
      </c>
      <c r="X13" s="103">
        <v>0</v>
      </c>
      <c r="Y13" s="103">
        <v>0</v>
      </c>
      <c r="Z13" s="103">
        <v>3000</v>
      </c>
      <c r="AA13" s="103">
        <v>0</v>
      </c>
      <c r="AB13" s="103">
        <v>0</v>
      </c>
      <c r="AC13" s="103">
        <v>0</v>
      </c>
      <c r="AD13" s="103">
        <v>0</v>
      </c>
      <c r="AE13" s="103">
        <v>2836.4</v>
      </c>
      <c r="AF13" s="112">
        <v>0.03</v>
      </c>
      <c r="AG13" s="103">
        <v>0</v>
      </c>
      <c r="AH13" s="103">
        <v>85.09</v>
      </c>
      <c r="AI13" s="103">
        <v>0</v>
      </c>
      <c r="AJ13" s="103">
        <v>85.09</v>
      </c>
      <c r="AK13" s="103">
        <v>42.55</v>
      </c>
      <c r="AL13" s="103">
        <v>42.54</v>
      </c>
      <c r="AM13" s="110" t="s">
        <v>201</v>
      </c>
      <c r="AN13" s="109"/>
    </row>
    <row r="14" spans="1:40">
      <c r="A14" s="110" t="s">
        <v>201</v>
      </c>
      <c r="B14" s="110" t="s">
        <v>43</v>
      </c>
      <c r="C14" s="110" t="s">
        <v>202</v>
      </c>
      <c r="D14" s="110" t="s">
        <v>44</v>
      </c>
      <c r="E14" s="110" t="s">
        <v>442</v>
      </c>
      <c r="F14" s="110" t="s">
        <v>443</v>
      </c>
      <c r="G14" s="111" t="s">
        <v>203</v>
      </c>
      <c r="H14" s="103">
        <v>4500</v>
      </c>
      <c r="I14" s="103">
        <v>0</v>
      </c>
      <c r="J14" s="103">
        <v>0</v>
      </c>
      <c r="K14" s="103">
        <v>188</v>
      </c>
      <c r="L14" s="103">
        <v>73.52</v>
      </c>
      <c r="M14" s="103">
        <v>11.76</v>
      </c>
      <c r="N14" s="103">
        <v>34</v>
      </c>
      <c r="O14" s="103">
        <v>0</v>
      </c>
      <c r="P14" s="103">
        <v>0</v>
      </c>
      <c r="Q14" s="103">
        <v>0</v>
      </c>
      <c r="R14" s="103">
        <v>0</v>
      </c>
      <c r="S14" s="103">
        <v>9000</v>
      </c>
      <c r="T14" s="103">
        <v>0</v>
      </c>
      <c r="U14" s="103">
        <v>10000</v>
      </c>
      <c r="V14" s="103">
        <v>671.8</v>
      </c>
      <c r="W14" s="103">
        <v>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v>0</v>
      </c>
      <c r="AD14" s="103">
        <v>0</v>
      </c>
      <c r="AE14" s="103">
        <v>0</v>
      </c>
      <c r="AF14" s="112">
        <v>0.03</v>
      </c>
      <c r="AG14" s="103">
        <v>0</v>
      </c>
      <c r="AH14" s="103">
        <v>0</v>
      </c>
      <c r="AI14" s="103">
        <v>0</v>
      </c>
      <c r="AJ14" s="103">
        <v>0</v>
      </c>
      <c r="AK14" s="103">
        <v>0</v>
      </c>
      <c r="AL14" s="103">
        <v>0</v>
      </c>
      <c r="AM14" s="110" t="s">
        <v>201</v>
      </c>
      <c r="AN14" s="109"/>
    </row>
    <row r="15" spans="1:40">
      <c r="A15" s="110" t="s">
        <v>201</v>
      </c>
      <c r="B15" s="110" t="s">
        <v>378</v>
      </c>
      <c r="C15" s="110" t="s">
        <v>202</v>
      </c>
      <c r="D15" s="110" t="s">
        <v>379</v>
      </c>
      <c r="E15" s="110" t="s">
        <v>442</v>
      </c>
      <c r="F15" s="110" t="s">
        <v>443</v>
      </c>
      <c r="G15" s="111" t="s">
        <v>203</v>
      </c>
      <c r="H15" s="103">
        <v>20000</v>
      </c>
      <c r="I15" s="103">
        <v>0</v>
      </c>
      <c r="J15" s="103">
        <v>0</v>
      </c>
      <c r="K15" s="103">
        <v>1391.28</v>
      </c>
      <c r="L15" s="103">
        <v>350.82</v>
      </c>
      <c r="M15" s="103">
        <v>86.96</v>
      </c>
      <c r="N15" s="103">
        <v>2087</v>
      </c>
      <c r="O15" s="103">
        <v>0</v>
      </c>
      <c r="P15" s="103">
        <v>0</v>
      </c>
      <c r="Q15" s="103">
        <v>0</v>
      </c>
      <c r="R15" s="103">
        <v>0</v>
      </c>
      <c r="S15" s="103">
        <v>20000</v>
      </c>
      <c r="T15" s="103">
        <v>0</v>
      </c>
      <c r="U15" s="103">
        <v>5000</v>
      </c>
      <c r="V15" s="103">
        <v>3916.06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v>0</v>
      </c>
      <c r="AD15" s="103">
        <v>0</v>
      </c>
      <c r="AE15" s="103">
        <v>11083.94</v>
      </c>
      <c r="AF15" s="112">
        <v>0.03</v>
      </c>
      <c r="AG15" s="103">
        <v>0</v>
      </c>
      <c r="AH15" s="103">
        <v>332.52</v>
      </c>
      <c r="AI15" s="103">
        <v>0</v>
      </c>
      <c r="AJ15" s="103">
        <v>332.52</v>
      </c>
      <c r="AK15" s="103">
        <v>0</v>
      </c>
      <c r="AL15" s="103">
        <v>332.52</v>
      </c>
      <c r="AM15" s="110" t="s">
        <v>201</v>
      </c>
      <c r="AN15" s="109"/>
    </row>
    <row r="16" spans="1:40">
      <c r="A16" s="110" t="s">
        <v>201</v>
      </c>
      <c r="B16" s="110" t="s">
        <v>3</v>
      </c>
      <c r="C16" s="110" t="s">
        <v>202</v>
      </c>
      <c r="D16" s="110" t="s">
        <v>6</v>
      </c>
      <c r="E16" s="110" t="s">
        <v>442</v>
      </c>
      <c r="F16" s="110" t="s">
        <v>443</v>
      </c>
      <c r="G16" s="111" t="s">
        <v>203</v>
      </c>
      <c r="H16" s="103">
        <v>14597</v>
      </c>
      <c r="I16" s="103">
        <v>0</v>
      </c>
      <c r="J16" s="103">
        <v>0</v>
      </c>
      <c r="K16" s="103">
        <v>428.8</v>
      </c>
      <c r="L16" s="103">
        <v>110.2</v>
      </c>
      <c r="M16" s="103">
        <v>26.8</v>
      </c>
      <c r="N16" s="103">
        <v>1080</v>
      </c>
      <c r="O16" s="103">
        <v>0</v>
      </c>
      <c r="P16" s="103">
        <v>0</v>
      </c>
      <c r="Q16" s="103">
        <v>0</v>
      </c>
      <c r="R16" s="103">
        <v>0</v>
      </c>
      <c r="S16" s="103">
        <v>29194</v>
      </c>
      <c r="T16" s="103">
        <v>0</v>
      </c>
      <c r="U16" s="103">
        <v>10000</v>
      </c>
      <c r="V16" s="103">
        <v>3291.6</v>
      </c>
      <c r="W16" s="103">
        <v>2000</v>
      </c>
      <c r="X16" s="103">
        <v>0</v>
      </c>
      <c r="Y16" s="103">
        <v>2000</v>
      </c>
      <c r="Z16" s="103">
        <v>0</v>
      </c>
      <c r="AA16" s="103">
        <v>2000</v>
      </c>
      <c r="AB16" s="103">
        <v>0</v>
      </c>
      <c r="AC16" s="103">
        <v>0</v>
      </c>
      <c r="AD16" s="103">
        <v>0</v>
      </c>
      <c r="AE16" s="103">
        <v>9902.4</v>
      </c>
      <c r="AF16" s="112">
        <v>0.03</v>
      </c>
      <c r="AG16" s="103">
        <v>0</v>
      </c>
      <c r="AH16" s="103">
        <v>297.07</v>
      </c>
      <c r="AI16" s="103">
        <v>0</v>
      </c>
      <c r="AJ16" s="103">
        <v>297.07</v>
      </c>
      <c r="AK16" s="103">
        <v>148.54</v>
      </c>
      <c r="AL16" s="103">
        <v>148.53</v>
      </c>
      <c r="AM16" s="110" t="s">
        <v>201</v>
      </c>
      <c r="AN16" s="109"/>
    </row>
    <row r="17" spans="1:40">
      <c r="A17" s="110" t="s">
        <v>201</v>
      </c>
      <c r="B17" s="110" t="s">
        <v>374</v>
      </c>
      <c r="C17" s="110" t="s">
        <v>202</v>
      </c>
      <c r="D17" s="110" t="s">
        <v>375</v>
      </c>
      <c r="E17" s="110" t="s">
        <v>442</v>
      </c>
      <c r="F17" s="110" t="s">
        <v>443</v>
      </c>
      <c r="G17" s="111" t="s">
        <v>203</v>
      </c>
      <c r="H17" s="103">
        <v>16666.669999999998</v>
      </c>
      <c r="I17" s="103">
        <v>0</v>
      </c>
      <c r="J17" s="103">
        <v>0</v>
      </c>
      <c r="K17" s="103">
        <v>1174</v>
      </c>
      <c r="L17" s="103">
        <v>296.5</v>
      </c>
      <c r="M17" s="103">
        <v>73.38</v>
      </c>
      <c r="N17" s="103">
        <v>1761</v>
      </c>
      <c r="O17" s="103">
        <v>0</v>
      </c>
      <c r="P17" s="103">
        <v>0</v>
      </c>
      <c r="Q17" s="103">
        <v>0</v>
      </c>
      <c r="R17" s="103">
        <v>0</v>
      </c>
      <c r="S17" s="103">
        <v>16666.669999999998</v>
      </c>
      <c r="T17" s="103">
        <v>0</v>
      </c>
      <c r="U17" s="103">
        <v>5000</v>
      </c>
      <c r="V17" s="103">
        <v>3304.88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v>0</v>
      </c>
      <c r="AD17" s="103">
        <v>0</v>
      </c>
      <c r="AE17" s="103">
        <v>8361.7900000000009</v>
      </c>
      <c r="AF17" s="112">
        <v>0.03</v>
      </c>
      <c r="AG17" s="103">
        <v>0</v>
      </c>
      <c r="AH17" s="103">
        <v>250.85</v>
      </c>
      <c r="AI17" s="103">
        <v>0</v>
      </c>
      <c r="AJ17" s="103">
        <v>250.85</v>
      </c>
      <c r="AK17" s="103">
        <v>0</v>
      </c>
      <c r="AL17" s="103">
        <v>250.85</v>
      </c>
      <c r="AM17" s="110" t="s">
        <v>201</v>
      </c>
      <c r="AN17" s="109"/>
    </row>
    <row r="18" spans="1:40">
      <c r="A18" s="110" t="s">
        <v>201</v>
      </c>
      <c r="B18" s="110" t="s">
        <v>47</v>
      </c>
      <c r="C18" s="110" t="s">
        <v>202</v>
      </c>
      <c r="D18" s="110" t="s">
        <v>48</v>
      </c>
      <c r="E18" s="110" t="s">
        <v>442</v>
      </c>
      <c r="F18" s="110" t="s">
        <v>443</v>
      </c>
      <c r="G18" s="111" t="s">
        <v>203</v>
      </c>
      <c r="H18" s="103">
        <v>16600</v>
      </c>
      <c r="I18" s="103">
        <v>0</v>
      </c>
      <c r="J18" s="103">
        <v>0</v>
      </c>
      <c r="K18" s="103">
        <v>274.39999999999998</v>
      </c>
      <c r="L18" s="103">
        <v>68.599999999999994</v>
      </c>
      <c r="M18" s="103">
        <v>17.149999999999999</v>
      </c>
      <c r="N18" s="103">
        <v>82</v>
      </c>
      <c r="O18" s="103">
        <v>0</v>
      </c>
      <c r="P18" s="103">
        <v>0</v>
      </c>
      <c r="Q18" s="103">
        <v>0</v>
      </c>
      <c r="R18" s="103">
        <v>0</v>
      </c>
      <c r="S18" s="103">
        <v>30600</v>
      </c>
      <c r="T18" s="103">
        <v>0</v>
      </c>
      <c r="U18" s="103">
        <v>10000</v>
      </c>
      <c r="V18" s="103">
        <v>885.3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v>0</v>
      </c>
      <c r="AD18" s="103">
        <v>0</v>
      </c>
      <c r="AE18" s="103">
        <v>19714.7</v>
      </c>
      <c r="AF18" s="112">
        <v>0.03</v>
      </c>
      <c r="AG18" s="103">
        <v>0</v>
      </c>
      <c r="AH18" s="103">
        <v>591.44000000000005</v>
      </c>
      <c r="AI18" s="103">
        <v>0</v>
      </c>
      <c r="AJ18" s="103">
        <v>591.44000000000005</v>
      </c>
      <c r="AK18" s="103">
        <v>256.70999999999998</v>
      </c>
      <c r="AL18" s="103">
        <v>334.73</v>
      </c>
      <c r="AM18" s="110" t="s">
        <v>201</v>
      </c>
      <c r="AN18" s="109"/>
    </row>
    <row r="19" spans="1:40">
      <c r="A19" s="110" t="s">
        <v>201</v>
      </c>
      <c r="B19" s="110" t="s">
        <v>397</v>
      </c>
      <c r="C19" s="110" t="s">
        <v>202</v>
      </c>
      <c r="D19" s="110" t="s">
        <v>398</v>
      </c>
      <c r="E19" s="110" t="s">
        <v>442</v>
      </c>
      <c r="F19" s="110" t="s">
        <v>443</v>
      </c>
      <c r="G19" s="111" t="s">
        <v>203</v>
      </c>
      <c r="H19" s="103">
        <v>22500</v>
      </c>
      <c r="I19" s="103">
        <v>0</v>
      </c>
      <c r="J19" s="103">
        <v>0</v>
      </c>
      <c r="K19" s="103">
        <v>1620</v>
      </c>
      <c r="L19" s="103">
        <v>408</v>
      </c>
      <c r="M19" s="103">
        <v>101.25</v>
      </c>
      <c r="N19" s="103">
        <v>2430</v>
      </c>
      <c r="O19" s="103">
        <v>0</v>
      </c>
      <c r="P19" s="103">
        <v>0</v>
      </c>
      <c r="Q19" s="103">
        <v>0</v>
      </c>
      <c r="R19" s="103">
        <v>0</v>
      </c>
      <c r="S19" s="103">
        <v>22500</v>
      </c>
      <c r="T19" s="103">
        <v>0</v>
      </c>
      <c r="U19" s="103">
        <v>5000</v>
      </c>
      <c r="V19" s="103">
        <v>4559.25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v>0</v>
      </c>
      <c r="AD19" s="103">
        <v>0</v>
      </c>
      <c r="AE19" s="103">
        <v>12940.75</v>
      </c>
      <c r="AF19" s="112">
        <v>0.03</v>
      </c>
      <c r="AG19" s="103">
        <v>0</v>
      </c>
      <c r="AH19" s="103">
        <v>388.22</v>
      </c>
      <c r="AI19" s="103">
        <v>0</v>
      </c>
      <c r="AJ19" s="103">
        <v>388.22</v>
      </c>
      <c r="AK19" s="103">
        <v>0</v>
      </c>
      <c r="AL19" s="103">
        <v>388.22</v>
      </c>
      <c r="AM19" s="110" t="s">
        <v>201</v>
      </c>
      <c r="AN19" s="109"/>
    </row>
    <row r="20" spans="1:40">
      <c r="A20" s="110" t="s">
        <v>201</v>
      </c>
      <c r="B20" s="110" t="s">
        <v>243</v>
      </c>
      <c r="C20" s="110" t="s">
        <v>202</v>
      </c>
      <c r="D20" s="110" t="s">
        <v>244</v>
      </c>
      <c r="E20" s="110" t="s">
        <v>442</v>
      </c>
      <c r="F20" s="110" t="s">
        <v>443</v>
      </c>
      <c r="G20" s="111" t="s">
        <v>203</v>
      </c>
      <c r="H20" s="103">
        <v>19600.009999999998</v>
      </c>
      <c r="I20" s="103">
        <v>0</v>
      </c>
      <c r="J20" s="103">
        <v>0</v>
      </c>
      <c r="K20" s="103">
        <v>428.8</v>
      </c>
      <c r="L20" s="103">
        <v>110.2</v>
      </c>
      <c r="M20" s="103">
        <v>26.8</v>
      </c>
      <c r="N20" s="103">
        <v>3252</v>
      </c>
      <c r="O20" s="103">
        <v>0</v>
      </c>
      <c r="P20" s="103">
        <v>0</v>
      </c>
      <c r="Q20" s="103">
        <v>0</v>
      </c>
      <c r="R20" s="103">
        <v>0</v>
      </c>
      <c r="S20" s="103">
        <v>19600.009999999998</v>
      </c>
      <c r="T20" s="103">
        <v>0</v>
      </c>
      <c r="U20" s="103">
        <v>5000</v>
      </c>
      <c r="V20" s="103">
        <v>3817.8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0</v>
      </c>
      <c r="AE20" s="103">
        <v>10782.21</v>
      </c>
      <c r="AF20" s="112">
        <v>0.03</v>
      </c>
      <c r="AG20" s="103">
        <v>0</v>
      </c>
      <c r="AH20" s="103">
        <v>323.47000000000003</v>
      </c>
      <c r="AI20" s="103">
        <v>0</v>
      </c>
      <c r="AJ20" s="103">
        <v>323.47000000000003</v>
      </c>
      <c r="AK20" s="103">
        <v>0</v>
      </c>
      <c r="AL20" s="103">
        <v>323.47000000000003</v>
      </c>
      <c r="AM20" s="110" t="s">
        <v>201</v>
      </c>
      <c r="AN20" s="109"/>
    </row>
    <row r="21" spans="1:40">
      <c r="A21" s="110" t="s">
        <v>201</v>
      </c>
      <c r="B21" s="110" t="s">
        <v>265</v>
      </c>
      <c r="C21" s="110" t="s">
        <v>202</v>
      </c>
      <c r="D21" s="110" t="s">
        <v>405</v>
      </c>
      <c r="E21" s="110" t="s">
        <v>442</v>
      </c>
      <c r="F21" s="110" t="s">
        <v>443</v>
      </c>
      <c r="G21" s="111" t="s">
        <v>203</v>
      </c>
      <c r="H21" s="103">
        <v>1000</v>
      </c>
      <c r="I21" s="103">
        <v>0</v>
      </c>
      <c r="J21" s="103">
        <v>0</v>
      </c>
      <c r="K21" s="103">
        <v>274.39999999999998</v>
      </c>
      <c r="L21" s="103">
        <v>68.599999999999994</v>
      </c>
      <c r="M21" s="103">
        <v>17.149999999999999</v>
      </c>
      <c r="N21" s="103">
        <v>82.5</v>
      </c>
      <c r="O21" s="103">
        <v>0</v>
      </c>
      <c r="P21" s="103">
        <v>0</v>
      </c>
      <c r="Q21" s="103">
        <v>0</v>
      </c>
      <c r="R21" s="103">
        <v>0</v>
      </c>
      <c r="S21" s="103">
        <v>1000</v>
      </c>
      <c r="T21" s="103">
        <v>0</v>
      </c>
      <c r="U21" s="103">
        <v>5000</v>
      </c>
      <c r="V21" s="103">
        <v>442.65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0</v>
      </c>
      <c r="AF21" s="112">
        <v>0.03</v>
      </c>
      <c r="AG21" s="103">
        <v>0</v>
      </c>
      <c r="AH21" s="103">
        <v>0</v>
      </c>
      <c r="AI21" s="103">
        <v>0</v>
      </c>
      <c r="AJ21" s="103">
        <v>0</v>
      </c>
      <c r="AK21" s="103">
        <v>0</v>
      </c>
      <c r="AL21" s="103">
        <v>0</v>
      </c>
      <c r="AM21" s="110" t="s">
        <v>201</v>
      </c>
      <c r="AN21" s="109"/>
    </row>
    <row r="22" spans="1:40">
      <c r="A22" s="110" t="s">
        <v>201</v>
      </c>
      <c r="B22" s="110" t="s">
        <v>241</v>
      </c>
      <c r="C22" s="110" t="s">
        <v>202</v>
      </c>
      <c r="D22" s="110" t="s">
        <v>242</v>
      </c>
      <c r="E22" s="110" t="s">
        <v>442</v>
      </c>
      <c r="F22" s="110" t="s">
        <v>443</v>
      </c>
      <c r="G22" s="111" t="s">
        <v>203</v>
      </c>
      <c r="H22" s="103">
        <v>15400.01</v>
      </c>
      <c r="I22" s="103">
        <v>0</v>
      </c>
      <c r="J22" s="103">
        <v>0</v>
      </c>
      <c r="K22" s="103">
        <v>1832</v>
      </c>
      <c r="L22" s="103">
        <v>461</v>
      </c>
      <c r="M22" s="103">
        <v>114.5</v>
      </c>
      <c r="N22" s="103">
        <v>2748</v>
      </c>
      <c r="O22" s="103">
        <v>0</v>
      </c>
      <c r="P22" s="103">
        <v>0</v>
      </c>
      <c r="Q22" s="103">
        <v>0</v>
      </c>
      <c r="R22" s="103">
        <v>0</v>
      </c>
      <c r="S22" s="103">
        <v>15400.01</v>
      </c>
      <c r="T22" s="103">
        <v>0</v>
      </c>
      <c r="U22" s="103">
        <v>5000</v>
      </c>
      <c r="V22" s="103">
        <v>5155.5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v>0</v>
      </c>
      <c r="AD22" s="103">
        <v>0</v>
      </c>
      <c r="AE22" s="103">
        <v>5244.51</v>
      </c>
      <c r="AF22" s="112">
        <v>0.03</v>
      </c>
      <c r="AG22" s="103">
        <v>0</v>
      </c>
      <c r="AH22" s="103">
        <v>157.34</v>
      </c>
      <c r="AI22" s="103">
        <v>0</v>
      </c>
      <c r="AJ22" s="103">
        <v>157.34</v>
      </c>
      <c r="AK22" s="103">
        <v>0</v>
      </c>
      <c r="AL22" s="103">
        <v>157.34</v>
      </c>
      <c r="AM22" s="110" t="s">
        <v>201</v>
      </c>
      <c r="AN22" s="109"/>
    </row>
    <row r="23" spans="1:40">
      <c r="A23" s="110" t="s">
        <v>201</v>
      </c>
      <c r="B23" s="110" t="s">
        <v>259</v>
      </c>
      <c r="C23" s="110" t="s">
        <v>202</v>
      </c>
      <c r="D23" s="110" t="s">
        <v>260</v>
      </c>
      <c r="E23" s="110" t="s">
        <v>442</v>
      </c>
      <c r="F23" s="110" t="s">
        <v>443</v>
      </c>
      <c r="G23" s="111" t="s">
        <v>203</v>
      </c>
      <c r="H23" s="103">
        <v>19300</v>
      </c>
      <c r="I23" s="103">
        <v>0</v>
      </c>
      <c r="J23" s="103">
        <v>0</v>
      </c>
      <c r="K23" s="103">
        <v>1544</v>
      </c>
      <c r="L23" s="103">
        <v>389</v>
      </c>
      <c r="M23" s="103">
        <v>96.5</v>
      </c>
      <c r="N23" s="103">
        <v>2316</v>
      </c>
      <c r="O23" s="103">
        <v>0</v>
      </c>
      <c r="P23" s="103">
        <v>0</v>
      </c>
      <c r="Q23" s="103">
        <v>0</v>
      </c>
      <c r="R23" s="103">
        <v>0</v>
      </c>
      <c r="S23" s="103">
        <v>19300</v>
      </c>
      <c r="T23" s="103">
        <v>0</v>
      </c>
      <c r="U23" s="103">
        <v>5000</v>
      </c>
      <c r="V23" s="103">
        <v>4345.5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9954.5</v>
      </c>
      <c r="AF23" s="112">
        <v>0.03</v>
      </c>
      <c r="AG23" s="103">
        <v>0</v>
      </c>
      <c r="AH23" s="103">
        <v>298.64</v>
      </c>
      <c r="AI23" s="103">
        <v>0</v>
      </c>
      <c r="AJ23" s="103">
        <v>298.64</v>
      </c>
      <c r="AK23" s="103">
        <v>0</v>
      </c>
      <c r="AL23" s="103">
        <v>298.64</v>
      </c>
      <c r="AM23" s="110" t="s">
        <v>201</v>
      </c>
    </row>
    <row r="24" spans="1:40">
      <c r="A24" s="110" t="s">
        <v>201</v>
      </c>
      <c r="B24" s="110" t="s">
        <v>237</v>
      </c>
      <c r="C24" s="110" t="s">
        <v>202</v>
      </c>
      <c r="D24" s="110" t="s">
        <v>238</v>
      </c>
      <c r="E24" s="110" t="s">
        <v>442</v>
      </c>
      <c r="F24" s="110" t="s">
        <v>443</v>
      </c>
      <c r="G24" s="111" t="s">
        <v>203</v>
      </c>
      <c r="H24" s="103">
        <v>15400.01</v>
      </c>
      <c r="I24" s="103">
        <v>0</v>
      </c>
      <c r="J24" s="103">
        <v>0</v>
      </c>
      <c r="K24" s="103">
        <v>1832</v>
      </c>
      <c r="L24" s="103">
        <v>461</v>
      </c>
      <c r="M24" s="103">
        <v>114.5</v>
      </c>
      <c r="N24" s="103">
        <v>2748</v>
      </c>
      <c r="O24" s="103">
        <v>0</v>
      </c>
      <c r="P24" s="103">
        <v>0</v>
      </c>
      <c r="Q24" s="103">
        <v>0</v>
      </c>
      <c r="R24" s="103">
        <v>0</v>
      </c>
      <c r="S24" s="103">
        <v>15400.01</v>
      </c>
      <c r="T24" s="103">
        <v>0</v>
      </c>
      <c r="U24" s="103">
        <v>10000</v>
      </c>
      <c r="V24" s="103">
        <v>5155.5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244.51</v>
      </c>
      <c r="AF24" s="112">
        <v>0.03</v>
      </c>
      <c r="AG24" s="103">
        <v>0</v>
      </c>
      <c r="AH24" s="103">
        <v>7.34</v>
      </c>
      <c r="AI24" s="103">
        <v>0</v>
      </c>
      <c r="AJ24" s="103">
        <v>7.34</v>
      </c>
      <c r="AK24" s="103">
        <v>0</v>
      </c>
      <c r="AL24" s="103">
        <v>7.34</v>
      </c>
      <c r="AM24" s="110" t="s">
        <v>201</v>
      </c>
    </row>
    <row r="25" spans="1:40">
      <c r="A25" s="110" t="s">
        <v>201</v>
      </c>
      <c r="B25" s="110" t="s">
        <v>380</v>
      </c>
      <c r="C25" s="110" t="s">
        <v>202</v>
      </c>
      <c r="D25" s="110" t="s">
        <v>381</v>
      </c>
      <c r="E25" s="110" t="s">
        <v>442</v>
      </c>
      <c r="F25" s="110" t="s">
        <v>443</v>
      </c>
      <c r="G25" s="111" t="s">
        <v>203</v>
      </c>
      <c r="H25" s="103">
        <v>15833</v>
      </c>
      <c r="I25" s="103">
        <v>0</v>
      </c>
      <c r="J25" s="103">
        <v>0</v>
      </c>
      <c r="K25" s="103">
        <v>1140</v>
      </c>
      <c r="L25" s="103">
        <v>288</v>
      </c>
      <c r="M25" s="103">
        <v>71.25</v>
      </c>
      <c r="N25" s="103">
        <v>1710</v>
      </c>
      <c r="O25" s="103">
        <v>0</v>
      </c>
      <c r="P25" s="103">
        <v>0</v>
      </c>
      <c r="Q25" s="103">
        <v>0</v>
      </c>
      <c r="R25" s="103">
        <v>0</v>
      </c>
      <c r="S25" s="103">
        <v>15833</v>
      </c>
      <c r="T25" s="103">
        <v>0</v>
      </c>
      <c r="U25" s="103">
        <v>5000</v>
      </c>
      <c r="V25" s="103">
        <v>3209.25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7623.75</v>
      </c>
      <c r="AF25" s="112">
        <v>0.03</v>
      </c>
      <c r="AG25" s="103">
        <v>0</v>
      </c>
      <c r="AH25" s="103">
        <v>228.71</v>
      </c>
      <c r="AI25" s="103">
        <v>0</v>
      </c>
      <c r="AJ25" s="103">
        <v>228.71</v>
      </c>
      <c r="AK25" s="103">
        <v>0</v>
      </c>
      <c r="AL25" s="103">
        <v>228.71</v>
      </c>
      <c r="AM25" s="110" t="s">
        <v>201</v>
      </c>
    </row>
    <row r="26" spans="1:40">
      <c r="A26" s="110" t="s">
        <v>201</v>
      </c>
      <c r="B26" s="110" t="s">
        <v>382</v>
      </c>
      <c r="C26" s="110" t="s">
        <v>202</v>
      </c>
      <c r="D26" s="110" t="s">
        <v>383</v>
      </c>
      <c r="E26" s="110" t="s">
        <v>442</v>
      </c>
      <c r="F26" s="110" t="s">
        <v>443</v>
      </c>
      <c r="G26" s="111" t="s">
        <v>203</v>
      </c>
      <c r="H26" s="103">
        <v>20833</v>
      </c>
      <c r="I26" s="103">
        <v>0</v>
      </c>
      <c r="J26" s="103">
        <v>0</v>
      </c>
      <c r="K26" s="103">
        <v>1559.28</v>
      </c>
      <c r="L26" s="103">
        <v>392.82</v>
      </c>
      <c r="M26" s="103">
        <v>97.46</v>
      </c>
      <c r="N26" s="103">
        <v>2339</v>
      </c>
      <c r="O26" s="103">
        <v>0</v>
      </c>
      <c r="P26" s="103">
        <v>0</v>
      </c>
      <c r="Q26" s="103">
        <v>0</v>
      </c>
      <c r="R26" s="103">
        <v>0</v>
      </c>
      <c r="S26" s="103">
        <v>20833</v>
      </c>
      <c r="T26" s="103">
        <v>0</v>
      </c>
      <c r="U26" s="103">
        <v>5000</v>
      </c>
      <c r="V26" s="103">
        <v>4388.5600000000004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v>0</v>
      </c>
      <c r="AD26" s="103">
        <v>0</v>
      </c>
      <c r="AE26" s="103">
        <v>11444.44</v>
      </c>
      <c r="AF26" s="112">
        <v>0.03</v>
      </c>
      <c r="AG26" s="103">
        <v>0</v>
      </c>
      <c r="AH26" s="103">
        <v>343.33</v>
      </c>
      <c r="AI26" s="103">
        <v>0</v>
      </c>
      <c r="AJ26" s="103">
        <v>343.33</v>
      </c>
      <c r="AK26" s="103">
        <v>0</v>
      </c>
      <c r="AL26" s="103">
        <v>343.33</v>
      </c>
      <c r="AM26" s="110" t="s">
        <v>201</v>
      </c>
    </row>
    <row r="27" spans="1:40">
      <c r="A27" s="110" t="s">
        <v>201</v>
      </c>
      <c r="B27" s="110" t="s">
        <v>2</v>
      </c>
      <c r="C27" s="110" t="s">
        <v>202</v>
      </c>
      <c r="D27" s="110" t="s">
        <v>5</v>
      </c>
      <c r="E27" s="110" t="s">
        <v>442</v>
      </c>
      <c r="F27" s="110" t="s">
        <v>443</v>
      </c>
      <c r="G27" s="111" t="s">
        <v>203</v>
      </c>
      <c r="H27" s="103">
        <v>8900</v>
      </c>
      <c r="I27" s="103">
        <v>0</v>
      </c>
      <c r="J27" s="103">
        <v>0</v>
      </c>
      <c r="K27" s="103">
        <v>428.8</v>
      </c>
      <c r="L27" s="103">
        <v>110.2</v>
      </c>
      <c r="M27" s="103">
        <v>26.8</v>
      </c>
      <c r="N27" s="103">
        <v>316</v>
      </c>
      <c r="O27" s="103">
        <v>0</v>
      </c>
      <c r="P27" s="103">
        <v>0</v>
      </c>
      <c r="Q27" s="103">
        <v>0</v>
      </c>
      <c r="R27" s="103">
        <v>0</v>
      </c>
      <c r="S27" s="103">
        <v>17800</v>
      </c>
      <c r="T27" s="103">
        <v>0</v>
      </c>
      <c r="U27" s="103">
        <v>10000</v>
      </c>
      <c r="V27" s="103">
        <v>1763.6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v>0</v>
      </c>
      <c r="AD27" s="103">
        <v>0</v>
      </c>
      <c r="AE27" s="103">
        <v>6036.4</v>
      </c>
      <c r="AF27" s="112">
        <v>0.03</v>
      </c>
      <c r="AG27" s="103">
        <v>0</v>
      </c>
      <c r="AH27" s="103">
        <v>181.09</v>
      </c>
      <c r="AI27" s="103">
        <v>0</v>
      </c>
      <c r="AJ27" s="103">
        <v>181.09</v>
      </c>
      <c r="AK27" s="103">
        <v>90.55</v>
      </c>
      <c r="AL27" s="103">
        <v>90.54</v>
      </c>
      <c r="AM27" s="110" t="s">
        <v>201</v>
      </c>
    </row>
    <row r="28" spans="1:40">
      <c r="A28" s="110" t="s">
        <v>201</v>
      </c>
      <c r="B28" s="110" t="s">
        <v>57</v>
      </c>
      <c r="C28" s="110" t="s">
        <v>202</v>
      </c>
      <c r="D28" s="110" t="s">
        <v>58</v>
      </c>
      <c r="E28" s="110" t="s">
        <v>442</v>
      </c>
      <c r="F28" s="110" t="s">
        <v>443</v>
      </c>
      <c r="G28" s="111" t="s">
        <v>203</v>
      </c>
      <c r="H28" s="103">
        <v>21737.93</v>
      </c>
      <c r="I28" s="103">
        <v>0</v>
      </c>
      <c r="J28" s="103">
        <v>0</v>
      </c>
      <c r="K28" s="103">
        <v>274.39999999999998</v>
      </c>
      <c r="L28" s="103">
        <v>68.599999999999994</v>
      </c>
      <c r="M28" s="103">
        <v>17.149999999999999</v>
      </c>
      <c r="N28" s="103">
        <v>82</v>
      </c>
      <c r="O28" s="103">
        <v>0</v>
      </c>
      <c r="P28" s="103">
        <v>0</v>
      </c>
      <c r="Q28" s="103">
        <v>0</v>
      </c>
      <c r="R28" s="103">
        <v>0</v>
      </c>
      <c r="S28" s="103">
        <v>38117.24</v>
      </c>
      <c r="T28" s="103">
        <v>0</v>
      </c>
      <c r="U28" s="103">
        <v>10000</v>
      </c>
      <c r="V28" s="103">
        <v>885.3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v>0</v>
      </c>
      <c r="AD28" s="103">
        <v>0</v>
      </c>
      <c r="AE28" s="103">
        <v>27231.94</v>
      </c>
      <c r="AF28" s="112">
        <v>0.03</v>
      </c>
      <c r="AG28" s="103">
        <v>0</v>
      </c>
      <c r="AH28" s="103">
        <v>816.96</v>
      </c>
      <c r="AI28" s="103">
        <v>0</v>
      </c>
      <c r="AJ28" s="103">
        <v>816.96</v>
      </c>
      <c r="AK28" s="103">
        <v>328.08</v>
      </c>
      <c r="AL28" s="103">
        <v>488.88</v>
      </c>
      <c r="AM28" s="110" t="s">
        <v>201</v>
      </c>
    </row>
    <row r="29" spans="1:40">
      <c r="A29" s="110" t="s">
        <v>201</v>
      </c>
      <c r="B29" s="110" t="s">
        <v>261</v>
      </c>
      <c r="C29" s="110" t="s">
        <v>202</v>
      </c>
      <c r="D29" s="110" t="s">
        <v>262</v>
      </c>
      <c r="E29" s="110" t="s">
        <v>442</v>
      </c>
      <c r="F29" s="110" t="s">
        <v>443</v>
      </c>
      <c r="G29" s="111" t="s">
        <v>203</v>
      </c>
      <c r="H29" s="103">
        <v>1000</v>
      </c>
      <c r="I29" s="103">
        <v>0</v>
      </c>
      <c r="J29" s="103">
        <v>0</v>
      </c>
      <c r="K29" s="103">
        <v>274.39999999999998</v>
      </c>
      <c r="L29" s="103">
        <v>68.599999999999994</v>
      </c>
      <c r="M29" s="103">
        <v>17.149999999999999</v>
      </c>
      <c r="N29" s="103">
        <v>82.5</v>
      </c>
      <c r="O29" s="103">
        <v>0</v>
      </c>
      <c r="P29" s="103">
        <v>0</v>
      </c>
      <c r="Q29" s="103">
        <v>0</v>
      </c>
      <c r="R29" s="103">
        <v>0</v>
      </c>
      <c r="S29" s="103">
        <v>1000</v>
      </c>
      <c r="T29" s="103">
        <v>0</v>
      </c>
      <c r="U29" s="103">
        <v>5000</v>
      </c>
      <c r="V29" s="103">
        <v>442.65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v>0</v>
      </c>
      <c r="AD29" s="103">
        <v>0</v>
      </c>
      <c r="AE29" s="103">
        <v>0</v>
      </c>
      <c r="AF29" s="112">
        <v>0.03</v>
      </c>
      <c r="AG29" s="103">
        <v>0</v>
      </c>
      <c r="AH29" s="103">
        <v>0</v>
      </c>
      <c r="AI29" s="103">
        <v>0</v>
      </c>
      <c r="AJ29" s="103">
        <v>0</v>
      </c>
      <c r="AK29" s="103">
        <v>0</v>
      </c>
      <c r="AL29" s="103">
        <v>0</v>
      </c>
      <c r="AM29" s="110" t="s">
        <v>201</v>
      </c>
    </row>
    <row r="30" spans="1:40" s="251" customFormat="1">
      <c r="A30" s="247" t="s">
        <v>201</v>
      </c>
      <c r="B30" s="247" t="s">
        <v>36</v>
      </c>
      <c r="C30" s="247" t="s">
        <v>202</v>
      </c>
      <c r="D30" s="247" t="s">
        <v>37</v>
      </c>
      <c r="E30" s="247" t="s">
        <v>442</v>
      </c>
      <c r="F30" s="247" t="s">
        <v>443</v>
      </c>
      <c r="G30" s="247" t="s">
        <v>203</v>
      </c>
      <c r="H30" s="248">
        <v>5945</v>
      </c>
      <c r="I30" s="248">
        <v>0</v>
      </c>
      <c r="J30" s="248">
        <v>0</v>
      </c>
      <c r="K30" s="248">
        <v>0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9225</v>
      </c>
      <c r="T30" s="248">
        <v>0</v>
      </c>
      <c r="U30" s="248">
        <v>10000</v>
      </c>
      <c r="V30" s="249">
        <v>1021.8</v>
      </c>
      <c r="W30" s="248">
        <v>0</v>
      </c>
      <c r="X30" s="248">
        <v>0</v>
      </c>
      <c r="Y30" s="248">
        <v>0</v>
      </c>
      <c r="Z30" s="248">
        <v>0</v>
      </c>
      <c r="AA30" s="248">
        <v>0</v>
      </c>
      <c r="AB30" s="103">
        <v>0</v>
      </c>
      <c r="AC30" s="248">
        <v>0</v>
      </c>
      <c r="AD30" s="248">
        <v>0</v>
      </c>
      <c r="AE30" s="248">
        <v>0</v>
      </c>
      <c r="AF30" s="250">
        <v>0.03</v>
      </c>
      <c r="AG30" s="248">
        <v>0</v>
      </c>
      <c r="AH30" s="248">
        <v>0</v>
      </c>
      <c r="AI30" s="248">
        <v>0</v>
      </c>
      <c r="AJ30" s="248">
        <v>0</v>
      </c>
      <c r="AK30" s="248">
        <v>0</v>
      </c>
      <c r="AL30" s="248">
        <v>0</v>
      </c>
      <c r="AM30" s="247" t="s">
        <v>201</v>
      </c>
    </row>
    <row r="31" spans="1:40">
      <c r="A31" s="110" t="s">
        <v>201</v>
      </c>
      <c r="B31" s="110" t="s">
        <v>386</v>
      </c>
      <c r="C31" s="110" t="s">
        <v>202</v>
      </c>
      <c r="D31" s="110" t="s">
        <v>387</v>
      </c>
      <c r="E31" s="110" t="s">
        <v>442</v>
      </c>
      <c r="F31" s="110" t="s">
        <v>443</v>
      </c>
      <c r="G31" s="111" t="s">
        <v>203</v>
      </c>
      <c r="H31" s="103">
        <v>17500</v>
      </c>
      <c r="I31" s="103">
        <v>0</v>
      </c>
      <c r="J31" s="103">
        <v>0</v>
      </c>
      <c r="K31" s="103">
        <v>1340.8</v>
      </c>
      <c r="L31" s="103">
        <v>338.2</v>
      </c>
      <c r="M31" s="103">
        <v>83.8</v>
      </c>
      <c r="N31" s="103">
        <v>2011</v>
      </c>
      <c r="O31" s="103">
        <v>0</v>
      </c>
      <c r="P31" s="103">
        <v>0</v>
      </c>
      <c r="Q31" s="103">
        <v>0</v>
      </c>
      <c r="R31" s="103">
        <v>0</v>
      </c>
      <c r="S31" s="103">
        <v>17500</v>
      </c>
      <c r="T31" s="103">
        <v>0</v>
      </c>
      <c r="U31" s="103">
        <v>5000</v>
      </c>
      <c r="V31" s="103">
        <v>3773.8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v>0</v>
      </c>
      <c r="AD31" s="103">
        <v>0</v>
      </c>
      <c r="AE31" s="103">
        <v>8726.2000000000007</v>
      </c>
      <c r="AF31" s="112">
        <v>0.03</v>
      </c>
      <c r="AG31" s="103">
        <v>0</v>
      </c>
      <c r="AH31" s="103">
        <v>261.79000000000002</v>
      </c>
      <c r="AI31" s="103">
        <v>0</v>
      </c>
      <c r="AJ31" s="103">
        <v>261.79000000000002</v>
      </c>
      <c r="AK31" s="103">
        <v>0</v>
      </c>
      <c r="AL31" s="103">
        <v>261.79000000000002</v>
      </c>
      <c r="AM31" s="110" t="s">
        <v>201</v>
      </c>
    </row>
    <row r="32" spans="1:40" s="251" customFormat="1">
      <c r="A32" s="247" t="s">
        <v>201</v>
      </c>
      <c r="B32" s="247" t="s">
        <v>41</v>
      </c>
      <c r="C32" s="247" t="s">
        <v>202</v>
      </c>
      <c r="D32" s="247" t="s">
        <v>42</v>
      </c>
      <c r="E32" s="247" t="s">
        <v>442</v>
      </c>
      <c r="F32" s="247" t="s">
        <v>443</v>
      </c>
      <c r="G32" s="247" t="s">
        <v>203</v>
      </c>
      <c r="H32" s="248">
        <v>11000</v>
      </c>
      <c r="I32" s="248">
        <v>0</v>
      </c>
      <c r="J32" s="248">
        <v>0</v>
      </c>
      <c r="K32" s="248">
        <v>0</v>
      </c>
      <c r="L32" s="248">
        <v>0</v>
      </c>
      <c r="M32" s="248">
        <v>0</v>
      </c>
      <c r="N32" s="248">
        <v>0</v>
      </c>
      <c r="O32" s="248">
        <v>0</v>
      </c>
      <c r="P32" s="248">
        <v>0</v>
      </c>
      <c r="Q32" s="248">
        <v>0</v>
      </c>
      <c r="R32" s="248">
        <v>0</v>
      </c>
      <c r="S32" s="248">
        <v>17068.97</v>
      </c>
      <c r="T32" s="248">
        <v>0</v>
      </c>
      <c r="U32" s="248">
        <v>10000</v>
      </c>
      <c r="V32" s="249">
        <v>2478</v>
      </c>
      <c r="W32" s="248">
        <v>0</v>
      </c>
      <c r="X32" s="248">
        <v>0</v>
      </c>
      <c r="Y32" s="248">
        <v>0</v>
      </c>
      <c r="Z32" s="248">
        <v>3000</v>
      </c>
      <c r="AA32" s="248">
        <v>0</v>
      </c>
      <c r="AB32" s="248">
        <v>0</v>
      </c>
      <c r="AC32" s="248">
        <v>0</v>
      </c>
      <c r="AD32" s="248">
        <v>0</v>
      </c>
      <c r="AE32" s="249">
        <v>1590.97</v>
      </c>
      <c r="AF32" s="250">
        <v>0.03</v>
      </c>
      <c r="AG32" s="248">
        <v>0</v>
      </c>
      <c r="AH32" s="249">
        <v>47.73</v>
      </c>
      <c r="AI32" s="248">
        <v>0</v>
      </c>
      <c r="AJ32" s="249">
        <v>47.73</v>
      </c>
      <c r="AK32" s="248">
        <v>0</v>
      </c>
      <c r="AL32" s="249">
        <v>47.73</v>
      </c>
      <c r="AM32" s="247" t="s">
        <v>201</v>
      </c>
    </row>
    <row r="33" spans="1:39">
      <c r="A33" s="110" t="s">
        <v>201</v>
      </c>
      <c r="B33" s="110" t="s">
        <v>204</v>
      </c>
      <c r="C33" s="110" t="s">
        <v>202</v>
      </c>
      <c r="D33" s="110" t="s">
        <v>33</v>
      </c>
      <c r="E33" s="110" t="s">
        <v>442</v>
      </c>
      <c r="F33" s="110" t="s">
        <v>443</v>
      </c>
      <c r="G33" s="111" t="s">
        <v>203</v>
      </c>
      <c r="H33" s="103">
        <v>13000</v>
      </c>
      <c r="I33" s="103">
        <v>0</v>
      </c>
      <c r="J33" s="103">
        <v>0</v>
      </c>
      <c r="K33" s="103">
        <v>428.8</v>
      </c>
      <c r="L33" s="103">
        <v>110.2</v>
      </c>
      <c r="M33" s="103">
        <v>26.8</v>
      </c>
      <c r="N33" s="103">
        <v>316</v>
      </c>
      <c r="O33" s="103">
        <v>0</v>
      </c>
      <c r="P33" s="103">
        <v>0</v>
      </c>
      <c r="Q33" s="103">
        <v>0</v>
      </c>
      <c r="R33" s="103">
        <v>0</v>
      </c>
      <c r="S33" s="103">
        <v>26000</v>
      </c>
      <c r="T33" s="103">
        <v>0</v>
      </c>
      <c r="U33" s="103">
        <v>10000</v>
      </c>
      <c r="V33" s="103">
        <v>1763.6</v>
      </c>
      <c r="W33" s="103">
        <v>0</v>
      </c>
      <c r="X33" s="103">
        <v>0</v>
      </c>
      <c r="Y33" s="103">
        <v>0</v>
      </c>
      <c r="Z33" s="103">
        <v>3000</v>
      </c>
      <c r="AA33" s="103">
        <v>0</v>
      </c>
      <c r="AB33" s="103">
        <v>0</v>
      </c>
      <c r="AC33" s="103">
        <v>0</v>
      </c>
      <c r="AD33" s="103">
        <v>0</v>
      </c>
      <c r="AE33" s="103">
        <v>11236.4</v>
      </c>
      <c r="AF33" s="112">
        <v>0.03</v>
      </c>
      <c r="AG33" s="103">
        <v>0</v>
      </c>
      <c r="AH33" s="103">
        <v>337.09</v>
      </c>
      <c r="AI33" s="103">
        <v>0</v>
      </c>
      <c r="AJ33" s="103">
        <v>337.09</v>
      </c>
      <c r="AK33" s="103">
        <v>168.55</v>
      </c>
      <c r="AL33" s="103">
        <v>168.54</v>
      </c>
      <c r="AM33" s="110" t="s">
        <v>201</v>
      </c>
    </row>
    <row r="34" spans="1:39">
      <c r="A34" s="110" t="s">
        <v>201</v>
      </c>
      <c r="B34" s="110" t="s">
        <v>249</v>
      </c>
      <c r="C34" s="110" t="s">
        <v>202</v>
      </c>
      <c r="D34" s="110" t="s">
        <v>250</v>
      </c>
      <c r="E34" s="110" t="s">
        <v>442</v>
      </c>
      <c r="F34" s="110" t="s">
        <v>443</v>
      </c>
      <c r="G34" s="111" t="s">
        <v>203</v>
      </c>
      <c r="H34" s="103">
        <v>18933.330000000002</v>
      </c>
      <c r="I34" s="103">
        <v>0</v>
      </c>
      <c r="J34" s="103">
        <v>0</v>
      </c>
      <c r="K34" s="103">
        <v>800</v>
      </c>
      <c r="L34" s="103">
        <v>203</v>
      </c>
      <c r="M34" s="103">
        <v>50</v>
      </c>
      <c r="N34" s="103">
        <v>1800</v>
      </c>
      <c r="O34" s="103">
        <v>0</v>
      </c>
      <c r="P34" s="103">
        <v>0</v>
      </c>
      <c r="Q34" s="103">
        <v>0</v>
      </c>
      <c r="R34" s="103">
        <v>0</v>
      </c>
      <c r="S34" s="103">
        <v>18933.330000000002</v>
      </c>
      <c r="T34" s="103">
        <v>0</v>
      </c>
      <c r="U34" s="103">
        <v>5000</v>
      </c>
      <c r="V34" s="103">
        <v>2853</v>
      </c>
      <c r="W34" s="103">
        <v>0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v>0</v>
      </c>
      <c r="AD34" s="103">
        <v>0</v>
      </c>
      <c r="AE34" s="103">
        <v>11080.33</v>
      </c>
      <c r="AF34" s="112">
        <v>0.03</v>
      </c>
      <c r="AG34" s="103">
        <v>0</v>
      </c>
      <c r="AH34" s="103">
        <v>332.41</v>
      </c>
      <c r="AI34" s="103">
        <v>0</v>
      </c>
      <c r="AJ34" s="103">
        <v>332.41</v>
      </c>
      <c r="AK34" s="103">
        <v>0</v>
      </c>
      <c r="AL34" s="103">
        <v>332.41</v>
      </c>
      <c r="AM34" s="110" t="s">
        <v>201</v>
      </c>
    </row>
    <row r="35" spans="1:39">
      <c r="A35" s="110" t="s">
        <v>201</v>
      </c>
      <c r="B35" s="110" t="s">
        <v>393</v>
      </c>
      <c r="C35" s="110" t="s">
        <v>202</v>
      </c>
      <c r="D35" s="110" t="s">
        <v>394</v>
      </c>
      <c r="E35" s="110" t="s">
        <v>442</v>
      </c>
      <c r="F35" s="110" t="s">
        <v>443</v>
      </c>
      <c r="G35" s="111" t="s">
        <v>203</v>
      </c>
      <c r="H35" s="103">
        <v>13333</v>
      </c>
      <c r="I35" s="103">
        <v>0</v>
      </c>
      <c r="J35" s="103">
        <v>0</v>
      </c>
      <c r="K35" s="103">
        <v>861.52</v>
      </c>
      <c r="L35" s="103">
        <v>218.38</v>
      </c>
      <c r="M35" s="103">
        <v>53.85</v>
      </c>
      <c r="N35" s="103">
        <v>1292</v>
      </c>
      <c r="O35" s="103">
        <v>0</v>
      </c>
      <c r="P35" s="103">
        <v>0</v>
      </c>
      <c r="Q35" s="103">
        <v>0</v>
      </c>
      <c r="R35" s="103">
        <v>0</v>
      </c>
      <c r="S35" s="103">
        <v>13333</v>
      </c>
      <c r="T35" s="103">
        <v>0</v>
      </c>
      <c r="U35" s="103">
        <v>5000</v>
      </c>
      <c r="V35" s="103">
        <v>2425.75</v>
      </c>
      <c r="W35" s="103">
        <v>0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v>0</v>
      </c>
      <c r="AD35" s="103">
        <v>0</v>
      </c>
      <c r="AE35" s="103">
        <v>5907.25</v>
      </c>
      <c r="AF35" s="112">
        <v>0.03</v>
      </c>
      <c r="AG35" s="103">
        <v>0</v>
      </c>
      <c r="AH35" s="103">
        <v>177.22</v>
      </c>
      <c r="AI35" s="103">
        <v>0</v>
      </c>
      <c r="AJ35" s="103">
        <v>177.22</v>
      </c>
      <c r="AK35" s="103">
        <v>0</v>
      </c>
      <c r="AL35" s="103">
        <v>177.22</v>
      </c>
      <c r="AM35" s="110" t="s">
        <v>201</v>
      </c>
    </row>
    <row r="36" spans="1:39">
      <c r="A36" s="110" t="s">
        <v>201</v>
      </c>
      <c r="B36" s="110" t="s">
        <v>51</v>
      </c>
      <c r="C36" s="110" t="s">
        <v>202</v>
      </c>
      <c r="D36" s="110" t="s">
        <v>52</v>
      </c>
      <c r="E36" s="110" t="s">
        <v>442</v>
      </c>
      <c r="F36" s="110" t="s">
        <v>443</v>
      </c>
      <c r="G36" s="111" t="s">
        <v>203</v>
      </c>
      <c r="H36" s="103">
        <v>16600</v>
      </c>
      <c r="I36" s="103">
        <v>0</v>
      </c>
      <c r="J36" s="103">
        <v>0</v>
      </c>
      <c r="K36" s="103">
        <v>274.39999999999998</v>
      </c>
      <c r="L36" s="103">
        <v>68.599999999999994</v>
      </c>
      <c r="M36" s="103">
        <v>17.149999999999999</v>
      </c>
      <c r="N36" s="103">
        <v>82</v>
      </c>
      <c r="O36" s="103">
        <v>0</v>
      </c>
      <c r="P36" s="103">
        <v>0</v>
      </c>
      <c r="Q36" s="103">
        <v>0</v>
      </c>
      <c r="R36" s="103">
        <v>0</v>
      </c>
      <c r="S36" s="103">
        <v>30600</v>
      </c>
      <c r="T36" s="103">
        <v>0</v>
      </c>
      <c r="U36" s="103">
        <v>10000</v>
      </c>
      <c r="V36" s="103">
        <v>885.3</v>
      </c>
      <c r="W36" s="103">
        <v>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v>0</v>
      </c>
      <c r="AD36" s="103">
        <v>0</v>
      </c>
      <c r="AE36" s="103">
        <v>19714.7</v>
      </c>
      <c r="AF36" s="112">
        <v>0.03</v>
      </c>
      <c r="AG36" s="103">
        <v>0</v>
      </c>
      <c r="AH36" s="103">
        <v>591.44000000000005</v>
      </c>
      <c r="AI36" s="103">
        <v>0</v>
      </c>
      <c r="AJ36" s="103">
        <v>591.44000000000005</v>
      </c>
      <c r="AK36" s="103">
        <v>256.70999999999998</v>
      </c>
      <c r="AL36" s="103">
        <v>334.73</v>
      </c>
      <c r="AM36" s="110" t="s">
        <v>201</v>
      </c>
    </row>
    <row r="37" spans="1:39">
      <c r="A37" s="110" t="s">
        <v>201</v>
      </c>
      <c r="B37" s="110" t="s">
        <v>384</v>
      </c>
      <c r="C37" s="110" t="s">
        <v>202</v>
      </c>
      <c r="D37" s="110" t="s">
        <v>385</v>
      </c>
      <c r="E37" s="110" t="s">
        <v>442</v>
      </c>
      <c r="F37" s="110" t="s">
        <v>443</v>
      </c>
      <c r="G37" s="111" t="s">
        <v>203</v>
      </c>
      <c r="H37" s="103">
        <v>17500</v>
      </c>
      <c r="I37" s="103">
        <v>0</v>
      </c>
      <c r="J37" s="103">
        <v>0</v>
      </c>
      <c r="K37" s="103">
        <v>1174.56</v>
      </c>
      <c r="L37" s="103">
        <v>296.64</v>
      </c>
      <c r="M37" s="103">
        <v>73.41</v>
      </c>
      <c r="N37" s="103">
        <v>1762</v>
      </c>
      <c r="O37" s="103">
        <v>0</v>
      </c>
      <c r="P37" s="103">
        <v>0</v>
      </c>
      <c r="Q37" s="103">
        <v>0</v>
      </c>
      <c r="R37" s="103">
        <v>0</v>
      </c>
      <c r="S37" s="103">
        <v>17500</v>
      </c>
      <c r="T37" s="103">
        <v>0</v>
      </c>
      <c r="U37" s="103">
        <v>5000</v>
      </c>
      <c r="V37" s="103">
        <v>3306.61</v>
      </c>
      <c r="W37" s="103">
        <v>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v>0</v>
      </c>
      <c r="AD37" s="103">
        <v>0</v>
      </c>
      <c r="AE37" s="103">
        <v>9193.39</v>
      </c>
      <c r="AF37" s="112">
        <v>0.03</v>
      </c>
      <c r="AG37" s="103">
        <v>0</v>
      </c>
      <c r="AH37" s="103">
        <v>275.8</v>
      </c>
      <c r="AI37" s="103">
        <v>0</v>
      </c>
      <c r="AJ37" s="103">
        <v>275.8</v>
      </c>
      <c r="AK37" s="103">
        <v>0</v>
      </c>
      <c r="AL37" s="103">
        <v>275.8</v>
      </c>
      <c r="AM37" s="110" t="s">
        <v>201</v>
      </c>
    </row>
    <row r="38" spans="1:39">
      <c r="A38" s="110" t="s">
        <v>201</v>
      </c>
      <c r="B38" s="110" t="s">
        <v>392</v>
      </c>
      <c r="C38" s="110" t="s">
        <v>202</v>
      </c>
      <c r="D38" s="110" t="s">
        <v>407</v>
      </c>
      <c r="E38" s="110" t="s">
        <v>442</v>
      </c>
      <c r="F38" s="110" t="s">
        <v>443</v>
      </c>
      <c r="G38" s="111" t="s">
        <v>203</v>
      </c>
      <c r="H38" s="103">
        <v>20833</v>
      </c>
      <c r="I38" s="103">
        <v>0</v>
      </c>
      <c r="J38" s="103">
        <v>0</v>
      </c>
      <c r="K38" s="103">
        <v>1559.28</v>
      </c>
      <c r="L38" s="103">
        <v>392.82</v>
      </c>
      <c r="M38" s="103">
        <v>97.46</v>
      </c>
      <c r="N38" s="103">
        <v>2339</v>
      </c>
      <c r="O38" s="103">
        <v>0</v>
      </c>
      <c r="P38" s="103">
        <v>0</v>
      </c>
      <c r="Q38" s="103">
        <v>0</v>
      </c>
      <c r="R38" s="103">
        <v>0</v>
      </c>
      <c r="S38" s="103">
        <v>20833</v>
      </c>
      <c r="T38" s="103">
        <v>0</v>
      </c>
      <c r="U38" s="103">
        <v>5000</v>
      </c>
      <c r="V38" s="103">
        <v>4388.5600000000004</v>
      </c>
      <c r="W38" s="103">
        <v>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v>0</v>
      </c>
      <c r="AD38" s="103">
        <v>0</v>
      </c>
      <c r="AE38" s="103">
        <v>11444.44</v>
      </c>
      <c r="AF38" s="112">
        <v>0.03</v>
      </c>
      <c r="AG38" s="103">
        <v>0</v>
      </c>
      <c r="AH38" s="103">
        <v>343.33</v>
      </c>
      <c r="AI38" s="103">
        <v>0</v>
      </c>
      <c r="AJ38" s="103">
        <v>343.33</v>
      </c>
      <c r="AK38" s="103">
        <v>0</v>
      </c>
      <c r="AL38" s="103">
        <v>343.33</v>
      </c>
      <c r="AM38" s="110" t="s">
        <v>201</v>
      </c>
    </row>
    <row r="39" spans="1:39">
      <c r="A39" s="110" t="s">
        <v>201</v>
      </c>
      <c r="B39" s="110" t="s">
        <v>257</v>
      </c>
      <c r="C39" s="110" t="s">
        <v>202</v>
      </c>
      <c r="D39" s="110" t="s">
        <v>258</v>
      </c>
      <c r="E39" s="110" t="s">
        <v>442</v>
      </c>
      <c r="F39" s="110" t="s">
        <v>443</v>
      </c>
      <c r="G39" s="111" t="s">
        <v>203</v>
      </c>
      <c r="H39" s="103">
        <v>14500</v>
      </c>
      <c r="I39" s="103">
        <v>0</v>
      </c>
      <c r="J39" s="103">
        <v>0</v>
      </c>
      <c r="K39" s="103">
        <v>800</v>
      </c>
      <c r="L39" s="103">
        <v>203</v>
      </c>
      <c r="M39" s="103">
        <v>50</v>
      </c>
      <c r="N39" s="103">
        <v>1200</v>
      </c>
      <c r="O39" s="103">
        <v>0</v>
      </c>
      <c r="P39" s="103">
        <v>0</v>
      </c>
      <c r="Q39" s="103">
        <v>0</v>
      </c>
      <c r="R39" s="103">
        <v>0</v>
      </c>
      <c r="S39" s="103">
        <v>14500</v>
      </c>
      <c r="T39" s="103">
        <v>0</v>
      </c>
      <c r="U39" s="103">
        <v>5000</v>
      </c>
      <c r="V39" s="103">
        <v>2253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v>0</v>
      </c>
      <c r="AD39" s="103">
        <v>0</v>
      </c>
      <c r="AE39" s="103">
        <v>7247</v>
      </c>
      <c r="AF39" s="112">
        <v>0.03</v>
      </c>
      <c r="AG39" s="103">
        <v>0</v>
      </c>
      <c r="AH39" s="103">
        <v>217.41</v>
      </c>
      <c r="AI39" s="103">
        <v>0</v>
      </c>
      <c r="AJ39" s="103">
        <v>217.41</v>
      </c>
      <c r="AK39" s="103">
        <v>0</v>
      </c>
      <c r="AL39" s="103">
        <v>217.41</v>
      </c>
      <c r="AM39" s="110" t="s">
        <v>201</v>
      </c>
    </row>
    <row r="40" spans="1:39" s="251" customFormat="1">
      <c r="A40" s="110" t="s">
        <v>201</v>
      </c>
      <c r="B40" s="110" t="s">
        <v>205</v>
      </c>
      <c r="C40" s="110" t="s">
        <v>202</v>
      </c>
      <c r="D40" s="110" t="s">
        <v>40</v>
      </c>
      <c r="E40" s="110" t="s">
        <v>442</v>
      </c>
      <c r="F40" s="110" t="s">
        <v>443</v>
      </c>
      <c r="G40" s="111" t="s">
        <v>203</v>
      </c>
      <c r="H40" s="103">
        <v>11000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  <c r="O40" s="103">
        <v>0</v>
      </c>
      <c r="P40" s="103">
        <v>0</v>
      </c>
      <c r="Q40" s="103">
        <v>0</v>
      </c>
      <c r="R40" s="103">
        <v>0</v>
      </c>
      <c r="S40" s="103">
        <v>17068.97</v>
      </c>
      <c r="T40" s="103">
        <v>0</v>
      </c>
      <c r="U40" s="103">
        <v>10000</v>
      </c>
      <c r="V40" s="249">
        <v>1208.8</v>
      </c>
      <c r="W40" s="103">
        <v>0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v>0</v>
      </c>
      <c r="AD40" s="103">
        <v>0</v>
      </c>
      <c r="AE40" s="249">
        <v>5860.17</v>
      </c>
      <c r="AF40" s="252">
        <v>0.03</v>
      </c>
      <c r="AG40" s="249">
        <v>0</v>
      </c>
      <c r="AH40" s="249">
        <v>175.81</v>
      </c>
      <c r="AI40" s="249">
        <v>0</v>
      </c>
      <c r="AJ40" s="249">
        <v>175.81</v>
      </c>
      <c r="AK40" s="249">
        <v>0</v>
      </c>
      <c r="AL40" s="249">
        <v>175.81</v>
      </c>
      <c r="AM40" s="247" t="s">
        <v>201</v>
      </c>
    </row>
    <row r="41" spans="1:39">
      <c r="A41" s="110" t="s">
        <v>201</v>
      </c>
      <c r="B41" s="110" t="s">
        <v>395</v>
      </c>
      <c r="C41" s="110" t="s">
        <v>202</v>
      </c>
      <c r="D41" s="110" t="s">
        <v>396</v>
      </c>
      <c r="E41" s="110" t="s">
        <v>442</v>
      </c>
      <c r="F41" s="110" t="s">
        <v>443</v>
      </c>
      <c r="G41" s="111" t="s">
        <v>203</v>
      </c>
      <c r="H41" s="103">
        <v>27500</v>
      </c>
      <c r="I41" s="103">
        <v>0</v>
      </c>
      <c r="J41" s="103">
        <v>0</v>
      </c>
      <c r="K41" s="103">
        <v>2257.6799999999998</v>
      </c>
      <c r="L41" s="103">
        <v>567.41999999999996</v>
      </c>
      <c r="M41" s="103">
        <v>141.11000000000001</v>
      </c>
      <c r="N41" s="103">
        <v>3387</v>
      </c>
      <c r="O41" s="103">
        <v>0</v>
      </c>
      <c r="P41" s="103">
        <v>0</v>
      </c>
      <c r="Q41" s="103">
        <v>0</v>
      </c>
      <c r="R41" s="103">
        <v>0</v>
      </c>
      <c r="S41" s="103">
        <v>27500</v>
      </c>
      <c r="T41" s="103">
        <v>0</v>
      </c>
      <c r="U41" s="103">
        <v>5000</v>
      </c>
      <c r="V41" s="103">
        <v>6353.21</v>
      </c>
      <c r="W41" s="103">
        <v>0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v>0</v>
      </c>
      <c r="AD41" s="103">
        <v>0</v>
      </c>
      <c r="AE41" s="103">
        <v>16146.79</v>
      </c>
      <c r="AF41" s="112">
        <v>0.03</v>
      </c>
      <c r="AG41" s="103">
        <v>0</v>
      </c>
      <c r="AH41" s="103">
        <v>484.4</v>
      </c>
      <c r="AI41" s="103">
        <v>0</v>
      </c>
      <c r="AJ41" s="103">
        <v>484.4</v>
      </c>
      <c r="AK41" s="103">
        <v>0</v>
      </c>
      <c r="AL41" s="103">
        <v>484.4</v>
      </c>
      <c r="AM41" s="110" t="s">
        <v>201</v>
      </c>
    </row>
    <row r="42" spans="1:39">
      <c r="A42" s="110" t="s">
        <v>201</v>
      </c>
      <c r="B42" s="110" t="s">
        <v>388</v>
      </c>
      <c r="C42" s="110" t="s">
        <v>202</v>
      </c>
      <c r="D42" s="110" t="s">
        <v>389</v>
      </c>
      <c r="E42" s="110" t="s">
        <v>442</v>
      </c>
      <c r="F42" s="110" t="s">
        <v>443</v>
      </c>
      <c r="G42" s="111" t="s">
        <v>203</v>
      </c>
      <c r="H42" s="103">
        <v>13333</v>
      </c>
      <c r="I42" s="103">
        <v>0</v>
      </c>
      <c r="J42" s="103">
        <v>0</v>
      </c>
      <c r="K42" s="103">
        <v>760.64</v>
      </c>
      <c r="L42" s="103">
        <v>193.16</v>
      </c>
      <c r="M42" s="103">
        <v>47.54</v>
      </c>
      <c r="N42" s="103">
        <v>1141</v>
      </c>
      <c r="O42" s="103">
        <v>0</v>
      </c>
      <c r="P42" s="103">
        <v>0</v>
      </c>
      <c r="Q42" s="103">
        <v>0</v>
      </c>
      <c r="R42" s="103">
        <v>0</v>
      </c>
      <c r="S42" s="103">
        <v>13333</v>
      </c>
      <c r="T42" s="103">
        <v>0</v>
      </c>
      <c r="U42" s="103">
        <v>5000</v>
      </c>
      <c r="V42" s="103">
        <v>2142.34</v>
      </c>
      <c r="W42" s="103">
        <v>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v>0</v>
      </c>
      <c r="AD42" s="103">
        <v>0</v>
      </c>
      <c r="AE42" s="103">
        <v>6190.66</v>
      </c>
      <c r="AF42" s="112">
        <v>0.03</v>
      </c>
      <c r="AG42" s="103">
        <v>0</v>
      </c>
      <c r="AH42" s="103">
        <v>185.72</v>
      </c>
      <c r="AI42" s="103">
        <v>0</v>
      </c>
      <c r="AJ42" s="103">
        <v>185.72</v>
      </c>
      <c r="AK42" s="103">
        <v>0</v>
      </c>
      <c r="AL42" s="103">
        <v>185.72</v>
      </c>
      <c r="AM42" s="110" t="s">
        <v>201</v>
      </c>
    </row>
    <row r="43" spans="1:39">
      <c r="A43" s="110" t="s">
        <v>201</v>
      </c>
      <c r="B43" s="110" t="s">
        <v>49</v>
      </c>
      <c r="C43" s="110" t="s">
        <v>202</v>
      </c>
      <c r="D43" s="110" t="s">
        <v>50</v>
      </c>
      <c r="E43" s="110" t="s">
        <v>442</v>
      </c>
      <c r="F43" s="110" t="s">
        <v>443</v>
      </c>
      <c r="G43" s="111" t="s">
        <v>203</v>
      </c>
      <c r="H43" s="103">
        <v>24600</v>
      </c>
      <c r="I43" s="103">
        <v>0</v>
      </c>
      <c r="J43" s="103">
        <v>0</v>
      </c>
      <c r="K43" s="103">
        <v>274.39999999999998</v>
      </c>
      <c r="L43" s="103">
        <v>68.599999999999994</v>
      </c>
      <c r="M43" s="103">
        <v>17.149999999999999</v>
      </c>
      <c r="N43" s="103">
        <v>82</v>
      </c>
      <c r="O43" s="103">
        <v>0</v>
      </c>
      <c r="P43" s="103">
        <v>0</v>
      </c>
      <c r="Q43" s="103">
        <v>0</v>
      </c>
      <c r="R43" s="103">
        <v>0</v>
      </c>
      <c r="S43" s="103">
        <v>49634.48</v>
      </c>
      <c r="T43" s="103">
        <v>0</v>
      </c>
      <c r="U43" s="103">
        <v>10000</v>
      </c>
      <c r="V43" s="103">
        <v>885.3</v>
      </c>
      <c r="W43" s="103">
        <v>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v>0</v>
      </c>
      <c r="AD43" s="103">
        <v>0</v>
      </c>
      <c r="AE43" s="103">
        <v>38749.18</v>
      </c>
      <c r="AF43" s="112">
        <v>0.1</v>
      </c>
      <c r="AG43" s="103">
        <v>2520</v>
      </c>
      <c r="AH43" s="103">
        <v>1354.92</v>
      </c>
      <c r="AI43" s="103">
        <v>0</v>
      </c>
      <c r="AJ43" s="103">
        <v>1354.92</v>
      </c>
      <c r="AK43" s="103">
        <v>587.74</v>
      </c>
      <c r="AL43" s="103">
        <v>767.18</v>
      </c>
      <c r="AM43" s="110" t="s">
        <v>201</v>
      </c>
    </row>
    <row r="44" spans="1:39">
      <c r="A44" s="110" t="s">
        <v>201</v>
      </c>
      <c r="B44" s="110" t="s">
        <v>263</v>
      </c>
      <c r="C44" s="110" t="s">
        <v>202</v>
      </c>
      <c r="D44" s="110" t="s">
        <v>264</v>
      </c>
      <c r="E44" s="110" t="s">
        <v>442</v>
      </c>
      <c r="F44" s="110" t="s">
        <v>443</v>
      </c>
      <c r="G44" s="111" t="s">
        <v>203</v>
      </c>
      <c r="H44" s="103">
        <v>1000</v>
      </c>
      <c r="I44" s="103">
        <v>0</v>
      </c>
      <c r="J44" s="103">
        <v>0</v>
      </c>
      <c r="K44" s="103">
        <v>274.39999999999998</v>
      </c>
      <c r="L44" s="103">
        <v>68.599999999999994</v>
      </c>
      <c r="M44" s="103">
        <v>17.149999999999999</v>
      </c>
      <c r="N44" s="103">
        <v>82.5</v>
      </c>
      <c r="O44" s="103">
        <v>0</v>
      </c>
      <c r="P44" s="103">
        <v>0</v>
      </c>
      <c r="Q44" s="103">
        <v>0</v>
      </c>
      <c r="R44" s="103">
        <v>0</v>
      </c>
      <c r="S44" s="103">
        <v>1000</v>
      </c>
      <c r="T44" s="103">
        <v>0</v>
      </c>
      <c r="U44" s="103">
        <v>5000</v>
      </c>
      <c r="V44" s="103">
        <v>442.65</v>
      </c>
      <c r="W44" s="103">
        <v>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v>0</v>
      </c>
      <c r="AD44" s="103">
        <v>0</v>
      </c>
      <c r="AE44" s="103">
        <v>0</v>
      </c>
      <c r="AF44" s="112">
        <v>0.03</v>
      </c>
      <c r="AG44" s="103">
        <v>0</v>
      </c>
      <c r="AH44" s="103">
        <v>0</v>
      </c>
      <c r="AI44" s="103">
        <v>0</v>
      </c>
      <c r="AJ44" s="103">
        <v>0</v>
      </c>
      <c r="AK44" s="103">
        <v>0</v>
      </c>
      <c r="AL44" s="103">
        <v>0</v>
      </c>
      <c r="AM44" s="110" t="s">
        <v>201</v>
      </c>
    </row>
    <row r="45" spans="1:39">
      <c r="A45" s="110" t="s">
        <v>201</v>
      </c>
      <c r="B45" s="110" t="s">
        <v>247</v>
      </c>
      <c r="C45" s="110" t="s">
        <v>202</v>
      </c>
      <c r="D45" s="110" t="s">
        <v>248</v>
      </c>
      <c r="E45" s="110" t="s">
        <v>442</v>
      </c>
      <c r="F45" s="110" t="s">
        <v>443</v>
      </c>
      <c r="G45" s="111" t="s">
        <v>203</v>
      </c>
      <c r="H45" s="103">
        <v>17533.330000000002</v>
      </c>
      <c r="I45" s="103">
        <v>0</v>
      </c>
      <c r="J45" s="103">
        <v>0</v>
      </c>
      <c r="K45" s="103">
        <v>1736</v>
      </c>
      <c r="L45" s="103">
        <v>437</v>
      </c>
      <c r="M45" s="103">
        <v>108.5</v>
      </c>
      <c r="N45" s="103">
        <v>2604</v>
      </c>
      <c r="O45" s="103">
        <v>0</v>
      </c>
      <c r="P45" s="103">
        <v>0</v>
      </c>
      <c r="Q45" s="103">
        <v>0</v>
      </c>
      <c r="R45" s="103">
        <v>0</v>
      </c>
      <c r="S45" s="103">
        <v>17533.330000000002</v>
      </c>
      <c r="T45" s="103">
        <v>0</v>
      </c>
      <c r="U45" s="103">
        <v>5000</v>
      </c>
      <c r="V45" s="103">
        <v>4885.5</v>
      </c>
      <c r="W45" s="103">
        <v>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v>0</v>
      </c>
      <c r="AD45" s="103">
        <v>0</v>
      </c>
      <c r="AE45" s="103">
        <v>7647.83</v>
      </c>
      <c r="AF45" s="112">
        <v>0.03</v>
      </c>
      <c r="AG45" s="103">
        <v>0</v>
      </c>
      <c r="AH45" s="103">
        <v>229.43</v>
      </c>
      <c r="AI45" s="103">
        <v>0</v>
      </c>
      <c r="AJ45" s="103">
        <v>229.43</v>
      </c>
      <c r="AK45" s="103">
        <v>0</v>
      </c>
      <c r="AL45" s="103">
        <v>229.43</v>
      </c>
      <c r="AM45" s="110" t="s">
        <v>201</v>
      </c>
    </row>
    <row r="46" spans="1:39" s="251" customFormat="1">
      <c r="A46" s="247" t="s">
        <v>201</v>
      </c>
      <c r="B46" s="247" t="s">
        <v>38</v>
      </c>
      <c r="C46" s="247" t="s">
        <v>202</v>
      </c>
      <c r="D46" s="247" t="s">
        <v>39</v>
      </c>
      <c r="E46" s="247" t="s">
        <v>442</v>
      </c>
      <c r="F46" s="247" t="s">
        <v>443</v>
      </c>
      <c r="G46" s="247" t="s">
        <v>203</v>
      </c>
      <c r="H46" s="248">
        <v>5945</v>
      </c>
      <c r="I46" s="248">
        <v>0</v>
      </c>
      <c r="J46" s="248">
        <v>0</v>
      </c>
      <c r="K46" s="248">
        <v>0</v>
      </c>
      <c r="L46" s="248">
        <v>0</v>
      </c>
      <c r="M46" s="248">
        <v>0</v>
      </c>
      <c r="N46" s="248">
        <v>0</v>
      </c>
      <c r="O46" s="248">
        <v>0</v>
      </c>
      <c r="P46" s="248">
        <v>0</v>
      </c>
      <c r="Q46" s="248">
        <v>0</v>
      </c>
      <c r="R46" s="248">
        <v>0</v>
      </c>
      <c r="S46" s="248">
        <v>9225</v>
      </c>
      <c r="T46" s="248">
        <v>0</v>
      </c>
      <c r="U46" s="248">
        <v>10000</v>
      </c>
      <c r="V46" s="249">
        <v>1021.8</v>
      </c>
      <c r="W46" s="248">
        <v>0</v>
      </c>
      <c r="X46" s="248">
        <v>0</v>
      </c>
      <c r="Y46" s="248">
        <v>0</v>
      </c>
      <c r="Z46" s="248">
        <v>0</v>
      </c>
      <c r="AA46" s="248">
        <v>0</v>
      </c>
      <c r="AB46" s="103">
        <v>0</v>
      </c>
      <c r="AC46" s="248">
        <v>0</v>
      </c>
      <c r="AD46" s="248">
        <v>0</v>
      </c>
      <c r="AE46" s="248">
        <v>0</v>
      </c>
      <c r="AF46" s="250">
        <v>0.03</v>
      </c>
      <c r="AG46" s="248">
        <v>0</v>
      </c>
      <c r="AH46" s="248">
        <v>0</v>
      </c>
      <c r="AI46" s="248">
        <v>0</v>
      </c>
      <c r="AJ46" s="248">
        <v>0</v>
      </c>
      <c r="AK46" s="248">
        <v>0</v>
      </c>
      <c r="AL46" s="248">
        <v>0</v>
      </c>
      <c r="AM46" s="247" t="s">
        <v>201</v>
      </c>
    </row>
    <row r="47" spans="1:39">
      <c r="A47" s="110" t="s">
        <v>201</v>
      </c>
      <c r="B47" s="110" t="s">
        <v>251</v>
      </c>
      <c r="C47" s="110" t="s">
        <v>202</v>
      </c>
      <c r="D47" s="110" t="s">
        <v>252</v>
      </c>
      <c r="E47" s="110" t="s">
        <v>442</v>
      </c>
      <c r="F47" s="110" t="s">
        <v>443</v>
      </c>
      <c r="G47" s="111" t="s">
        <v>203</v>
      </c>
      <c r="H47" s="103">
        <v>16866.669999999998</v>
      </c>
      <c r="I47" s="103">
        <v>0</v>
      </c>
      <c r="J47" s="103">
        <v>0</v>
      </c>
      <c r="K47" s="103">
        <v>428.8</v>
      </c>
      <c r="L47" s="103">
        <v>110.2</v>
      </c>
      <c r="M47" s="103">
        <v>26.8</v>
      </c>
      <c r="N47" s="103">
        <v>960</v>
      </c>
      <c r="O47" s="103">
        <v>0</v>
      </c>
      <c r="P47" s="103">
        <v>0</v>
      </c>
      <c r="Q47" s="103">
        <v>0</v>
      </c>
      <c r="R47" s="103">
        <v>0</v>
      </c>
      <c r="S47" s="103">
        <v>16866.669999999998</v>
      </c>
      <c r="T47" s="103">
        <v>0</v>
      </c>
      <c r="U47" s="103">
        <v>5000</v>
      </c>
      <c r="V47" s="103">
        <v>1525.8</v>
      </c>
      <c r="W47" s="103">
        <v>0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v>0</v>
      </c>
      <c r="AD47" s="103">
        <v>0</v>
      </c>
      <c r="AE47" s="103">
        <v>10340.870000000001</v>
      </c>
      <c r="AF47" s="112">
        <v>0.03</v>
      </c>
      <c r="AG47" s="103">
        <v>0</v>
      </c>
      <c r="AH47" s="103">
        <v>310.23</v>
      </c>
      <c r="AI47" s="103">
        <v>0</v>
      </c>
      <c r="AJ47" s="103">
        <v>310.23</v>
      </c>
      <c r="AK47" s="103">
        <v>0</v>
      </c>
      <c r="AL47" s="103">
        <v>310.23</v>
      </c>
      <c r="AM47" s="110" t="s">
        <v>201</v>
      </c>
    </row>
    <row r="48" spans="1:39">
      <c r="A48" s="110" t="s">
        <v>201</v>
      </c>
      <c r="B48" s="110" t="s">
        <v>55</v>
      </c>
      <c r="C48" s="110" t="s">
        <v>202</v>
      </c>
      <c r="D48" s="110" t="s">
        <v>56</v>
      </c>
      <c r="E48" s="110" t="s">
        <v>442</v>
      </c>
      <c r="F48" s="110" t="s">
        <v>443</v>
      </c>
      <c r="G48" s="111" t="s">
        <v>203</v>
      </c>
      <c r="H48" s="103">
        <v>16634.48</v>
      </c>
      <c r="I48" s="103">
        <v>0</v>
      </c>
      <c r="J48" s="103">
        <v>0</v>
      </c>
      <c r="K48" s="103">
        <v>274.39999999999998</v>
      </c>
      <c r="L48" s="103">
        <v>68.599999999999994</v>
      </c>
      <c r="M48" s="103">
        <v>17.149999999999999</v>
      </c>
      <c r="N48" s="103">
        <v>1319.5</v>
      </c>
      <c r="O48" s="103">
        <v>0</v>
      </c>
      <c r="P48" s="103">
        <v>0</v>
      </c>
      <c r="Q48" s="103">
        <v>0</v>
      </c>
      <c r="R48" s="103">
        <v>0</v>
      </c>
      <c r="S48" s="103">
        <v>27634.48</v>
      </c>
      <c r="T48" s="103">
        <v>0</v>
      </c>
      <c r="U48" s="103">
        <v>10000</v>
      </c>
      <c r="V48" s="103">
        <v>3359.8</v>
      </c>
      <c r="W48" s="103">
        <v>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v>0</v>
      </c>
      <c r="AD48" s="103">
        <v>0</v>
      </c>
      <c r="AE48" s="103">
        <v>14274.68</v>
      </c>
      <c r="AF48" s="112">
        <v>0.03</v>
      </c>
      <c r="AG48" s="103">
        <v>0</v>
      </c>
      <c r="AH48" s="103">
        <v>428.24</v>
      </c>
      <c r="AI48" s="103">
        <v>0</v>
      </c>
      <c r="AJ48" s="103">
        <v>428.24</v>
      </c>
      <c r="AK48" s="103">
        <v>129.6</v>
      </c>
      <c r="AL48" s="103">
        <v>298.64</v>
      </c>
      <c r="AM48" s="110" t="s">
        <v>201</v>
      </c>
    </row>
    <row r="49" spans="1:39">
      <c r="A49" s="110" t="s">
        <v>201</v>
      </c>
      <c r="B49" s="110" t="s">
        <v>245</v>
      </c>
      <c r="C49" s="110" t="s">
        <v>202</v>
      </c>
      <c r="D49" s="110" t="s">
        <v>246</v>
      </c>
      <c r="E49" s="110" t="s">
        <v>442</v>
      </c>
      <c r="F49" s="110" t="s">
        <v>443</v>
      </c>
      <c r="G49" s="111" t="s">
        <v>203</v>
      </c>
      <c r="H49" s="103">
        <v>19200</v>
      </c>
      <c r="I49" s="103">
        <v>0</v>
      </c>
      <c r="J49" s="103">
        <v>0</v>
      </c>
      <c r="K49" s="103">
        <v>1736</v>
      </c>
      <c r="L49" s="103">
        <v>437</v>
      </c>
      <c r="M49" s="103">
        <v>108.5</v>
      </c>
      <c r="N49" s="103">
        <v>2604</v>
      </c>
      <c r="O49" s="103">
        <v>0</v>
      </c>
      <c r="P49" s="103">
        <v>0</v>
      </c>
      <c r="Q49" s="103">
        <v>0</v>
      </c>
      <c r="R49" s="103">
        <v>0</v>
      </c>
      <c r="S49" s="103">
        <v>19200</v>
      </c>
      <c r="T49" s="103">
        <v>0</v>
      </c>
      <c r="U49" s="103">
        <v>5000</v>
      </c>
      <c r="V49" s="103">
        <v>4885.5</v>
      </c>
      <c r="W49" s="103">
        <v>0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v>0</v>
      </c>
      <c r="AD49" s="103">
        <v>0</v>
      </c>
      <c r="AE49" s="103">
        <v>9314.5</v>
      </c>
      <c r="AF49" s="112">
        <v>0.03</v>
      </c>
      <c r="AG49" s="103">
        <v>0</v>
      </c>
      <c r="AH49" s="103">
        <v>279.44</v>
      </c>
      <c r="AI49" s="103">
        <v>0</v>
      </c>
      <c r="AJ49" s="103">
        <v>279.44</v>
      </c>
      <c r="AK49" s="103">
        <v>0</v>
      </c>
      <c r="AL49" s="103">
        <v>279.44</v>
      </c>
      <c r="AM49" s="110" t="s">
        <v>201</v>
      </c>
    </row>
    <row r="50" spans="1:39">
      <c r="A50" s="110"/>
      <c r="B50" s="110"/>
      <c r="C50" s="110"/>
      <c r="D50" s="110"/>
      <c r="E50" s="109"/>
      <c r="F50" s="109"/>
      <c r="G50" s="109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12"/>
      <c r="AG50" s="103"/>
      <c r="AH50" s="103"/>
      <c r="AI50" s="103"/>
      <c r="AJ50" s="103"/>
      <c r="AK50" s="103"/>
      <c r="AL50" s="103"/>
      <c r="AM50" s="110"/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D2A02407-2607-463E-9550-B453FD10A5CB}">
            <xm:f>'\Users\Administrator\Desktop\[202202_税款计算_工资薪金所得（修改后）(1).xls]Sheet1'!#REF!</xm:f>
            <x14:dxf>
              <font>
                <color rgb="FFFF0000"/>
              </font>
            </x14:dxf>
          </x14:cfRule>
          <xm:sqref>B1:AL49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H16"/>
  <sheetViews>
    <sheetView workbookViewId="0">
      <selection activeCell="M18" sqref="M18"/>
    </sheetView>
  </sheetViews>
  <sheetFormatPr defaultColWidth="9" defaultRowHeight="16.5"/>
  <cols>
    <col min="1" max="1" width="10" style="148" customWidth="1"/>
    <col min="2" max="2" width="31.26953125" style="148" bestFit="1" customWidth="1"/>
    <col min="3" max="3" width="6" style="148" customWidth="1"/>
    <col min="4" max="4" width="8.453125" style="148" hidden="1" customWidth="1"/>
    <col min="5" max="5" width="8.26953125" style="148" hidden="1" customWidth="1"/>
    <col min="6" max="6" width="11.90625" style="148" customWidth="1"/>
    <col min="7" max="7" width="16.36328125" style="148" customWidth="1"/>
    <col min="8" max="11" width="8.453125" style="148" customWidth="1"/>
    <col min="12" max="12" width="9.08984375" style="148" customWidth="1"/>
    <col min="13" max="14" width="9.26953125" style="148" customWidth="1"/>
    <col min="15" max="15" width="7.453125" style="148" customWidth="1"/>
    <col min="16" max="16" width="11.26953125" style="148" customWidth="1"/>
    <col min="17" max="17" width="9.08984375" style="148" customWidth="1"/>
    <col min="18" max="21" width="9.26953125" style="148" customWidth="1"/>
    <col min="22" max="22" width="9.08984375" style="148" customWidth="1"/>
    <col min="23" max="26" width="9.26953125" style="148" customWidth="1"/>
    <col min="27" max="28" width="9.08984375" style="148" customWidth="1"/>
    <col min="29" max="29" width="9" style="148" customWidth="1"/>
    <col min="30" max="30" width="9.08984375" style="148" customWidth="1"/>
    <col min="31" max="31" width="9.26953125" style="148" customWidth="1"/>
    <col min="32" max="32" width="8.90625" style="148" customWidth="1"/>
    <col min="33" max="33" width="9.08984375" style="148" customWidth="1"/>
    <col min="34" max="34" width="9.26953125" style="148" customWidth="1"/>
    <col min="35" max="35" width="11.08984375" style="148" customWidth="1"/>
    <col min="36" max="36" width="9.26953125" style="148" customWidth="1"/>
    <col min="37" max="37" width="8.26953125" style="148" customWidth="1"/>
    <col min="38" max="38" width="9.08984375" style="148" hidden="1" customWidth="1"/>
    <col min="39" max="39" width="9.26953125" style="148" hidden="1" customWidth="1"/>
    <col min="40" max="40" width="9.26953125" style="148" customWidth="1"/>
    <col min="41" max="42" width="9.26953125" style="148" hidden="1" customWidth="1"/>
    <col min="43" max="43" width="9.90625" style="148" customWidth="1"/>
    <col min="44" max="44" width="9.36328125" style="148" customWidth="1"/>
    <col min="45" max="45" width="10.26953125" style="169" customWidth="1"/>
    <col min="46" max="46" width="10" style="169" customWidth="1"/>
    <col min="47" max="49" width="9.26953125" style="169" customWidth="1"/>
    <col min="50" max="50" width="9.26953125" style="148" customWidth="1"/>
    <col min="51" max="51" width="5.90625" style="148" customWidth="1"/>
    <col min="52" max="52" width="8.36328125" style="148" customWidth="1"/>
    <col min="53" max="53" width="5.90625" style="148" customWidth="1"/>
    <col min="54" max="54" width="8.90625" style="148" customWidth="1"/>
    <col min="55" max="55" width="10.90625" style="148" customWidth="1"/>
    <col min="56" max="56" width="40.26953125" style="170" customWidth="1"/>
    <col min="57" max="57" width="10.6328125" style="148" customWidth="1"/>
    <col min="58" max="16384" width="9" style="148"/>
  </cols>
  <sheetData>
    <row r="1" spans="1:60" s="145" customFormat="1" ht="14">
      <c r="A1" s="340" t="s">
        <v>7</v>
      </c>
      <c r="B1" s="338" t="s">
        <v>315</v>
      </c>
      <c r="C1" s="338" t="s">
        <v>316</v>
      </c>
      <c r="D1" s="340" t="s">
        <v>317</v>
      </c>
      <c r="E1" s="338" t="s">
        <v>318</v>
      </c>
      <c r="F1" s="338" t="s">
        <v>319</v>
      </c>
      <c r="G1" s="338" t="s">
        <v>320</v>
      </c>
      <c r="H1" s="338" t="s">
        <v>321</v>
      </c>
      <c r="I1" s="338" t="s">
        <v>322</v>
      </c>
      <c r="J1" s="338" t="s">
        <v>323</v>
      </c>
      <c r="K1" s="338" t="s">
        <v>324</v>
      </c>
      <c r="L1" s="342" t="s">
        <v>92</v>
      </c>
      <c r="M1" s="342"/>
      <c r="N1" s="342"/>
      <c r="O1" s="342"/>
      <c r="P1" s="342"/>
      <c r="Q1" s="342" t="s">
        <v>99</v>
      </c>
      <c r="R1" s="342"/>
      <c r="S1" s="342"/>
      <c r="T1" s="342"/>
      <c r="U1" s="342"/>
      <c r="V1" s="342" t="s">
        <v>103</v>
      </c>
      <c r="W1" s="342"/>
      <c r="X1" s="342"/>
      <c r="Y1" s="342"/>
      <c r="Z1" s="342"/>
      <c r="AA1" s="340" t="s">
        <v>109</v>
      </c>
      <c r="AB1" s="340"/>
      <c r="AC1" s="340"/>
      <c r="AD1" s="340" t="s">
        <v>105</v>
      </c>
      <c r="AE1" s="340"/>
      <c r="AF1" s="340"/>
      <c r="AG1" s="342" t="s">
        <v>325</v>
      </c>
      <c r="AH1" s="342"/>
      <c r="AI1" s="342"/>
      <c r="AJ1" s="342"/>
      <c r="AK1" s="342"/>
      <c r="AL1" s="340" t="s">
        <v>326</v>
      </c>
      <c r="AM1" s="340"/>
      <c r="AN1" s="340"/>
      <c r="AO1" s="340"/>
      <c r="AP1" s="340"/>
      <c r="AQ1" s="340" t="s">
        <v>125</v>
      </c>
      <c r="AR1" s="340"/>
      <c r="AS1" s="344" t="s">
        <v>327</v>
      </c>
      <c r="AT1" s="344"/>
      <c r="AU1" s="344"/>
      <c r="AV1" s="344"/>
      <c r="AW1" s="344"/>
      <c r="AX1" s="340" t="s">
        <v>308</v>
      </c>
      <c r="AY1" s="340"/>
      <c r="AZ1" s="340" t="s">
        <v>328</v>
      </c>
      <c r="BA1" s="340"/>
      <c r="BB1" s="340" t="s">
        <v>25</v>
      </c>
      <c r="BC1" s="340" t="s">
        <v>329</v>
      </c>
      <c r="BD1" s="345" t="s">
        <v>200</v>
      </c>
    </row>
    <row r="2" spans="1:60" ht="14">
      <c r="A2" s="340"/>
      <c r="B2" s="341"/>
      <c r="C2" s="338"/>
      <c r="D2" s="340"/>
      <c r="E2" s="338"/>
      <c r="F2" s="339"/>
      <c r="G2" s="339"/>
      <c r="H2" s="338"/>
      <c r="I2" s="338"/>
      <c r="J2" s="338"/>
      <c r="K2" s="338"/>
      <c r="L2" s="146" t="s">
        <v>330</v>
      </c>
      <c r="M2" s="146" t="s">
        <v>331</v>
      </c>
      <c r="N2" s="146" t="s">
        <v>332</v>
      </c>
      <c r="O2" s="146" t="s">
        <v>333</v>
      </c>
      <c r="P2" s="146" t="s">
        <v>334</v>
      </c>
      <c r="Q2" s="146" t="s">
        <v>330</v>
      </c>
      <c r="R2" s="146" t="s">
        <v>331</v>
      </c>
      <c r="S2" s="146" t="s">
        <v>332</v>
      </c>
      <c r="T2" s="146" t="s">
        <v>333</v>
      </c>
      <c r="U2" s="146" t="s">
        <v>334</v>
      </c>
      <c r="V2" s="146" t="s">
        <v>330</v>
      </c>
      <c r="W2" s="146" t="s">
        <v>331</v>
      </c>
      <c r="X2" s="146" t="s">
        <v>332</v>
      </c>
      <c r="Y2" s="146" t="s">
        <v>333</v>
      </c>
      <c r="Z2" s="146" t="s">
        <v>334</v>
      </c>
      <c r="AA2" s="146" t="s">
        <v>330</v>
      </c>
      <c r="AB2" s="146" t="s">
        <v>335</v>
      </c>
      <c r="AC2" s="146" t="s">
        <v>336</v>
      </c>
      <c r="AD2" s="146" t="s">
        <v>330</v>
      </c>
      <c r="AE2" s="146" t="s">
        <v>335</v>
      </c>
      <c r="AF2" s="146" t="s">
        <v>336</v>
      </c>
      <c r="AG2" s="146" t="s">
        <v>330</v>
      </c>
      <c r="AH2" s="146" t="s">
        <v>331</v>
      </c>
      <c r="AI2" s="146" t="s">
        <v>332</v>
      </c>
      <c r="AJ2" s="146" t="s">
        <v>333</v>
      </c>
      <c r="AK2" s="146" t="s">
        <v>334</v>
      </c>
      <c r="AL2" s="146" t="s">
        <v>330</v>
      </c>
      <c r="AM2" s="146" t="s">
        <v>331</v>
      </c>
      <c r="AN2" s="146" t="s">
        <v>332</v>
      </c>
      <c r="AO2" s="146" t="s">
        <v>333</v>
      </c>
      <c r="AP2" s="146" t="s">
        <v>334</v>
      </c>
      <c r="AQ2" s="146" t="s">
        <v>70</v>
      </c>
      <c r="AR2" s="146" t="s">
        <v>337</v>
      </c>
      <c r="AS2" s="147" t="s">
        <v>338</v>
      </c>
      <c r="AT2" s="147" t="s">
        <v>311</v>
      </c>
      <c r="AU2" s="147" t="s">
        <v>339</v>
      </c>
      <c r="AV2" s="147" t="s">
        <v>30</v>
      </c>
      <c r="AW2" s="147" t="s">
        <v>340</v>
      </c>
      <c r="AX2" s="340"/>
      <c r="AY2" s="340"/>
      <c r="AZ2" s="340"/>
      <c r="BA2" s="340"/>
      <c r="BB2" s="340"/>
      <c r="BC2" s="340"/>
      <c r="BD2" s="345"/>
    </row>
    <row r="3" spans="1:60" s="163" customFormat="1" ht="14.5">
      <c r="A3" s="149" t="s">
        <v>345</v>
      </c>
      <c r="B3" s="150" t="s">
        <v>341</v>
      </c>
      <c r="C3" s="151" t="s">
        <v>68</v>
      </c>
      <c r="D3" s="152" t="s">
        <v>342</v>
      </c>
      <c r="E3" s="153" t="s">
        <v>343</v>
      </c>
      <c r="F3" s="154" t="s">
        <v>43</v>
      </c>
      <c r="G3" s="155" t="s">
        <v>44</v>
      </c>
      <c r="H3" s="152" t="s">
        <v>344</v>
      </c>
      <c r="I3" s="152" t="s">
        <v>344</v>
      </c>
      <c r="J3" s="152" t="s">
        <v>344</v>
      </c>
      <c r="K3" s="152" t="s">
        <v>344</v>
      </c>
      <c r="L3" s="149">
        <v>2075</v>
      </c>
      <c r="M3" s="149">
        <v>0.16</v>
      </c>
      <c r="N3" s="149">
        <f>ROUND(L3*M3,2)</f>
        <v>332</v>
      </c>
      <c r="O3" s="149">
        <v>0.08</v>
      </c>
      <c r="P3" s="149">
        <f>ROUND(L3*O3,2)</f>
        <v>166</v>
      </c>
      <c r="Q3" s="149">
        <v>3676</v>
      </c>
      <c r="R3" s="149">
        <v>0.08</v>
      </c>
      <c r="S3" s="149">
        <f>ROUND(Q3*R3,2)</f>
        <v>294.08</v>
      </c>
      <c r="T3" s="149">
        <v>0.02</v>
      </c>
      <c r="U3" s="149">
        <f>ROUND(Q3*T3,2)</f>
        <v>73.52</v>
      </c>
      <c r="V3" s="149">
        <v>2075</v>
      </c>
      <c r="W3" s="149">
        <v>5.0000000000000001E-3</v>
      </c>
      <c r="X3" s="149">
        <f>ROUND(V3*W3,2)</f>
        <v>10.38</v>
      </c>
      <c r="Y3" s="149">
        <v>5.0000000000000001E-3</v>
      </c>
      <c r="Z3" s="149">
        <f>ROUND(V3*Y3,2)</f>
        <v>10.38</v>
      </c>
      <c r="AA3" s="149">
        <v>3676</v>
      </c>
      <c r="AB3" s="149">
        <v>7.0000000000000001E-3</v>
      </c>
      <c r="AC3" s="149">
        <f>ROUND(AA3*AB3,2)</f>
        <v>25.73</v>
      </c>
      <c r="AD3" s="149">
        <v>3488.4</v>
      </c>
      <c r="AE3" s="149">
        <v>3.5000000000000001E-3</v>
      </c>
      <c r="AF3" s="149">
        <f>ROUND(AD3*AE3,2)</f>
        <v>12.21</v>
      </c>
      <c r="AG3" s="149">
        <v>1720</v>
      </c>
      <c r="AH3" s="149">
        <v>0.05</v>
      </c>
      <c r="AI3" s="149">
        <f>ROUND(AG3*AH3,2)</f>
        <v>86</v>
      </c>
      <c r="AJ3" s="149">
        <v>0.05</v>
      </c>
      <c r="AK3" s="149">
        <f>ROUND(AG3*AJ3,2)</f>
        <v>86</v>
      </c>
      <c r="AL3" s="156"/>
      <c r="AM3" s="149"/>
      <c r="AN3" s="149"/>
      <c r="AO3" s="149"/>
      <c r="AP3" s="153"/>
      <c r="AQ3" s="157"/>
      <c r="AR3" s="157"/>
      <c r="AS3" s="158">
        <f>N3+S3+X3+AC3+AF3+AN3+AQ3</f>
        <v>674.4</v>
      </c>
      <c r="AT3" s="158">
        <f>P3+U3+Z3</f>
        <v>249.89999999999998</v>
      </c>
      <c r="AU3" s="158">
        <f>AI3</f>
        <v>86</v>
      </c>
      <c r="AV3" s="158">
        <f>AK3</f>
        <v>86</v>
      </c>
      <c r="AW3" s="158">
        <f>AV3+AS3+AT3+AU3</f>
        <v>1096.3</v>
      </c>
      <c r="AX3" s="343">
        <f>AS3+AT3</f>
        <v>924.3</v>
      </c>
      <c r="AY3" s="343"/>
      <c r="AZ3" s="343">
        <f>AU3+AV3</f>
        <v>172</v>
      </c>
      <c r="BA3" s="343"/>
      <c r="BB3" s="159">
        <v>80</v>
      </c>
      <c r="BC3" s="160">
        <f>AX3+AZ3+BB3</f>
        <v>1176.3</v>
      </c>
      <c r="BD3" s="161"/>
      <c r="BE3" s="162"/>
      <c r="BF3" s="162"/>
      <c r="BG3" s="162"/>
      <c r="BH3" s="162"/>
    </row>
    <row r="4" spans="1:60" s="163" customFormat="1" ht="14.5">
      <c r="A4" s="149" t="s">
        <v>345</v>
      </c>
      <c r="B4" s="150" t="s">
        <v>341</v>
      </c>
      <c r="C4" s="151" t="s">
        <v>66</v>
      </c>
      <c r="D4" s="152" t="s">
        <v>342</v>
      </c>
      <c r="E4" s="153" t="s">
        <v>343</v>
      </c>
      <c r="F4" s="154" t="s">
        <v>45</v>
      </c>
      <c r="G4" s="155" t="s">
        <v>46</v>
      </c>
      <c r="H4" s="152" t="s">
        <v>344</v>
      </c>
      <c r="I4" s="152" t="s">
        <v>344</v>
      </c>
      <c r="J4" s="152" t="s">
        <v>344</v>
      </c>
      <c r="K4" s="152" t="s">
        <v>344</v>
      </c>
      <c r="L4" s="149">
        <v>3430</v>
      </c>
      <c r="M4" s="149">
        <v>0.16</v>
      </c>
      <c r="N4" s="149">
        <f>ROUND(L4*M4,2)</f>
        <v>548.79999999999995</v>
      </c>
      <c r="O4" s="149">
        <v>0.08</v>
      </c>
      <c r="P4" s="149">
        <f>ROUND(L4*O4,2)</f>
        <v>274.39999999999998</v>
      </c>
      <c r="Q4" s="149">
        <v>3430</v>
      </c>
      <c r="R4" s="149">
        <v>6.4000000000000001E-2</v>
      </c>
      <c r="S4" s="149">
        <f>ROUND(Q4*R4,2)</f>
        <v>219.52</v>
      </c>
      <c r="T4" s="149">
        <v>0.02</v>
      </c>
      <c r="U4" s="149">
        <f>ROUND(Q4*T4,2)</f>
        <v>68.599999999999994</v>
      </c>
      <c r="V4" s="149">
        <v>3430</v>
      </c>
      <c r="W4" s="149">
        <v>5.0000000000000001E-3</v>
      </c>
      <c r="X4" s="149">
        <f>ROUND(V4*W4,2)</f>
        <v>17.149999999999999</v>
      </c>
      <c r="Y4" s="149">
        <v>5.0000000000000001E-3</v>
      </c>
      <c r="Z4" s="149">
        <f>ROUND(V4*Y4,2)</f>
        <v>17.149999999999999</v>
      </c>
      <c r="AA4" s="149"/>
      <c r="AB4" s="149"/>
      <c r="AC4" s="149"/>
      <c r="AD4" s="149">
        <v>3430</v>
      </c>
      <c r="AE4" s="149">
        <v>2E-3</v>
      </c>
      <c r="AF4" s="149">
        <f>ROUND(AD4*AE4,2)</f>
        <v>6.86</v>
      </c>
      <c r="AG4" s="149">
        <v>1650</v>
      </c>
      <c r="AH4" s="149">
        <v>0.05</v>
      </c>
      <c r="AI4" s="149">
        <f>ROUND(AG4*AH4,2)</f>
        <v>82.5</v>
      </c>
      <c r="AJ4" s="149">
        <v>0.05</v>
      </c>
      <c r="AK4" s="149">
        <f>ROUND(AG4*AJ4,2)</f>
        <v>82.5</v>
      </c>
      <c r="AL4" s="156"/>
      <c r="AM4" s="149"/>
      <c r="AN4" s="149"/>
      <c r="AO4" s="149"/>
      <c r="AP4" s="153"/>
      <c r="AQ4" s="157">
        <v>15</v>
      </c>
      <c r="AR4" s="157"/>
      <c r="AS4" s="158">
        <f>N4+S4+X4+AC4+AF4+AN4+AQ4</f>
        <v>807.32999999999993</v>
      </c>
      <c r="AT4" s="158">
        <f>P4+U4+Z4</f>
        <v>360.15</v>
      </c>
      <c r="AU4" s="158">
        <f>AI4</f>
        <v>82.5</v>
      </c>
      <c r="AV4" s="158">
        <f>AK4</f>
        <v>82.5</v>
      </c>
      <c r="AW4" s="158">
        <f>AV4+AS4+AT4+AU4</f>
        <v>1332.48</v>
      </c>
      <c r="AX4" s="343">
        <f>AS4+AT4</f>
        <v>1167.48</v>
      </c>
      <c r="AY4" s="343"/>
      <c r="AZ4" s="343">
        <f>AU4+AV4</f>
        <v>165</v>
      </c>
      <c r="BA4" s="343"/>
      <c r="BB4" s="159">
        <v>80</v>
      </c>
      <c r="BC4" s="160">
        <f>AX4+AZ4+BB4</f>
        <v>1412.48</v>
      </c>
      <c r="BD4" s="161"/>
      <c r="BE4" s="162"/>
      <c r="BF4" s="162"/>
      <c r="BG4" s="162"/>
      <c r="BH4" s="162"/>
    </row>
    <row r="5" spans="1:60" s="163" customFormat="1" ht="14.5">
      <c r="A5" s="149" t="s">
        <v>345</v>
      </c>
      <c r="B5" s="150" t="s">
        <v>341</v>
      </c>
      <c r="C5" s="151" t="s">
        <v>66</v>
      </c>
      <c r="D5" s="152" t="s">
        <v>342</v>
      </c>
      <c r="E5" s="153" t="s">
        <v>343</v>
      </c>
      <c r="F5" s="154" t="s">
        <v>47</v>
      </c>
      <c r="G5" s="155" t="s">
        <v>48</v>
      </c>
      <c r="H5" s="152" t="s">
        <v>344</v>
      </c>
      <c r="I5" s="152" t="s">
        <v>344</v>
      </c>
      <c r="J5" s="152" t="s">
        <v>344</v>
      </c>
      <c r="K5" s="152" t="s">
        <v>344</v>
      </c>
      <c r="L5" s="149">
        <v>3430</v>
      </c>
      <c r="M5" s="149">
        <v>0.16</v>
      </c>
      <c r="N5" s="149">
        <f t="shared" ref="N5:N12" si="0">ROUND(L5*M5,2)</f>
        <v>548.79999999999995</v>
      </c>
      <c r="O5" s="149">
        <v>0.08</v>
      </c>
      <c r="P5" s="149">
        <f t="shared" ref="P5:P12" si="1">ROUND(L5*O5,2)</f>
        <v>274.39999999999998</v>
      </c>
      <c r="Q5" s="149">
        <v>3430</v>
      </c>
      <c r="R5" s="149">
        <v>6.4000000000000001E-2</v>
      </c>
      <c r="S5" s="149">
        <f t="shared" ref="S5:S12" si="2">ROUND(Q5*R5,2)</f>
        <v>219.52</v>
      </c>
      <c r="T5" s="149">
        <v>0.02</v>
      </c>
      <c r="U5" s="149">
        <f t="shared" ref="U5:U12" si="3">ROUND(Q5*T5,2)</f>
        <v>68.599999999999994</v>
      </c>
      <c r="V5" s="149">
        <v>3430</v>
      </c>
      <c r="W5" s="149">
        <v>5.0000000000000001E-3</v>
      </c>
      <c r="X5" s="149">
        <f t="shared" ref="X5:X12" si="4">ROUND(V5*W5,2)</f>
        <v>17.149999999999999</v>
      </c>
      <c r="Y5" s="149">
        <v>5.0000000000000001E-3</v>
      </c>
      <c r="Z5" s="149">
        <f t="shared" ref="Z5:Z12" si="5">ROUND(V5*Y5,2)</f>
        <v>17.149999999999999</v>
      </c>
      <c r="AA5" s="149"/>
      <c r="AB5" s="149"/>
      <c r="AC5" s="149"/>
      <c r="AD5" s="149">
        <v>3430</v>
      </c>
      <c r="AE5" s="149">
        <v>2E-3</v>
      </c>
      <c r="AF5" s="149">
        <f t="shared" ref="AF5:AF12" si="6">ROUND(AD5*AE5,2)</f>
        <v>6.86</v>
      </c>
      <c r="AG5" s="149">
        <v>1650</v>
      </c>
      <c r="AH5" s="149">
        <v>0.05</v>
      </c>
      <c r="AI5" s="149">
        <f t="shared" ref="AI5:AI12" si="7">ROUND(AG5*AH5,2)</f>
        <v>82.5</v>
      </c>
      <c r="AJ5" s="149">
        <v>0.05</v>
      </c>
      <c r="AK5" s="149">
        <f t="shared" ref="AK5:AK12" si="8">ROUND(AG5*AJ5,2)</f>
        <v>82.5</v>
      </c>
      <c r="AL5" s="156"/>
      <c r="AM5" s="149"/>
      <c r="AN5" s="149"/>
      <c r="AO5" s="149"/>
      <c r="AP5" s="153"/>
      <c r="AQ5" s="157">
        <v>15</v>
      </c>
      <c r="AR5" s="157"/>
      <c r="AS5" s="158">
        <f t="shared" ref="AS5:AS12" si="9">N5+S5+X5+AC5+AF5+AN5+AQ5</f>
        <v>807.32999999999993</v>
      </c>
      <c r="AT5" s="158">
        <f t="shared" ref="AT5:AT12" si="10">P5+U5+Z5</f>
        <v>360.15</v>
      </c>
      <c r="AU5" s="158">
        <f t="shared" ref="AU5:AU12" si="11">AI5</f>
        <v>82.5</v>
      </c>
      <c r="AV5" s="158">
        <f t="shared" ref="AV5:AV12" si="12">AK5</f>
        <v>82.5</v>
      </c>
      <c r="AW5" s="158">
        <f t="shared" ref="AW5:AW12" si="13">AV5+AS5+AT5+AU5</f>
        <v>1332.48</v>
      </c>
      <c r="AX5" s="343">
        <f t="shared" ref="AX5:AX12" si="14">AS5+AT5</f>
        <v>1167.48</v>
      </c>
      <c r="AY5" s="343"/>
      <c r="AZ5" s="343">
        <f t="shared" ref="AZ5:AZ12" si="15">AU5+AV5</f>
        <v>165</v>
      </c>
      <c r="BA5" s="343"/>
      <c r="BB5" s="159">
        <v>80</v>
      </c>
      <c r="BC5" s="160">
        <f t="shared" ref="BC5:BC12" si="16">AX5+AZ5+BB5</f>
        <v>1412.48</v>
      </c>
      <c r="BD5" s="161"/>
      <c r="BE5" s="162"/>
      <c r="BF5" s="162"/>
      <c r="BG5" s="162"/>
      <c r="BH5" s="162"/>
    </row>
    <row r="6" spans="1:60" s="163" customFormat="1" ht="14.5">
      <c r="A6" s="149" t="s">
        <v>345</v>
      </c>
      <c r="B6" s="150" t="s">
        <v>341</v>
      </c>
      <c r="C6" s="151" t="s">
        <v>66</v>
      </c>
      <c r="D6" s="152" t="s">
        <v>342</v>
      </c>
      <c r="E6" s="153" t="s">
        <v>343</v>
      </c>
      <c r="F6" s="154" t="s">
        <v>49</v>
      </c>
      <c r="G6" s="155" t="s">
        <v>50</v>
      </c>
      <c r="H6" s="152" t="s">
        <v>344</v>
      </c>
      <c r="I6" s="152" t="s">
        <v>344</v>
      </c>
      <c r="J6" s="152" t="s">
        <v>344</v>
      </c>
      <c r="K6" s="152" t="s">
        <v>344</v>
      </c>
      <c r="L6" s="149">
        <v>3430</v>
      </c>
      <c r="M6" s="149">
        <v>0.16</v>
      </c>
      <c r="N6" s="149">
        <f t="shared" si="0"/>
        <v>548.79999999999995</v>
      </c>
      <c r="O6" s="149">
        <v>0.08</v>
      </c>
      <c r="P6" s="149">
        <f t="shared" si="1"/>
        <v>274.39999999999998</v>
      </c>
      <c r="Q6" s="149">
        <v>3430</v>
      </c>
      <c r="R6" s="149">
        <v>6.4000000000000001E-2</v>
      </c>
      <c r="S6" s="149">
        <f t="shared" si="2"/>
        <v>219.52</v>
      </c>
      <c r="T6" s="149">
        <v>0.02</v>
      </c>
      <c r="U6" s="149">
        <f t="shared" si="3"/>
        <v>68.599999999999994</v>
      </c>
      <c r="V6" s="149">
        <v>3430</v>
      </c>
      <c r="W6" s="149">
        <v>5.0000000000000001E-3</v>
      </c>
      <c r="X6" s="149">
        <f t="shared" si="4"/>
        <v>17.149999999999999</v>
      </c>
      <c r="Y6" s="149">
        <v>5.0000000000000001E-3</v>
      </c>
      <c r="Z6" s="149">
        <f t="shared" si="5"/>
        <v>17.149999999999999</v>
      </c>
      <c r="AA6" s="149"/>
      <c r="AB6" s="149"/>
      <c r="AC6" s="149"/>
      <c r="AD6" s="149">
        <v>3430</v>
      </c>
      <c r="AE6" s="149">
        <v>2E-3</v>
      </c>
      <c r="AF6" s="149">
        <f t="shared" si="6"/>
        <v>6.86</v>
      </c>
      <c r="AG6" s="149">
        <v>1650</v>
      </c>
      <c r="AH6" s="149">
        <v>0.05</v>
      </c>
      <c r="AI6" s="149">
        <f t="shared" si="7"/>
        <v>82.5</v>
      </c>
      <c r="AJ6" s="149">
        <v>0.05</v>
      </c>
      <c r="AK6" s="149">
        <f t="shared" si="8"/>
        <v>82.5</v>
      </c>
      <c r="AL6" s="156"/>
      <c r="AM6" s="149"/>
      <c r="AN6" s="149"/>
      <c r="AO6" s="149"/>
      <c r="AP6" s="153"/>
      <c r="AQ6" s="157">
        <v>15</v>
      </c>
      <c r="AR6" s="157"/>
      <c r="AS6" s="158">
        <f t="shared" si="9"/>
        <v>807.32999999999993</v>
      </c>
      <c r="AT6" s="158">
        <f t="shared" si="10"/>
        <v>360.15</v>
      </c>
      <c r="AU6" s="158">
        <f t="shared" si="11"/>
        <v>82.5</v>
      </c>
      <c r="AV6" s="158">
        <f t="shared" si="12"/>
        <v>82.5</v>
      </c>
      <c r="AW6" s="158">
        <f t="shared" si="13"/>
        <v>1332.48</v>
      </c>
      <c r="AX6" s="343">
        <f t="shared" si="14"/>
        <v>1167.48</v>
      </c>
      <c r="AY6" s="343"/>
      <c r="AZ6" s="343">
        <f t="shared" si="15"/>
        <v>165</v>
      </c>
      <c r="BA6" s="343"/>
      <c r="BB6" s="159">
        <v>80</v>
      </c>
      <c r="BC6" s="160">
        <f t="shared" si="16"/>
        <v>1412.48</v>
      </c>
      <c r="BD6" s="161"/>
      <c r="BE6" s="162"/>
      <c r="BF6" s="162"/>
      <c r="BG6" s="162"/>
      <c r="BH6" s="162"/>
    </row>
    <row r="7" spans="1:60" s="163" customFormat="1" ht="14.5">
      <c r="A7" s="149" t="s">
        <v>345</v>
      </c>
      <c r="B7" s="150" t="s">
        <v>341</v>
      </c>
      <c r="C7" s="151" t="s">
        <v>66</v>
      </c>
      <c r="D7" s="152" t="s">
        <v>342</v>
      </c>
      <c r="E7" s="153" t="s">
        <v>343</v>
      </c>
      <c r="F7" s="154" t="s">
        <v>51</v>
      </c>
      <c r="G7" s="155" t="s">
        <v>52</v>
      </c>
      <c r="H7" s="152" t="s">
        <v>344</v>
      </c>
      <c r="I7" s="152" t="s">
        <v>344</v>
      </c>
      <c r="J7" s="152" t="s">
        <v>344</v>
      </c>
      <c r="K7" s="152" t="s">
        <v>344</v>
      </c>
      <c r="L7" s="149">
        <v>3430</v>
      </c>
      <c r="M7" s="149">
        <v>0.16</v>
      </c>
      <c r="N7" s="149">
        <f t="shared" si="0"/>
        <v>548.79999999999995</v>
      </c>
      <c r="O7" s="149">
        <v>0.08</v>
      </c>
      <c r="P7" s="149">
        <f t="shared" si="1"/>
        <v>274.39999999999998</v>
      </c>
      <c r="Q7" s="149">
        <v>3430</v>
      </c>
      <c r="R7" s="149">
        <v>6.4000000000000001E-2</v>
      </c>
      <c r="S7" s="149">
        <f t="shared" si="2"/>
        <v>219.52</v>
      </c>
      <c r="T7" s="149">
        <v>0.02</v>
      </c>
      <c r="U7" s="149">
        <f t="shared" si="3"/>
        <v>68.599999999999994</v>
      </c>
      <c r="V7" s="149">
        <v>3430</v>
      </c>
      <c r="W7" s="149">
        <v>5.0000000000000001E-3</v>
      </c>
      <c r="X7" s="149">
        <f t="shared" si="4"/>
        <v>17.149999999999999</v>
      </c>
      <c r="Y7" s="149">
        <v>5.0000000000000001E-3</v>
      </c>
      <c r="Z7" s="149">
        <f t="shared" si="5"/>
        <v>17.149999999999999</v>
      </c>
      <c r="AA7" s="149"/>
      <c r="AB7" s="149"/>
      <c r="AC7" s="149"/>
      <c r="AD7" s="149">
        <v>3430</v>
      </c>
      <c r="AE7" s="149">
        <v>2E-3</v>
      </c>
      <c r="AF7" s="149">
        <f t="shared" si="6"/>
        <v>6.86</v>
      </c>
      <c r="AG7" s="149">
        <v>1650</v>
      </c>
      <c r="AH7" s="149">
        <v>0.05</v>
      </c>
      <c r="AI7" s="149">
        <f t="shared" si="7"/>
        <v>82.5</v>
      </c>
      <c r="AJ7" s="149">
        <v>0.05</v>
      </c>
      <c r="AK7" s="149">
        <f t="shared" si="8"/>
        <v>82.5</v>
      </c>
      <c r="AL7" s="156"/>
      <c r="AM7" s="149"/>
      <c r="AN7" s="149"/>
      <c r="AO7" s="149"/>
      <c r="AP7" s="153"/>
      <c r="AQ7" s="157">
        <v>15</v>
      </c>
      <c r="AR7" s="157"/>
      <c r="AS7" s="158">
        <f t="shared" si="9"/>
        <v>807.32999999999993</v>
      </c>
      <c r="AT7" s="158">
        <f t="shared" si="10"/>
        <v>360.15</v>
      </c>
      <c r="AU7" s="158">
        <f t="shared" si="11"/>
        <v>82.5</v>
      </c>
      <c r="AV7" s="158">
        <f t="shared" si="12"/>
        <v>82.5</v>
      </c>
      <c r="AW7" s="158">
        <f t="shared" si="13"/>
        <v>1332.48</v>
      </c>
      <c r="AX7" s="343">
        <f t="shared" si="14"/>
        <v>1167.48</v>
      </c>
      <c r="AY7" s="343"/>
      <c r="AZ7" s="343">
        <f t="shared" si="15"/>
        <v>165</v>
      </c>
      <c r="BA7" s="343"/>
      <c r="BB7" s="159">
        <v>80</v>
      </c>
      <c r="BC7" s="160">
        <f t="shared" si="16"/>
        <v>1412.48</v>
      </c>
      <c r="BD7" s="161"/>
      <c r="BE7" s="162"/>
      <c r="BF7" s="162"/>
      <c r="BG7" s="162"/>
      <c r="BH7" s="162"/>
    </row>
    <row r="8" spans="1:60" s="163" customFormat="1" ht="14.5">
      <c r="A8" s="149" t="s">
        <v>345</v>
      </c>
      <c r="B8" s="150" t="s">
        <v>341</v>
      </c>
      <c r="C8" s="151" t="s">
        <v>66</v>
      </c>
      <c r="D8" s="152" t="s">
        <v>342</v>
      </c>
      <c r="E8" s="153" t="s">
        <v>343</v>
      </c>
      <c r="F8" s="154" t="s">
        <v>53</v>
      </c>
      <c r="G8" s="155" t="s">
        <v>54</v>
      </c>
      <c r="H8" s="152" t="s">
        <v>344</v>
      </c>
      <c r="I8" s="152" t="s">
        <v>344</v>
      </c>
      <c r="J8" s="152" t="s">
        <v>344</v>
      </c>
      <c r="K8" s="152" t="s">
        <v>344</v>
      </c>
      <c r="L8" s="149">
        <v>3430</v>
      </c>
      <c r="M8" s="149">
        <v>0.16</v>
      </c>
      <c r="N8" s="149">
        <f t="shared" si="0"/>
        <v>548.79999999999995</v>
      </c>
      <c r="O8" s="149">
        <v>0.08</v>
      </c>
      <c r="P8" s="149">
        <f t="shared" si="1"/>
        <v>274.39999999999998</v>
      </c>
      <c r="Q8" s="149">
        <v>3430</v>
      </c>
      <c r="R8" s="149">
        <v>6.4000000000000001E-2</v>
      </c>
      <c r="S8" s="149">
        <f t="shared" si="2"/>
        <v>219.52</v>
      </c>
      <c r="T8" s="149">
        <v>0.02</v>
      </c>
      <c r="U8" s="149">
        <f t="shared" si="3"/>
        <v>68.599999999999994</v>
      </c>
      <c r="V8" s="149">
        <v>3430</v>
      </c>
      <c r="W8" s="149">
        <v>5.0000000000000001E-3</v>
      </c>
      <c r="X8" s="149">
        <f t="shared" si="4"/>
        <v>17.149999999999999</v>
      </c>
      <c r="Y8" s="149">
        <v>5.0000000000000001E-3</v>
      </c>
      <c r="Z8" s="149">
        <f t="shared" si="5"/>
        <v>17.149999999999999</v>
      </c>
      <c r="AA8" s="149"/>
      <c r="AB8" s="149"/>
      <c r="AC8" s="149"/>
      <c r="AD8" s="149">
        <v>3430</v>
      </c>
      <c r="AE8" s="149">
        <v>2E-3</v>
      </c>
      <c r="AF8" s="149">
        <f t="shared" si="6"/>
        <v>6.86</v>
      </c>
      <c r="AG8" s="149">
        <v>1650</v>
      </c>
      <c r="AH8" s="149">
        <v>0.05</v>
      </c>
      <c r="AI8" s="149">
        <f t="shared" si="7"/>
        <v>82.5</v>
      </c>
      <c r="AJ8" s="149">
        <v>0.05</v>
      </c>
      <c r="AK8" s="149">
        <f t="shared" si="8"/>
        <v>82.5</v>
      </c>
      <c r="AL8" s="156"/>
      <c r="AM8" s="149"/>
      <c r="AN8" s="149"/>
      <c r="AO8" s="149"/>
      <c r="AP8" s="153"/>
      <c r="AQ8" s="157">
        <v>15</v>
      </c>
      <c r="AR8" s="157"/>
      <c r="AS8" s="158">
        <f t="shared" si="9"/>
        <v>807.32999999999993</v>
      </c>
      <c r="AT8" s="158">
        <f t="shared" si="10"/>
        <v>360.15</v>
      </c>
      <c r="AU8" s="158">
        <f t="shared" si="11"/>
        <v>82.5</v>
      </c>
      <c r="AV8" s="158">
        <f t="shared" si="12"/>
        <v>82.5</v>
      </c>
      <c r="AW8" s="158">
        <f t="shared" si="13"/>
        <v>1332.48</v>
      </c>
      <c r="AX8" s="343">
        <f t="shared" si="14"/>
        <v>1167.48</v>
      </c>
      <c r="AY8" s="343"/>
      <c r="AZ8" s="343">
        <f t="shared" si="15"/>
        <v>165</v>
      </c>
      <c r="BA8" s="343"/>
      <c r="BB8" s="159">
        <v>80</v>
      </c>
      <c r="BC8" s="160">
        <f t="shared" si="16"/>
        <v>1412.48</v>
      </c>
      <c r="BD8" s="161"/>
      <c r="BE8" s="162"/>
      <c r="BF8" s="162"/>
      <c r="BG8" s="162"/>
      <c r="BH8" s="162"/>
    </row>
    <row r="9" spans="1:60" s="163" customFormat="1" ht="14.5">
      <c r="A9" s="149" t="s">
        <v>345</v>
      </c>
      <c r="B9" s="150" t="s">
        <v>341</v>
      </c>
      <c r="C9" s="151" t="s">
        <v>66</v>
      </c>
      <c r="D9" s="152" t="s">
        <v>342</v>
      </c>
      <c r="E9" s="153" t="s">
        <v>343</v>
      </c>
      <c r="F9" s="154" t="s">
        <v>55</v>
      </c>
      <c r="G9" s="155" t="s">
        <v>56</v>
      </c>
      <c r="H9" s="152" t="s">
        <v>344</v>
      </c>
      <c r="I9" s="152" t="s">
        <v>344</v>
      </c>
      <c r="J9" s="152" t="s">
        <v>344</v>
      </c>
      <c r="K9" s="152" t="s">
        <v>344</v>
      </c>
      <c r="L9" s="149">
        <v>3430</v>
      </c>
      <c r="M9" s="149">
        <v>0.16</v>
      </c>
      <c r="N9" s="149">
        <f t="shared" si="0"/>
        <v>548.79999999999995</v>
      </c>
      <c r="O9" s="149">
        <v>0.08</v>
      </c>
      <c r="P9" s="149">
        <f t="shared" si="1"/>
        <v>274.39999999999998</v>
      </c>
      <c r="Q9" s="149">
        <v>3430</v>
      </c>
      <c r="R9" s="149">
        <v>6.4000000000000001E-2</v>
      </c>
      <c r="S9" s="149">
        <f t="shared" si="2"/>
        <v>219.52</v>
      </c>
      <c r="T9" s="149">
        <v>0.02</v>
      </c>
      <c r="U9" s="149">
        <f t="shared" si="3"/>
        <v>68.599999999999994</v>
      </c>
      <c r="V9" s="149">
        <v>3430</v>
      </c>
      <c r="W9" s="149">
        <v>5.0000000000000001E-3</v>
      </c>
      <c r="X9" s="149">
        <f t="shared" si="4"/>
        <v>17.149999999999999</v>
      </c>
      <c r="Y9" s="149">
        <v>5.0000000000000001E-3</v>
      </c>
      <c r="Z9" s="149">
        <f t="shared" si="5"/>
        <v>17.149999999999999</v>
      </c>
      <c r="AA9" s="149"/>
      <c r="AB9" s="149"/>
      <c r="AC9" s="149"/>
      <c r="AD9" s="149">
        <v>3430</v>
      </c>
      <c r="AE9" s="149">
        <v>2E-3</v>
      </c>
      <c r="AF9" s="149">
        <f t="shared" si="6"/>
        <v>6.86</v>
      </c>
      <c r="AG9" s="149">
        <v>11000</v>
      </c>
      <c r="AH9" s="149">
        <v>0.12</v>
      </c>
      <c r="AI9" s="149">
        <f t="shared" si="7"/>
        <v>1320</v>
      </c>
      <c r="AJ9" s="149">
        <v>0.12</v>
      </c>
      <c r="AK9" s="149">
        <f t="shared" si="8"/>
        <v>1320</v>
      </c>
      <c r="AL9" s="156"/>
      <c r="AM9" s="149"/>
      <c r="AN9" s="149"/>
      <c r="AO9" s="149"/>
      <c r="AP9" s="153"/>
      <c r="AQ9" s="157">
        <v>15</v>
      </c>
      <c r="AR9" s="157"/>
      <c r="AS9" s="158">
        <f t="shared" si="9"/>
        <v>807.32999999999993</v>
      </c>
      <c r="AT9" s="158">
        <f t="shared" si="10"/>
        <v>360.15</v>
      </c>
      <c r="AU9" s="158">
        <f t="shared" si="11"/>
        <v>1320</v>
      </c>
      <c r="AV9" s="158">
        <f t="shared" si="12"/>
        <v>1320</v>
      </c>
      <c r="AW9" s="158">
        <f t="shared" si="13"/>
        <v>3807.48</v>
      </c>
      <c r="AX9" s="343">
        <f t="shared" si="14"/>
        <v>1167.48</v>
      </c>
      <c r="AY9" s="343"/>
      <c r="AZ9" s="343">
        <f t="shared" si="15"/>
        <v>2640</v>
      </c>
      <c r="BA9" s="343"/>
      <c r="BB9" s="159">
        <v>80</v>
      </c>
      <c r="BC9" s="160">
        <f t="shared" si="16"/>
        <v>3887.48</v>
      </c>
      <c r="BD9" s="161"/>
      <c r="BE9" s="162"/>
      <c r="BF9" s="162"/>
      <c r="BG9" s="162"/>
      <c r="BH9" s="162"/>
    </row>
    <row r="10" spans="1:60" s="163" customFormat="1" ht="14.5">
      <c r="A10" s="149" t="s">
        <v>345</v>
      </c>
      <c r="B10" s="150" t="s">
        <v>341</v>
      </c>
      <c r="C10" s="151" t="s">
        <v>66</v>
      </c>
      <c r="D10" s="152" t="s">
        <v>342</v>
      </c>
      <c r="E10" s="153" t="s">
        <v>343</v>
      </c>
      <c r="F10" s="154" t="s">
        <v>57</v>
      </c>
      <c r="G10" s="155" t="s">
        <v>58</v>
      </c>
      <c r="H10" s="152" t="s">
        <v>344</v>
      </c>
      <c r="I10" s="152" t="s">
        <v>344</v>
      </c>
      <c r="J10" s="152" t="s">
        <v>344</v>
      </c>
      <c r="K10" s="152" t="s">
        <v>344</v>
      </c>
      <c r="L10" s="149">
        <v>3430</v>
      </c>
      <c r="M10" s="149">
        <v>0.16</v>
      </c>
      <c r="N10" s="149">
        <f t="shared" si="0"/>
        <v>548.79999999999995</v>
      </c>
      <c r="O10" s="149">
        <v>0.08</v>
      </c>
      <c r="P10" s="149">
        <f t="shared" si="1"/>
        <v>274.39999999999998</v>
      </c>
      <c r="Q10" s="149">
        <v>3430</v>
      </c>
      <c r="R10" s="149">
        <v>6.4000000000000001E-2</v>
      </c>
      <c r="S10" s="149">
        <f t="shared" si="2"/>
        <v>219.52</v>
      </c>
      <c r="T10" s="149">
        <v>0.02</v>
      </c>
      <c r="U10" s="149">
        <f t="shared" si="3"/>
        <v>68.599999999999994</v>
      </c>
      <c r="V10" s="149">
        <v>3430</v>
      </c>
      <c r="W10" s="149">
        <v>5.0000000000000001E-3</v>
      </c>
      <c r="X10" s="149">
        <f t="shared" si="4"/>
        <v>17.149999999999999</v>
      </c>
      <c r="Y10" s="149">
        <v>5.0000000000000001E-3</v>
      </c>
      <c r="Z10" s="149">
        <f t="shared" si="5"/>
        <v>17.149999999999999</v>
      </c>
      <c r="AA10" s="149"/>
      <c r="AB10" s="149"/>
      <c r="AC10" s="149"/>
      <c r="AD10" s="149">
        <v>3430</v>
      </c>
      <c r="AE10" s="149">
        <v>2E-3</v>
      </c>
      <c r="AF10" s="149">
        <f t="shared" si="6"/>
        <v>6.86</v>
      </c>
      <c r="AG10" s="149">
        <v>1650</v>
      </c>
      <c r="AH10" s="149">
        <v>0.05</v>
      </c>
      <c r="AI10" s="149">
        <f t="shared" si="7"/>
        <v>82.5</v>
      </c>
      <c r="AJ10" s="149">
        <v>0.05</v>
      </c>
      <c r="AK10" s="149">
        <f t="shared" si="8"/>
        <v>82.5</v>
      </c>
      <c r="AL10" s="156"/>
      <c r="AM10" s="149"/>
      <c r="AN10" s="149"/>
      <c r="AO10" s="149"/>
      <c r="AP10" s="153"/>
      <c r="AQ10" s="157">
        <v>15</v>
      </c>
      <c r="AR10" s="157"/>
      <c r="AS10" s="158">
        <f t="shared" si="9"/>
        <v>807.32999999999993</v>
      </c>
      <c r="AT10" s="158">
        <f t="shared" si="10"/>
        <v>360.15</v>
      </c>
      <c r="AU10" s="158">
        <f t="shared" si="11"/>
        <v>82.5</v>
      </c>
      <c r="AV10" s="158">
        <f t="shared" si="12"/>
        <v>82.5</v>
      </c>
      <c r="AW10" s="158">
        <f t="shared" si="13"/>
        <v>1332.48</v>
      </c>
      <c r="AX10" s="343">
        <f t="shared" si="14"/>
        <v>1167.48</v>
      </c>
      <c r="AY10" s="343"/>
      <c r="AZ10" s="343">
        <f t="shared" si="15"/>
        <v>165</v>
      </c>
      <c r="BA10" s="343"/>
      <c r="BB10" s="159">
        <v>80</v>
      </c>
      <c r="BC10" s="160">
        <f t="shared" si="16"/>
        <v>1412.48</v>
      </c>
      <c r="BD10" s="161"/>
      <c r="BE10" s="162"/>
      <c r="BF10" s="162"/>
      <c r="BG10" s="162"/>
      <c r="BH10" s="162"/>
    </row>
    <row r="11" spans="1:60" s="163" customFormat="1" ht="14.5">
      <c r="A11" s="149" t="s">
        <v>345</v>
      </c>
      <c r="B11" s="150" t="s">
        <v>341</v>
      </c>
      <c r="C11" s="151" t="s">
        <v>66</v>
      </c>
      <c r="D11" s="152" t="s">
        <v>342</v>
      </c>
      <c r="E11" s="153" t="s">
        <v>343</v>
      </c>
      <c r="F11" s="154" t="s">
        <v>59</v>
      </c>
      <c r="G11" s="155" t="s">
        <v>60</v>
      </c>
      <c r="H11" s="152" t="s">
        <v>344</v>
      </c>
      <c r="I11" s="152" t="s">
        <v>344</v>
      </c>
      <c r="J11" s="152" t="s">
        <v>344</v>
      </c>
      <c r="K11" s="152" t="s">
        <v>344</v>
      </c>
      <c r="L11" s="149">
        <v>3430</v>
      </c>
      <c r="M11" s="149">
        <v>0.16</v>
      </c>
      <c r="N11" s="149">
        <f t="shared" si="0"/>
        <v>548.79999999999995</v>
      </c>
      <c r="O11" s="149">
        <v>0.08</v>
      </c>
      <c r="P11" s="149">
        <f t="shared" si="1"/>
        <v>274.39999999999998</v>
      </c>
      <c r="Q11" s="149">
        <v>3430</v>
      </c>
      <c r="R11" s="149">
        <v>6.4000000000000001E-2</v>
      </c>
      <c r="S11" s="149">
        <f t="shared" si="2"/>
        <v>219.52</v>
      </c>
      <c r="T11" s="149">
        <v>0.02</v>
      </c>
      <c r="U11" s="149">
        <f t="shared" si="3"/>
        <v>68.599999999999994</v>
      </c>
      <c r="V11" s="149">
        <v>3430</v>
      </c>
      <c r="W11" s="149">
        <v>5.0000000000000001E-3</v>
      </c>
      <c r="X11" s="149">
        <f t="shared" si="4"/>
        <v>17.149999999999999</v>
      </c>
      <c r="Y11" s="149">
        <v>5.0000000000000001E-3</v>
      </c>
      <c r="Z11" s="149">
        <f t="shared" si="5"/>
        <v>17.149999999999999</v>
      </c>
      <c r="AA11" s="149"/>
      <c r="AB11" s="149"/>
      <c r="AC11" s="149"/>
      <c r="AD11" s="149">
        <v>3430</v>
      </c>
      <c r="AE11" s="149">
        <v>2E-3</v>
      </c>
      <c r="AF11" s="149">
        <f t="shared" si="6"/>
        <v>6.86</v>
      </c>
      <c r="AG11" s="149">
        <v>1650</v>
      </c>
      <c r="AH11" s="149">
        <v>0.05</v>
      </c>
      <c r="AI11" s="149">
        <f t="shared" si="7"/>
        <v>82.5</v>
      </c>
      <c r="AJ11" s="149">
        <v>0.05</v>
      </c>
      <c r="AK11" s="149">
        <f t="shared" si="8"/>
        <v>82.5</v>
      </c>
      <c r="AL11" s="156"/>
      <c r="AM11" s="149"/>
      <c r="AN11" s="149"/>
      <c r="AO11" s="149"/>
      <c r="AP11" s="153"/>
      <c r="AQ11" s="157">
        <v>15</v>
      </c>
      <c r="AR11" s="157"/>
      <c r="AS11" s="158">
        <f t="shared" si="9"/>
        <v>807.32999999999993</v>
      </c>
      <c r="AT11" s="158">
        <f t="shared" si="10"/>
        <v>360.15</v>
      </c>
      <c r="AU11" s="158">
        <f t="shared" si="11"/>
        <v>82.5</v>
      </c>
      <c r="AV11" s="158">
        <f t="shared" si="12"/>
        <v>82.5</v>
      </c>
      <c r="AW11" s="158">
        <f t="shared" si="13"/>
        <v>1332.48</v>
      </c>
      <c r="AX11" s="343">
        <f t="shared" si="14"/>
        <v>1167.48</v>
      </c>
      <c r="AY11" s="343"/>
      <c r="AZ11" s="343">
        <f t="shared" si="15"/>
        <v>165</v>
      </c>
      <c r="BA11" s="343"/>
      <c r="BB11" s="159">
        <v>80</v>
      </c>
      <c r="BC11" s="160">
        <f t="shared" si="16"/>
        <v>1412.48</v>
      </c>
      <c r="BD11" s="161"/>
      <c r="BE11" s="162"/>
      <c r="BF11" s="162"/>
      <c r="BG11" s="162"/>
      <c r="BH11" s="162"/>
    </row>
    <row r="12" spans="1:60" s="163" customFormat="1" ht="14.5">
      <c r="A12" s="149" t="s">
        <v>345</v>
      </c>
      <c r="B12" s="150" t="s">
        <v>341</v>
      </c>
      <c r="C12" s="151" t="s">
        <v>66</v>
      </c>
      <c r="D12" s="152" t="s">
        <v>342</v>
      </c>
      <c r="E12" s="153" t="s">
        <v>343</v>
      </c>
      <c r="F12" s="154" t="s">
        <v>61</v>
      </c>
      <c r="G12" s="155" t="s">
        <v>62</v>
      </c>
      <c r="H12" s="152" t="s">
        <v>344</v>
      </c>
      <c r="I12" s="152" t="s">
        <v>344</v>
      </c>
      <c r="J12" s="152" t="s">
        <v>344</v>
      </c>
      <c r="K12" s="152" t="s">
        <v>344</v>
      </c>
      <c r="L12" s="149">
        <v>3430</v>
      </c>
      <c r="M12" s="149">
        <v>0.16</v>
      </c>
      <c r="N12" s="149">
        <f t="shared" si="0"/>
        <v>548.79999999999995</v>
      </c>
      <c r="O12" s="149">
        <v>0.08</v>
      </c>
      <c r="P12" s="149">
        <f t="shared" si="1"/>
        <v>274.39999999999998</v>
      </c>
      <c r="Q12" s="149">
        <v>3430</v>
      </c>
      <c r="R12" s="149">
        <v>6.4000000000000001E-2</v>
      </c>
      <c r="S12" s="149">
        <f t="shared" si="2"/>
        <v>219.52</v>
      </c>
      <c r="T12" s="149">
        <v>0.02</v>
      </c>
      <c r="U12" s="149">
        <f t="shared" si="3"/>
        <v>68.599999999999994</v>
      </c>
      <c r="V12" s="149">
        <v>3430</v>
      </c>
      <c r="W12" s="149">
        <v>5.0000000000000001E-3</v>
      </c>
      <c r="X12" s="149">
        <f t="shared" si="4"/>
        <v>17.149999999999999</v>
      </c>
      <c r="Y12" s="149">
        <v>5.0000000000000001E-3</v>
      </c>
      <c r="Z12" s="149">
        <f t="shared" si="5"/>
        <v>17.149999999999999</v>
      </c>
      <c r="AA12" s="149"/>
      <c r="AB12" s="149"/>
      <c r="AC12" s="149"/>
      <c r="AD12" s="149">
        <v>3430</v>
      </c>
      <c r="AE12" s="149">
        <v>2E-3</v>
      </c>
      <c r="AF12" s="149">
        <f t="shared" si="6"/>
        <v>6.86</v>
      </c>
      <c r="AG12" s="149">
        <v>1650</v>
      </c>
      <c r="AH12" s="149">
        <v>0.05</v>
      </c>
      <c r="AI12" s="149">
        <f t="shared" si="7"/>
        <v>82.5</v>
      </c>
      <c r="AJ12" s="149">
        <v>0.05</v>
      </c>
      <c r="AK12" s="149">
        <f t="shared" si="8"/>
        <v>82.5</v>
      </c>
      <c r="AL12" s="156"/>
      <c r="AM12" s="149"/>
      <c r="AN12" s="149"/>
      <c r="AO12" s="149"/>
      <c r="AP12" s="153"/>
      <c r="AQ12" s="157">
        <v>15</v>
      </c>
      <c r="AR12" s="157"/>
      <c r="AS12" s="158">
        <f t="shared" si="9"/>
        <v>807.32999999999993</v>
      </c>
      <c r="AT12" s="158">
        <f t="shared" si="10"/>
        <v>360.15</v>
      </c>
      <c r="AU12" s="158">
        <f t="shared" si="11"/>
        <v>82.5</v>
      </c>
      <c r="AV12" s="158">
        <f t="shared" si="12"/>
        <v>82.5</v>
      </c>
      <c r="AW12" s="158">
        <f t="shared" si="13"/>
        <v>1332.48</v>
      </c>
      <c r="AX12" s="343">
        <f t="shared" si="14"/>
        <v>1167.48</v>
      </c>
      <c r="AY12" s="343"/>
      <c r="AZ12" s="343">
        <f t="shared" si="15"/>
        <v>165</v>
      </c>
      <c r="BA12" s="343"/>
      <c r="BB12" s="159">
        <v>80</v>
      </c>
      <c r="BC12" s="160">
        <f t="shared" si="16"/>
        <v>1412.48</v>
      </c>
      <c r="BD12" s="161"/>
      <c r="BE12" s="162"/>
      <c r="BF12" s="162"/>
      <c r="BG12" s="162"/>
      <c r="BH12" s="162"/>
    </row>
    <row r="13" spans="1:60" s="168" customFormat="1" ht="17">
      <c r="A13" s="164"/>
      <c r="B13" s="164"/>
      <c r="C13" s="164"/>
      <c r="D13" s="164"/>
      <c r="E13" s="164"/>
      <c r="F13" s="165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6"/>
      <c r="AT13" s="166"/>
      <c r="AU13" s="166"/>
      <c r="AV13" s="166"/>
      <c r="AW13" s="166"/>
      <c r="AX13" s="164"/>
      <c r="AY13" s="164"/>
      <c r="AZ13" s="164"/>
      <c r="BA13" s="164"/>
      <c r="BB13" s="164"/>
      <c r="BC13" s="164">
        <f>'[2]（居民）工资表-1月'!E14</f>
        <v>77156.09</v>
      </c>
      <c r="BD13" s="167"/>
    </row>
    <row r="14" spans="1:60" s="171" customFormat="1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48"/>
      <c r="AK14" s="148"/>
      <c r="AL14" s="148"/>
      <c r="AM14" s="148"/>
      <c r="AN14" s="148"/>
      <c r="AO14" s="148"/>
      <c r="AP14" s="148"/>
      <c r="AQ14" s="148"/>
      <c r="AR14" s="148"/>
      <c r="AS14" s="169"/>
      <c r="AT14" s="169"/>
      <c r="AU14" s="169"/>
      <c r="AV14" s="169"/>
      <c r="AW14" s="169"/>
      <c r="AX14" s="148"/>
      <c r="AY14" s="148"/>
      <c r="AZ14" s="148"/>
      <c r="BA14" s="148"/>
      <c r="BB14" s="148"/>
      <c r="BC14" s="148"/>
      <c r="BD14" s="170"/>
    </row>
    <row r="16" spans="1:60">
      <c r="AX16" s="346"/>
      <c r="AY16" s="346"/>
      <c r="BC16" s="172"/>
    </row>
  </sheetData>
  <mergeCells count="46">
    <mergeCell ref="AX12:AY12"/>
    <mergeCell ref="AZ12:BA12"/>
    <mergeCell ref="AX16:AY16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9" priority="1" stopIfTrue="1">
      <formula>AND(COUNTIF($J$1:$J$1,H1)&gt;1,NOT(ISBLANK(H1)))</formula>
    </cfRule>
  </conditionalFormatting>
  <conditionalFormatting sqref="J1">
    <cfRule type="duplicateValues" dxfId="8" priority="2" stopIfTrue="1"/>
  </conditionalFormatting>
  <conditionalFormatting sqref="K1:L1">
    <cfRule type="duplicateValues" dxfId="7" priority="3" stopIfTrue="1"/>
  </conditionalFormatting>
  <conditionalFormatting sqref="Q1">
    <cfRule type="duplicateValues" dxfId="6" priority="4" stopIfTrue="1"/>
  </conditionalFormatting>
  <conditionalFormatting sqref="V1">
    <cfRule type="duplicateValues" dxfId="5" priority="5" stopIfTrue="1"/>
  </conditionalFormatting>
  <conditionalFormatting sqref="AG1">
    <cfRule type="duplicateValues" dxfId="4" priority="6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账单</vt:lpstr>
      <vt:lpstr>财务要</vt:lpstr>
      <vt:lpstr>海淀分公司工资表</vt:lpstr>
      <vt:lpstr>社保</vt:lpstr>
      <vt:lpstr>缴费比例</vt:lpstr>
      <vt:lpstr>福州</vt:lpstr>
      <vt:lpstr>合肥</vt:lpstr>
      <vt:lpstr>个税系统表</vt:lpstr>
      <vt:lpstr>外地社保</vt:lpstr>
      <vt:lpstr>融科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</cp:lastModifiedBy>
  <dcterms:created xsi:type="dcterms:W3CDTF">2022-01-18T05:24:50Z</dcterms:created>
  <dcterms:modified xsi:type="dcterms:W3CDTF">2022-03-03T07:06:33Z</dcterms:modified>
</cp:coreProperties>
</file>