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tabRatio="609"/>
  </bookViews>
  <sheets>
    <sheet name="付款通知" sheetId="26" r:id="rId1"/>
    <sheet name="（居民）工资表-3月" sheetId="16" state="hidden" r:id="rId2"/>
    <sheet name="社保" sheetId="27" state="hidden" r:id="rId3"/>
    <sheet name="（居民）工资表-4月" sheetId="17" state="hidden" r:id="rId4"/>
    <sheet name="（居民）工资表-5月" sheetId="18" state="hidden" r:id="rId5"/>
    <sheet name="社保1" sheetId="28" state="hidden" r:id="rId6"/>
    <sheet name="（居民）工资表-6月" sheetId="19" state="hidden" r:id="rId7"/>
    <sheet name="（居民）工资表-7月" sheetId="20" state="hidden" r:id="rId8"/>
    <sheet name="增减" sheetId="29" state="hidden" r:id="rId9"/>
    <sheet name="（居民）工资表-8月" sheetId="21" state="hidden" r:id="rId10"/>
    <sheet name="（居民）工资表-9月" sheetId="22" state="hidden" r:id="rId11"/>
    <sheet name="（居民）工资表-10月" sheetId="23" state="hidden" r:id="rId12"/>
    <sheet name="（居民）工资表-11月" sheetId="24" state="hidden" r:id="rId13"/>
    <sheet name="（居民）工资表-1月" sheetId="1" state="hidden" r:id="rId14"/>
    <sheet name="（居民）工资表-12月" sheetId="25" state="hidden" r:id="rId15"/>
    <sheet name="（居民）工资表-2月" sheetId="15" r:id="rId16"/>
    <sheet name="增" sheetId="30" r:id="rId17"/>
    <sheet name="Sheet1" sheetId="14" state="hidden" r:id="rId18"/>
  </sheets>
  <definedNames>
    <definedName name="_xlnm._FilterDatabase" localSheetId="1" hidden="1">'（居民）工资表-3月'!$A$3:$AT$6</definedName>
    <definedName name="_xlnm._FilterDatabase" localSheetId="3" hidden="1">'（居民）工资表-4月'!$A$3:$AT$7</definedName>
    <definedName name="_xlnm._FilterDatabase" localSheetId="4" hidden="1">'（居民）工资表-5月'!$A$3:$AT$8</definedName>
    <definedName name="_xlnm._FilterDatabase" localSheetId="6" hidden="1">'（居民）工资表-6月'!$A$3:$AT$8</definedName>
    <definedName name="_xlnm._FilterDatabase" localSheetId="7" hidden="1">'（居民）工资表-7月'!$A$3:$AT$9</definedName>
    <definedName name="_xlnm._FilterDatabase" localSheetId="9" hidden="1">'（居民）工资表-8月'!$A$3:$AT$8</definedName>
    <definedName name="_xlnm._FilterDatabase" localSheetId="10" hidden="1">'（居民）工资表-9月'!$A$3:$AT$8</definedName>
    <definedName name="_xlnm._FilterDatabase" localSheetId="11" hidden="1">'（居民）工资表-10月'!$A$3:$AT$8</definedName>
    <definedName name="_xlnm._FilterDatabase" localSheetId="12" hidden="1">'（居民）工资表-11月'!$A$3:$AT$9</definedName>
    <definedName name="_xlnm._FilterDatabase" localSheetId="13" hidden="1">'（居民）工资表-1月'!$A$3:$AT$9</definedName>
    <definedName name="_xlnm._FilterDatabase" localSheetId="14" hidden="1">'（居民）工资表-12月'!$A$3:$AT$9</definedName>
    <definedName name="_xlnm._FilterDatabase" localSheetId="15" hidden="1">'（居民）工资表-2月'!$A$3:$AT$13</definedName>
    <definedName name="_xlnm.Print_Area" localSheetId="11">'（居民）工资表-10月'!$A$1:$AT$14</definedName>
    <definedName name="_xlnm.Print_Area" localSheetId="12">'（居民）工资表-11月'!$A$1:$AT$15</definedName>
    <definedName name="_xlnm.Print_Area" localSheetId="14">'（居民）工资表-12月'!$A$1:$AT$15</definedName>
    <definedName name="_xlnm.Print_Area" localSheetId="13">'（居民）工资表-1月'!$A$1:$AT$15</definedName>
    <definedName name="_xlnm.Print_Area" localSheetId="15">'（居民）工资表-2月'!$A$1:$AT$19</definedName>
    <definedName name="_xlnm.Print_Area" localSheetId="1">'（居民）工资表-3月'!$A$1:$AT$12</definedName>
    <definedName name="_xlnm.Print_Area" localSheetId="3">'（居民）工资表-4月'!$A$1:$AT$13</definedName>
    <definedName name="_xlnm.Print_Area" localSheetId="4">'（居民）工资表-5月'!$A$1:$AT$14</definedName>
    <definedName name="_xlnm.Print_Area" localSheetId="6">'（居民）工资表-6月'!$A$1:$AT$14</definedName>
    <definedName name="_xlnm.Print_Area" localSheetId="7">'（居民）工资表-7月'!$A$1:$AT$15</definedName>
    <definedName name="_xlnm.Print_Area" localSheetId="9">'（居民）工资表-8月'!$A$1:$AT$14</definedName>
    <definedName name="_xlnm.Print_Area" localSheetId="10">'（居民）工资表-9月'!$A$1:$AT$14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F17" authorId="0">
      <text>
        <r>
          <rPr>
            <sz val="9"/>
            <rFont val="宋体"/>
            <charset val="134"/>
          </rPr>
          <t>作者:
含补缴人数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3.xml><?xml version="1.0" encoding="utf-8"?>
<comments xmlns="http://schemas.openxmlformats.org/spreadsheetml/2006/main">
  <authors>
    <author>xbany</author>
    <author>AutoBVT</author>
    <author>lenovo</author>
    <author>Administrator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  <comment ref="M5" authorId="3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个人费用调整，且补扣个人费用</t>
        </r>
      </text>
    </comment>
    <comment ref="O5" authorId="3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个人费用调整，且补扣个人费用
</t>
        </r>
      </text>
    </comment>
  </commentList>
</comments>
</file>

<file path=xl/comments1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7.xml><?xml version="1.0" encoding="utf-8"?>
<comments xmlns="http://schemas.openxmlformats.org/spreadsheetml/2006/main">
  <authors>
    <author>kk</author>
    <author>Administrator</author>
    <author>SDWM</author>
  </authors>
  <commentList>
    <comment ref="E1" authorId="0">
      <text>
        <r>
          <rPr>
            <sz val="9"/>
            <rFont val="宋体"/>
            <charset val="134"/>
          </rPr>
          <t>客户无需填写，报送填写供应商全称。</t>
        </r>
      </text>
    </comment>
    <comment ref="F1" authorId="0">
      <text>
        <r>
          <rPr>
            <sz val="9"/>
            <rFont val="宋体"/>
            <charset val="134"/>
          </rPr>
          <t>请填写客户全称</t>
        </r>
      </text>
    </comment>
    <comment ref="G1" authorId="1">
      <text>
        <r>
          <rPr>
            <b/>
            <sz val="9"/>
            <rFont val="宋体"/>
            <charset val="134"/>
          </rPr>
          <t>以系统项目编号为准</t>
        </r>
      </text>
    </comment>
    <comment ref="H1" authorId="0">
      <text>
        <r>
          <rPr>
            <sz val="9"/>
            <rFont val="宋体"/>
            <charset val="134"/>
          </rPr>
          <t>按公司标准产品填写，以签署的合同为准</t>
        </r>
      </text>
    </comment>
    <comment ref="O1" authorId="0">
      <text>
        <r>
          <rPr>
            <sz val="9"/>
            <rFont val="宋体"/>
            <charset val="134"/>
          </rPr>
          <t>员工社保、住房的缴纳城市</t>
        </r>
      </text>
    </comment>
    <comment ref="P1" authorId="0">
      <text>
        <r>
          <rPr>
            <sz val="9"/>
            <rFont val="宋体"/>
            <charset val="134"/>
          </rPr>
          <t>“本地”以社保缴纳地为准，本地城镇、本地农村、外地城镇、外地农村，请选择即可</t>
        </r>
      </text>
    </comment>
    <comment ref="S1" authorId="0">
      <text>
        <r>
          <rPr>
            <sz val="9"/>
            <rFont val="宋体"/>
            <charset val="134"/>
          </rPr>
          <t>填写“新参保”或“调入”，新参保是指从未在当地缴纳过保险的情况；调入是指在当地有过参保记录的情况，请选择即可；</t>
        </r>
      </text>
    </comment>
    <comment ref="Z1" authorId="0">
      <text>
        <r>
          <rPr>
            <sz val="9"/>
            <rFont val="宋体"/>
            <charset val="134"/>
          </rPr>
          <t>填写“新参”或“调入”，新参是指从未在当地缴纳过公积金的情况；调入是指在当地有缴纳公积金记录的情况，请选择即可；</t>
        </r>
      </text>
    </comment>
    <comment ref="AL1" authorId="2">
      <text>
        <r>
          <rPr>
            <b/>
            <sz val="11"/>
            <rFont val="宋体"/>
            <charset val="134"/>
          </rPr>
          <t>只大连地区填写：大连户口详细到区，异地户口详细到市</t>
        </r>
      </text>
    </comment>
    <comment ref="AM1" authorId="2">
      <text>
        <r>
          <rPr>
            <b/>
            <sz val="11"/>
            <rFont val="宋体"/>
            <charset val="134"/>
          </rPr>
          <t>只大连地区填写：首次参加工作时间(精确到月)</t>
        </r>
      </text>
    </comment>
    <comment ref="AN1" authorId="2">
      <text>
        <r>
          <rPr>
            <b/>
            <sz val="11"/>
            <rFont val="宋体"/>
            <charset val="134"/>
          </rPr>
          <t>只大连地区填写：填是/否。填写注意：大连中山、西岗、沙河口、甘井子、高新、金州、旅顺的非农户市需要交纳采暖统筹的</t>
        </r>
      </text>
    </comment>
    <comment ref="AO1" authorId="1">
      <text>
        <r>
          <rPr>
            <b/>
            <sz val="9"/>
            <rFont val="宋体"/>
            <charset val="134"/>
          </rPr>
          <t>只大连地区填写</t>
        </r>
      </text>
    </comment>
    <comment ref="T2" authorId="0">
      <text>
        <r>
          <rPr>
            <sz val="9"/>
            <rFont val="宋体"/>
            <charset val="134"/>
          </rPr>
          <t>填写格式：201405【YYYYMM】，该月份产生费用；</t>
        </r>
      </text>
    </comment>
    <comment ref="AA2" authorId="0">
      <text>
        <r>
          <rPr>
            <sz val="9"/>
            <rFont val="宋体"/>
            <charset val="134"/>
          </rPr>
          <t>填写格式：201405【YYYYMM】，该月份产生费用；</t>
        </r>
      </text>
    </comment>
  </commentList>
</comments>
</file>

<file path=xl/comments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3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charset val="134"/>
          </rPr>
          <t xml:space="preserve">kk:
社保公司+社保个人+公积金公司+公积金个人
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charset val="134"/>
          </rPr>
          <t xml:space="preserve">kk:
社保公司+社保个人+公积金公司+公积金个人
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9.xml><?xml version="1.0" encoding="utf-8"?>
<comments xmlns="http://schemas.openxmlformats.org/spreadsheetml/2006/main">
  <authors>
    <author>kk</author>
    <author>Administrator</author>
    <author>SDWM</author>
  </authors>
  <commentList>
    <comment ref="E1" authorId="0">
      <text>
        <r>
          <rPr>
            <sz val="9"/>
            <rFont val="宋体"/>
            <charset val="134"/>
          </rPr>
          <t>客户无需填写，报送填写供应商全称。</t>
        </r>
      </text>
    </comment>
    <comment ref="F1" authorId="0">
      <text>
        <r>
          <rPr>
            <sz val="9"/>
            <rFont val="宋体"/>
            <charset val="134"/>
          </rPr>
          <t>请填写客户全称</t>
        </r>
      </text>
    </comment>
    <comment ref="G1" authorId="1">
      <text>
        <r>
          <rPr>
            <b/>
            <sz val="9"/>
            <rFont val="宋体"/>
            <charset val="134"/>
          </rPr>
          <t>以系统项目编号为准</t>
        </r>
      </text>
    </comment>
    <comment ref="H1" authorId="0">
      <text>
        <r>
          <rPr>
            <sz val="9"/>
            <rFont val="宋体"/>
            <charset val="134"/>
          </rPr>
          <t>按公司标准产品填写，以签署的合同为准</t>
        </r>
      </text>
    </comment>
    <comment ref="O1" authorId="0">
      <text>
        <r>
          <rPr>
            <sz val="9"/>
            <rFont val="宋体"/>
            <charset val="134"/>
          </rPr>
          <t>员工社保、住房的缴纳城市</t>
        </r>
      </text>
    </comment>
    <comment ref="P1" authorId="0">
      <text>
        <r>
          <rPr>
            <sz val="9"/>
            <rFont val="宋体"/>
            <charset val="134"/>
          </rPr>
          <t>“本地”以社保缴纳地为准，本地城镇、本地农村、外地城镇、外地农村，请选择即可</t>
        </r>
      </text>
    </comment>
    <comment ref="S1" authorId="0">
      <text>
        <r>
          <rPr>
            <sz val="9"/>
            <rFont val="宋体"/>
            <charset val="134"/>
          </rPr>
          <t>填写“新参保”或“调入”，新参保是指从未在当地缴纳过保险的情况；调入是指在当地有过参保记录的情况，请选择即可；</t>
        </r>
      </text>
    </comment>
    <comment ref="Z1" authorId="0">
      <text>
        <r>
          <rPr>
            <sz val="9"/>
            <rFont val="宋体"/>
            <charset val="134"/>
          </rPr>
          <t>填写“新参”或“调入”，新参是指从未在当地缴纳过公积金的情况；调入是指在当地有缴纳公积金记录的情况，请选择即可；</t>
        </r>
      </text>
    </comment>
    <comment ref="AL1" authorId="2">
      <text>
        <r>
          <rPr>
            <b/>
            <sz val="11"/>
            <rFont val="宋体"/>
            <charset val="134"/>
          </rPr>
          <t>只大连地区填写：大连户口详细到区，异地户口详细到市</t>
        </r>
      </text>
    </comment>
    <comment ref="AM1" authorId="2">
      <text>
        <r>
          <rPr>
            <b/>
            <sz val="11"/>
            <rFont val="宋体"/>
            <charset val="134"/>
          </rPr>
          <t>只大连地区填写：首次参加工作时间(精确到月)</t>
        </r>
      </text>
    </comment>
    <comment ref="AN1" authorId="2">
      <text>
        <r>
          <rPr>
            <b/>
            <sz val="11"/>
            <rFont val="宋体"/>
            <charset val="134"/>
          </rPr>
          <t>只大连地区填写：填是/否。填写注意：大连中山、西岗、沙河口、甘井子、高新、金州、旅顺的非农户市需要交纳采暖统筹的</t>
        </r>
      </text>
    </comment>
    <comment ref="AO1" authorId="1">
      <text>
        <r>
          <rPr>
            <b/>
            <sz val="9"/>
            <rFont val="宋体"/>
            <charset val="134"/>
          </rPr>
          <t>只大连地区填写</t>
        </r>
      </text>
    </comment>
    <comment ref="T2" authorId="0">
      <text>
        <r>
          <rPr>
            <sz val="9"/>
            <rFont val="宋体"/>
            <charset val="134"/>
          </rPr>
          <t>填写格式：201405【YYYYMM】，该月份产生费用；</t>
        </r>
      </text>
    </comment>
    <comment ref="AA2" authorId="0">
      <text>
        <r>
          <rPr>
            <sz val="9"/>
            <rFont val="宋体"/>
            <charset val="134"/>
          </rPr>
          <t>填写格式：201405【YYYYMM】，该月份产生费用；</t>
        </r>
      </text>
    </comment>
  </commentList>
</comments>
</file>

<file path=xl/sharedStrings.xml><?xml version="1.0" encoding="utf-8"?>
<sst xmlns="http://schemas.openxmlformats.org/spreadsheetml/2006/main" count="1866" uniqueCount="296">
  <si>
    <t>付款通知书</t>
  </si>
  <si>
    <t>尊敬的客户：北京创联致信科技有限公司</t>
  </si>
  <si>
    <t>根据贵公司与我公司所签订的服务协议，请贵公司在2022年2月15日之前按照下列表格内容支付相关款项.</t>
  </si>
  <si>
    <t>本 期 应 付 款 汇 总 结 算 明 细</t>
  </si>
  <si>
    <t>汇款信息：</t>
  </si>
  <si>
    <t>本期应付款合计（小写）：</t>
  </si>
  <si>
    <t>账户全称：北京易才博普奥管理顾问有限公司</t>
  </si>
  <si>
    <t>本期应付款合计（大写）：</t>
  </si>
  <si>
    <t>开户银行：中国工商银行股份有限公司北京商务中心区支行</t>
  </si>
  <si>
    <t>本期款项合计：</t>
  </si>
  <si>
    <t>尾数调整：</t>
  </si>
  <si>
    <t>银行账号：0200080609200135470</t>
  </si>
  <si>
    <t>预收款(+)：</t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</si>
  <si>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宋体"/>
        <charset val="134"/>
      </rPr>
      <t>(+)</t>
    </r>
    <r>
      <rPr>
        <sz val="10"/>
        <color indexed="8"/>
        <rFont val="宋体"/>
        <charset val="134"/>
      </rPr>
      <t>：</t>
    </r>
  </si>
  <si>
    <t>本期减免服务费(+)：</t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</si>
  <si>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</si>
  <si>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</si>
  <si>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t>gggggggggggggggggggggggggggggghhhhhhhhhhhhhhhhhhhhhhhhhhhhhhhhhhhhhhhhhhhhhhhhhhhhhh</t>
  </si>
  <si>
    <t>序号</t>
  </si>
  <si>
    <t>费用列项</t>
  </si>
  <si>
    <t>费用明细</t>
  </si>
  <si>
    <t>人次</t>
  </si>
  <si>
    <t>金额</t>
  </si>
  <si>
    <t>备注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</si>
  <si>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2.上列账款敬请按照合同约定时间及时支付，若通过银行汇款，请在“用途”中写上本账单右上角帐单号。</t>
  </si>
  <si>
    <t>人工成本</t>
  </si>
  <si>
    <t>工资(应税工资:实发+个税)</t>
  </si>
  <si>
    <t>社   保(企业+个人)</t>
  </si>
  <si>
    <t>正常月</t>
  </si>
  <si>
    <t>公积金(企业+个人)</t>
  </si>
  <si>
    <t>小计</t>
  </si>
  <si>
    <t>人事管理费用</t>
  </si>
  <si>
    <t>服务费（含税）</t>
  </si>
  <si>
    <t>税金</t>
  </si>
  <si>
    <t>合计:</t>
  </si>
  <si>
    <t>开票金额:</t>
  </si>
  <si>
    <t xml:space="preserve"> 注：只填写表头字体颜色为红色的项目，其他数据有公式自动带出，不要修改</t>
  </si>
  <si>
    <t>此区域不能空白，没有金额请填0，负数金额不能填写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</si>
  <si>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</si>
  <si>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</si>
  <si>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</si>
  <si>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</si>
  <si>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</si>
  <si>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</si>
  <si>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</si>
  <si>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</si>
  <si>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</si>
  <si>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</si>
  <si>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</si>
  <si>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</si>
  <si>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</si>
  <si>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</si>
  <si>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</si>
  <si>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</si>
  <si>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</si>
  <si>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</si>
  <si>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</si>
  <si>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</si>
  <si>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</si>
  <si>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</si>
  <si>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</si>
  <si>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</si>
  <si>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</si>
  <si>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</si>
  <si>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</si>
  <si>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服务费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</si>
  <si>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</si>
  <si>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</si>
  <si>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</si>
  <si>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</si>
  <si>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</si>
  <si>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</si>
  <si>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</si>
  <si>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</si>
  <si>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</si>
  <si>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养老个人</t>
  </si>
  <si>
    <t>医疗个人</t>
  </si>
  <si>
    <t>失业个人</t>
  </si>
  <si>
    <t>公积金个人</t>
  </si>
  <si>
    <t>子女教育</t>
  </si>
  <si>
    <t>赡养老人</t>
  </si>
  <si>
    <t>住房贷款利息</t>
  </si>
  <si>
    <t>住房租金</t>
  </si>
  <si>
    <t>继续教育</t>
  </si>
  <si>
    <t>大病医疗</t>
  </si>
  <si>
    <t>创联致信</t>
  </si>
  <si>
    <t>赵强</t>
  </si>
  <si>
    <t>身份证</t>
  </si>
  <si>
    <t>142732199004126819</t>
  </si>
  <si>
    <t>冯月燕</t>
  </si>
  <si>
    <t>440602197506030928</t>
  </si>
  <si>
    <t>合计</t>
  </si>
  <si>
    <t>个税</t>
  </si>
  <si>
    <t>总计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</si>
  <si>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</si>
  <si>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</si>
  <si>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</si>
  <si>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</si>
  <si>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</si>
  <si>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</si>
  <si>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</si>
  <si>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</si>
  <si>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</si>
  <si>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</si>
  <si>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客户名称</t>
  </si>
  <si>
    <t>缴费城市</t>
  </si>
  <si>
    <t>产品类型</t>
  </si>
  <si>
    <t>成本中心</t>
  </si>
  <si>
    <t>员工姓名</t>
  </si>
  <si>
    <t>身份证号码</t>
  </si>
  <si>
    <t>社保缴纳起始月</t>
  </si>
  <si>
    <t>公积金缴纳起始月</t>
  </si>
  <si>
    <t>社保缴纳所属月</t>
  </si>
  <si>
    <t>公积金缴纳所属月</t>
  </si>
  <si>
    <t>养老保险</t>
  </si>
  <si>
    <t>医疗保险</t>
  </si>
  <si>
    <t>失业保险</t>
  </si>
  <si>
    <t>生育保险</t>
  </si>
  <si>
    <t>工伤保险</t>
  </si>
  <si>
    <t>住房公积金</t>
  </si>
  <si>
    <t>补充医疗保险</t>
  </si>
  <si>
    <t>大病</t>
  </si>
  <si>
    <t>缴纳小计</t>
  </si>
  <si>
    <t>社保合计</t>
  </si>
  <si>
    <t>公积金合计</t>
  </si>
  <si>
    <t>缴纳基数</t>
  </si>
  <si>
    <t>公司比例</t>
  </si>
  <si>
    <t>公司金额</t>
  </si>
  <si>
    <t>个人比例</t>
  </si>
  <si>
    <t>个人金额</t>
  </si>
  <si>
    <t>比例</t>
  </si>
  <si>
    <t>公司</t>
  </si>
  <si>
    <t>个人</t>
  </si>
  <si>
    <t>社保公司</t>
  </si>
  <si>
    <t>社保个人</t>
  </si>
  <si>
    <t>公积金公司</t>
  </si>
  <si>
    <t>北京创联致信科技有限公司</t>
  </si>
  <si>
    <t>太原</t>
  </si>
  <si>
    <t>代理</t>
  </si>
  <si>
    <t>山西鼎诺</t>
  </si>
  <si>
    <t>202010</t>
  </si>
  <si>
    <t>202004</t>
  </si>
  <si>
    <t xml:space="preserve"> </t>
  </si>
  <si>
    <t>202005</t>
  </si>
  <si>
    <t>202006</t>
  </si>
  <si>
    <t>广州</t>
  </si>
  <si>
    <t>易才</t>
  </si>
  <si>
    <t>无</t>
  </si>
  <si>
    <t>补收</t>
  </si>
  <si>
    <t>202001</t>
  </si>
  <si>
    <t>补收1-3工伤基数差</t>
  </si>
  <si>
    <t>202002</t>
  </si>
  <si>
    <t>202003</t>
  </si>
  <si>
    <t>四平</t>
  </si>
  <si>
    <t>赵亮</t>
  </si>
  <si>
    <t>220303198203102617</t>
  </si>
  <si>
    <t>202104</t>
  </si>
  <si>
    <t>1580</t>
  </si>
  <si>
    <t>202007</t>
  </si>
  <si>
    <t>分项合计</t>
  </si>
  <si>
    <t>莫文太</t>
  </si>
  <si>
    <t>430822198211098211</t>
  </si>
  <si>
    <t>202202</t>
  </si>
  <si>
    <t>202203</t>
  </si>
  <si>
    <t>长沙</t>
  </si>
  <si>
    <t>202105</t>
  </si>
  <si>
    <t>谢锋明</t>
  </si>
  <si>
    <t>43022319780815051X</t>
  </si>
  <si>
    <t>202110</t>
  </si>
  <si>
    <t>大病年收130</t>
  </si>
  <si>
    <t>梁敏霞</t>
  </si>
  <si>
    <t>440883199611084547</t>
  </si>
  <si>
    <t xml:space="preserve">关于调整2022年广州市养老比例及恢复医疗基数下限的通知
         主要内容：
         一、接广州市税务局通知，自2022年1月1日起，广州市养老比例及恢复医疗基数下限通知如下：
  1、医疗保险下限调整为6757元，上限保持不变；
  2、养老保险单位比例调整为15%，个人比例不变；
附：附上单位核定信息（养老比例）。
        医保局链接：http://guangdong.chinatax.gov.cn/gdsw/gzsw_tggg/2021-08/26/content_9a9d228e00cf4213974f57f00ab5c7ee.shtml
</t>
  </si>
  <si>
    <t>郑州</t>
  </si>
  <si>
    <t>楚华锋</t>
  </si>
  <si>
    <t>410183199311189538</t>
  </si>
  <si>
    <t>202201</t>
  </si>
  <si>
    <t>202201起缴</t>
  </si>
  <si>
    <t>张铭</t>
  </si>
  <si>
    <t>411402199905127632</t>
  </si>
  <si>
    <t>王明贤</t>
  </si>
  <si>
    <t>411322199302132416</t>
  </si>
  <si>
    <t>何仪华</t>
  </si>
  <si>
    <t>412726198606097916</t>
  </si>
  <si>
    <t>福州</t>
  </si>
  <si>
    <t>周江</t>
  </si>
  <si>
    <t>421222200004074811</t>
  </si>
  <si>
    <t>合肥</t>
  </si>
  <si>
    <t>李成飞</t>
  </si>
  <si>
    <t>340323198606126974</t>
  </si>
  <si>
    <t>李凯</t>
  </si>
  <si>
    <t>340621199101107530</t>
  </si>
  <si>
    <t>王诗武</t>
  </si>
  <si>
    <t>340828198701242518</t>
  </si>
  <si>
    <t>张健康</t>
  </si>
  <si>
    <t>342401199308125299</t>
  </si>
  <si>
    <t>操汪炎</t>
  </si>
  <si>
    <t>340824199310111413</t>
  </si>
  <si>
    <t>秦松</t>
  </si>
  <si>
    <t>340826199507318912</t>
  </si>
  <si>
    <t>王笑飞</t>
  </si>
  <si>
    <t>341224199206198211</t>
  </si>
  <si>
    <t>吴胜</t>
  </si>
  <si>
    <t>340881199006102632</t>
  </si>
  <si>
    <t>于森</t>
  </si>
  <si>
    <t>342221199307075538</t>
  </si>
  <si>
    <t>补收基数差</t>
  </si>
  <si>
    <t>202111</t>
  </si>
  <si>
    <t>202112</t>
  </si>
  <si>
    <t>增员当月产生工伤费用</t>
  </si>
  <si>
    <t>男</t>
  </si>
  <si>
    <t>女</t>
  </si>
  <si>
    <t>报送时间</t>
  </si>
  <si>
    <t>所属公司</t>
  </si>
  <si>
    <t>使用供应商</t>
  </si>
  <si>
    <t>项目编号</t>
  </si>
  <si>
    <t>员工工号</t>
  </si>
  <si>
    <t>身份证号</t>
  </si>
  <si>
    <t>手机号码</t>
  </si>
  <si>
    <t>是否需要外呼</t>
  </si>
  <si>
    <t>工作地点</t>
  </si>
  <si>
    <t>社保缴纳地</t>
  </si>
  <si>
    <t>户籍性质</t>
  </si>
  <si>
    <t>入职时间</t>
  </si>
  <si>
    <t>原参保城市</t>
  </si>
  <si>
    <t>社保缴纳类型</t>
  </si>
  <si>
    <t>社保</t>
  </si>
  <si>
    <t>公积金缴纳类型</t>
  </si>
  <si>
    <t>公积金</t>
  </si>
  <si>
    <t>是否签署劳动合同</t>
  </si>
  <si>
    <t>劳动合同版本</t>
  </si>
  <si>
    <t>劳动合同起始时间</t>
  </si>
  <si>
    <t>劳动合同终止时间</t>
  </si>
  <si>
    <t>试用期时间（0-12月）</t>
  </si>
  <si>
    <t>合同工资</t>
  </si>
  <si>
    <t>身份证校验</t>
  </si>
  <si>
    <t>户籍详细地址（仅大连地区填写）</t>
  </si>
  <si>
    <t>首次参加工作时间（仅大连地区填写）</t>
  </si>
  <si>
    <t>采暖统筹
是否缴纳（仅大连地区填写）</t>
  </si>
  <si>
    <t>福利开始时间
（与起缴月一致）（仅大连地区填写）</t>
  </si>
  <si>
    <t>社保起缴年月</t>
  </si>
  <si>
    <t>养老基数</t>
  </si>
  <si>
    <t>医疗基数</t>
  </si>
  <si>
    <t>失业基数</t>
  </si>
  <si>
    <t>工伤基数</t>
  </si>
  <si>
    <t>生育基数</t>
  </si>
  <si>
    <t>公积金起缴年月</t>
  </si>
  <si>
    <t>公积金缴纳比例（单位+个人）</t>
  </si>
  <si>
    <t>公积金基数</t>
  </si>
  <si>
    <t>北京易才博普奥</t>
  </si>
  <si>
    <t>湖南长沙</t>
  </si>
  <si>
    <t>本地农村</t>
  </si>
  <si>
    <t>长春</t>
  </si>
  <si>
    <t>调入</t>
  </si>
  <si>
    <t>2021.05</t>
  </si>
  <si>
    <t>5%</t>
  </si>
  <si>
    <t>4000</t>
  </si>
  <si>
    <t>是</t>
  </si>
  <si>
    <t>减</t>
  </si>
  <si>
    <t>创联致信（上月工资上月社保账单费用）</t>
  </si>
  <si>
    <t>622848 0018992539579</t>
  </si>
  <si>
    <t>中国农业银行北京永丰路支行</t>
  </si>
  <si>
    <t>农行</t>
  </si>
  <si>
    <t>福建</t>
  </si>
  <si>
    <t>农村</t>
  </si>
  <si>
    <t>城镇</t>
  </si>
  <si>
    <t>此人申请贷款中，目前公积金不能动。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</si>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</sst>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>
  <numFmts count="16">
    <numFmt numFmtId="176" formatCode="[DBNum2][$-804]General"/>
    <numFmt numFmtId="42" formatCode="_ &quot;￥&quot;* #,##0_ ;_ &quot;￥&quot;* \-#,##0_ ;_ &quot;￥&quot;* &quot;-&quot;_ ;_ @_ "/>
    <numFmt numFmtId="177" formatCode="0_);[Red]\(0\)"/>
    <numFmt numFmtId="43" formatCode="_ * #,##0.00_ ;_ * \-#,##0.00_ ;_ * &quot;-&quot;??_ ;_ @_ "/>
    <numFmt numFmtId="178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179" formatCode="0.00_ "/>
    <numFmt numFmtId="180" formatCode="[$-10432]yyyy/mm/dd;@"/>
    <numFmt numFmtId="181" formatCode="#,##0_);[Red]\(#,##0\)"/>
    <numFmt numFmtId="182" formatCode="#,##0.00_);[Red]\(#,##0.00\)"/>
    <numFmt numFmtId="183" formatCode="0.00;[Red]0.00"/>
    <numFmt numFmtId="184" formatCode="&quot;$&quot;0_ "/>
    <numFmt numFmtId="185" formatCode="&quot;$&quot;#,##0_ ;[Red]\-&quot;$&quot;#,##0_ "/>
    <numFmt numFmtId="186" formatCode="General\ &quot;年&quot;"/>
    <numFmt numFmtId="187" formatCode="0.00_);\(0.00\)"/>
  </numFmts>
  <fonts count="132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2C2C2C"/>
      <name val="宋体"/>
      <charset val="134"/>
      <scheme val="minor"/>
    </font>
    <font>
      <sz val="10"/>
      <color theme="1"/>
      <name val="微软雅黑"/>
      <charset val="134"/>
    </font>
    <font>
      <sz val="10"/>
      <color indexed="8"/>
      <name val="宋体"/>
      <charset val="134"/>
    </font>
    <font>
      <b/>
      <sz val="10"/>
      <color theme="1"/>
      <name val="微软雅黑"/>
      <charset val="134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10"/>
      <color indexed="8"/>
      <name val="微软雅黑"/>
      <charset val="134"/>
    </font>
    <font>
      <sz val="10"/>
      <color rgb="FFFF000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10.5"/>
      <color rgb="FF191F25"/>
      <name val="宋体"/>
      <charset val="134"/>
    </font>
    <font>
      <sz val="10"/>
      <color rgb="FF171A1D"/>
      <name val="Segoe UI"/>
      <charset val="134"/>
    </font>
    <font>
      <sz val="10"/>
      <name val="SimSun"/>
      <charset val="134"/>
    </font>
    <font>
      <sz val="10.5"/>
      <name val="宋体"/>
      <charset val="134"/>
    </font>
    <font>
      <sz val="9"/>
      <name val="Segoe UI"/>
      <charset val="134"/>
    </font>
    <font>
      <sz val="10"/>
      <color theme="1"/>
      <name val="宋体"/>
      <charset val="134"/>
      <scheme val="minor"/>
    </font>
    <font>
      <b/>
      <sz val="10"/>
      <color indexed="10"/>
      <name val="宋体"/>
      <charset val="134"/>
      <scheme val="minor"/>
    </font>
    <font>
      <b/>
      <sz val="10"/>
      <name val="微软雅黑"/>
      <charset val="134"/>
    </font>
    <font>
      <sz val="6"/>
      <name val="Arial"/>
      <charset val="134"/>
    </font>
    <font>
      <sz val="6"/>
      <color indexed="8"/>
      <name val="Arial"/>
      <charset val="134"/>
    </font>
    <font>
      <b/>
      <sz val="11"/>
      <color indexed="10"/>
      <name val="宋体"/>
      <charset val="134"/>
    </font>
    <font>
      <sz val="11"/>
      <color indexed="10"/>
      <name val="宋体"/>
      <charset val="134"/>
    </font>
    <font>
      <sz val="11"/>
      <color indexed="8"/>
      <name val="微软雅黑"/>
      <charset val="134"/>
    </font>
    <font>
      <sz val="10"/>
      <color indexed="8"/>
      <name val="SimSun"/>
      <charset val="134"/>
    </font>
    <font>
      <sz val="10"/>
      <color theme="1"/>
      <name val="SimSun"/>
      <charset val="134"/>
    </font>
    <font>
      <sz val="10.5"/>
      <color rgb="FF191F25"/>
      <name val="Segoe UI"/>
      <charset val="134"/>
    </font>
    <font>
      <sz val="9"/>
      <color rgb="FF191F25"/>
      <name val="Segoe UI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9"/>
      <color indexed="8"/>
      <name val="微软雅黑"/>
      <charset val="134"/>
    </font>
    <font>
      <sz val="9"/>
      <name val="宋体"/>
      <charset val="134"/>
    </font>
    <font>
      <sz val="10"/>
      <name val="微软雅黑"/>
      <charset val="134"/>
    </font>
    <font>
      <sz val="11"/>
      <name val="宋体"/>
      <charset val="134"/>
    </font>
    <font>
      <sz val="6"/>
      <color rgb="FFFF0000"/>
      <name val="Arial"/>
      <charset val="134"/>
    </font>
    <font>
      <sz val="10"/>
      <color rgb="FFFF0000"/>
      <name val="SimSun"/>
      <charset val="134"/>
    </font>
    <font>
      <sz val="10.5"/>
      <color rgb="FFFF0000"/>
      <name val="宋体"/>
      <charset val="134"/>
    </font>
    <font>
      <sz val="9"/>
      <color rgb="FFFF0000"/>
      <name val="Segoe UI"/>
      <charset val="134"/>
    </font>
    <font>
      <sz val="10"/>
      <color rgb="FFFF0000"/>
      <name val="宋体"/>
      <charset val="134"/>
      <scheme val="major"/>
    </font>
    <font>
      <sz val="9"/>
      <color rgb="FFFF0000"/>
      <name val="宋体"/>
      <charset val="134"/>
    </font>
    <font>
      <sz val="10"/>
      <color rgb="FFFF0000"/>
      <name val="微软雅黑"/>
      <charset val="134"/>
    </font>
    <font>
      <sz val="11"/>
      <color rgb="FFFF0000"/>
      <name val="宋体"/>
      <charset val="134"/>
    </font>
    <font>
      <b/>
      <sz val="20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Wingdings 2"/>
      <charset val="2"/>
    </font>
    <font>
      <sz val="11"/>
      <color indexed="0"/>
      <name val="宋体-PUA"/>
      <charset val="134"/>
    </font>
    <font>
      <sz val="9"/>
      <name val="Arial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charset val="134"/>
    </font>
    <font>
      <sz val="9"/>
      <color indexed="0"/>
      <name val="宋体-PUA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name val="宋体-PUA"/>
      <charset val="134"/>
    </font>
    <font>
      <b/>
      <sz val="12"/>
      <name val="微软雅黑"/>
      <charset val="134"/>
    </font>
    <font>
      <b/>
      <sz val="10"/>
      <color indexed="8"/>
      <name val="微软雅黑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b/>
      <i/>
      <sz val="11"/>
      <name val="宋体"/>
      <charset val="134"/>
    </font>
    <font>
      <i/>
      <sz val="11"/>
      <color indexed="0"/>
      <name val="宋体"/>
      <charset val="134"/>
    </font>
    <font>
      <b/>
      <sz val="12"/>
      <color indexed="0"/>
      <name val="宋体"/>
      <charset val="134"/>
    </font>
    <font>
      <sz val="12"/>
      <color indexed="0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52"/>
      <name val="宋体"/>
      <charset val="134"/>
    </font>
    <font>
      <sz val="11"/>
      <color rgb="FF006100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indexed="56"/>
      <name val="宋体"/>
      <charset val="134"/>
    </font>
    <font>
      <sz val="11"/>
      <color theme="1"/>
      <name val="宋体"/>
      <charset val="0"/>
      <scheme val="minor"/>
    </font>
    <font>
      <i/>
      <sz val="11"/>
      <color indexed="23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indexed="9"/>
      <name val="宋体"/>
      <charset val="134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indexed="56"/>
      <name val="宋体"/>
      <charset val="134"/>
    </font>
    <font>
      <sz val="10"/>
      <name val="Geneva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indexed="5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0"/>
      <color indexed="12"/>
      <name val="新細明體"/>
      <charset val="134"/>
    </font>
    <font>
      <b/>
      <sz val="13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2"/>
      <name val="Times New Roman"/>
      <charset val="134"/>
    </font>
    <font>
      <sz val="11"/>
      <color indexed="17"/>
      <name val="宋体"/>
      <charset val="134"/>
    </font>
    <font>
      <sz val="10"/>
      <color indexed="8"/>
      <name val="Arial"/>
      <charset val="134"/>
    </font>
    <font>
      <sz val="10"/>
      <name val="Helv"/>
      <charset val="134"/>
    </font>
    <font>
      <sz val="12"/>
      <color indexed="8"/>
      <name val="Verdana"/>
      <charset val="134"/>
    </font>
    <font>
      <b/>
      <sz val="15"/>
      <color indexed="56"/>
      <name val="宋体"/>
      <charset val="134"/>
    </font>
    <font>
      <sz val="9"/>
      <name val="宋体"/>
      <charset val="134"/>
    </font>
    <font>
      <sz val="9"/>
      <name val="Tahoma"/>
      <charset val="134"/>
    </font>
    <font>
      <b/>
      <sz val="9"/>
      <name val="宋体"/>
      <charset val="134"/>
    </font>
    <font>
      <b/>
      <sz val="11"/>
      <name val="宋体"/>
      <charset val="134"/>
    </font>
  </fonts>
  <fills count="61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3"/>
        <bgColor indexed="64"/>
      </patternFill>
    </fill>
  </fills>
  <borders count="6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</borders>
  <cellStyleXfs count="49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9" fillId="16" borderId="49" applyNumberFormat="0" applyAlignment="0" applyProtection="0">
      <alignment vertical="center"/>
    </xf>
    <xf numFmtId="0" fontId="92" fillId="25" borderId="0" applyNumberFormat="0" applyBorder="0" applyAlignment="0" applyProtection="0">
      <alignment vertical="center"/>
    </xf>
    <xf numFmtId="0" fontId="99" fillId="27" borderId="0" applyNumberFormat="0" applyBorder="0" applyAlignment="0" applyProtection="0">
      <alignment vertical="center"/>
    </xf>
    <xf numFmtId="0" fontId="93" fillId="19" borderId="51" applyNumberFormat="0" applyAlignment="0" applyProtection="0">
      <alignment vertical="center"/>
    </xf>
    <xf numFmtId="0" fontId="90" fillId="0" borderId="50" applyNumberFormat="0" applyFill="0" applyAlignment="0" applyProtection="0">
      <alignment vertical="center"/>
    </xf>
    <xf numFmtId="0" fontId="92" fillId="25" borderId="0" applyNumberFormat="0" applyBorder="0" applyAlignment="0" applyProtection="0">
      <alignment vertical="center"/>
    </xf>
    <xf numFmtId="0" fontId="84" fillId="0" borderId="53" applyNumberFormat="0" applyFill="0" applyAlignment="0" applyProtection="0">
      <alignment vertical="center"/>
    </xf>
    <xf numFmtId="0" fontId="74" fillId="0" borderId="0">
      <alignment vertical="center"/>
    </xf>
    <xf numFmtId="0" fontId="90" fillId="0" borderId="50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03" fillId="0" borderId="0"/>
    <xf numFmtId="0" fontId="99" fillId="31" borderId="0" applyNumberFormat="0" applyBorder="0" applyAlignment="0" applyProtection="0">
      <alignment vertical="center"/>
    </xf>
    <xf numFmtId="0" fontId="109" fillId="19" borderId="59" applyNumberFormat="0" applyAlignment="0" applyProtection="0">
      <alignment vertical="center"/>
    </xf>
    <xf numFmtId="0" fontId="94" fillId="21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92" fillId="37" borderId="0" applyNumberFormat="0" applyBorder="0" applyAlignment="0" applyProtection="0">
      <alignment vertical="center"/>
    </xf>
    <xf numFmtId="0" fontId="111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0" fillId="39" borderId="60" applyNumberFormat="0" applyFont="0" applyAlignment="0" applyProtection="0">
      <alignment vertical="center"/>
    </xf>
    <xf numFmtId="0" fontId="9" fillId="0" borderId="0">
      <alignment vertical="center"/>
    </xf>
    <xf numFmtId="0" fontId="92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92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92" fillId="29" borderId="0" applyNumberFormat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1" fillId="0" borderId="54" applyNumberFormat="0" applyFill="0" applyAlignment="0" applyProtection="0">
      <alignment vertical="center"/>
    </xf>
    <xf numFmtId="0" fontId="106" fillId="0" borderId="0"/>
    <xf numFmtId="0" fontId="116" fillId="0" borderId="54" applyNumberFormat="0" applyFill="0" applyAlignment="0" applyProtection="0">
      <alignment vertical="center"/>
    </xf>
    <xf numFmtId="0" fontId="111" fillId="38" borderId="0" applyNumberFormat="0" applyBorder="0" applyAlignment="0" applyProtection="0">
      <alignment vertical="center"/>
    </xf>
    <xf numFmtId="0" fontId="97" fillId="0" borderId="62" applyNumberFormat="0" applyFill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111" fillId="43" borderId="0" applyNumberFormat="0" applyBorder="0" applyAlignment="0" applyProtection="0">
      <alignment vertical="center"/>
    </xf>
    <xf numFmtId="0" fontId="93" fillId="19" borderId="51" applyNumberFormat="0" applyAlignment="0" applyProtection="0">
      <alignment vertical="center"/>
    </xf>
    <xf numFmtId="0" fontId="112" fillId="36" borderId="61" applyNumberFormat="0" applyAlignment="0" applyProtection="0">
      <alignment vertical="center"/>
    </xf>
    <xf numFmtId="0" fontId="108" fillId="36" borderId="4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9" fillId="19" borderId="59" applyNumberFormat="0" applyAlignment="0" applyProtection="0">
      <alignment vertical="center"/>
    </xf>
    <xf numFmtId="0" fontId="104" fillId="34" borderId="56" applyNumberFormat="0" applyAlignment="0" applyProtection="0">
      <alignment vertical="center"/>
    </xf>
    <xf numFmtId="0" fontId="103" fillId="0" borderId="0">
      <alignment vertical="center"/>
    </xf>
    <xf numFmtId="0" fontId="99" fillId="26" borderId="0" applyNumberFormat="0" applyBorder="0" applyAlignment="0" applyProtection="0">
      <alignment vertical="center"/>
    </xf>
    <xf numFmtId="0" fontId="111" fillId="41" borderId="0" applyNumberFormat="0" applyBorder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88" fillId="0" borderId="4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2" fillId="42" borderId="0" applyNumberFormat="0" applyBorder="0" applyAlignment="0" applyProtection="0">
      <alignment vertical="center"/>
    </xf>
    <xf numFmtId="0" fontId="107" fillId="0" borderId="58" applyNumberFormat="0" applyFill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3" fillId="19" borderId="51" applyNumberFormat="0" applyAlignment="0" applyProtection="0">
      <alignment vertical="center"/>
    </xf>
    <xf numFmtId="0" fontId="119" fillId="44" borderId="0" applyNumberFormat="0" applyBorder="0" applyAlignment="0" applyProtection="0">
      <alignment vertical="center"/>
    </xf>
    <xf numFmtId="0" fontId="103" fillId="0" borderId="0">
      <alignment vertical="center"/>
    </xf>
    <xf numFmtId="0" fontId="93" fillId="19" borderId="51" applyNumberFormat="0" applyAlignment="0" applyProtection="0">
      <alignment vertical="center"/>
    </xf>
    <xf numFmtId="0" fontId="99" fillId="46" borderId="0" applyNumberFormat="0" applyBorder="0" applyAlignment="0" applyProtection="0">
      <alignment vertical="center"/>
    </xf>
    <xf numFmtId="0" fontId="103" fillId="0" borderId="0"/>
    <xf numFmtId="0" fontId="102" fillId="4" borderId="55" applyNumberFormat="0" applyAlignment="0" applyProtection="0">
      <alignment vertical="center"/>
    </xf>
    <xf numFmtId="0" fontId="111" fillId="47" borderId="0" applyNumberFormat="0" applyBorder="0" applyAlignment="0" applyProtection="0">
      <alignment vertical="center"/>
    </xf>
    <xf numFmtId="0" fontId="90" fillId="0" borderId="50" applyNumberFormat="0" applyFill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99" fillId="35" borderId="0" applyNumberFormat="0" applyBorder="0" applyAlignment="0" applyProtection="0">
      <alignment vertical="center"/>
    </xf>
    <xf numFmtId="0" fontId="74" fillId="0" borderId="0"/>
    <xf numFmtId="0" fontId="9" fillId="14" borderId="0" applyNumberFormat="0" applyBorder="0" applyAlignment="0" applyProtection="0">
      <alignment vertical="center"/>
    </xf>
    <xf numFmtId="0" fontId="84" fillId="0" borderId="53" applyNumberFormat="0" applyFill="0" applyAlignment="0" applyProtection="0">
      <alignment vertical="center"/>
    </xf>
    <xf numFmtId="0" fontId="99" fillId="48" borderId="0" applyNumberFormat="0" applyBorder="0" applyAlignment="0" applyProtection="0">
      <alignment vertical="center"/>
    </xf>
    <xf numFmtId="0" fontId="90" fillId="0" borderId="50" applyNumberFormat="0" applyFill="0" applyAlignment="0" applyProtection="0">
      <alignment vertical="center"/>
    </xf>
    <xf numFmtId="0" fontId="93" fillId="19" borderId="51" applyNumberFormat="0" applyAlignment="0" applyProtection="0">
      <alignment vertical="center"/>
    </xf>
    <xf numFmtId="0" fontId="99" fillId="40" borderId="0" applyNumberFormat="0" applyBorder="0" applyAlignment="0" applyProtection="0">
      <alignment vertical="center"/>
    </xf>
    <xf numFmtId="0" fontId="99" fillId="50" borderId="0" applyNumberFormat="0" applyBorder="0" applyAlignment="0" applyProtection="0">
      <alignment vertical="center"/>
    </xf>
    <xf numFmtId="0" fontId="111" fillId="51" borderId="0" applyNumberFormat="0" applyBorder="0" applyAlignment="0" applyProtection="0">
      <alignment vertical="center"/>
    </xf>
    <xf numFmtId="0" fontId="111" fillId="52" borderId="0" applyNumberFormat="0" applyBorder="0" applyAlignment="0" applyProtection="0">
      <alignment vertical="center"/>
    </xf>
    <xf numFmtId="0" fontId="84" fillId="0" borderId="53" applyNumberFormat="0" applyFill="0" applyAlignment="0" applyProtection="0">
      <alignment vertical="center"/>
    </xf>
    <xf numFmtId="0" fontId="93" fillId="19" borderId="51" applyNumberFormat="0" applyAlignment="0" applyProtection="0">
      <alignment vertical="center"/>
    </xf>
    <xf numFmtId="0" fontId="99" fillId="53" borderId="0" applyNumberFormat="0" applyBorder="0" applyAlignment="0" applyProtection="0">
      <alignment vertical="center"/>
    </xf>
    <xf numFmtId="0" fontId="109" fillId="19" borderId="59" applyNumberFormat="0" applyAlignment="0" applyProtection="0">
      <alignment vertical="center"/>
    </xf>
    <xf numFmtId="0" fontId="99" fillId="54" borderId="0" applyNumberFormat="0" applyBorder="0" applyAlignment="0" applyProtection="0">
      <alignment vertical="center"/>
    </xf>
    <xf numFmtId="0" fontId="111" fillId="55" borderId="0" applyNumberFormat="0" applyBorder="0" applyAlignment="0" applyProtection="0">
      <alignment vertical="center"/>
    </xf>
    <xf numFmtId="0" fontId="109" fillId="19" borderId="59" applyNumberFormat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111" fillId="56" borderId="0" applyNumberFormat="0" applyBorder="0" applyAlignment="0" applyProtection="0">
      <alignment vertical="center"/>
    </xf>
    <xf numFmtId="0" fontId="111" fillId="5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9" fillId="19" borderId="59" applyNumberFormat="0" applyAlignment="0" applyProtection="0">
      <alignment vertical="center"/>
    </xf>
    <xf numFmtId="0" fontId="121" fillId="49" borderId="0" applyNumberFormat="0" applyBorder="0" applyAlignment="0" applyProtection="0">
      <alignment vertical="center"/>
    </xf>
    <xf numFmtId="0" fontId="93" fillId="19" borderId="51" applyNumberFormat="0" applyAlignment="0" applyProtection="0">
      <alignment vertical="center"/>
    </xf>
    <xf numFmtId="0" fontId="99" fillId="58" borderId="0" applyNumberFormat="0" applyBorder="0" applyAlignment="0" applyProtection="0">
      <alignment vertical="center"/>
    </xf>
    <xf numFmtId="0" fontId="111" fillId="59" borderId="0" applyNumberFormat="0" applyBorder="0" applyAlignment="0" applyProtection="0">
      <alignment vertical="center"/>
    </xf>
    <xf numFmtId="0" fontId="74" fillId="0" borderId="0"/>
    <xf numFmtId="0" fontId="105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3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4" fillId="0" borderId="0"/>
    <xf numFmtId="0" fontId="9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3" fillId="0" borderId="0">
      <alignment vertical="center"/>
    </xf>
    <xf numFmtId="0" fontId="96" fillId="24" borderId="0" applyNumberFormat="0" applyBorder="0" applyAlignment="0" applyProtection="0">
      <alignment vertical="center"/>
    </xf>
    <xf numFmtId="0" fontId="74" fillId="0" borderId="0"/>
    <xf numFmtId="0" fontId="9" fillId="28" borderId="0" applyNumberFormat="0" applyBorder="0" applyAlignment="0" applyProtection="0">
      <alignment vertical="center"/>
    </xf>
    <xf numFmtId="0" fontId="103" fillId="0" borderId="0"/>
    <xf numFmtId="0" fontId="92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0" borderId="0"/>
    <xf numFmtId="0" fontId="9" fillId="24" borderId="0" applyNumberFormat="0" applyBorder="0" applyAlignment="0" applyProtection="0">
      <alignment vertical="center"/>
    </xf>
    <xf numFmtId="0" fontId="93" fillId="19" borderId="51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3" fillId="19" borderId="51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3" fillId="19" borderId="51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3" fillId="19" borderId="51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3" fillId="19" borderId="51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3" fillId="19" borderId="51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3" fillId="19" borderId="51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3" fillId="19" borderId="51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3" fillId="19" borderId="51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3" fillId="19" borderId="51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2" fillId="18" borderId="0" applyNumberFormat="0" applyBorder="0" applyAlignment="0" applyProtection="0">
      <alignment vertical="center"/>
    </xf>
    <xf numFmtId="0" fontId="93" fillId="19" borderId="51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2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93" fillId="19" borderId="5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93" fillId="19" borderId="5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20" fillId="45" borderId="5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93" fillId="19" borderId="5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2" fillId="22" borderId="0" applyNumberFormat="0" applyBorder="0" applyAlignment="0" applyProtection="0">
      <alignment vertical="center"/>
    </xf>
    <xf numFmtId="0" fontId="0" fillId="0" borderId="0"/>
    <xf numFmtId="0" fontId="9" fillId="12" borderId="0" applyNumberFormat="0" applyBorder="0" applyAlignment="0" applyProtection="0">
      <alignment vertical="center"/>
    </xf>
    <xf numFmtId="0" fontId="93" fillId="19" borderId="51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3" fillId="0" borderId="0"/>
    <xf numFmtId="0" fontId="93" fillId="19" borderId="51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3" fillId="19" borderId="51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2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2" fillId="1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2" fillId="42" borderId="0" applyNumberFormat="0" applyBorder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2" fillId="4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9" fillId="19" borderId="59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9" fillId="19" borderId="59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9" fillId="19" borderId="59" applyNumberFormat="0" applyAlignment="0" applyProtection="0">
      <alignment vertical="center"/>
    </xf>
    <xf numFmtId="176" fontId="103" fillId="0" borderId="0"/>
    <xf numFmtId="0" fontId="9" fillId="15" borderId="0" applyNumberFormat="0" applyBorder="0" applyAlignment="0" applyProtection="0">
      <alignment vertical="center"/>
    </xf>
    <xf numFmtId="0" fontId="109" fillId="19" borderId="59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9" fillId="19" borderId="59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84" fillId="0" borderId="53" applyNumberFormat="0" applyFill="0" applyAlignment="0" applyProtection="0">
      <alignment vertical="center"/>
    </xf>
    <xf numFmtId="0" fontId="109" fillId="19" borderId="59" applyNumberFormat="0" applyAlignment="0" applyProtection="0">
      <alignment vertical="center"/>
    </xf>
    <xf numFmtId="0" fontId="102" fillId="4" borderId="55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84" fillId="0" borderId="53" applyNumberFormat="0" applyFill="0" applyAlignment="0" applyProtection="0">
      <alignment vertical="center"/>
    </xf>
    <xf numFmtId="0" fontId="102" fillId="4" borderId="55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9" fillId="19" borderId="59" applyNumberFormat="0" applyAlignment="0" applyProtection="0">
      <alignment vertical="center"/>
    </xf>
    <xf numFmtId="0" fontId="120" fillId="45" borderId="59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3" fillId="32" borderId="0" applyNumberFormat="0" applyBorder="0" applyAlignment="0" applyProtection="0">
      <alignment vertical="center"/>
    </xf>
    <xf numFmtId="0" fontId="109" fillId="19" borderId="59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2" fillId="4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0" fillId="45" borderId="59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2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9" fillId="19" borderId="59" applyNumberFormat="0" applyAlignment="0" applyProtection="0">
      <alignment vertical="center"/>
    </xf>
    <xf numFmtId="0" fontId="121" fillId="4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2" fillId="33" borderId="0" applyNumberFormat="0" applyBorder="0" applyAlignment="0" applyProtection="0">
      <alignment vertical="center"/>
    </xf>
    <xf numFmtId="0" fontId="121" fillId="4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2" fillId="42" borderId="0" applyNumberFormat="0" applyBorder="0" applyAlignment="0" applyProtection="0">
      <alignment vertical="center"/>
    </xf>
    <xf numFmtId="0" fontId="92" fillId="33" borderId="0" applyNumberFormat="0" applyBorder="0" applyAlignment="0" applyProtection="0">
      <alignment vertical="center"/>
    </xf>
    <xf numFmtId="0" fontId="92" fillId="18" borderId="0" applyNumberFormat="0" applyBorder="0" applyAlignment="0" applyProtection="0">
      <alignment vertical="center"/>
    </xf>
    <xf numFmtId="0" fontId="92" fillId="18" borderId="0" applyNumberFormat="0" applyBorder="0" applyAlignment="0" applyProtection="0">
      <alignment vertical="center"/>
    </xf>
    <xf numFmtId="0" fontId="92" fillId="18" borderId="0" applyNumberFormat="0" applyBorder="0" applyAlignment="0" applyProtection="0">
      <alignment vertical="center"/>
    </xf>
    <xf numFmtId="0" fontId="92" fillId="18" borderId="0" applyNumberFormat="0" applyBorder="0" applyAlignment="0" applyProtection="0">
      <alignment vertical="center"/>
    </xf>
    <xf numFmtId="0" fontId="92" fillId="1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92" fillId="22" borderId="0" applyNumberFormat="0" applyBorder="0" applyAlignment="0" applyProtection="0">
      <alignment vertical="center"/>
    </xf>
    <xf numFmtId="0" fontId="92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3" borderId="52" applyNumberFormat="0" applyFont="0" applyAlignment="0" applyProtection="0">
      <alignment vertical="center"/>
    </xf>
    <xf numFmtId="0" fontId="92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92" fillId="22" borderId="0" applyNumberFormat="0" applyBorder="0" applyAlignment="0" applyProtection="0">
      <alignment vertical="center"/>
    </xf>
    <xf numFmtId="0" fontId="103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92" fillId="15" borderId="0" applyNumberFormat="0" applyBorder="0" applyAlignment="0" applyProtection="0">
      <alignment vertical="center"/>
    </xf>
    <xf numFmtId="0" fontId="92" fillId="25" borderId="0" applyNumberFormat="0" applyBorder="0" applyAlignment="0" applyProtection="0">
      <alignment vertical="center"/>
    </xf>
    <xf numFmtId="0" fontId="92" fillId="15" borderId="0" applyNumberFormat="0" applyBorder="0" applyAlignment="0" applyProtection="0">
      <alignment vertical="center"/>
    </xf>
    <xf numFmtId="0" fontId="92" fillId="15" borderId="0" applyNumberFormat="0" applyBorder="0" applyAlignment="0" applyProtection="0">
      <alignment vertical="center"/>
    </xf>
    <xf numFmtId="0" fontId="92" fillId="15" borderId="0" applyNumberFormat="0" applyBorder="0" applyAlignment="0" applyProtection="0">
      <alignment vertical="center"/>
    </xf>
    <xf numFmtId="0" fontId="92" fillId="15" borderId="0" applyNumberFormat="0" applyBorder="0" applyAlignment="0" applyProtection="0">
      <alignment vertical="center"/>
    </xf>
    <xf numFmtId="0" fontId="92" fillId="42" borderId="0" applyNumberFormat="0" applyBorder="0" applyAlignment="0" applyProtection="0">
      <alignment vertical="center"/>
    </xf>
    <xf numFmtId="0" fontId="92" fillId="42" borderId="0" applyNumberFormat="0" applyBorder="0" applyAlignment="0" applyProtection="0">
      <alignment vertical="center"/>
    </xf>
    <xf numFmtId="0" fontId="103" fillId="0" borderId="0">
      <alignment vertical="center"/>
    </xf>
    <xf numFmtId="0" fontId="92" fillId="30" borderId="0" applyNumberFormat="0" applyBorder="0" applyAlignment="0" applyProtection="0">
      <alignment vertical="center"/>
    </xf>
    <xf numFmtId="0" fontId="92" fillId="30" borderId="0" applyNumberFormat="0" applyBorder="0" applyAlignment="0" applyProtection="0">
      <alignment vertical="center"/>
    </xf>
    <xf numFmtId="0" fontId="92" fillId="42" borderId="0" applyNumberFormat="0" applyBorder="0" applyAlignment="0" applyProtection="0">
      <alignment vertical="center"/>
    </xf>
    <xf numFmtId="0" fontId="92" fillId="30" borderId="0" applyNumberFormat="0" applyBorder="0" applyAlignment="0" applyProtection="0">
      <alignment vertical="center"/>
    </xf>
    <xf numFmtId="0" fontId="92" fillId="30" borderId="0" applyNumberFormat="0" applyBorder="0" applyAlignment="0" applyProtection="0">
      <alignment vertical="center"/>
    </xf>
    <xf numFmtId="0" fontId="92" fillId="30" borderId="0" applyNumberFormat="0" applyBorder="0" applyAlignment="0" applyProtection="0">
      <alignment vertical="center"/>
    </xf>
    <xf numFmtId="0" fontId="92" fillId="30" borderId="0" applyNumberFormat="0" applyBorder="0" applyAlignment="0" applyProtection="0">
      <alignment vertical="center"/>
    </xf>
    <xf numFmtId="0" fontId="92" fillId="37" borderId="0" applyNumberFormat="0" applyBorder="0" applyAlignment="0" applyProtection="0">
      <alignment vertical="center"/>
    </xf>
    <xf numFmtId="0" fontId="92" fillId="37" borderId="0" applyNumberFormat="0" applyBorder="0" applyAlignment="0" applyProtection="0">
      <alignment vertical="center"/>
    </xf>
    <xf numFmtId="0" fontId="9" fillId="0" borderId="0">
      <alignment vertical="center"/>
    </xf>
    <xf numFmtId="0" fontId="92" fillId="30" borderId="0" applyNumberFormat="0" applyBorder="0" applyAlignment="0" applyProtection="0">
      <alignment vertical="center"/>
    </xf>
    <xf numFmtId="0" fontId="92" fillId="37" borderId="0" applyNumberFormat="0" applyBorder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92" fillId="37" borderId="0" applyNumberFormat="0" applyBorder="0" applyAlignment="0" applyProtection="0">
      <alignment vertical="center"/>
    </xf>
    <xf numFmtId="0" fontId="92" fillId="37" borderId="0" applyNumberFormat="0" applyBorder="0" applyAlignment="0" applyProtection="0">
      <alignment vertical="center"/>
    </xf>
    <xf numFmtId="0" fontId="92" fillId="37" borderId="0" applyNumberFormat="0" applyBorder="0" applyAlignment="0" applyProtection="0">
      <alignment vertical="center"/>
    </xf>
    <xf numFmtId="179" fontId="9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9" fontId="9" fillId="0" borderId="0">
      <alignment vertical="center"/>
    </xf>
    <xf numFmtId="0" fontId="96" fillId="24" borderId="0" applyNumberFormat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0" fontId="127" fillId="0" borderId="64" applyNumberFormat="0" applyFill="0" applyAlignment="0" applyProtection="0">
      <alignment vertical="center"/>
    </xf>
    <xf numFmtId="0" fontId="127" fillId="0" borderId="64" applyNumberFormat="0" applyFill="0" applyAlignment="0" applyProtection="0">
      <alignment vertical="center"/>
    </xf>
    <xf numFmtId="0" fontId="127" fillId="0" borderId="64" applyNumberFormat="0" applyFill="0" applyAlignment="0" applyProtection="0">
      <alignment vertical="center"/>
    </xf>
    <xf numFmtId="0" fontId="127" fillId="0" borderId="64" applyNumberFormat="0" applyFill="0" applyAlignment="0" applyProtection="0">
      <alignment vertical="center"/>
    </xf>
    <xf numFmtId="0" fontId="127" fillId="0" borderId="64" applyNumberFormat="0" applyFill="0" applyAlignment="0" applyProtection="0">
      <alignment vertical="center"/>
    </xf>
    <xf numFmtId="0" fontId="84" fillId="0" borderId="53" applyNumberFormat="0" applyFill="0" applyAlignment="0" applyProtection="0">
      <alignment vertical="center"/>
    </xf>
    <xf numFmtId="0" fontId="127" fillId="0" borderId="64" applyNumberFormat="0" applyFill="0" applyAlignment="0" applyProtection="0">
      <alignment vertical="center"/>
    </xf>
    <xf numFmtId="0" fontId="127" fillId="0" borderId="64" applyNumberFormat="0" applyFill="0" applyAlignment="0" applyProtection="0">
      <alignment vertical="center"/>
    </xf>
    <xf numFmtId="0" fontId="118" fillId="0" borderId="63" applyNumberFormat="0" applyFill="0" applyAlignment="0" applyProtection="0">
      <alignment vertical="center"/>
    </xf>
    <xf numFmtId="0" fontId="118" fillId="0" borderId="63" applyNumberFormat="0" applyFill="0" applyAlignment="0" applyProtection="0">
      <alignment vertical="center"/>
    </xf>
    <xf numFmtId="0" fontId="118" fillId="0" borderId="63" applyNumberFormat="0" applyFill="0" applyAlignment="0" applyProtection="0">
      <alignment vertical="center"/>
    </xf>
    <xf numFmtId="0" fontId="123" fillId="32" borderId="0" applyNumberFormat="0" applyBorder="0" applyAlignment="0" applyProtection="0">
      <alignment vertical="center"/>
    </xf>
    <xf numFmtId="0" fontId="118" fillId="0" borderId="63" applyNumberFormat="0" applyFill="0" applyAlignment="0" applyProtection="0">
      <alignment vertical="center"/>
    </xf>
    <xf numFmtId="0" fontId="118" fillId="0" borderId="63" applyNumberFormat="0" applyFill="0" applyAlignment="0" applyProtection="0">
      <alignment vertical="center"/>
    </xf>
    <xf numFmtId="0" fontId="9" fillId="0" borderId="0">
      <alignment vertical="center"/>
    </xf>
    <xf numFmtId="0" fontId="118" fillId="0" borderId="63" applyNumberFormat="0" applyFill="0" applyAlignment="0" applyProtection="0">
      <alignment vertical="center"/>
    </xf>
    <xf numFmtId="0" fontId="118" fillId="0" borderId="63" applyNumberFormat="0" applyFill="0" applyAlignment="0" applyProtection="0">
      <alignment vertical="center"/>
    </xf>
    <xf numFmtId="0" fontId="105" fillId="0" borderId="57" applyNumberFormat="0" applyFill="0" applyAlignment="0" applyProtection="0">
      <alignment vertical="center"/>
    </xf>
    <xf numFmtId="0" fontId="105" fillId="0" borderId="57" applyNumberFormat="0" applyFill="0" applyAlignment="0" applyProtection="0">
      <alignment vertical="center"/>
    </xf>
    <xf numFmtId="0" fontId="123" fillId="32" borderId="0" applyNumberFormat="0" applyBorder="0" applyAlignment="0" applyProtection="0">
      <alignment vertical="center"/>
    </xf>
    <xf numFmtId="0" fontId="105" fillId="0" borderId="57" applyNumberFormat="0" applyFill="0" applyAlignment="0" applyProtection="0">
      <alignment vertical="center"/>
    </xf>
    <xf numFmtId="0" fontId="105" fillId="0" borderId="57" applyNumberFormat="0" applyFill="0" applyAlignment="0" applyProtection="0">
      <alignment vertical="center"/>
    </xf>
    <xf numFmtId="0" fontId="105" fillId="0" borderId="57" applyNumberFormat="0" applyFill="0" applyAlignment="0" applyProtection="0">
      <alignment vertical="center"/>
    </xf>
    <xf numFmtId="0" fontId="125" fillId="0" borderId="0"/>
    <xf numFmtId="0" fontId="105" fillId="0" borderId="57" applyNumberFormat="0" applyFill="0" applyAlignment="0" applyProtection="0">
      <alignment vertical="center"/>
    </xf>
    <xf numFmtId="0" fontId="105" fillId="0" borderId="57" applyNumberFormat="0" applyFill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43" fontId="103" fillId="0" borderId="0" applyFon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84" fillId="0" borderId="53" applyNumberFormat="0" applyFill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84" fillId="0" borderId="53" applyNumberFormat="0" applyFill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2" fillId="29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84" fillId="0" borderId="53" applyNumberFormat="0" applyFill="0" applyAlignment="0" applyProtection="0">
      <alignment vertical="center"/>
    </xf>
    <xf numFmtId="0" fontId="92" fillId="29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2" fillId="25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3" fillId="0" borderId="0">
      <alignment vertical="center"/>
    </xf>
    <xf numFmtId="0" fontId="103" fillId="0" borderId="0"/>
    <xf numFmtId="0" fontId="103" fillId="0" borderId="0">
      <alignment vertical="center"/>
    </xf>
    <xf numFmtId="0" fontId="103" fillId="0" borderId="0">
      <alignment vertical="center"/>
    </xf>
    <xf numFmtId="0" fontId="9" fillId="0" borderId="0">
      <alignment vertical="center"/>
    </xf>
    <xf numFmtId="0" fontId="92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126" fillId="0" borderId="0" applyNumberFormat="0" applyFill="0" applyBorder="0" applyProtection="0">
      <alignment vertical="top" wrapText="1"/>
    </xf>
    <xf numFmtId="0" fontId="7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120" fillId="45" borderId="59" applyNumberFormat="0" applyAlignment="0" applyProtection="0">
      <alignment vertical="center"/>
    </xf>
    <xf numFmtId="0" fontId="103" fillId="0" borderId="0">
      <alignment vertical="center"/>
    </xf>
    <xf numFmtId="0" fontId="120" fillId="45" borderId="59" applyNumberFormat="0" applyAlignment="0" applyProtection="0">
      <alignment vertical="center"/>
    </xf>
    <xf numFmtId="0" fontId="125" fillId="0" borderId="0"/>
    <xf numFmtId="0" fontId="17" fillId="0" borderId="0">
      <alignment vertical="center"/>
    </xf>
    <xf numFmtId="0" fontId="9" fillId="0" borderId="0"/>
    <xf numFmtId="0" fontId="7" fillId="0" borderId="0">
      <alignment vertical="center"/>
    </xf>
    <xf numFmtId="0" fontId="120" fillId="45" borderId="59" applyNumberFormat="0" applyAlignment="0" applyProtection="0">
      <alignment vertical="center"/>
    </xf>
    <xf numFmtId="0" fontId="9" fillId="0" borderId="0"/>
    <xf numFmtId="0" fontId="17" fillId="0" borderId="0">
      <alignment vertical="center"/>
    </xf>
    <xf numFmtId="0" fontId="92" fillId="42" borderId="0" applyNumberFormat="0" applyBorder="0" applyAlignment="0" applyProtection="0">
      <alignment vertical="center"/>
    </xf>
    <xf numFmtId="0" fontId="9" fillId="0" borderId="0"/>
    <xf numFmtId="0" fontId="92" fillId="42" borderId="0" applyNumberFormat="0" applyBorder="0" applyAlignment="0" applyProtection="0">
      <alignment vertical="center"/>
    </xf>
    <xf numFmtId="0" fontId="103" fillId="0" borderId="0"/>
    <xf numFmtId="0" fontId="92" fillId="42" borderId="0" applyNumberFormat="0" applyBorder="0" applyAlignment="0" applyProtection="0">
      <alignment vertical="center"/>
    </xf>
    <xf numFmtId="0" fontId="103" fillId="0" borderId="0"/>
    <xf numFmtId="0" fontId="92" fillId="42" borderId="0" applyNumberFormat="0" applyBorder="0" applyAlignment="0" applyProtection="0">
      <alignment vertical="center"/>
    </xf>
    <xf numFmtId="0" fontId="103" fillId="0" borderId="0"/>
    <xf numFmtId="0" fontId="9" fillId="0" borderId="0">
      <alignment vertical="center"/>
    </xf>
    <xf numFmtId="0" fontId="9" fillId="0" borderId="0">
      <alignment vertical="center"/>
    </xf>
    <xf numFmtId="0" fontId="121" fillId="4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2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92" fillId="30" borderId="0" applyNumberFormat="0" applyBorder="0" applyAlignment="0" applyProtection="0">
      <alignment vertical="center"/>
    </xf>
    <xf numFmtId="0" fontId="103" fillId="0" borderId="0"/>
    <xf numFmtId="0" fontId="103" fillId="0" borderId="0"/>
    <xf numFmtId="0" fontId="9" fillId="0" borderId="0">
      <alignment vertical="center"/>
    </xf>
    <xf numFmtId="0" fontId="120" fillId="45" borderId="59" applyNumberFormat="0" applyAlignment="0" applyProtection="0">
      <alignment vertical="center"/>
    </xf>
    <xf numFmtId="0" fontId="103" fillId="0" borderId="0"/>
    <xf numFmtId="0" fontId="74" fillId="0" borderId="0">
      <alignment vertical="center"/>
    </xf>
    <xf numFmtId="0" fontId="92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125" fillId="0" borderId="0"/>
    <xf numFmtId="0" fontId="43" fillId="0" borderId="0" applyNumberFormat="0" applyFill="0" applyBorder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123" fillId="32" borderId="0" applyNumberFormat="0" applyBorder="0" applyAlignment="0" applyProtection="0">
      <alignment vertical="center"/>
    </xf>
    <xf numFmtId="0" fontId="123" fillId="32" borderId="0" applyNumberFormat="0" applyBorder="0" applyAlignment="0" applyProtection="0">
      <alignment vertical="center"/>
    </xf>
    <xf numFmtId="0" fontId="123" fillId="32" borderId="0" applyNumberFormat="0" applyBorder="0" applyAlignment="0" applyProtection="0">
      <alignment vertical="center"/>
    </xf>
    <xf numFmtId="0" fontId="84" fillId="0" borderId="53" applyNumberFormat="0" applyFill="0" applyAlignment="0" applyProtection="0">
      <alignment vertical="center"/>
    </xf>
    <xf numFmtId="0" fontId="84" fillId="0" borderId="53" applyNumberFormat="0" applyFill="0" applyAlignment="0" applyProtection="0">
      <alignment vertical="center"/>
    </xf>
    <xf numFmtId="0" fontId="102" fillId="4" borderId="55" applyNumberFormat="0" applyAlignment="0" applyProtection="0">
      <alignment vertical="center"/>
    </xf>
    <xf numFmtId="0" fontId="84" fillId="0" borderId="53" applyNumberFormat="0" applyFill="0" applyAlignment="0" applyProtection="0">
      <alignment vertical="center"/>
    </xf>
    <xf numFmtId="0" fontId="84" fillId="0" borderId="53" applyNumberFormat="0" applyFill="0" applyAlignment="0" applyProtection="0">
      <alignment vertical="center"/>
    </xf>
    <xf numFmtId="0" fontId="84" fillId="0" borderId="53" applyNumberFormat="0" applyFill="0" applyAlignment="0" applyProtection="0">
      <alignment vertical="center"/>
    </xf>
    <xf numFmtId="0" fontId="92" fillId="33" borderId="0" applyNumberFormat="0" applyBorder="0" applyAlignment="0" applyProtection="0">
      <alignment vertical="center"/>
    </xf>
    <xf numFmtId="0" fontId="74" fillId="0" borderId="0"/>
    <xf numFmtId="0" fontId="102" fillId="4" borderId="55" applyNumberFormat="0" applyAlignment="0" applyProtection="0">
      <alignment vertical="center"/>
    </xf>
    <xf numFmtId="0" fontId="102" fillId="4" borderId="55" applyNumberFormat="0" applyAlignment="0" applyProtection="0">
      <alignment vertical="center"/>
    </xf>
    <xf numFmtId="0" fontId="102" fillId="4" borderId="55" applyNumberFormat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0" fillId="0" borderId="50" applyNumberFormat="0" applyFill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90" fillId="0" borderId="50" applyNumberFormat="0" applyFill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90" fillId="0" borderId="50" applyNumberFormat="0" applyFill="0" applyAlignment="0" applyProtection="0">
      <alignment vertical="center"/>
    </xf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0" fontId="92" fillId="29" borderId="0" applyNumberFormat="0" applyBorder="0" applyAlignment="0" applyProtection="0">
      <alignment vertical="center"/>
    </xf>
    <xf numFmtId="0" fontId="92" fillId="29" borderId="0" applyNumberFormat="0" applyBorder="0" applyAlignment="0" applyProtection="0">
      <alignment vertical="center"/>
    </xf>
    <xf numFmtId="0" fontId="92" fillId="29" borderId="0" applyNumberFormat="0" applyBorder="0" applyAlignment="0" applyProtection="0">
      <alignment vertical="center"/>
    </xf>
    <xf numFmtId="0" fontId="92" fillId="29" borderId="0" applyNumberFormat="0" applyBorder="0" applyAlignment="0" applyProtection="0">
      <alignment vertical="center"/>
    </xf>
    <xf numFmtId="0" fontId="92" fillId="25" borderId="0" applyNumberFormat="0" applyBorder="0" applyAlignment="0" applyProtection="0">
      <alignment vertical="center"/>
    </xf>
    <xf numFmtId="0" fontId="92" fillId="25" borderId="0" applyNumberFormat="0" applyBorder="0" applyAlignment="0" applyProtection="0">
      <alignment vertical="center"/>
    </xf>
    <xf numFmtId="0" fontId="92" fillId="25" borderId="0" applyNumberFormat="0" applyBorder="0" applyAlignment="0" applyProtection="0">
      <alignment vertical="center"/>
    </xf>
    <xf numFmtId="0" fontId="92" fillId="33" borderId="0" applyNumberFormat="0" applyBorder="0" applyAlignment="0" applyProtection="0">
      <alignment vertical="center"/>
    </xf>
    <xf numFmtId="0" fontId="120" fillId="45" borderId="59" applyNumberFormat="0" applyAlignment="0" applyProtection="0">
      <alignment vertical="center"/>
    </xf>
    <xf numFmtId="0" fontId="92" fillId="33" borderId="0" applyNumberFormat="0" applyBorder="0" applyAlignment="0" applyProtection="0">
      <alignment vertical="center"/>
    </xf>
    <xf numFmtId="0" fontId="92" fillId="33" borderId="0" applyNumberFormat="0" applyBorder="0" applyAlignment="0" applyProtection="0">
      <alignment vertical="center"/>
    </xf>
    <xf numFmtId="0" fontId="92" fillId="42" borderId="0" applyNumberFormat="0" applyBorder="0" applyAlignment="0" applyProtection="0">
      <alignment vertical="center"/>
    </xf>
    <xf numFmtId="0" fontId="92" fillId="42" borderId="0" applyNumberFormat="0" applyBorder="0" applyAlignment="0" applyProtection="0">
      <alignment vertical="center"/>
    </xf>
    <xf numFmtId="0" fontId="120" fillId="45" borderId="59" applyNumberFormat="0" applyAlignment="0" applyProtection="0">
      <alignment vertical="center"/>
    </xf>
    <xf numFmtId="0" fontId="92" fillId="30" borderId="0" applyNumberFormat="0" applyBorder="0" applyAlignment="0" applyProtection="0">
      <alignment vertical="center"/>
    </xf>
    <xf numFmtId="0" fontId="92" fillId="30" borderId="0" applyNumberFormat="0" applyBorder="0" applyAlignment="0" applyProtection="0">
      <alignment vertical="center"/>
    </xf>
    <xf numFmtId="0" fontId="92" fillId="30" borderId="0" applyNumberFormat="0" applyBorder="0" applyAlignment="0" applyProtection="0">
      <alignment vertical="center"/>
    </xf>
    <xf numFmtId="0" fontId="92" fillId="60" borderId="0" applyNumberFormat="0" applyBorder="0" applyAlignment="0" applyProtection="0">
      <alignment vertical="center"/>
    </xf>
    <xf numFmtId="0" fontId="92" fillId="60" borderId="0" applyNumberFormat="0" applyBorder="0" applyAlignment="0" applyProtection="0">
      <alignment vertical="center"/>
    </xf>
    <xf numFmtId="0" fontId="92" fillId="60" borderId="0" applyNumberFormat="0" applyBorder="0" applyAlignment="0" applyProtection="0">
      <alignment vertical="center"/>
    </xf>
    <xf numFmtId="0" fontId="92" fillId="60" borderId="0" applyNumberFormat="0" applyBorder="0" applyAlignment="0" applyProtection="0">
      <alignment vertical="center"/>
    </xf>
    <xf numFmtId="0" fontId="92" fillId="60" borderId="0" applyNumberFormat="0" applyBorder="0" applyAlignment="0" applyProtection="0">
      <alignment vertical="center"/>
    </xf>
    <xf numFmtId="0" fontId="92" fillId="60" borderId="0" applyNumberFormat="0" applyBorder="0" applyAlignment="0" applyProtection="0">
      <alignment vertical="center"/>
    </xf>
    <xf numFmtId="0" fontId="121" fillId="49" borderId="0" applyNumberFormat="0" applyBorder="0" applyAlignment="0" applyProtection="0">
      <alignment vertical="center"/>
    </xf>
    <xf numFmtId="0" fontId="121" fillId="49" borderId="0" applyNumberFormat="0" applyBorder="0" applyAlignment="0" applyProtection="0">
      <alignment vertical="center"/>
    </xf>
    <xf numFmtId="0" fontId="121" fillId="49" borderId="0" applyNumberFormat="0" applyBorder="0" applyAlignment="0" applyProtection="0">
      <alignment vertical="center"/>
    </xf>
    <xf numFmtId="0" fontId="93" fillId="19" borderId="51" applyNumberFormat="0" applyAlignment="0" applyProtection="0">
      <alignment vertical="center"/>
    </xf>
    <xf numFmtId="0" fontId="93" fillId="19" borderId="51" applyNumberFormat="0" applyAlignment="0" applyProtection="0">
      <alignment vertical="center"/>
    </xf>
    <xf numFmtId="0" fontId="93" fillId="19" borderId="51" applyNumberFormat="0" applyAlignment="0" applyProtection="0">
      <alignment vertical="center"/>
    </xf>
    <xf numFmtId="0" fontId="93" fillId="19" borderId="51" applyNumberFormat="0" applyAlignment="0" applyProtection="0">
      <alignment vertical="center"/>
    </xf>
    <xf numFmtId="0" fontId="120" fillId="45" borderId="59" applyNumberFormat="0" applyAlignment="0" applyProtection="0">
      <alignment vertical="center"/>
    </xf>
    <xf numFmtId="0" fontId="106" fillId="0" borderId="0"/>
    <xf numFmtId="0" fontId="120" fillId="45" borderId="59" applyNumberFormat="0" applyAlignment="0" applyProtection="0">
      <alignment vertical="center"/>
    </xf>
    <xf numFmtId="0" fontId="106" fillId="0" borderId="0"/>
    <xf numFmtId="0" fontId="120" fillId="45" borderId="59" applyNumberFormat="0" applyAlignment="0" applyProtection="0">
      <alignment vertical="center"/>
    </xf>
    <xf numFmtId="0" fontId="120" fillId="45" borderId="59" applyNumberFormat="0" applyAlignment="0" applyProtection="0">
      <alignment vertical="center"/>
    </xf>
    <xf numFmtId="0" fontId="120" fillId="45" borderId="59" applyNumberFormat="0" applyAlignment="0" applyProtection="0">
      <alignment vertical="center"/>
    </xf>
    <xf numFmtId="0" fontId="122" fillId="0" borderId="0"/>
    <xf numFmtId="0" fontId="74" fillId="0" borderId="0"/>
    <xf numFmtId="0" fontId="106" fillId="0" borderId="0"/>
    <xf numFmtId="0" fontId="106" fillId="0" borderId="0"/>
    <xf numFmtId="0" fontId="9" fillId="23" borderId="52" applyNumberFormat="0" applyFont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9" fillId="23" borderId="52" applyNumberFormat="0" applyFont="0" applyAlignment="0" applyProtection="0">
      <alignment vertical="center"/>
    </xf>
    <xf numFmtId="0" fontId="103" fillId="0" borderId="0"/>
    <xf numFmtId="0" fontId="117" fillId="0" borderId="0" applyNumberFormat="0" applyFill="0" applyBorder="0" applyAlignment="0" applyProtection="0">
      <alignment vertical="center"/>
    </xf>
    <xf numFmtId="38" fontId="103" fillId="0" borderId="0" applyFont="0" applyFill="0" applyBorder="0" applyAlignment="0" applyProtection="0">
      <alignment vertical="center"/>
    </xf>
    <xf numFmtId="0" fontId="52" fillId="0" borderId="0">
      <alignment vertical="center"/>
    </xf>
  </cellStyleXfs>
  <cellXfs count="38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NumberFormat="1" applyFont="1" applyFill="1" applyBorder="1" applyAlignment="1" applyProtection="1">
      <alignment horizontal="left" vertical="center"/>
      <protection locked="0"/>
    </xf>
    <xf numFmtId="0" fontId="7" fillId="3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5" xfId="413" applyNumberFormat="1" applyFont="1" applyFill="1" applyBorder="1" applyAlignment="1" applyProtection="1">
      <alignment horizontal="center" vertical="center" wrapText="1"/>
    </xf>
    <xf numFmtId="49" fontId="8" fillId="4" borderId="6" xfId="413" applyNumberFormat="1" applyFont="1" applyFill="1" applyBorder="1" applyAlignment="1" applyProtection="1">
      <alignment horizontal="center" vertical="center" wrapText="1"/>
    </xf>
    <xf numFmtId="49" fontId="8" fillId="5" borderId="5" xfId="413" applyNumberFormat="1" applyFont="1" applyFill="1" applyBorder="1" applyAlignment="1" applyProtection="1">
      <alignment horizontal="center" vertical="center" wrapText="1"/>
    </xf>
    <xf numFmtId="177" fontId="8" fillId="4" borderId="6" xfId="413" applyNumberFormat="1" applyFont="1" applyFill="1" applyBorder="1" applyAlignment="1" applyProtection="1">
      <alignment horizontal="center" vertical="center" wrapText="1"/>
    </xf>
    <xf numFmtId="49" fontId="8" fillId="4" borderId="7" xfId="413" applyNumberFormat="1" applyFont="1" applyFill="1" applyBorder="1" applyAlignment="1" applyProtection="1">
      <alignment horizontal="center" vertical="center" wrapText="1"/>
    </xf>
    <xf numFmtId="49" fontId="8" fillId="5" borderId="7" xfId="413" applyNumberFormat="1" applyFont="1" applyFill="1" applyBorder="1" applyAlignment="1" applyProtection="1">
      <alignment horizontal="center" vertical="center" wrapText="1"/>
    </xf>
    <xf numFmtId="49" fontId="8" fillId="5" borderId="6" xfId="413" applyNumberFormat="1" applyFont="1" applyFill="1" applyBorder="1" applyAlignment="1" applyProtection="1">
      <alignment horizontal="center" vertical="center" wrapText="1"/>
    </xf>
    <xf numFmtId="180" fontId="8" fillId="5" borderId="6" xfId="413" applyNumberFormat="1" applyFont="1" applyFill="1" applyBorder="1" applyAlignment="1" applyProtection="1">
      <alignment horizontal="center" vertical="center" wrapText="1"/>
    </xf>
    <xf numFmtId="49" fontId="8" fillId="5" borderId="6" xfId="366" applyNumberFormat="1" applyFont="1" applyFill="1" applyBorder="1" applyAlignment="1" applyProtection="1">
      <alignment horizontal="center" vertical="center" wrapText="1"/>
    </xf>
    <xf numFmtId="49" fontId="8" fillId="4" borderId="8" xfId="413" applyNumberFormat="1" applyFont="1" applyFill="1" applyBorder="1" applyAlignment="1" applyProtection="1">
      <alignment horizontal="center" vertical="center" wrapText="1"/>
    </xf>
    <xf numFmtId="49" fontId="8" fillId="4" borderId="9" xfId="413" applyNumberFormat="1" applyFont="1" applyFill="1" applyBorder="1" applyAlignment="1" applyProtection="1">
      <alignment horizontal="center" vertical="center" wrapText="1"/>
    </xf>
    <xf numFmtId="49" fontId="8" fillId="6" borderId="6" xfId="366" applyNumberFormat="1" applyFont="1" applyFill="1" applyBorder="1" applyAlignment="1" applyProtection="1">
      <alignment horizontal="center" vertical="center" wrapText="1"/>
    </xf>
    <xf numFmtId="0" fontId="8" fillId="3" borderId="6" xfId="366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 applyProtection="1">
      <alignment horizontal="center" vertical="center"/>
    </xf>
    <xf numFmtId="0" fontId="9" fillId="0" borderId="0" xfId="310" applyBorder="1">
      <alignment vertical="center"/>
    </xf>
    <xf numFmtId="0" fontId="10" fillId="0" borderId="0" xfId="310" applyNumberFormat="1" applyFont="1" applyFill="1" applyBorder="1" applyAlignment="1" applyProtection="1">
      <alignment horizontal="center" vertical="center"/>
    </xf>
    <xf numFmtId="0" fontId="9" fillId="0" borderId="0" xfId="310" applyFill="1">
      <alignment vertical="center"/>
    </xf>
    <xf numFmtId="0" fontId="9" fillId="0" borderId="0" xfId="310" applyNumberFormat="1" applyFont="1" applyFill="1" applyBorder="1" applyAlignment="1" applyProtection="1">
      <alignment horizontal="center" vertical="center" shrinkToFit="1"/>
    </xf>
    <xf numFmtId="0" fontId="9" fillId="0" borderId="0" xfId="0" applyNumberFormat="1" applyFont="1" applyFill="1" applyBorder="1" applyAlignment="1" applyProtection="1">
      <alignment vertical="center"/>
    </xf>
    <xf numFmtId="0" fontId="9" fillId="0" borderId="0" xfId="310">
      <alignment vertical="center"/>
    </xf>
    <xf numFmtId="0" fontId="9" fillId="0" borderId="0" xfId="310" applyNumberFormat="1">
      <alignment vertical="center"/>
    </xf>
    <xf numFmtId="0" fontId="9" fillId="0" borderId="0" xfId="310" applyNumberFormat="1" applyAlignment="1">
      <alignment horizontal="center" vertical="center"/>
    </xf>
    <xf numFmtId="14" fontId="9" fillId="0" borderId="0" xfId="310" applyNumberFormat="1">
      <alignment vertical="center"/>
    </xf>
    <xf numFmtId="178" fontId="9" fillId="0" borderId="0" xfId="310" applyNumberFormat="1">
      <alignment vertical="center"/>
    </xf>
    <xf numFmtId="181" fontId="11" fillId="0" borderId="0" xfId="110" applyNumberFormat="1" applyFont="1" applyFill="1" applyBorder="1" applyAlignment="1" applyProtection="1">
      <alignment vertical="center"/>
    </xf>
    <xf numFmtId="181" fontId="12" fillId="0" borderId="0" xfId="110" applyNumberFormat="1" applyFont="1" applyFill="1" applyBorder="1" applyAlignment="1" applyProtection="1">
      <alignment vertical="center"/>
    </xf>
    <xf numFmtId="181" fontId="13" fillId="0" borderId="0" xfId="110" applyNumberFormat="1" applyFont="1" applyFill="1" applyBorder="1" applyAlignment="1" applyProtection="1">
      <alignment vertical="center"/>
    </xf>
    <xf numFmtId="181" fontId="13" fillId="0" borderId="0" xfId="110" applyNumberFormat="1" applyFont="1" applyFill="1" applyBorder="1" applyAlignment="1" applyProtection="1">
      <alignment horizontal="center" vertical="top"/>
    </xf>
    <xf numFmtId="0" fontId="9" fillId="0" borderId="0" xfId="310" applyNumberFormat="1" applyFont="1" applyFill="1" applyBorder="1" applyAlignment="1" applyProtection="1">
      <alignment horizontal="center" vertical="center"/>
    </xf>
    <xf numFmtId="0" fontId="9" fillId="0" borderId="0" xfId="310" applyNumberFormat="1" applyBorder="1" applyAlignment="1">
      <alignment horizontal="center" vertical="center"/>
    </xf>
    <xf numFmtId="181" fontId="14" fillId="3" borderId="5" xfId="110" applyNumberFormat="1" applyFont="1" applyFill="1" applyBorder="1" applyAlignment="1" applyProtection="1">
      <alignment horizontal="center" vertical="center"/>
    </xf>
    <xf numFmtId="181" fontId="11" fillId="3" borderId="5" xfId="110" applyNumberFormat="1" applyFont="1" applyFill="1" applyBorder="1" applyAlignment="1" applyProtection="1">
      <alignment horizontal="center" vertical="center"/>
    </xf>
    <xf numFmtId="0" fontId="11" fillId="3" borderId="5" xfId="110" applyNumberFormat="1" applyFont="1" applyFill="1" applyBorder="1" applyAlignment="1" applyProtection="1">
      <alignment horizontal="center" vertical="center" wrapText="1"/>
    </xf>
    <xf numFmtId="0" fontId="15" fillId="3" borderId="5" xfId="400" applyNumberFormat="1" applyFont="1" applyFill="1" applyBorder="1" applyAlignment="1" applyProtection="1">
      <alignment horizontal="center" vertical="center" wrapText="1"/>
    </xf>
    <xf numFmtId="0" fontId="16" fillId="3" borderId="5" xfId="400" applyNumberFormat="1" applyFont="1" applyFill="1" applyBorder="1" applyAlignment="1" applyProtection="1">
      <alignment horizontal="center" vertical="center" wrapText="1"/>
    </xf>
    <xf numFmtId="181" fontId="14" fillId="3" borderId="10" xfId="110" applyNumberFormat="1" applyFont="1" applyFill="1" applyBorder="1" applyAlignment="1" applyProtection="1">
      <alignment horizontal="center" vertical="center"/>
    </xf>
    <xf numFmtId="181" fontId="11" fillId="3" borderId="10" xfId="110" applyNumberFormat="1" applyFont="1" applyFill="1" applyBorder="1" applyAlignment="1" applyProtection="1">
      <alignment horizontal="center" vertical="center"/>
    </xf>
    <xf numFmtId="0" fontId="11" fillId="3" borderId="10" xfId="110" applyNumberFormat="1" applyFont="1" applyFill="1" applyBorder="1" applyAlignment="1" applyProtection="1">
      <alignment horizontal="center" vertical="center" wrapText="1"/>
    </xf>
    <xf numFmtId="0" fontId="15" fillId="3" borderId="10" xfId="400" applyNumberFormat="1" applyFont="1" applyFill="1" applyBorder="1" applyAlignment="1" applyProtection="1">
      <alignment horizontal="center" vertical="center" wrapText="1"/>
    </xf>
    <xf numFmtId="0" fontId="16" fillId="3" borderId="10" xfId="400" applyNumberFormat="1" applyFont="1" applyFill="1" applyBorder="1" applyAlignment="1" applyProtection="1">
      <alignment horizontal="center" vertical="center" wrapText="1"/>
    </xf>
    <xf numFmtId="181" fontId="7" fillId="0" borderId="10" xfId="310" applyNumberFormat="1" applyFont="1" applyFill="1" applyBorder="1" applyAlignment="1" applyProtection="1">
      <alignment horizontal="center" vertical="center"/>
    </xf>
    <xf numFmtId="0" fontId="17" fillId="0" borderId="6" xfId="310" applyFont="1" applyFill="1" applyBorder="1" applyAlignment="1">
      <alignment horizontal="center" vertical="center" wrapText="1"/>
    </xf>
    <xf numFmtId="49" fontId="18" fillId="7" borderId="11" xfId="310" applyNumberFormat="1" applyFont="1" applyFill="1" applyBorder="1" applyAlignment="1">
      <alignment horizontal="center" vertical="center" wrapText="1"/>
    </xf>
    <xf numFmtId="0" fontId="9" fillId="0" borderId="6" xfId="310" applyNumberFormat="1" applyFill="1" applyBorder="1" applyAlignment="1">
      <alignment horizontal="center" vertical="center"/>
    </xf>
    <xf numFmtId="0" fontId="9" fillId="0" borderId="11" xfId="310" applyFill="1" applyBorder="1">
      <alignment vertical="center"/>
    </xf>
    <xf numFmtId="181" fontId="7" fillId="7" borderId="10" xfId="310" applyNumberFormat="1" applyFont="1" applyFill="1" applyBorder="1" applyAlignment="1" applyProtection="1">
      <alignment horizontal="center" vertical="center" shrinkToFit="1"/>
    </xf>
    <xf numFmtId="181" fontId="19" fillId="7" borderId="6" xfId="310" applyNumberFormat="1" applyFont="1" applyFill="1" applyBorder="1" applyAlignment="1" applyProtection="1">
      <alignment horizontal="center" vertical="center" shrinkToFit="1"/>
    </xf>
    <xf numFmtId="181" fontId="19" fillId="7" borderId="6" xfId="310" applyNumberFormat="1" applyFont="1" applyFill="1" applyBorder="1" applyAlignment="1" applyProtection="1">
      <alignment horizontal="center" vertical="top" shrinkToFit="1"/>
    </xf>
    <xf numFmtId="0" fontId="18" fillId="7" borderId="6" xfId="310" applyNumberFormat="1" applyFont="1" applyFill="1" applyBorder="1" applyAlignment="1">
      <alignment horizontal="center" vertical="center" shrinkToFit="1"/>
    </xf>
    <xf numFmtId="0" fontId="9" fillId="7" borderId="6" xfId="310" applyNumberFormat="1" applyFont="1" applyFill="1" applyBorder="1" applyAlignment="1" applyProtection="1">
      <alignment horizontal="center" vertical="center" shrinkToFit="1"/>
    </xf>
    <xf numFmtId="0" fontId="9" fillId="7" borderId="6" xfId="310" applyNumberFormat="1" applyFill="1" applyBorder="1" applyAlignment="1">
      <alignment horizontal="center" vertical="center" shrinkToFit="1"/>
    </xf>
    <xf numFmtId="0" fontId="9" fillId="3" borderId="6" xfId="310" applyFont="1" applyFill="1" applyBorder="1" applyAlignment="1">
      <alignment horizontal="center" vertical="center"/>
    </xf>
    <xf numFmtId="178" fontId="9" fillId="7" borderId="6" xfId="310" applyNumberFormat="1" applyFont="1" applyFill="1" applyBorder="1" applyAlignment="1">
      <alignment horizontal="center" vertical="center"/>
    </xf>
    <xf numFmtId="182" fontId="9" fillId="0" borderId="0" xfId="310" applyNumberFormat="1" applyFont="1" applyBorder="1" applyAlignment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horizontal="left" vertical="center"/>
    </xf>
    <xf numFmtId="182" fontId="9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23" fillId="0" borderId="0" xfId="0" applyNumberFormat="1" applyFont="1" applyFill="1" applyBorder="1" applyAlignment="1" applyProtection="1">
      <alignment vertical="center" wrapText="1"/>
    </xf>
    <xf numFmtId="0" fontId="24" fillId="0" borderId="0" xfId="310" applyNumberFormat="1" applyFont="1" applyFill="1" applyBorder="1" applyAlignment="1" applyProtection="1">
      <alignment horizontal="left" vertical="center"/>
    </xf>
    <xf numFmtId="0" fontId="25" fillId="0" borderId="0" xfId="0" applyNumberFormat="1" applyFont="1" applyFill="1" applyBorder="1" applyAlignment="1" applyProtection="1">
      <alignment vertical="center"/>
    </xf>
    <xf numFmtId="14" fontId="9" fillId="0" borderId="0" xfId="310" applyNumberFormat="1" applyBorder="1">
      <alignment vertical="center"/>
    </xf>
    <xf numFmtId="181" fontId="13" fillId="0" borderId="0" xfId="110" applyNumberFormat="1" applyFont="1" applyFill="1" applyBorder="1" applyAlignment="1" applyProtection="1">
      <alignment horizontal="center" vertical="center"/>
    </xf>
    <xf numFmtId="179" fontId="26" fillId="8" borderId="0" xfId="310" applyNumberFormat="1" applyFont="1" applyFill="1" applyBorder="1" applyAlignment="1">
      <alignment horizontal="center" vertical="center"/>
    </xf>
    <xf numFmtId="14" fontId="15" fillId="3" borderId="5" xfId="400" applyNumberFormat="1" applyFont="1" applyFill="1" applyBorder="1" applyAlignment="1" applyProtection="1">
      <alignment horizontal="center" vertical="center" wrapText="1"/>
    </xf>
    <xf numFmtId="0" fontId="15" fillId="3" borderId="11" xfId="400" applyNumberFormat="1" applyFont="1" applyFill="1" applyBorder="1" applyAlignment="1" applyProtection="1">
      <alignment horizontal="center" vertical="center" wrapText="1"/>
    </xf>
    <xf numFmtId="0" fontId="15" fillId="3" borderId="12" xfId="400" applyNumberFormat="1" applyFont="1" applyFill="1" applyBorder="1" applyAlignment="1" applyProtection="1">
      <alignment horizontal="center" vertical="center" wrapText="1"/>
    </xf>
    <xf numFmtId="0" fontId="15" fillId="3" borderId="13" xfId="400" applyNumberFormat="1" applyFont="1" applyFill="1" applyBorder="1" applyAlignment="1" applyProtection="1">
      <alignment horizontal="center" vertical="center" wrapText="1"/>
    </xf>
    <xf numFmtId="14" fontId="15" fillId="3" borderId="10" xfId="400" applyNumberFormat="1" applyFont="1" applyFill="1" applyBorder="1" applyAlignment="1" applyProtection="1">
      <alignment horizontal="center" vertical="center" wrapText="1"/>
    </xf>
    <xf numFmtId="0" fontId="15" fillId="3" borderId="6" xfId="400" applyNumberFormat="1" applyFont="1" applyFill="1" applyBorder="1" applyAlignment="1" applyProtection="1">
      <alignment horizontal="center" vertical="center" wrapText="1"/>
    </xf>
    <xf numFmtId="14" fontId="9" fillId="0" borderId="11" xfId="310" applyNumberFormat="1" applyFill="1" applyBorder="1">
      <alignment vertical="center"/>
    </xf>
    <xf numFmtId="179" fontId="7" fillId="0" borderId="6" xfId="310" applyNumberFormat="1" applyFont="1" applyFill="1" applyBorder="1">
      <alignment vertical="center"/>
    </xf>
    <xf numFmtId="179" fontId="7" fillId="0" borderId="6" xfId="310" applyNumberFormat="1" applyFont="1" applyFill="1" applyBorder="1" applyAlignment="1">
      <alignment horizontal="center" vertical="center"/>
    </xf>
    <xf numFmtId="0" fontId="9" fillId="7" borderId="11" xfId="310" applyNumberFormat="1" applyFont="1" applyFill="1" applyBorder="1" applyAlignment="1" applyProtection="1">
      <alignment horizontal="center" vertical="center" shrinkToFit="1"/>
    </xf>
    <xf numFmtId="14" fontId="9" fillId="7" borderId="11" xfId="310" applyNumberFormat="1" applyFont="1" applyFill="1" applyBorder="1" applyAlignment="1" applyProtection="1">
      <alignment horizontal="center" vertical="center" shrinkToFit="1"/>
    </xf>
    <xf numFmtId="182" fontId="19" fillId="7" borderId="6" xfId="310" applyNumberFormat="1" applyFont="1" applyFill="1" applyBorder="1" applyAlignment="1" applyProtection="1">
      <alignment horizontal="center" vertical="center" shrinkToFit="1"/>
    </xf>
    <xf numFmtId="14" fontId="9" fillId="0" borderId="0" xfId="0" applyNumberFormat="1" applyFont="1" applyFill="1" applyBorder="1" applyAlignment="1" applyProtection="1">
      <alignment vertical="center"/>
    </xf>
    <xf numFmtId="177" fontId="9" fillId="0" borderId="0" xfId="0" applyNumberFormat="1" applyFont="1" applyFill="1" applyBorder="1" applyAlignment="1" applyProtection="1">
      <alignment vertical="center"/>
    </xf>
    <xf numFmtId="14" fontId="9" fillId="0" borderId="0" xfId="0" applyNumberFormat="1" applyFont="1" applyFill="1" applyBorder="1" applyAlignment="1" applyProtection="1">
      <alignment horizontal="left" vertical="center" wrapText="1"/>
    </xf>
    <xf numFmtId="177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vertical="center" wrapText="1"/>
    </xf>
    <xf numFmtId="14" fontId="9" fillId="0" borderId="0" xfId="0" applyNumberFormat="1" applyFont="1" applyFill="1" applyBorder="1" applyAlignment="1" applyProtection="1">
      <alignment vertical="center" wrapText="1"/>
    </xf>
    <xf numFmtId="177" fontId="9" fillId="0" borderId="0" xfId="0" applyNumberFormat="1" applyFont="1" applyFill="1" applyBorder="1" applyAlignment="1" applyProtection="1">
      <alignment vertical="center" wrapText="1"/>
    </xf>
    <xf numFmtId="14" fontId="23" fillId="0" borderId="0" xfId="0" applyNumberFormat="1" applyFont="1" applyFill="1" applyBorder="1" applyAlignment="1" applyProtection="1">
      <alignment vertical="center" wrapText="1"/>
    </xf>
    <xf numFmtId="179" fontId="0" fillId="0" borderId="0" xfId="310" applyNumberFormat="1" applyFont="1" applyFill="1" applyBorder="1" applyAlignment="1">
      <alignment horizontal="left" vertical="center"/>
    </xf>
    <xf numFmtId="178" fontId="16" fillId="3" borderId="5" xfId="400" applyNumberFormat="1" applyFont="1" applyFill="1" applyBorder="1" applyAlignment="1" applyProtection="1">
      <alignment horizontal="center" vertical="center" wrapText="1"/>
    </xf>
    <xf numFmtId="0" fontId="16" fillId="3" borderId="11" xfId="400" applyNumberFormat="1" applyFont="1" applyFill="1" applyBorder="1" applyAlignment="1" applyProtection="1">
      <alignment horizontal="center" vertical="center" wrapText="1"/>
    </xf>
    <xf numFmtId="0" fontId="16" fillId="3" borderId="12" xfId="400" applyNumberFormat="1" applyFont="1" applyFill="1" applyBorder="1" applyAlignment="1" applyProtection="1">
      <alignment horizontal="center" vertical="center" wrapText="1"/>
    </xf>
    <xf numFmtId="178" fontId="16" fillId="3" borderId="10" xfId="400" applyNumberFormat="1" applyFont="1" applyFill="1" applyBorder="1" applyAlignment="1" applyProtection="1">
      <alignment horizontal="center" vertical="center" wrapText="1"/>
    </xf>
    <xf numFmtId="0" fontId="16" fillId="3" borderId="6" xfId="400" applyNumberFormat="1" applyFont="1" applyFill="1" applyBorder="1" applyAlignment="1" applyProtection="1">
      <alignment horizontal="center" vertical="center" wrapText="1"/>
    </xf>
    <xf numFmtId="179" fontId="7" fillId="7" borderId="6" xfId="310" applyNumberFormat="1" applyFont="1" applyFill="1" applyBorder="1">
      <alignment vertical="center"/>
    </xf>
    <xf numFmtId="179" fontId="7" fillId="7" borderId="13" xfId="310" applyNumberFormat="1" applyFont="1" applyFill="1" applyBorder="1" applyAlignment="1">
      <alignment horizontal="center" vertical="center"/>
    </xf>
    <xf numFmtId="179" fontId="7" fillId="7" borderId="13" xfId="310" applyNumberFormat="1" applyFont="1" applyFill="1" applyBorder="1">
      <alignment vertical="center"/>
    </xf>
    <xf numFmtId="0" fontId="16" fillId="3" borderId="13" xfId="400" applyNumberFormat="1" applyFont="1" applyFill="1" applyBorder="1" applyAlignment="1" applyProtection="1">
      <alignment horizontal="center" vertical="center" wrapText="1"/>
    </xf>
    <xf numFmtId="182" fontId="7" fillId="7" borderId="13" xfId="310" applyNumberFormat="1" applyFont="1" applyFill="1" applyBorder="1" applyAlignment="1" applyProtection="1">
      <alignment horizontal="center" vertical="center"/>
    </xf>
    <xf numFmtId="178" fontId="22" fillId="7" borderId="6" xfId="291" applyNumberFormat="1" applyFont="1" applyFill="1" applyBorder="1" applyAlignment="1" applyProtection="1">
      <alignment horizontal="center" vertical="center"/>
    </xf>
    <xf numFmtId="178" fontId="27" fillId="7" borderId="6" xfId="400" applyNumberFormat="1" applyFont="1" applyFill="1" applyBorder="1" applyAlignment="1" applyProtection="1">
      <alignment horizontal="center" vertical="center"/>
    </xf>
    <xf numFmtId="182" fontId="7" fillId="0" borderId="0" xfId="310" applyNumberFormat="1" applyFont="1" applyFill="1" applyBorder="1" applyAlignment="1" applyProtection="1">
      <alignment horizontal="center" vertical="center"/>
    </xf>
    <xf numFmtId="178" fontId="13" fillId="0" borderId="0" xfId="110" applyNumberFormat="1" applyFont="1" applyFill="1" applyBorder="1" applyAlignment="1" applyProtection="1">
      <alignment horizontal="center" vertical="center" wrapText="1"/>
    </xf>
    <xf numFmtId="0" fontId="14" fillId="3" borderId="5" xfId="110" applyNumberFormat="1" applyFont="1" applyFill="1" applyBorder="1" applyAlignment="1" applyProtection="1">
      <alignment horizontal="center" vertical="center" wrapText="1"/>
    </xf>
    <xf numFmtId="178" fontId="11" fillId="3" borderId="5" xfId="110" applyNumberFormat="1" applyFont="1" applyFill="1" applyBorder="1" applyAlignment="1" applyProtection="1">
      <alignment horizontal="center" vertical="center" wrapText="1"/>
    </xf>
    <xf numFmtId="0" fontId="14" fillId="3" borderId="10" xfId="110" applyNumberFormat="1" applyFont="1" applyFill="1" applyBorder="1" applyAlignment="1" applyProtection="1">
      <alignment horizontal="center" vertical="center" wrapText="1"/>
    </xf>
    <xf numFmtId="178" fontId="11" fillId="3" borderId="10" xfId="110" applyNumberFormat="1" applyFont="1" applyFill="1" applyBorder="1" applyAlignment="1" applyProtection="1">
      <alignment horizontal="center" vertical="center" wrapText="1"/>
    </xf>
    <xf numFmtId="182" fontId="7" fillId="7" borderId="6" xfId="310" applyNumberFormat="1" applyFont="1" applyFill="1" applyBorder="1" applyAlignment="1" applyProtection="1">
      <alignment horizontal="center" vertical="center"/>
    </xf>
    <xf numFmtId="178" fontId="18" fillId="0" borderId="6" xfId="310" applyNumberFormat="1" applyFont="1" applyFill="1" applyBorder="1" applyAlignment="1">
      <alignment horizontal="center" vertical="center" wrapText="1"/>
    </xf>
    <xf numFmtId="182" fontId="7" fillId="0" borderId="6" xfId="310" applyNumberFormat="1" applyFont="1" applyFill="1" applyBorder="1" applyAlignment="1" applyProtection="1">
      <alignment horizontal="center" vertical="center"/>
    </xf>
    <xf numFmtId="182" fontId="7" fillId="7" borderId="6" xfId="310" applyNumberFormat="1" applyFont="1" applyFill="1" applyBorder="1" applyAlignment="1" applyProtection="1">
      <alignment horizontal="center" vertical="center" shrinkToFit="1"/>
    </xf>
    <xf numFmtId="178" fontId="9" fillId="0" borderId="0" xfId="0" applyNumberFormat="1" applyFont="1" applyFill="1" applyBorder="1" applyAlignment="1" applyProtection="1">
      <alignment vertical="center"/>
    </xf>
    <xf numFmtId="49" fontId="9" fillId="0" borderId="0" xfId="310" applyNumberFormat="1" applyFont="1" applyFill="1" applyBorder="1" applyAlignment="1" applyProtection="1">
      <alignment horizontal="center" vertical="center"/>
    </xf>
    <xf numFmtId="49" fontId="15" fillId="3" borderId="5" xfId="400" applyNumberFormat="1" applyFont="1" applyFill="1" applyBorder="1" applyAlignment="1" applyProtection="1">
      <alignment horizontal="center" vertical="center" wrapText="1"/>
    </xf>
    <xf numFmtId="49" fontId="15" fillId="3" borderId="10" xfId="400" applyNumberFormat="1" applyFont="1" applyFill="1" applyBorder="1" applyAlignment="1" applyProtection="1">
      <alignment horizontal="center" vertical="center" wrapText="1"/>
    </xf>
    <xf numFmtId="0" fontId="27" fillId="7" borderId="6" xfId="310" applyFont="1" applyFill="1" applyBorder="1" applyAlignment="1">
      <alignment horizontal="center" vertical="center"/>
    </xf>
    <xf numFmtId="0" fontId="27" fillId="7" borderId="6" xfId="310" applyFont="1" applyFill="1" applyBorder="1" applyAlignment="1">
      <alignment horizontal="center" vertical="center" shrinkToFit="1"/>
    </xf>
    <xf numFmtId="178" fontId="19" fillId="7" borderId="6" xfId="310" applyNumberFormat="1" applyFont="1" applyFill="1" applyBorder="1" applyAlignment="1" applyProtection="1">
      <alignment horizontal="center" vertical="center" shrinkToFit="1"/>
    </xf>
    <xf numFmtId="0" fontId="28" fillId="0" borderId="0" xfId="0" applyFont="1" applyFill="1" applyBorder="1" applyAlignment="1" applyProtection="1">
      <alignment horizontal="center" vertical="center"/>
      <protection locked="0"/>
    </xf>
    <xf numFmtId="0" fontId="28" fillId="0" borderId="0" xfId="0" applyFont="1" applyFill="1" applyBorder="1" applyAlignment="1" applyProtection="1">
      <alignment horizontal="left" vertical="center"/>
      <protection locked="0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30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14" fontId="7" fillId="0" borderId="0" xfId="0" applyNumberFormat="1" applyFont="1" applyFill="1" applyBorder="1" applyAlignment="1" applyProtection="1">
      <alignment horizontal="left" vertical="center"/>
      <protection locked="0"/>
    </xf>
    <xf numFmtId="177" fontId="7" fillId="0" borderId="0" xfId="0" applyNumberFormat="1" applyFont="1" applyFill="1" applyBorder="1" applyAlignment="1" applyProtection="1">
      <alignment horizontal="left" vertical="center"/>
      <protection locked="0"/>
    </xf>
    <xf numFmtId="180" fontId="7" fillId="0" borderId="0" xfId="0" applyNumberFormat="1" applyFont="1" applyFill="1" applyBorder="1" applyAlignment="1" applyProtection="1">
      <alignment horizontal="left" vertical="center"/>
      <protection locked="0"/>
    </xf>
    <xf numFmtId="0" fontId="27" fillId="0" borderId="0" xfId="0" applyFont="1" applyFill="1" applyBorder="1" applyAlignment="1" applyProtection="1">
      <alignment horizontal="left" vertical="center"/>
      <protection locked="0"/>
    </xf>
    <xf numFmtId="49" fontId="31" fillId="4" borderId="6" xfId="413" applyNumberFormat="1" applyFont="1" applyFill="1" applyBorder="1" applyAlignment="1" applyProtection="1">
      <alignment horizontal="center" vertical="center" wrapText="1"/>
    </xf>
    <xf numFmtId="49" fontId="26" fillId="4" borderId="6" xfId="413" applyNumberFormat="1" applyFont="1" applyFill="1" applyBorder="1" applyAlignment="1" applyProtection="1">
      <alignment horizontal="center" vertical="center" wrapText="1"/>
    </xf>
    <xf numFmtId="177" fontId="31" fillId="4" borderId="6" xfId="413" applyNumberFormat="1" applyFont="1" applyFill="1" applyBorder="1" applyAlignment="1" applyProtection="1">
      <alignment horizontal="center" vertical="center" wrapText="1"/>
    </xf>
    <xf numFmtId="0" fontId="29" fillId="0" borderId="6" xfId="0" applyFont="1" applyFill="1" applyBorder="1" applyAlignment="1" applyProtection="1">
      <alignment horizontal="center" vertical="center"/>
      <protection locked="0"/>
    </xf>
    <xf numFmtId="14" fontId="29" fillId="0" borderId="6" xfId="0" applyNumberFormat="1" applyFont="1" applyFill="1" applyBorder="1" applyAlignment="1" applyProtection="1">
      <alignment horizontal="center" vertical="center"/>
      <protection locked="0"/>
    </xf>
    <xf numFmtId="49" fontId="29" fillId="9" borderId="6" xfId="0" applyNumberFormat="1" applyFont="1" applyFill="1" applyBorder="1" applyAlignment="1" applyProtection="1">
      <alignment horizontal="center" vertical="center"/>
    </xf>
    <xf numFmtId="49" fontId="29" fillId="0" borderId="6" xfId="0" applyNumberFormat="1" applyFont="1" applyFill="1" applyBorder="1" applyAlignment="1" applyProtection="1">
      <alignment horizontal="center" vertical="center"/>
    </xf>
    <xf numFmtId="49" fontId="18" fillId="9" borderId="6" xfId="0" applyNumberFormat="1" applyFont="1" applyFill="1" applyBorder="1" applyAlignment="1" applyProtection="1">
      <alignment horizontal="center" vertical="center"/>
    </xf>
    <xf numFmtId="0" fontId="18" fillId="0" borderId="6" xfId="0" applyFont="1" applyFill="1" applyBorder="1" applyAlignment="1" applyProtection="1">
      <alignment horizontal="center" vertical="center"/>
      <protection locked="0"/>
    </xf>
    <xf numFmtId="49" fontId="18" fillId="0" borderId="6" xfId="0" applyNumberFormat="1" applyFont="1" applyFill="1" applyBorder="1" applyAlignment="1" applyProtection="1">
      <alignment horizontal="center" vertical="center"/>
    </xf>
    <xf numFmtId="14" fontId="18" fillId="0" borderId="6" xfId="0" applyNumberFormat="1" applyFont="1" applyFill="1" applyBorder="1" applyAlignment="1" applyProtection="1">
      <alignment horizontal="center" vertical="center"/>
      <protection locked="0"/>
    </xf>
    <xf numFmtId="0" fontId="30" fillId="0" borderId="6" xfId="0" applyFont="1" applyFill="1" applyBorder="1" applyAlignment="1" applyProtection="1">
      <alignment horizontal="center" vertical="center"/>
      <protection locked="0"/>
    </xf>
    <xf numFmtId="14" fontId="30" fillId="0" borderId="6" xfId="0" applyNumberFormat="1" applyFont="1" applyFill="1" applyBorder="1" applyAlignment="1" applyProtection="1">
      <alignment horizontal="center" vertical="center"/>
      <protection locked="0"/>
    </xf>
    <xf numFmtId="177" fontId="30" fillId="0" borderId="6" xfId="0" applyNumberFormat="1" applyFont="1" applyFill="1" applyBorder="1" applyAlignment="1" applyProtection="1">
      <alignment horizontal="center" vertical="center"/>
      <protection locked="0"/>
    </xf>
    <xf numFmtId="0" fontId="32" fillId="0" borderId="6" xfId="0" applyFont="1" applyFill="1" applyBorder="1" applyAlignment="1">
      <alignment horizontal="center" vertical="center"/>
    </xf>
    <xf numFmtId="0" fontId="33" fillId="0" borderId="0" xfId="0" applyFont="1" applyFill="1" applyAlignment="1">
      <alignment vertical="center"/>
    </xf>
    <xf numFmtId="0" fontId="7" fillId="0" borderId="6" xfId="0" applyFont="1" applyFill="1" applyBorder="1" applyAlignment="1" applyProtection="1">
      <alignment vertical="center"/>
      <protection locked="0"/>
    </xf>
    <xf numFmtId="0" fontId="18" fillId="0" borderId="6" xfId="0" applyFont="1" applyFill="1" applyBorder="1" applyAlignment="1">
      <alignment horizontal="center" vertical="center"/>
    </xf>
    <xf numFmtId="49" fontId="34" fillId="0" borderId="6" xfId="0" applyNumberFormat="1" applyFont="1" applyFill="1" applyBorder="1" applyAlignment="1">
      <alignment horizontal="center"/>
    </xf>
    <xf numFmtId="49" fontId="34" fillId="0" borderId="6" xfId="0" applyNumberFormat="1" applyFont="1" applyFill="1" applyBorder="1" applyAlignment="1">
      <alignment horizontal="center" vertical="center"/>
    </xf>
    <xf numFmtId="0" fontId="35" fillId="0" borderId="6" xfId="0" applyFont="1" applyFill="1" applyBorder="1" applyAlignment="1">
      <alignment horizontal="center" vertical="center"/>
    </xf>
    <xf numFmtId="49" fontId="36" fillId="0" borderId="6" xfId="0" applyNumberFormat="1" applyFont="1" applyFill="1" applyBorder="1" applyAlignment="1">
      <alignment horizontal="center" vertical="center"/>
    </xf>
    <xf numFmtId="0" fontId="37" fillId="0" borderId="6" xfId="0" applyFont="1" applyFill="1" applyBorder="1" applyAlignment="1">
      <alignment horizontal="center" vertical="center"/>
    </xf>
    <xf numFmtId="180" fontId="26" fillId="4" borderId="6" xfId="413" applyNumberFormat="1" applyFont="1" applyFill="1" applyBorder="1" applyAlignment="1" applyProtection="1">
      <alignment horizontal="center" vertical="center" wrapText="1"/>
    </xf>
    <xf numFmtId="49" fontId="38" fillId="4" borderId="6" xfId="413" applyNumberFormat="1" applyFont="1" applyFill="1" applyBorder="1" applyAlignment="1" applyProtection="1">
      <alignment horizontal="center" vertical="center" wrapText="1"/>
    </xf>
    <xf numFmtId="49" fontId="26" fillId="4" borderId="6" xfId="366" applyNumberFormat="1" applyFont="1" applyFill="1" applyBorder="1" applyAlignment="1" applyProtection="1">
      <alignment horizontal="center" vertical="center" wrapText="1"/>
    </xf>
    <xf numFmtId="179" fontId="29" fillId="0" borderId="6" xfId="0" applyNumberFormat="1" applyFont="1" applyFill="1" applyBorder="1" applyAlignment="1" applyProtection="1">
      <alignment horizontal="center" vertical="center"/>
      <protection locked="0"/>
    </xf>
    <xf numFmtId="179" fontId="18" fillId="0" borderId="6" xfId="0" applyNumberFormat="1" applyFont="1" applyFill="1" applyBorder="1" applyAlignment="1" applyProtection="1">
      <alignment horizontal="center" vertical="center"/>
      <protection locked="0"/>
    </xf>
    <xf numFmtId="0" fontId="18" fillId="0" borderId="6" xfId="0" applyNumberFormat="1" applyFont="1" applyFill="1" applyBorder="1" applyAlignment="1" applyProtection="1">
      <alignment horizontal="center" vertical="center"/>
      <protection locked="0"/>
    </xf>
    <xf numFmtId="49" fontId="29" fillId="0" borderId="6" xfId="0" applyNumberFormat="1" applyFont="1" applyFill="1" applyBorder="1" applyAlignment="1" applyProtection="1">
      <alignment horizontal="center" vertical="center"/>
      <protection locked="0"/>
    </xf>
    <xf numFmtId="49" fontId="18" fillId="0" borderId="6" xfId="0" applyNumberFormat="1" applyFont="1" applyFill="1" applyBorder="1" applyAlignment="1" applyProtection="1">
      <alignment horizontal="center" vertical="center"/>
      <protection locked="0"/>
    </xf>
    <xf numFmtId="49" fontId="30" fillId="0" borderId="6" xfId="0" applyNumberFormat="1" applyFont="1" applyFill="1" applyBorder="1" applyAlignment="1" applyProtection="1">
      <alignment horizontal="center" vertical="center"/>
      <protection locked="0"/>
    </xf>
    <xf numFmtId="49" fontId="31" fillId="6" borderId="6" xfId="366" applyNumberFormat="1" applyFont="1" applyFill="1" applyBorder="1" applyAlignment="1" applyProtection="1">
      <alignment horizontal="center" vertical="center" wrapText="1"/>
    </xf>
    <xf numFmtId="0" fontId="39" fillId="3" borderId="6" xfId="366" applyFont="1" applyFill="1" applyBorder="1" applyAlignment="1" applyProtection="1">
      <alignment horizontal="center" vertical="center" wrapText="1"/>
    </xf>
    <xf numFmtId="0" fontId="39" fillId="3" borderId="6" xfId="0" applyFont="1" applyFill="1" applyBorder="1" applyAlignment="1" applyProtection="1">
      <alignment horizontal="center" vertical="center" wrapText="1"/>
    </xf>
    <xf numFmtId="0" fontId="39" fillId="3" borderId="6" xfId="0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40" fillId="0" borderId="0" xfId="0" applyFont="1" applyFill="1" applyAlignment="1">
      <alignment vertical="center"/>
    </xf>
    <xf numFmtId="0" fontId="40" fillId="3" borderId="0" xfId="0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42" fillId="0" borderId="0" xfId="0" applyFont="1" applyFill="1" applyAlignment="1">
      <alignment vertical="center"/>
    </xf>
    <xf numFmtId="0" fontId="43" fillId="0" borderId="0" xfId="0" applyFont="1" applyFill="1" applyAlignment="1">
      <alignment vertical="center"/>
    </xf>
    <xf numFmtId="0" fontId="9" fillId="0" borderId="0" xfId="0" applyNumberFormat="1" applyFont="1" applyFill="1" applyAlignment="1">
      <alignment vertical="center"/>
    </xf>
    <xf numFmtId="0" fontId="44" fillId="0" borderId="0" xfId="0" applyFont="1" applyFill="1" applyAlignment="1">
      <alignment vertical="center"/>
    </xf>
    <xf numFmtId="0" fontId="21" fillId="10" borderId="6" xfId="0" applyFont="1" applyFill="1" applyBorder="1" applyAlignment="1">
      <alignment horizontal="center" vertical="center" wrapText="1"/>
    </xf>
    <xf numFmtId="0" fontId="25" fillId="10" borderId="6" xfId="0" applyFont="1" applyFill="1" applyBorder="1" applyAlignment="1">
      <alignment horizontal="center" vertical="center" wrapText="1"/>
    </xf>
    <xf numFmtId="0" fontId="43" fillId="0" borderId="6" xfId="0" applyFont="1" applyFill="1" applyBorder="1" applyAlignment="1"/>
    <xf numFmtId="0" fontId="23" fillId="10" borderId="6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/>
    </xf>
    <xf numFmtId="0" fontId="34" fillId="3" borderId="6" xfId="0" applyFont="1" applyFill="1" applyBorder="1" applyAlignment="1">
      <alignment horizontal="center"/>
    </xf>
    <xf numFmtId="49" fontId="34" fillId="3" borderId="6" xfId="0" applyNumberFormat="1" applyFont="1" applyFill="1" applyBorder="1" applyAlignment="1">
      <alignment horizontal="center" vertical="center"/>
    </xf>
    <xf numFmtId="0" fontId="18" fillId="3" borderId="6" xfId="0" applyFont="1" applyFill="1" applyBorder="1" applyAlignment="1" applyProtection="1">
      <alignment horizontal="center" vertical="center"/>
      <protection locked="0"/>
    </xf>
    <xf numFmtId="49" fontId="34" fillId="3" borderId="6" xfId="0" applyNumberFormat="1" applyFont="1" applyFill="1" applyBorder="1" applyAlignment="1">
      <alignment horizontal="center"/>
    </xf>
    <xf numFmtId="0" fontId="35" fillId="3" borderId="6" xfId="0" applyFont="1" applyFill="1" applyBorder="1" applyAlignment="1">
      <alignment horizontal="center" vertical="center"/>
    </xf>
    <xf numFmtId="49" fontId="36" fillId="3" borderId="6" xfId="0" applyNumberFormat="1" applyFont="1" applyFill="1" applyBorder="1" applyAlignment="1">
      <alignment horizontal="center" vertical="center"/>
    </xf>
    <xf numFmtId="0" fontId="45" fillId="0" borderId="14" xfId="0" applyFont="1" applyFill="1" applyBorder="1" applyAlignment="1">
      <alignment horizontal="center"/>
    </xf>
    <xf numFmtId="49" fontId="45" fillId="0" borderId="14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49" fontId="45" fillId="0" borderId="10" xfId="0" applyNumberFormat="1" applyFont="1" applyFill="1" applyBorder="1" applyAlignment="1">
      <alignment horizontal="center"/>
    </xf>
    <xf numFmtId="49" fontId="46" fillId="0" borderId="15" xfId="0" applyNumberFormat="1" applyFont="1" applyFill="1" applyBorder="1" applyAlignment="1">
      <alignment horizontal="center" vertical="center"/>
    </xf>
    <xf numFmtId="0" fontId="47" fillId="0" borderId="10" xfId="0" applyFont="1" applyFill="1" applyBorder="1" applyAlignment="1">
      <alignment horizontal="center" vertical="center"/>
    </xf>
    <xf numFmtId="49" fontId="48" fillId="0" borderId="10" xfId="0" applyNumberFormat="1" applyFont="1" applyFill="1" applyBorder="1" applyAlignment="1">
      <alignment horizontal="center" vertical="center"/>
    </xf>
    <xf numFmtId="49" fontId="46" fillId="0" borderId="10" xfId="0" applyNumberFormat="1" applyFont="1" applyFill="1" applyBorder="1" applyAlignment="1">
      <alignment horizontal="center"/>
    </xf>
    <xf numFmtId="0" fontId="21" fillId="10" borderId="16" xfId="0" applyFont="1" applyFill="1" applyBorder="1" applyAlignment="1">
      <alignment horizontal="left" vertical="center"/>
    </xf>
    <xf numFmtId="4" fontId="21" fillId="10" borderId="17" xfId="0" applyNumberFormat="1" applyFont="1" applyFill="1" applyBorder="1" applyAlignment="1">
      <alignment horizontal="right" vertical="center"/>
    </xf>
    <xf numFmtId="4" fontId="21" fillId="10" borderId="10" xfId="0" applyNumberFormat="1" applyFont="1" applyFill="1" applyBorder="1" applyAlignment="1">
      <alignment horizontal="right" vertical="center"/>
    </xf>
    <xf numFmtId="4" fontId="21" fillId="10" borderId="15" xfId="0" applyNumberFormat="1" applyFont="1" applyFill="1" applyBorder="1" applyAlignment="1">
      <alignment horizontal="right" vertical="center"/>
    </xf>
    <xf numFmtId="0" fontId="21" fillId="10" borderId="18" xfId="0" applyFont="1" applyFill="1" applyBorder="1" applyAlignment="1">
      <alignment horizontal="left" vertical="center"/>
    </xf>
    <xf numFmtId="4" fontId="21" fillId="10" borderId="19" xfId="0" applyNumberFormat="1" applyFont="1" applyFill="1" applyBorder="1" applyAlignment="1">
      <alignment horizontal="right" vertical="center"/>
    </xf>
    <xf numFmtId="4" fontId="21" fillId="10" borderId="20" xfId="0" applyNumberFormat="1" applyFont="1" applyFill="1" applyBorder="1" applyAlignment="1">
      <alignment horizontal="right" vertical="center"/>
    </xf>
    <xf numFmtId="4" fontId="21" fillId="10" borderId="21" xfId="0" applyNumberFormat="1" applyFont="1" applyFill="1" applyBorder="1" applyAlignment="1">
      <alignment horizontal="right" vertical="center"/>
    </xf>
    <xf numFmtId="0" fontId="9" fillId="0" borderId="0" xfId="0" applyFont="1" applyFill="1" applyAlignment="1"/>
    <xf numFmtId="0" fontId="47" fillId="0" borderId="0" xfId="0" applyFont="1" applyFill="1" applyAlignment="1">
      <alignment vertical="center"/>
    </xf>
    <xf numFmtId="0" fontId="24" fillId="10" borderId="6" xfId="0" applyFont="1" applyFill="1" applyBorder="1" applyAlignment="1">
      <alignment horizontal="center" vertical="center" wrapText="1"/>
    </xf>
    <xf numFmtId="0" fontId="22" fillId="10" borderId="6" xfId="0" applyFont="1" applyFill="1" applyBorder="1" applyAlignment="1">
      <alignment horizontal="center" vertical="center" wrapText="1"/>
    </xf>
    <xf numFmtId="0" fontId="45" fillId="0" borderId="15" xfId="0" applyFont="1" applyFill="1" applyBorder="1" applyAlignment="1">
      <alignment horizontal="center"/>
    </xf>
    <xf numFmtId="0" fontId="46" fillId="0" borderId="15" xfId="0" applyFont="1" applyFill="1" applyBorder="1" applyAlignment="1">
      <alignment horizontal="center"/>
    </xf>
    <xf numFmtId="4" fontId="21" fillId="10" borderId="22" xfId="0" applyNumberFormat="1" applyFont="1" applyFill="1" applyBorder="1" applyAlignment="1">
      <alignment horizontal="right" vertical="center"/>
    </xf>
    <xf numFmtId="0" fontId="45" fillId="3" borderId="15" xfId="0" applyFont="1" applyFill="1" applyBorder="1" applyAlignment="1">
      <alignment horizontal="center"/>
    </xf>
    <xf numFmtId="0" fontId="46" fillId="3" borderId="15" xfId="0" applyFont="1" applyFill="1" applyBorder="1" applyAlignment="1">
      <alignment horizontal="center"/>
    </xf>
    <xf numFmtId="0" fontId="40" fillId="0" borderId="6" xfId="0" applyFont="1" applyFill="1" applyBorder="1" applyAlignment="1">
      <alignment vertical="center"/>
    </xf>
    <xf numFmtId="0" fontId="40" fillId="3" borderId="6" xfId="0" applyFont="1" applyFill="1" applyBorder="1" applyAlignment="1">
      <alignment vertical="center"/>
    </xf>
    <xf numFmtId="0" fontId="41" fillId="0" borderId="15" xfId="0" applyFont="1" applyFill="1" applyBorder="1" applyAlignment="1">
      <alignment vertical="center"/>
    </xf>
    <xf numFmtId="0" fontId="21" fillId="10" borderId="6" xfId="0" applyNumberFormat="1" applyFont="1" applyFill="1" applyBorder="1" applyAlignment="1">
      <alignment horizontal="center" vertical="center" wrapText="1"/>
    </xf>
    <xf numFmtId="0" fontId="22" fillId="10" borderId="6" xfId="0" applyNumberFormat="1" applyFont="1" applyFill="1" applyBorder="1" applyAlignment="1">
      <alignment horizontal="center" vertical="center" wrapText="1"/>
    </xf>
    <xf numFmtId="183" fontId="49" fillId="0" borderId="6" xfId="0" applyNumberFormat="1" applyFont="1" applyFill="1" applyBorder="1" applyAlignment="1">
      <alignment horizontal="left" vertical="center"/>
    </xf>
    <xf numFmtId="0" fontId="34" fillId="0" borderId="6" xfId="0" applyNumberFormat="1" applyFont="1" applyFill="1" applyBorder="1" applyAlignment="1">
      <alignment horizontal="center"/>
    </xf>
    <xf numFmtId="183" fontId="49" fillId="3" borderId="6" xfId="0" applyNumberFormat="1" applyFont="1" applyFill="1" applyBorder="1" applyAlignment="1">
      <alignment horizontal="left" vertical="center"/>
    </xf>
    <xf numFmtId="0" fontId="34" fillId="3" borderId="6" xfId="0" applyNumberFormat="1" applyFont="1" applyFill="1" applyBorder="1" applyAlignment="1">
      <alignment horizontal="center"/>
    </xf>
    <xf numFmtId="49" fontId="45" fillId="0" borderId="15" xfId="0" applyNumberFormat="1" applyFont="1" applyFill="1" applyBorder="1" applyAlignment="1">
      <alignment horizontal="center" vertical="center"/>
    </xf>
    <xf numFmtId="183" fontId="50" fillId="0" borderId="15" xfId="0" applyNumberFormat="1" applyFont="1" applyFill="1" applyBorder="1" applyAlignment="1">
      <alignment horizontal="left" vertical="center"/>
    </xf>
    <xf numFmtId="0" fontId="45" fillId="0" borderId="15" xfId="0" applyNumberFormat="1" applyFont="1" applyFill="1" applyBorder="1" applyAlignment="1">
      <alignment horizontal="center"/>
    </xf>
    <xf numFmtId="0" fontId="21" fillId="10" borderId="22" xfId="0" applyNumberFormat="1" applyFont="1" applyFill="1" applyBorder="1" applyAlignment="1">
      <alignment horizontal="right" vertical="center"/>
    </xf>
    <xf numFmtId="0" fontId="9" fillId="0" borderId="0" xfId="0" applyNumberFormat="1" applyFont="1" applyFill="1" applyAlignment="1"/>
    <xf numFmtId="0" fontId="51" fillId="10" borderId="13" xfId="0" applyFont="1" applyFill="1" applyBorder="1" applyAlignment="1">
      <alignment horizontal="center" vertical="center" wrapText="1"/>
    </xf>
    <xf numFmtId="4" fontId="52" fillId="0" borderId="6" xfId="0" applyNumberFormat="1" applyFont="1" applyFill="1" applyBorder="1" applyAlignment="1">
      <alignment horizontal="center" vertical="center" wrapText="1"/>
    </xf>
    <xf numFmtId="0" fontId="52" fillId="0" borderId="6" xfId="0" applyNumberFormat="1" applyFont="1" applyFill="1" applyBorder="1" applyAlignment="1">
      <alignment horizontal="center" vertical="center" wrapText="1"/>
    </xf>
    <xf numFmtId="49" fontId="53" fillId="0" borderId="13" xfId="0" applyNumberFormat="1" applyFont="1" applyFill="1" applyBorder="1" applyAlignment="1">
      <alignment horizontal="center"/>
    </xf>
    <xf numFmtId="49" fontId="53" fillId="0" borderId="13" xfId="0" applyNumberFormat="1" applyFont="1" applyFill="1" applyBorder="1" applyAlignment="1">
      <alignment horizontal="center" vertical="top" wrapText="1"/>
    </xf>
    <xf numFmtId="4" fontId="52" fillId="3" borderId="6" xfId="0" applyNumberFormat="1" applyFont="1" applyFill="1" applyBorder="1" applyAlignment="1">
      <alignment horizontal="center" vertical="center" wrapText="1"/>
    </xf>
    <xf numFmtId="0" fontId="52" fillId="3" borderId="6" xfId="0" applyNumberFormat="1" applyFont="1" applyFill="1" applyBorder="1" applyAlignment="1">
      <alignment horizontal="center" vertical="center" wrapText="1"/>
    </xf>
    <xf numFmtId="49" fontId="53" fillId="3" borderId="13" xfId="0" applyNumberFormat="1" applyFont="1" applyFill="1" applyBorder="1" applyAlignment="1">
      <alignment horizontal="center"/>
    </xf>
    <xf numFmtId="49" fontId="53" fillId="3" borderId="13" xfId="0" applyNumberFormat="1" applyFont="1" applyFill="1" applyBorder="1" applyAlignment="1">
      <alignment horizontal="center" vertical="top" wrapText="1"/>
    </xf>
    <xf numFmtId="4" fontId="22" fillId="0" borderId="15" xfId="0" applyNumberFormat="1" applyFont="1" applyFill="1" applyBorder="1" applyAlignment="1">
      <alignment horizontal="center" vertical="center" wrapText="1"/>
    </xf>
    <xf numFmtId="4" fontId="22" fillId="0" borderId="14" xfId="0" applyNumberFormat="1" applyFont="1" applyFill="1" applyBorder="1" applyAlignment="1">
      <alignment horizontal="center" vertical="center" wrapText="1"/>
    </xf>
    <xf numFmtId="0" fontId="22" fillId="0" borderId="15" xfId="0" applyNumberFormat="1" applyFont="1" applyFill="1" applyBorder="1" applyAlignment="1">
      <alignment horizontal="center" vertical="center" wrapText="1"/>
    </xf>
    <xf numFmtId="4" fontId="22" fillId="0" borderId="6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/>
    </xf>
    <xf numFmtId="4" fontId="51" fillId="10" borderId="6" xfId="0" applyNumberFormat="1" applyFont="1" applyFill="1" applyBorder="1" applyAlignment="1">
      <alignment horizontal="right" vertical="center"/>
    </xf>
    <xf numFmtId="4" fontId="21" fillId="10" borderId="15" xfId="0" applyNumberFormat="1" applyFont="1" applyFill="1" applyBorder="1" applyAlignment="1">
      <alignment horizontal="center" vertical="center"/>
    </xf>
    <xf numFmtId="4" fontId="51" fillId="10" borderId="4" xfId="0" applyNumberFormat="1" applyFont="1" applyFill="1" applyBorder="1" applyAlignment="1">
      <alignment horizontal="right" vertical="center"/>
    </xf>
    <xf numFmtId="0" fontId="44" fillId="0" borderId="0" xfId="0" applyFont="1" applyFill="1" applyAlignment="1"/>
    <xf numFmtId="179" fontId="9" fillId="0" borderId="0" xfId="0" applyNumberFormat="1" applyFont="1" applyFill="1" applyAlignment="1">
      <alignment horizontal="center" vertical="center"/>
    </xf>
    <xf numFmtId="179" fontId="9" fillId="0" borderId="0" xfId="0" applyNumberFormat="1" applyFont="1" applyFill="1" applyAlignment="1">
      <alignment vertical="center"/>
    </xf>
    <xf numFmtId="0" fontId="34" fillId="0" borderId="23" xfId="0" applyFont="1" applyFill="1" applyBorder="1" applyAlignment="1">
      <alignment horizontal="center"/>
    </xf>
    <xf numFmtId="0" fontId="34" fillId="0" borderId="24" xfId="0" applyFont="1" applyFill="1" applyBorder="1" applyAlignment="1">
      <alignment horizontal="center"/>
    </xf>
    <xf numFmtId="49" fontId="34" fillId="0" borderId="24" xfId="0" applyNumberFormat="1" applyFont="1" applyFill="1" applyBorder="1" applyAlignment="1">
      <alignment horizontal="center" vertical="center"/>
    </xf>
    <xf numFmtId="0" fontId="54" fillId="0" borderId="0" xfId="0" applyFont="1" applyFill="1" applyAlignment="1">
      <alignment vertical="center"/>
    </xf>
    <xf numFmtId="0" fontId="54" fillId="3" borderId="0" xfId="0" applyFont="1" applyFill="1" applyAlignment="1">
      <alignment vertical="center"/>
    </xf>
    <xf numFmtId="0" fontId="52" fillId="9" borderId="11" xfId="357" applyFont="1" applyFill="1" applyBorder="1" applyAlignment="1">
      <alignment horizontal="left" vertical="center"/>
    </xf>
    <xf numFmtId="49" fontId="52" fillId="0" borderId="6" xfId="274" applyNumberFormat="1" applyFont="1" applyBorder="1" applyAlignment="1" applyProtection="1">
      <protection locked="0"/>
    </xf>
    <xf numFmtId="0" fontId="9" fillId="0" borderId="6" xfId="310" applyNumberFormat="1" applyFont="1" applyFill="1" applyBorder="1" applyAlignment="1">
      <alignment horizontal="center" vertical="center"/>
    </xf>
    <xf numFmtId="0" fontId="9" fillId="0" borderId="11" xfId="310" applyFont="1" applyFill="1" applyBorder="1" applyAlignment="1">
      <alignment vertical="center"/>
    </xf>
    <xf numFmtId="0" fontId="52" fillId="9" borderId="6" xfId="274" applyFont="1" applyFill="1" applyBorder="1" applyAlignment="1">
      <alignment horizontal="left" vertical="center"/>
    </xf>
    <xf numFmtId="14" fontId="9" fillId="0" borderId="11" xfId="310" applyNumberFormat="1" applyFont="1" applyFill="1" applyBorder="1" applyAlignment="1">
      <alignment vertical="center"/>
    </xf>
    <xf numFmtId="179" fontId="7" fillId="0" borderId="6" xfId="310" applyNumberFormat="1" applyFont="1" applyFill="1" applyBorder="1" applyAlignment="1">
      <alignment vertical="center"/>
    </xf>
    <xf numFmtId="182" fontId="9" fillId="0" borderId="0" xfId="310" applyNumberFormat="1">
      <alignment vertical="center"/>
    </xf>
    <xf numFmtId="0" fontId="55" fillId="0" borderId="0" xfId="0" applyFont="1" applyFill="1" applyAlignment="1">
      <alignment vertical="center"/>
    </xf>
    <xf numFmtId="0" fontId="56" fillId="0" borderId="6" xfId="0" applyFont="1" applyFill="1" applyBorder="1" applyAlignment="1">
      <alignment horizontal="center"/>
    </xf>
    <xf numFmtId="49" fontId="56" fillId="0" borderId="6" xfId="0" applyNumberFormat="1" applyFont="1" applyFill="1" applyBorder="1" applyAlignment="1">
      <alignment horizontal="center" vertical="center"/>
    </xf>
    <xf numFmtId="49" fontId="56" fillId="0" borderId="6" xfId="0" applyNumberFormat="1" applyFont="1" applyFill="1" applyBorder="1" applyAlignment="1">
      <alignment horizontal="center"/>
    </xf>
    <xf numFmtId="0" fontId="57" fillId="0" borderId="6" xfId="0" applyFont="1" applyFill="1" applyBorder="1" applyAlignment="1">
      <alignment horizontal="center" vertical="center"/>
    </xf>
    <xf numFmtId="49" fontId="58" fillId="0" borderId="6" xfId="0" applyNumberFormat="1" applyFont="1" applyFill="1" applyBorder="1" applyAlignment="1">
      <alignment horizontal="center" vertical="center"/>
    </xf>
    <xf numFmtId="0" fontId="56" fillId="3" borderId="6" xfId="0" applyFont="1" applyFill="1" applyBorder="1" applyAlignment="1">
      <alignment horizontal="center"/>
    </xf>
    <xf numFmtId="0" fontId="55" fillId="0" borderId="6" xfId="0" applyFont="1" applyFill="1" applyBorder="1" applyAlignment="1">
      <alignment vertical="center"/>
    </xf>
    <xf numFmtId="183" fontId="59" fillId="0" borderId="6" xfId="0" applyNumberFormat="1" applyFont="1" applyFill="1" applyBorder="1" applyAlignment="1">
      <alignment horizontal="left" vertical="center"/>
    </xf>
    <xf numFmtId="0" fontId="56" fillId="0" borderId="6" xfId="0" applyNumberFormat="1" applyFont="1" applyFill="1" applyBorder="1" applyAlignment="1">
      <alignment horizontal="center"/>
    </xf>
    <xf numFmtId="4" fontId="60" fillId="0" borderId="6" xfId="0" applyNumberFormat="1" applyFont="1" applyFill="1" applyBorder="1" applyAlignment="1">
      <alignment horizontal="center" vertical="center" wrapText="1"/>
    </xf>
    <xf numFmtId="0" fontId="60" fillId="0" borderId="6" xfId="0" applyNumberFormat="1" applyFont="1" applyFill="1" applyBorder="1" applyAlignment="1">
      <alignment horizontal="center" vertical="center" wrapText="1"/>
    </xf>
    <xf numFmtId="49" fontId="61" fillId="0" borderId="13" xfId="0" applyNumberFormat="1" applyFont="1" applyFill="1" applyBorder="1" applyAlignment="1">
      <alignment horizontal="center"/>
    </xf>
    <xf numFmtId="0" fontId="62" fillId="0" borderId="0" xfId="0" applyFont="1" applyFill="1" applyAlignment="1">
      <alignment vertical="center"/>
    </xf>
    <xf numFmtId="0" fontId="9" fillId="11" borderId="0" xfId="0" applyFont="1" applyFill="1" applyAlignment="1">
      <alignment vertical="center"/>
    </xf>
    <xf numFmtId="0" fontId="63" fillId="11" borderId="0" xfId="490" applyFont="1" applyFill="1" applyBorder="1" applyAlignment="1">
      <alignment horizontal="center" vertical="center"/>
    </xf>
    <xf numFmtId="0" fontId="64" fillId="11" borderId="0" xfId="490" applyNumberFormat="1" applyFont="1" applyFill="1" applyBorder="1" applyAlignment="1" applyProtection="1">
      <alignment horizontal="center" vertical="center"/>
      <protection locked="0"/>
    </xf>
    <xf numFmtId="0" fontId="64" fillId="11" borderId="0" xfId="490" applyNumberFormat="1" applyFont="1" applyFill="1" applyBorder="1" applyAlignment="1" applyProtection="1">
      <alignment horizontal="left" vertical="center"/>
      <protection locked="0"/>
    </xf>
    <xf numFmtId="0" fontId="65" fillId="11" borderId="0" xfId="490" applyNumberFormat="1" applyFont="1" applyFill="1" applyBorder="1" applyAlignment="1" applyProtection="1">
      <alignment horizontal="center" vertical="center"/>
      <protection locked="0"/>
    </xf>
    <xf numFmtId="0" fontId="66" fillId="11" borderId="0" xfId="490" applyNumberFormat="1" applyFont="1" applyFill="1" applyBorder="1" applyAlignment="1" applyProtection="1">
      <alignment horizontal="left" vertical="center"/>
      <protection locked="0"/>
    </xf>
    <xf numFmtId="0" fontId="52" fillId="11" borderId="0" xfId="0" applyFont="1" applyFill="1" applyBorder="1" applyAlignment="1" applyProtection="1">
      <alignment horizontal="right" vertical="center"/>
      <protection locked="0"/>
    </xf>
    <xf numFmtId="49" fontId="67" fillId="11" borderId="0" xfId="489" applyNumberFormat="1" applyFont="1" applyFill="1" applyBorder="1" applyAlignment="1" applyProtection="1">
      <alignment horizontal="left" vertical="center"/>
      <protection locked="0"/>
    </xf>
    <xf numFmtId="0" fontId="54" fillId="11" borderId="0" xfId="0" applyFont="1" applyFill="1" applyBorder="1" applyAlignment="1" applyProtection="1">
      <alignment horizontal="left" vertical="center"/>
      <protection locked="0"/>
    </xf>
    <xf numFmtId="0" fontId="68" fillId="11" borderId="0" xfId="490" applyFont="1" applyFill="1" applyBorder="1" applyAlignment="1">
      <alignment horizontal="right" vertical="center"/>
    </xf>
    <xf numFmtId="14" fontId="69" fillId="11" borderId="0" xfId="0" applyNumberFormat="1" applyFont="1" applyFill="1" applyBorder="1" applyAlignment="1" applyProtection="1">
      <alignment horizontal="left" vertical="center"/>
      <protection locked="0"/>
    </xf>
    <xf numFmtId="0" fontId="69" fillId="11" borderId="0" xfId="0" applyFont="1" applyFill="1" applyBorder="1" applyAlignment="1" applyProtection="1">
      <alignment horizontal="right" vertical="center"/>
      <protection locked="0"/>
    </xf>
    <xf numFmtId="0" fontId="70" fillId="11" borderId="0" xfId="0" applyFont="1" applyFill="1" applyBorder="1" applyAlignment="1">
      <alignment horizontal="left" vertical="center"/>
    </xf>
    <xf numFmtId="0" fontId="70" fillId="11" borderId="0" xfId="0" applyFont="1" applyFill="1" applyAlignment="1">
      <alignment horizontal="left" vertical="center"/>
    </xf>
    <xf numFmtId="0" fontId="66" fillId="11" borderId="0" xfId="490" applyNumberFormat="1" applyFont="1" applyFill="1" applyBorder="1" applyAlignment="1" applyProtection="1">
      <alignment horizontal="center" vertical="center"/>
      <protection locked="0"/>
    </xf>
    <xf numFmtId="0" fontId="70" fillId="11" borderId="0" xfId="0" applyFont="1" applyFill="1" applyBorder="1" applyAlignment="1" applyProtection="1">
      <alignment horizontal="left" vertical="center"/>
      <protection locked="0"/>
    </xf>
    <xf numFmtId="0" fontId="71" fillId="11" borderId="0" xfId="490" applyNumberFormat="1" applyFont="1" applyFill="1" applyBorder="1" applyAlignment="1" applyProtection="1">
      <alignment horizontal="center" vertical="center"/>
      <protection locked="0"/>
    </xf>
    <xf numFmtId="184" fontId="69" fillId="11" borderId="0" xfId="489" applyNumberFormat="1" applyFont="1" applyFill="1" applyBorder="1" applyAlignment="1" applyProtection="1">
      <alignment horizontal="left" vertical="center"/>
      <protection locked="0"/>
    </xf>
    <xf numFmtId="0" fontId="72" fillId="11" borderId="25" xfId="0" applyFont="1" applyFill="1" applyBorder="1" applyAlignment="1" applyProtection="1">
      <alignment horizontal="center" vertical="center"/>
      <protection locked="0"/>
    </xf>
    <xf numFmtId="0" fontId="72" fillId="11" borderId="26" xfId="0" applyFont="1" applyFill="1" applyBorder="1" applyAlignment="1" applyProtection="1">
      <alignment horizontal="center" vertical="center"/>
      <protection locked="0"/>
    </xf>
    <xf numFmtId="0" fontId="16" fillId="11" borderId="27" xfId="488" applyNumberFormat="1" applyFont="1" applyFill="1" applyBorder="1" applyAlignment="1" applyProtection="1">
      <alignment horizontal="left" vertical="center"/>
      <protection locked="0"/>
    </xf>
    <xf numFmtId="0" fontId="16" fillId="11" borderId="10" xfId="488" applyNumberFormat="1" applyFont="1" applyFill="1" applyBorder="1" applyAlignment="1" applyProtection="1">
      <alignment horizontal="left" vertical="center"/>
      <protection locked="0"/>
    </xf>
    <xf numFmtId="43" fontId="73" fillId="11" borderId="11" xfId="0" applyNumberFormat="1" applyFont="1" applyFill="1" applyBorder="1" applyAlignment="1" applyProtection="1">
      <alignment horizontal="left" vertical="center" shrinkToFit="1"/>
    </xf>
    <xf numFmtId="43" fontId="73" fillId="11" borderId="12" xfId="0" applyNumberFormat="1" applyFont="1" applyFill="1" applyBorder="1" applyAlignment="1" applyProtection="1">
      <alignment horizontal="left" vertical="center" shrinkToFit="1"/>
    </xf>
    <xf numFmtId="43" fontId="73" fillId="11" borderId="28" xfId="0" applyNumberFormat="1" applyFont="1" applyFill="1" applyBorder="1" applyAlignment="1" applyProtection="1">
      <alignment horizontal="left" vertical="center" shrinkToFit="1"/>
    </xf>
    <xf numFmtId="0" fontId="16" fillId="11" borderId="29" xfId="488" applyNumberFormat="1" applyFont="1" applyFill="1" applyBorder="1" applyAlignment="1" applyProtection="1">
      <alignment horizontal="left" vertical="center"/>
      <protection locked="0"/>
    </xf>
    <xf numFmtId="0" fontId="16" fillId="11" borderId="30" xfId="488" applyNumberFormat="1" applyFont="1" applyFill="1" applyBorder="1" applyAlignment="1" applyProtection="1">
      <alignment horizontal="left" vertical="center"/>
      <protection locked="0"/>
    </xf>
    <xf numFmtId="176" fontId="73" fillId="11" borderId="31" xfId="0" applyNumberFormat="1" applyFont="1" applyFill="1" applyBorder="1" applyAlignment="1" applyProtection="1">
      <alignment horizontal="right" vertical="center" shrinkToFit="1"/>
    </xf>
    <xf numFmtId="176" fontId="73" fillId="11" borderId="32" xfId="0" applyNumberFormat="1" applyFont="1" applyFill="1" applyBorder="1" applyAlignment="1" applyProtection="1">
      <alignment horizontal="right" vertical="center" shrinkToFit="1"/>
    </xf>
    <xf numFmtId="176" fontId="73" fillId="11" borderId="33" xfId="0" applyNumberFormat="1" applyFont="1" applyFill="1" applyBorder="1" applyAlignment="1" applyProtection="1">
      <alignment horizontal="right" vertical="center" shrinkToFit="1"/>
    </xf>
    <xf numFmtId="0" fontId="27" fillId="11" borderId="27" xfId="489" applyNumberFormat="1" applyFont="1" applyFill="1" applyBorder="1" applyAlignment="1" applyProtection="1">
      <alignment horizontal="left" vertical="center"/>
      <protection locked="0"/>
    </xf>
    <xf numFmtId="0" fontId="27" fillId="11" borderId="10" xfId="489" applyNumberFormat="1" applyFont="1" applyFill="1" applyBorder="1" applyAlignment="1" applyProtection="1">
      <alignment horizontal="left" vertical="center"/>
      <protection locked="0"/>
    </xf>
    <xf numFmtId="43" fontId="74" fillId="11" borderId="10" xfId="0" applyNumberFormat="1" applyFont="1" applyFill="1" applyBorder="1" applyAlignment="1" applyProtection="1">
      <alignment horizontal="left" vertical="center" shrinkToFit="1"/>
    </xf>
    <xf numFmtId="0" fontId="27" fillId="11" borderId="34" xfId="489" applyNumberFormat="1" applyFont="1" applyFill="1" applyBorder="1" applyAlignment="1" applyProtection="1">
      <alignment horizontal="left" vertical="center"/>
      <protection locked="0"/>
    </xf>
    <xf numFmtId="0" fontId="27" fillId="11" borderId="35" xfId="489" applyNumberFormat="1" applyFont="1" applyFill="1" applyBorder="1" applyAlignment="1" applyProtection="1">
      <alignment horizontal="left" vertical="center"/>
      <protection locked="0"/>
    </xf>
    <xf numFmtId="0" fontId="27" fillId="11" borderId="36" xfId="489" applyNumberFormat="1" applyFont="1" applyFill="1" applyBorder="1" applyAlignment="1" applyProtection="1">
      <alignment horizontal="left" vertical="center"/>
      <protection locked="0"/>
    </xf>
    <xf numFmtId="43" fontId="74" fillId="11" borderId="37" xfId="0" applyNumberFormat="1" applyFont="1" applyFill="1" applyBorder="1" applyAlignment="1" applyProtection="1">
      <alignment horizontal="left" vertical="center" shrinkToFit="1"/>
      <protection locked="0"/>
    </xf>
    <xf numFmtId="0" fontId="7" fillId="11" borderId="38" xfId="163" applyFont="1" applyFill="1" applyBorder="1" applyAlignment="1">
      <alignment vertical="center"/>
    </xf>
    <xf numFmtId="0" fontId="7" fillId="11" borderId="6" xfId="163" applyFont="1" applyFill="1" applyBorder="1" applyAlignment="1">
      <alignment vertical="center"/>
    </xf>
    <xf numFmtId="43" fontId="74" fillId="11" borderId="6" xfId="0" applyNumberFormat="1" applyFont="1" applyFill="1" applyBorder="1" applyAlignment="1" applyProtection="1">
      <alignment horizontal="left" vertical="center" shrinkToFit="1"/>
      <protection locked="0"/>
    </xf>
    <xf numFmtId="0" fontId="7" fillId="11" borderId="11" xfId="163" applyFont="1" applyFill="1" applyBorder="1" applyAlignment="1">
      <alignment horizontal="left" vertical="center"/>
    </xf>
    <xf numFmtId="0" fontId="7" fillId="11" borderId="12" xfId="163" applyFont="1" applyFill="1" applyBorder="1" applyAlignment="1">
      <alignment horizontal="left" vertical="center"/>
    </xf>
    <xf numFmtId="0" fontId="7" fillId="11" borderId="13" xfId="163" applyFont="1" applyFill="1" applyBorder="1" applyAlignment="1">
      <alignment horizontal="left" vertical="center"/>
    </xf>
    <xf numFmtId="43" fontId="74" fillId="11" borderId="39" xfId="0" applyNumberFormat="1" applyFont="1" applyFill="1" applyBorder="1" applyAlignment="1" applyProtection="1">
      <alignment horizontal="left" vertical="center" shrinkToFit="1"/>
      <protection locked="0"/>
    </xf>
    <xf numFmtId="0" fontId="7" fillId="11" borderId="40" xfId="163" applyFont="1" applyFill="1" applyBorder="1" applyAlignment="1">
      <alignment vertical="center"/>
    </xf>
    <xf numFmtId="0" fontId="7" fillId="11" borderId="41" xfId="163" applyFont="1" applyFill="1" applyBorder="1" applyAlignment="1">
      <alignment vertical="center"/>
    </xf>
    <xf numFmtId="43" fontId="74" fillId="11" borderId="41" xfId="489" applyNumberFormat="1" applyFont="1" applyFill="1" applyBorder="1" applyAlignment="1" applyProtection="1">
      <alignment horizontal="left" vertical="center" shrinkToFit="1"/>
      <protection locked="0"/>
    </xf>
    <xf numFmtId="185" fontId="27" fillId="11" borderId="42" xfId="489" applyNumberFormat="1" applyFont="1" applyFill="1" applyBorder="1" applyAlignment="1" applyProtection="1">
      <alignment horizontal="left" vertical="center"/>
      <protection locked="0"/>
    </xf>
    <xf numFmtId="185" fontId="27" fillId="11" borderId="43" xfId="489" applyNumberFormat="1" applyFont="1" applyFill="1" applyBorder="1" applyAlignment="1" applyProtection="1">
      <alignment horizontal="left" vertical="center"/>
      <protection locked="0"/>
    </xf>
    <xf numFmtId="185" fontId="27" fillId="11" borderId="44" xfId="489" applyNumberFormat="1" applyFont="1" applyFill="1" applyBorder="1" applyAlignment="1" applyProtection="1">
      <alignment horizontal="left" vertical="center"/>
      <protection locked="0"/>
    </xf>
    <xf numFmtId="43" fontId="74" fillId="11" borderId="45" xfId="489" applyNumberFormat="1" applyFont="1" applyFill="1" applyBorder="1" applyAlignment="1" applyProtection="1">
      <alignment horizontal="left" vertical="center" shrinkToFit="1"/>
      <protection locked="0"/>
    </xf>
    <xf numFmtId="186" fontId="75" fillId="11" borderId="0" xfId="489" applyNumberFormat="1" applyFont="1" applyFill="1" applyBorder="1" applyAlignment="1" applyProtection="1">
      <alignment horizontal="left" vertical="center"/>
      <protection locked="0"/>
    </xf>
    <xf numFmtId="0" fontId="76" fillId="0" borderId="25" xfId="487" applyFont="1" applyFill="1" applyBorder="1" applyAlignment="1">
      <alignment horizontal="center" vertical="center" wrapText="1"/>
    </xf>
    <xf numFmtId="0" fontId="76" fillId="0" borderId="46" xfId="487" applyFont="1" applyFill="1" applyBorder="1" applyAlignment="1">
      <alignment horizontal="center" vertical="center" wrapText="1"/>
    </xf>
    <xf numFmtId="177" fontId="76" fillId="0" borderId="46" xfId="487" applyNumberFormat="1" applyFont="1" applyFill="1" applyBorder="1" applyAlignment="1">
      <alignment horizontal="center" vertical="center" wrapText="1"/>
    </xf>
    <xf numFmtId="187" fontId="76" fillId="0" borderId="46" xfId="487" applyNumberFormat="1" applyFont="1" applyFill="1" applyBorder="1" applyAlignment="1">
      <alignment horizontal="center" vertical="center" wrapText="1"/>
    </xf>
    <xf numFmtId="0" fontId="76" fillId="0" borderId="47" xfId="487" applyFont="1" applyFill="1" applyBorder="1" applyAlignment="1">
      <alignment horizontal="center" vertical="center" wrapText="1"/>
    </xf>
    <xf numFmtId="0" fontId="53" fillId="0" borderId="38" xfId="487" applyFont="1" applyFill="1" applyBorder="1" applyAlignment="1">
      <alignment horizontal="center" vertical="center"/>
    </xf>
    <xf numFmtId="0" fontId="53" fillId="0" borderId="6" xfId="487" applyFont="1" applyFill="1" applyBorder="1" applyAlignment="1">
      <alignment horizontal="center" vertical="center"/>
    </xf>
    <xf numFmtId="43" fontId="53" fillId="0" borderId="6" xfId="487" applyNumberFormat="1" applyFont="1" applyFill="1" applyBorder="1" applyAlignment="1">
      <alignment horizontal="left" vertical="center"/>
    </xf>
    <xf numFmtId="177" fontId="53" fillId="0" borderId="6" xfId="487" applyNumberFormat="1" applyFont="1" applyFill="1" applyBorder="1" applyAlignment="1">
      <alignment horizontal="center" vertical="center"/>
    </xf>
    <xf numFmtId="187" fontId="53" fillId="0" borderId="6" xfId="487" applyNumberFormat="1" applyFont="1" applyFill="1" applyBorder="1" applyAlignment="1">
      <alignment horizontal="right" vertical="center"/>
    </xf>
    <xf numFmtId="0" fontId="53" fillId="0" borderId="39" xfId="487" applyFont="1" applyFill="1" applyBorder="1" applyAlignment="1">
      <alignment horizontal="left" vertical="center"/>
    </xf>
    <xf numFmtId="43" fontId="53" fillId="0" borderId="6" xfId="487" applyNumberFormat="1" applyFont="1" applyFill="1" applyBorder="1" applyAlignment="1">
      <alignment vertical="center"/>
    </xf>
    <xf numFmtId="43" fontId="53" fillId="0" borderId="6" xfId="487" applyNumberFormat="1" applyFont="1" applyFill="1" applyBorder="1" applyAlignment="1">
      <alignment horizontal="center" vertical="center"/>
    </xf>
    <xf numFmtId="0" fontId="53" fillId="0" borderId="39" xfId="487" applyFont="1" applyFill="1" applyBorder="1" applyAlignment="1">
      <alignment vertical="center" wrapText="1"/>
    </xf>
    <xf numFmtId="43" fontId="77" fillId="0" borderId="6" xfId="487" applyNumberFormat="1" applyFont="1" applyFill="1" applyBorder="1" applyAlignment="1">
      <alignment horizontal="center" vertical="center"/>
    </xf>
    <xf numFmtId="187" fontId="77" fillId="0" borderId="6" xfId="487" applyNumberFormat="1" applyFont="1" applyFill="1" applyBorder="1" applyAlignment="1">
      <alignment horizontal="right" vertical="center"/>
    </xf>
    <xf numFmtId="0" fontId="53" fillId="0" borderId="39" xfId="487" applyFont="1" applyFill="1" applyBorder="1" applyAlignment="1">
      <alignment vertical="center"/>
    </xf>
    <xf numFmtId="0" fontId="53" fillId="0" borderId="6" xfId="487" applyFont="1" applyFill="1" applyBorder="1" applyAlignment="1">
      <alignment horizontal="center" vertical="center" wrapText="1"/>
    </xf>
    <xf numFmtId="10" fontId="77" fillId="0" borderId="6" xfId="487" applyNumberFormat="1" applyFont="1" applyFill="1" applyBorder="1" applyAlignment="1">
      <alignment horizontal="center" vertical="center"/>
    </xf>
    <xf numFmtId="0" fontId="39" fillId="12" borderId="38" xfId="487" applyFont="1" applyFill="1" applyBorder="1" applyAlignment="1">
      <alignment horizontal="center" vertical="center"/>
    </xf>
    <xf numFmtId="0" fontId="39" fillId="12" borderId="6" xfId="487" applyFont="1" applyFill="1" applyBorder="1" applyAlignment="1">
      <alignment horizontal="center" vertical="center"/>
    </xf>
    <xf numFmtId="187" fontId="39" fillId="12" borderId="6" xfId="487" applyNumberFormat="1" applyFont="1" applyFill="1" applyBorder="1" applyAlignment="1">
      <alignment vertical="center"/>
    </xf>
    <xf numFmtId="0" fontId="53" fillId="12" borderId="39" xfId="487" applyFont="1" applyFill="1" applyBorder="1" applyAlignment="1">
      <alignment horizontal="left" vertical="center"/>
    </xf>
    <xf numFmtId="0" fontId="39" fillId="12" borderId="40" xfId="487" applyFont="1" applyFill="1" applyBorder="1" applyAlignment="1">
      <alignment horizontal="center" vertical="center"/>
    </xf>
    <xf numFmtId="0" fontId="39" fillId="12" borderId="41" xfId="487" applyFont="1" applyFill="1" applyBorder="1" applyAlignment="1">
      <alignment horizontal="center" vertical="center"/>
    </xf>
    <xf numFmtId="187" fontId="39" fillId="12" borderId="41" xfId="487" applyNumberFormat="1" applyFont="1" applyFill="1" applyBorder="1" applyAlignment="1">
      <alignment vertical="center"/>
    </xf>
    <xf numFmtId="0" fontId="53" fillId="12" borderId="45" xfId="487" applyFont="1" applyFill="1" applyBorder="1" applyAlignment="1">
      <alignment horizontal="left" vertical="center"/>
    </xf>
    <xf numFmtId="184" fontId="69" fillId="11" borderId="0" xfId="489" applyNumberFormat="1" applyFont="1" applyFill="1" applyBorder="1" applyAlignment="1" applyProtection="1">
      <alignment horizontal="right" vertical="center"/>
      <protection locked="0"/>
    </xf>
    <xf numFmtId="0" fontId="22" fillId="11" borderId="0" xfId="490" applyFont="1" applyFill="1" applyBorder="1" applyAlignment="1">
      <alignment horizontal="right" vertical="center"/>
    </xf>
    <xf numFmtId="14" fontId="67" fillId="11" borderId="0" xfId="0" applyNumberFormat="1" applyFont="1" applyFill="1" applyBorder="1" applyAlignment="1" applyProtection="1">
      <alignment horizontal="left" vertical="center"/>
      <protection locked="0"/>
    </xf>
    <xf numFmtId="0" fontId="78" fillId="11" borderId="0" xfId="490" applyNumberFormat="1" applyFont="1" applyFill="1" applyBorder="1" applyAlignment="1" applyProtection="1">
      <alignment horizontal="right" vertical="center"/>
      <protection locked="0"/>
    </xf>
    <xf numFmtId="0" fontId="79" fillId="11" borderId="0" xfId="490" applyNumberFormat="1" applyFont="1" applyFill="1" applyBorder="1" applyAlignment="1" applyProtection="1">
      <alignment horizontal="left" vertical="center"/>
      <protection locked="0"/>
    </xf>
    <xf numFmtId="0" fontId="80" fillId="11" borderId="0" xfId="490" applyNumberFormat="1" applyFont="1" applyFill="1" applyBorder="1" applyAlignment="1" applyProtection="1">
      <alignment horizontal="right" vertical="center"/>
      <protection locked="0"/>
    </xf>
    <xf numFmtId="0" fontId="81" fillId="11" borderId="0" xfId="490" applyNumberFormat="1" applyFont="1" applyFill="1" applyBorder="1" applyAlignment="1" applyProtection="1">
      <alignment horizontal="left" vertical="center"/>
      <protection locked="0"/>
    </xf>
    <xf numFmtId="0" fontId="82" fillId="11" borderId="0" xfId="490" applyNumberFormat="1" applyFont="1" applyFill="1" applyBorder="1" applyAlignment="1" applyProtection="1">
      <alignment horizontal="left" vertical="center"/>
      <protection locked="0"/>
    </xf>
    <xf numFmtId="0" fontId="83" fillId="11" borderId="0" xfId="490" applyNumberFormat="1" applyFont="1" applyFill="1" applyBorder="1" applyAlignment="1" applyProtection="1">
      <alignment horizontal="left" vertical="center"/>
      <protection locked="0"/>
    </xf>
    <xf numFmtId="0" fontId="84" fillId="11" borderId="0" xfId="490" applyNumberFormat="1" applyFont="1" applyFill="1" applyBorder="1" applyAlignment="1" applyProtection="1">
      <alignment horizontal="left" vertical="center"/>
      <protection locked="0"/>
    </xf>
    <xf numFmtId="0" fontId="70" fillId="11" borderId="0" xfId="144" applyFont="1" applyFill="1" applyBorder="1" applyAlignment="1">
      <alignment horizontal="left" vertical="center"/>
    </xf>
    <xf numFmtId="0" fontId="70" fillId="11" borderId="0" xfId="144" applyFont="1" applyFill="1" applyAlignment="1">
      <alignment horizontal="left" vertical="center"/>
    </xf>
    <xf numFmtId="0" fontId="83" fillId="11" borderId="0" xfId="490" applyNumberFormat="1" applyFont="1" applyFill="1" applyBorder="1" applyAlignment="1" applyProtection="1">
      <alignment horizontal="right" vertical="center"/>
      <protection locked="0"/>
    </xf>
    <xf numFmtId="0" fontId="70" fillId="11" borderId="0" xfId="144" applyFont="1" applyFill="1" applyBorder="1" applyAlignment="1">
      <alignment horizontal="left" vertical="center" wrapText="1"/>
    </xf>
    <xf numFmtId="0" fontId="70" fillId="11" borderId="0" xfId="144" applyFont="1" applyFill="1" applyAlignment="1">
      <alignment horizontal="left" vertical="center" wrapText="1"/>
    </xf>
    <xf numFmtId="49" fontId="85" fillId="11" borderId="0" xfId="490" applyNumberFormat="1" applyFont="1" applyFill="1" applyBorder="1" applyAlignment="1" applyProtection="1">
      <alignment horizontal="left" vertical="center"/>
      <protection locked="0"/>
    </xf>
    <xf numFmtId="0" fontId="86" fillId="11" borderId="0" xfId="0" applyFont="1" applyFill="1" applyBorder="1" applyAlignment="1">
      <alignment horizontal="left" vertical="center"/>
    </xf>
    <xf numFmtId="0" fontId="87" fillId="11" borderId="0" xfId="0" applyFont="1" applyFill="1" applyAlignment="1">
      <alignment vertical="center"/>
    </xf>
    <xf numFmtId="49" fontId="75" fillId="11" borderId="0" xfId="489" applyNumberFormat="1" applyFont="1" applyFill="1" applyBorder="1" applyAlignment="1" applyProtection="1">
      <alignment horizontal="left" vertical="center"/>
      <protection locked="0"/>
    </xf>
    <xf numFmtId="49" fontId="68" fillId="11" borderId="0" xfId="490" applyNumberFormat="1" applyFont="1" applyFill="1" applyBorder="1" applyAlignment="1" applyProtection="1">
      <alignment horizontal="left" vertical="center"/>
      <protection locked="0"/>
    </xf>
    <xf numFmtId="49" fontId="22" fillId="11" borderId="0" xfId="490" applyNumberFormat="1" applyFont="1" applyFill="1" applyBorder="1" applyAlignment="1" applyProtection="1">
      <alignment horizontal="left" vertical="center"/>
      <protection locked="0"/>
    </xf>
    <xf numFmtId="49" fontId="69" fillId="11" borderId="0" xfId="489" applyNumberFormat="1" applyFont="1" applyFill="1" applyBorder="1" applyAlignment="1" applyProtection="1">
      <alignment horizontal="left" vertical="center"/>
      <protection locked="0"/>
    </xf>
    <xf numFmtId="49" fontId="52" fillId="11" borderId="0" xfId="489" applyNumberFormat="1" applyFont="1" applyFill="1" applyBorder="1" applyAlignment="1" applyProtection="1">
      <alignment horizontal="left" vertical="center"/>
      <protection locked="0"/>
    </xf>
    <xf numFmtId="0" fontId="7" fillId="11" borderId="0" xfId="0" applyFont="1" applyFill="1" applyAlignment="1">
      <alignment horizontal="left" vertical="center" wrapText="1"/>
    </xf>
    <xf numFmtId="49" fontId="52" fillId="0" borderId="6" xfId="274" applyNumberFormat="1" applyFont="1" applyBorder="1" applyAlignment="1" applyProtection="1" quotePrefix="1">
      <protection locked="0"/>
    </xf>
    <xf numFmtId="49" fontId="36" fillId="0" borderId="6" xfId="0" applyNumberFormat="1" applyFont="1" applyFill="1" applyBorder="1" applyAlignment="1" quotePrefix="1">
      <alignment horizontal="center" vertical="center"/>
    </xf>
    <xf numFmtId="49" fontId="58" fillId="0" borderId="6" xfId="0" applyNumberFormat="1" applyFont="1" applyFill="1" applyBorder="1" applyAlignment="1" quotePrefix="1">
      <alignment horizontal="center" vertical="center"/>
    </xf>
    <xf numFmtId="0" fontId="17" fillId="0" borderId="6" xfId="310" applyFont="1" applyFill="1" applyBorder="1" applyAlignment="1" quotePrefix="1">
      <alignment horizontal="center" vertical="center" wrapText="1"/>
    </xf>
    <xf numFmtId="0" fontId="33" fillId="0" borderId="0" xfId="0" applyFont="1" applyFill="1" applyAlignment="1" quotePrefix="1">
      <alignment vertical="center"/>
    </xf>
  </cellXfs>
  <cellStyles count="491">
    <cellStyle name="常规" xfId="0" builtinId="0"/>
    <cellStyle name="货币[0]" xfId="1" builtinId="7"/>
    <cellStyle name="输入" xfId="2" builtinId="20"/>
    <cellStyle name="强调文字颜色 2 3 2" xfId="3"/>
    <cellStyle name="20% - 强调文字颜色 3" xfId="4" builtinId="38"/>
    <cellStyle name="输出 3" xfId="5"/>
    <cellStyle name="链接单元格 5" xfId="6"/>
    <cellStyle name="强调文字颜色 2 5" xfId="7"/>
    <cellStyle name="汇总 4 2" xfId="8"/>
    <cellStyle name="_ET_STYLE_NoName_-01_ 3 3 3 2" xfId="9"/>
    <cellStyle name="链接单元格 3 2" xfId="10"/>
    <cellStyle name="20% - 强调文字颜色 1 2" xfId="11"/>
    <cellStyle name="货币" xfId="12" builtinId="4"/>
    <cellStyle name="千位分隔[0]" xfId="13" builtinId="6"/>
    <cellStyle name="常规 3 4 3" xfId="14"/>
    <cellStyle name="千位分隔" xfId="15" builtinId="3"/>
    <cellStyle name="常规 7 3" xfId="16"/>
    <cellStyle name="40% - 强调文字颜色 3" xfId="17" builtinId="39"/>
    <cellStyle name="计算 2" xfId="18"/>
    <cellStyle name="差" xfId="19" builtinId="27"/>
    <cellStyle name="超链接" xfId="20" builtinId="8"/>
    <cellStyle name="60% - 强调文字颜色 6 3 2" xfId="21"/>
    <cellStyle name="60% - 强调文字颜色 3" xfId="22" builtinId="40"/>
    <cellStyle name="百分比" xfId="23" builtinId="5"/>
    <cellStyle name="已访问的超链接" xfId="24" builtinId="9"/>
    <cellStyle name="注释" xfId="25" builtinId="10"/>
    <cellStyle name="常规 6" xfId="26"/>
    <cellStyle name="60% - 强调文字颜色 2 3" xfId="27"/>
    <cellStyle name="20% - 强调文字颜色 4 5" xfId="28"/>
    <cellStyle name="60% - 强调文字颜色 2" xfId="29" builtinId="36"/>
    <cellStyle name="解释性文本 2 2" xfId="30"/>
    <cellStyle name="标题 4" xfId="31" builtinId="19"/>
    <cellStyle name="注释 5" xfId="32"/>
    <cellStyle name="警告文本" xfId="33" builtinId="11"/>
    <cellStyle name="60% - 强调文字颜色 2 2 2" xfId="34"/>
    <cellStyle name="常规 5 2" xfId="35"/>
    <cellStyle name="强调文字颜色 1 2 3" xfId="36"/>
    <cellStyle name="标题" xfId="37" builtinId="15"/>
    <cellStyle name="解释性文本" xfId="38" builtinId="53"/>
    <cellStyle name="百分比 4" xfId="39"/>
    <cellStyle name="标题 1" xfId="40" builtinId="16"/>
    <cellStyle name="0,0_x000d__x000a_NA_x000d__x000a_" xfId="41"/>
    <cellStyle name="标题 2" xfId="42" builtinId="17"/>
    <cellStyle name="60% - 强调文字颜色 1" xfId="43" builtinId="32"/>
    <cellStyle name="标题 3" xfId="44" builtinId="18"/>
    <cellStyle name="注释 3 2 2" xfId="45"/>
    <cellStyle name="60% - 强调文字颜色 4" xfId="46" builtinId="44"/>
    <cellStyle name="输出 2 4 2" xfId="47"/>
    <cellStyle name="输出" xfId="48" builtinId="21"/>
    <cellStyle name="计算" xfId="49" builtinId="22"/>
    <cellStyle name="40% - 强调文字颜色 4 2" xfId="50"/>
    <cellStyle name="计算 3 2" xfId="51"/>
    <cellStyle name="检查单元格" xfId="52" builtinId="23"/>
    <cellStyle name="常规 8 3" xfId="53"/>
    <cellStyle name="20% - 强调文字颜色 6" xfId="54" builtinId="50"/>
    <cellStyle name="强调文字颜色 2" xfId="55" builtinId="33"/>
    <cellStyle name="注释 2 3" xfId="56"/>
    <cellStyle name="链接单元格" xfId="57" builtinId="24"/>
    <cellStyle name="40% - 强调文字颜色 6 5" xfId="58"/>
    <cellStyle name="60% - 强调文字颜色 4 2 3" xfId="59"/>
    <cellStyle name="汇总" xfId="60" builtinId="25"/>
    <cellStyle name="好" xfId="61" builtinId="26"/>
    <cellStyle name="20% - 强调文字颜色 3 3" xfId="62"/>
    <cellStyle name="输出 3 3" xfId="63"/>
    <cellStyle name="适中" xfId="64" builtinId="28"/>
    <cellStyle name="常规 8 2" xfId="65"/>
    <cellStyle name="输出 5" xfId="66"/>
    <cellStyle name="20% - 强调文字颜色 5" xfId="67" builtinId="46"/>
    <cellStyle name=" 3]_x000d__x000a_Zoomed=1_x000d__x000a_Row=128_x000d__x000a_Column=101_x000d__x000a_Height=300_x000d__x000a_Width=301_x000d__x000a_FontName=System_x000d__x000a_FontStyle=1_x000d__x000a_FontSize=12_x000d__x000a_PrtFontNa" xfId="68"/>
    <cellStyle name="检查单元格 3 2" xfId="69"/>
    <cellStyle name="强调文字颜色 1" xfId="70" builtinId="29"/>
    <cellStyle name="链接单元格 3" xfId="71"/>
    <cellStyle name="注释 2 3 3" xfId="72"/>
    <cellStyle name="20% - 强调文字颜色 1" xfId="73" builtinId="30"/>
    <cellStyle name="??&amp;O龡&amp;H?_x0008_??_x0007__x0001__x0001_" xfId="74"/>
    <cellStyle name="40% - 强调文字颜色 4 3 2" xfId="75"/>
    <cellStyle name="汇总 3 3" xfId="76"/>
    <cellStyle name="40% - 强调文字颜色 1" xfId="77" builtinId="31"/>
    <cellStyle name="链接单元格 4" xfId="78"/>
    <cellStyle name="输出 2" xfId="79"/>
    <cellStyle name="20% - 强调文字颜色 2" xfId="80" builtinId="34"/>
    <cellStyle name="40% - 强调文字颜色 2" xfId="81" builtinId="35"/>
    <cellStyle name="强调文字颜色 3" xfId="82" builtinId="37"/>
    <cellStyle name="强调文字颜色 4" xfId="83" builtinId="41"/>
    <cellStyle name="汇总 3 2 2" xfId="84"/>
    <cellStyle name="输出 4" xfId="85"/>
    <cellStyle name="20% - 强调文字颜色 4" xfId="86" builtinId="42"/>
    <cellStyle name="计算 3" xfId="87"/>
    <cellStyle name="40% - 强调文字颜色 4" xfId="88" builtinId="43"/>
    <cellStyle name="强调文字颜色 5" xfId="89" builtinId="45"/>
    <cellStyle name="计算 4" xfId="90"/>
    <cellStyle name="40% - 强调文字颜色 5" xfId="91" builtinId="47"/>
    <cellStyle name="注释 3 2 3" xfId="92"/>
    <cellStyle name="60% - 强调文字颜色 5" xfId="93" builtinId="48"/>
    <cellStyle name="强调文字颜色 6" xfId="94" builtinId="49"/>
    <cellStyle name="20% - 强调文字颜色 3 3 2" xfId="95"/>
    <cellStyle name="计算 5" xfId="96"/>
    <cellStyle name="适中 2" xfId="97"/>
    <cellStyle name="输出 3 3 2" xfId="98"/>
    <cellStyle name="40% - 强调文字颜色 6" xfId="99" builtinId="51"/>
    <cellStyle name="60% - 强调文字颜色 6" xfId="100" builtinId="52"/>
    <cellStyle name="_ET_STYLE_NoName_00_" xfId="101"/>
    <cellStyle name="标题 4 2 2" xfId="102"/>
    <cellStyle name="20% - 强调文字颜色 1 5" xfId="103"/>
    <cellStyle name="好 2" xfId="104"/>
    <cellStyle name="20% - 强调文字颜色 1 2 3" xfId="105"/>
    <cellStyle name="_ET_STYLE_NoName_00__南区长促工资1004_5" xfId="106"/>
    <cellStyle name="40% - 强调文字颜色 2 2" xfId="107"/>
    <cellStyle name="20% - 强调文字颜色 1 4" xfId="108"/>
    <cellStyle name="20% - 强调文字颜色 1 3" xfId="109"/>
    <cellStyle name="??_x005f_x0011_?_x005f_x0010_?" xfId="110"/>
    <cellStyle name="差 2 3" xfId="111"/>
    <cellStyle name="_ET_STYLE_NoName_00__北区长促工资1004_3" xfId="112"/>
    <cellStyle name="20% - 强调文字颜色 1 3 2" xfId="113"/>
    <cellStyle name="0,0_x000a__x000a_NA_x000a__x000a_" xfId="114"/>
    <cellStyle name="强调文字颜色 5 5" xfId="115"/>
    <cellStyle name="20% - 强调文字颜色 1 2 2" xfId="116"/>
    <cellStyle name="常规 2 3 2 3" xfId="117"/>
    <cellStyle name="20% - 强调文字颜色 2 2" xfId="118"/>
    <cellStyle name="输出 2 2" xfId="119"/>
    <cellStyle name="20% - 强调文字颜色 2 2 2" xfId="120"/>
    <cellStyle name="输出 2 2 2" xfId="121"/>
    <cellStyle name="20% - 强调文字颜色 2 2 3" xfId="122"/>
    <cellStyle name="输出 2 2 3" xfId="123"/>
    <cellStyle name="20% - 强调文字颜色 2 3" xfId="124"/>
    <cellStyle name="输出 2 3" xfId="125"/>
    <cellStyle name="20% - 强调文字颜色 2 3 2" xfId="126"/>
    <cellStyle name="输出 2 3 2" xfId="127"/>
    <cellStyle name="20% - 强调文字颜色 2 4" xfId="128"/>
    <cellStyle name="输出 2 4" xfId="129"/>
    <cellStyle name="20% - 强调文字颜色 2 5" xfId="130"/>
    <cellStyle name="输出 2 5" xfId="131"/>
    <cellStyle name="20% - 强调文字颜色 3 2" xfId="132"/>
    <cellStyle name="输出 3 2" xfId="133"/>
    <cellStyle name="20% - 强调文字颜色 3 2 2" xfId="134"/>
    <cellStyle name="输出 3 2 2" xfId="135"/>
    <cellStyle name="20% - 强调文字颜色 3 2 3" xfId="136"/>
    <cellStyle name="输出 3 2 3" xfId="137"/>
    <cellStyle name="20% - 强调文字颜色 3 4" xfId="138"/>
    <cellStyle name="60% - 强调文字颜色 1 2" xfId="139"/>
    <cellStyle name="输出 3 4" xfId="140"/>
    <cellStyle name="20% - 强调文字颜色 3 5" xfId="141"/>
    <cellStyle name="60% - 强调文字颜色 1 3" xfId="142"/>
    <cellStyle name="20% - 强调文字颜色 4 2" xfId="143"/>
    <cellStyle name="常规 3" xfId="144"/>
    <cellStyle name="输出 4 2" xfId="145"/>
    <cellStyle name="20% - 强调文字颜色 4 2 2" xfId="146"/>
    <cellStyle name="常规 3 2" xfId="147"/>
    <cellStyle name="输出 4 2 2" xfId="148"/>
    <cellStyle name="20% - 强调文字颜色 4 2 3" xfId="149"/>
    <cellStyle name="常规 3 3" xfId="150"/>
    <cellStyle name="输入 4 2" xfId="151"/>
    <cellStyle name="20% - 强调文字颜色 4 3" xfId="152"/>
    <cellStyle name="常规 4" xfId="153"/>
    <cellStyle name="输出 4 3" xfId="154"/>
    <cellStyle name="20% - 强调文字颜色 4 3 2" xfId="155"/>
    <cellStyle name="常规 4 2" xfId="156"/>
    <cellStyle name="20% - 强调文字颜色 4 4" xfId="157"/>
    <cellStyle name="60% - 强调文字颜色 2 2" xfId="158"/>
    <cellStyle name="常规 5" xfId="159"/>
    <cellStyle name="20% - 强调文字颜色 5 2" xfId="160"/>
    <cellStyle name="输出 5 2" xfId="161"/>
    <cellStyle name="20% - 强调文字颜色 5 2 2" xfId="162"/>
    <cellStyle name="3232" xfId="163"/>
    <cellStyle name="输出 5 2 2" xfId="164"/>
    <cellStyle name="20% - 强调文字颜色 5 2 3" xfId="165"/>
    <cellStyle name="20% - 强调文字颜色 5 3" xfId="166"/>
    <cellStyle name="输出 5 3" xfId="167"/>
    <cellStyle name="20% - 强调文字颜色 5 3 2" xfId="168"/>
    <cellStyle name="百分比 3" xfId="169"/>
    <cellStyle name="差 5" xfId="170"/>
    <cellStyle name="20% - 强调文字颜色 5 4" xfId="171"/>
    <cellStyle name="60% - 强调文字颜色 3 2" xfId="172"/>
    <cellStyle name="20% - 强调文字颜色 5 5" xfId="173"/>
    <cellStyle name="60% - 强调文字颜色 3 3" xfId="174"/>
    <cellStyle name="20% - 强调文字颜色 6 2" xfId="175"/>
    <cellStyle name="20% - 强调文字颜色 6 2 2" xfId="176"/>
    <cellStyle name="40% - 强调文字颜色 4 4" xfId="177"/>
    <cellStyle name="20% - 强调文字颜色 6 2 3" xfId="178"/>
    <cellStyle name="40% - 强调文字颜色 4 5" xfId="179"/>
    <cellStyle name="20% - 强调文字颜色 6 3" xfId="180"/>
    <cellStyle name="20% - 强调文字颜色 6 3 2" xfId="181"/>
    <cellStyle name="40% - 强调文字颜色 5 4" xfId="182"/>
    <cellStyle name="20% - 强调文字颜色 6 4" xfId="183"/>
    <cellStyle name="60% - 强调文字颜色 4 2" xfId="184"/>
    <cellStyle name="注释 3 2 2 2" xfId="185"/>
    <cellStyle name="20% - 强调文字颜色 6 5" xfId="186"/>
    <cellStyle name="40% - 强调文字颜色 5 2 2" xfId="187"/>
    <cellStyle name="60% - 强调文字颜色 4 3" xfId="188"/>
    <cellStyle name="40% - 强调文字颜色 1 2" xfId="189"/>
    <cellStyle name="40% - 强调文字颜色 1 2 2" xfId="190"/>
    <cellStyle name="40% - 强调文字颜色 1 2 3" xfId="191"/>
    <cellStyle name="40% - 强调文字颜色 1 3" xfId="192"/>
    <cellStyle name="40% - 强调文字颜色 1 3 2" xfId="193"/>
    <cellStyle name="40% - 强调文字颜色 1 4" xfId="194"/>
    <cellStyle name="40% - 强调文字颜色 1 5" xfId="195"/>
    <cellStyle name="40% - 强调文字颜色 2 2 2" xfId="196"/>
    <cellStyle name="40% - 强调文字颜色 2 2 3" xfId="197"/>
    <cellStyle name="40% - 强调文字颜色 2 3" xfId="198"/>
    <cellStyle name="40% - 强调文字颜色 2 3 2" xfId="199"/>
    <cellStyle name="40% - 强调文字颜色 2 4" xfId="200"/>
    <cellStyle name="40% - 强调文字颜色 2 5" xfId="201"/>
    <cellStyle name="40% - 强调文字颜色 3 2" xfId="202"/>
    <cellStyle name="计算 2 2" xfId="203"/>
    <cellStyle name="40% - 强调文字颜色 3 2 2" xfId="204"/>
    <cellStyle name="计算 2 2 2" xfId="205"/>
    <cellStyle name="40% - 强调文字颜色 3 2 3" xfId="206"/>
    <cellStyle name="40% - 强调文字颜色 3 3" xfId="207"/>
    <cellStyle name="计算 2 3" xfId="208"/>
    <cellStyle name="常规 25" xfId="209"/>
    <cellStyle name="40% - 强调文字颜色 3 3 2" xfId="210"/>
    <cellStyle name="计算 2 3 2" xfId="211"/>
    <cellStyle name="40% - 强调文字颜色 3 4" xfId="212"/>
    <cellStyle name="计算 2 4" xfId="213"/>
    <cellStyle name="40% - 强调文字颜色 3 5" xfId="214"/>
    <cellStyle name="40% - 强调文字颜色 4 2 2" xfId="215"/>
    <cellStyle name="标题 4 4" xfId="216"/>
    <cellStyle name="汇总 2 3" xfId="217"/>
    <cellStyle name="计算 3 2 2" xfId="218"/>
    <cellStyle name="检查单元格 2" xfId="219"/>
    <cellStyle name="40% - 强调文字颜色 4 2 3" xfId="220"/>
    <cellStyle name="标题 4 5" xfId="221"/>
    <cellStyle name="汇总 2 4" xfId="222"/>
    <cellStyle name="检查单元格 3" xfId="223"/>
    <cellStyle name="40% - 强调文字颜色 4 3" xfId="224"/>
    <cellStyle name="计算 3 3" xfId="225"/>
    <cellStyle name="输入 2 2 2" xfId="226"/>
    <cellStyle name="40% - 强调文字颜色 5 2" xfId="227"/>
    <cellStyle name="好 2 3" xfId="228"/>
    <cellStyle name="计算 4 2" xfId="229"/>
    <cellStyle name="40% - 强调文字颜色 5 2 3" xfId="230"/>
    <cellStyle name="60% - 强调文字颜色 4 4" xfId="231"/>
    <cellStyle name="40% - 强调文字颜色 5 3" xfId="232"/>
    <cellStyle name="输入 2 3 2" xfId="233"/>
    <cellStyle name="40% - 强调文字颜色 5 3 2" xfId="234"/>
    <cellStyle name="60% - 强调文字颜色 5 3" xfId="235"/>
    <cellStyle name="40% - 强调文字颜色 5 5" xfId="236"/>
    <cellStyle name="40% - 强调文字颜色 6 2" xfId="237"/>
    <cellStyle name="计算 5 2" xfId="238"/>
    <cellStyle name="适中 2 2" xfId="239"/>
    <cellStyle name="40% - 强调文字颜色 6 2 2" xfId="240"/>
    <cellStyle name="40% - 强调文字颜色 6 2 3" xfId="241"/>
    <cellStyle name="40% - 强调文字颜色 6 3" xfId="242"/>
    <cellStyle name="强调文字颜色 3 2 2" xfId="243"/>
    <cellStyle name="适中 2 3" xfId="244"/>
    <cellStyle name="40% - 强调文字颜色 6 3 2" xfId="245"/>
    <cellStyle name="解释性文本 3" xfId="246"/>
    <cellStyle name="40% - 强调文字颜色 6 4" xfId="247"/>
    <cellStyle name="60% - 强调文字颜色 4 2 2" xfId="248"/>
    <cellStyle name="强调文字颜色 3 2 3" xfId="249"/>
    <cellStyle name="60% - 强调文字颜色 1 2 2" xfId="250"/>
    <cellStyle name="60% - 强调文字颜色 1 2 3" xfId="251"/>
    <cellStyle name="60% - 强调文字颜色 1 3 2" xfId="252"/>
    <cellStyle name="60% - 强调文字颜色 1 4" xfId="253"/>
    <cellStyle name="60% - 强调文字颜色 1 5" xfId="254"/>
    <cellStyle name="警告文本 2 2" xfId="255"/>
    <cellStyle name="注释 5 2 2" xfId="256"/>
    <cellStyle name="60% - 强调文字颜色 2 2 3" xfId="257"/>
    <cellStyle name="60% - 强调文字颜色 2 3 2" xfId="258"/>
    <cellStyle name="常规 6 2" xfId="259"/>
    <cellStyle name="注释 2" xfId="260"/>
    <cellStyle name="60% - 强调文字颜色 2 4" xfId="261"/>
    <cellStyle name="常规 7" xfId="262"/>
    <cellStyle name="60% - 强调文字颜色 2 5" xfId="263"/>
    <cellStyle name="常规 8" xfId="264"/>
    <cellStyle name="警告文本 3 2" xfId="265"/>
    <cellStyle name="60% - 强调文字颜色 3 2 2" xfId="266"/>
    <cellStyle name="强调文字颜色 2 2 3" xfId="267"/>
    <cellStyle name="60% - 强调文字颜色 3 2 3" xfId="268"/>
    <cellStyle name="60% - 强调文字颜色 3 3 2" xfId="269"/>
    <cellStyle name="60% - 强调文字颜色 3 4" xfId="270"/>
    <cellStyle name="60% - 强调文字颜色 3 5" xfId="271"/>
    <cellStyle name="60% - 强调文字颜色 4 3 2" xfId="272"/>
    <cellStyle name="60% - 强调文字颜色 4 5" xfId="273"/>
    <cellStyle name="常规_创联至信12年工资表sn803808" xfId="274"/>
    <cellStyle name="60% - 强调文字颜色 5 2" xfId="275"/>
    <cellStyle name="60% - 强调文字颜色 5 2 2" xfId="276"/>
    <cellStyle name="强调文字颜色 4 2 3" xfId="277"/>
    <cellStyle name="60% - 强调文字颜色 5 2 3" xfId="278"/>
    <cellStyle name="60% - 强调文字颜色 5 3 2" xfId="279"/>
    <cellStyle name="60% - 强调文字颜色 5 4" xfId="280"/>
    <cellStyle name="60% - 强调文字颜色 5 5" xfId="281"/>
    <cellStyle name="60% - 强调文字颜色 6 2" xfId="282"/>
    <cellStyle name="60% - 强调文字颜色 6 2 2" xfId="283"/>
    <cellStyle name="常规 3 5 3" xfId="284"/>
    <cellStyle name="强调文字颜色 5 2 3" xfId="285"/>
    <cellStyle name="60% - 强调文字颜色 6 2 3" xfId="286"/>
    <cellStyle name="Normal_08'前程工资8月" xfId="287"/>
    <cellStyle name="60% - 强调文字颜色 6 3" xfId="288"/>
    <cellStyle name="60% - 强调文字颜色 6 4" xfId="289"/>
    <cellStyle name="60% - 强调文字颜色 6 5" xfId="290"/>
    <cellStyle name="Comma_SALARYBJ" xfId="291"/>
    <cellStyle name="警告文本 2 3" xfId="292"/>
    <cellStyle name="百分比 2" xfId="293"/>
    <cellStyle name="差 4" xfId="294"/>
    <cellStyle name="百分比 2 2" xfId="295"/>
    <cellStyle name="标题 1 2" xfId="296"/>
    <cellStyle name="标题 1 2 2" xfId="297"/>
    <cellStyle name="标题 1 2 3" xfId="298"/>
    <cellStyle name="标题 1 3" xfId="299"/>
    <cellStyle name="标题 1 3 2" xfId="300"/>
    <cellStyle name="汇总 3" xfId="301"/>
    <cellStyle name="标题 1 4" xfId="302"/>
    <cellStyle name="标题 1 5" xfId="303"/>
    <cellStyle name="标题 2 2" xfId="304"/>
    <cellStyle name="标题 2 2 2" xfId="305"/>
    <cellStyle name="标题 2 2 3" xfId="306"/>
    <cellStyle name="好 3 2" xfId="307"/>
    <cellStyle name="标题 2 3" xfId="308"/>
    <cellStyle name="标题 2 3 2" xfId="309"/>
    <cellStyle name="常规 11" xfId="310"/>
    <cellStyle name="标题 2 4" xfId="311"/>
    <cellStyle name="标题 2 5" xfId="312"/>
    <cellStyle name="标题 3 2" xfId="313"/>
    <cellStyle name="标题 3 2 2" xfId="314"/>
    <cellStyle name="好 5" xfId="315"/>
    <cellStyle name="标题 3 2 3" xfId="316"/>
    <cellStyle name="标题 3 3" xfId="317"/>
    <cellStyle name="标题 3 3 2" xfId="318"/>
    <cellStyle name="样式 1" xfId="319"/>
    <cellStyle name="标题 3 4" xfId="320"/>
    <cellStyle name="标题 3 5" xfId="321"/>
    <cellStyle name="标题 4 2" xfId="322"/>
    <cellStyle name="千位分隔 3" xfId="323"/>
    <cellStyle name="标题 4 2 3" xfId="324"/>
    <cellStyle name="标题 4 3" xfId="325"/>
    <cellStyle name="汇总 2 2" xfId="326"/>
    <cellStyle name="标题 4 3 2" xfId="327"/>
    <cellStyle name="汇总 2 2 2" xfId="328"/>
    <cellStyle name="标题 5" xfId="329"/>
    <cellStyle name="解释性文本 2 3" xfId="330"/>
    <cellStyle name="标题 5 2" xfId="331"/>
    <cellStyle name="强调文字颜色 1 4" xfId="332"/>
    <cellStyle name="标题 5 3" xfId="333"/>
    <cellStyle name="汇总 3 2" xfId="334"/>
    <cellStyle name="强调文字颜色 1 5" xfId="335"/>
    <cellStyle name="标题 6" xfId="336"/>
    <cellStyle name="标题 6 2" xfId="337"/>
    <cellStyle name="强调文字颜色 2 4" xfId="338"/>
    <cellStyle name="标题 7" xfId="339"/>
    <cellStyle name="注释 2 4 2" xfId="340"/>
    <cellStyle name="标题 8" xfId="341"/>
    <cellStyle name="差 2" xfId="342"/>
    <cellStyle name="解释性文本 5" xfId="343"/>
    <cellStyle name="差 2 2" xfId="344"/>
    <cellStyle name="差 3" xfId="345"/>
    <cellStyle name="差 3 2" xfId="346"/>
    <cellStyle name="常规 11 2" xfId="347"/>
    <cellStyle name="常规 11 3" xfId="348"/>
    <cellStyle name="常规 2 3 2 2" xfId="349"/>
    <cellStyle name="常规 12" xfId="350"/>
    <cellStyle name="常规 12 2" xfId="351"/>
    <cellStyle name="常规 12 3" xfId="352"/>
    <cellStyle name="常规 14" xfId="353"/>
    <cellStyle name="强调文字颜色 3 3 2" xfId="354"/>
    <cellStyle name="常规 14 2" xfId="355"/>
    <cellStyle name="常规 14 3" xfId="356"/>
    <cellStyle name="常规 2" xfId="357"/>
    <cellStyle name="常规 2 2" xfId="358"/>
    <cellStyle name="常规 2 2 2" xfId="359"/>
    <cellStyle name="常规 2 2 2 2" xfId="360"/>
    <cellStyle name="常规 2 2 3" xfId="361"/>
    <cellStyle name="常规 2 3" xfId="362"/>
    <cellStyle name="输入 3 2" xfId="363"/>
    <cellStyle name="常规 2 3 2" xfId="364"/>
    <cellStyle name="输入 3 2 2" xfId="365"/>
    <cellStyle name="常规_全国客服表格" xfId="366"/>
    <cellStyle name="常规 2 3 3" xfId="367"/>
    <cellStyle name="常规 2 3 4" xfId="368"/>
    <cellStyle name="常规 2 4" xfId="369"/>
    <cellStyle name="输入 3 3" xfId="370"/>
    <cellStyle name="常规 2 4 2" xfId="371"/>
    <cellStyle name="常规 2 5" xfId="372"/>
    <cellStyle name="强调文字颜色 4 2" xfId="373"/>
    <cellStyle name="常规 2 5 2" xfId="374"/>
    <cellStyle name="强调文字颜色 4 2 2" xfId="375"/>
    <cellStyle name="常规 2 6" xfId="376"/>
    <cellStyle name="强调文字颜色 4 3" xfId="377"/>
    <cellStyle name="常规 2 6 2" xfId="378"/>
    <cellStyle name="强调文字颜色 4 3 2" xfId="379"/>
    <cellStyle name="常规 2 6 2 2" xfId="380"/>
    <cellStyle name="常规 27" xfId="381"/>
    <cellStyle name="常规 3 2 2" xfId="382"/>
    <cellStyle name="适中 4" xfId="383"/>
    <cellStyle name="常规 3 3 2" xfId="384"/>
    <cellStyle name="常规 3 3 3" xfId="385"/>
    <cellStyle name="常规 3 4" xfId="386"/>
    <cellStyle name="常规 3 4 2" xfId="387"/>
    <cellStyle name="常规 3 5" xfId="388"/>
    <cellStyle name="强调文字颜色 5 2" xfId="389"/>
    <cellStyle name="常规 3 5 2" xfId="390"/>
    <cellStyle name="强调文字颜色 5 2 2" xfId="391"/>
    <cellStyle name="常规 4 2 2" xfId="392"/>
    <cellStyle name="常规 4 4" xfId="393"/>
    <cellStyle name="常规 4 3" xfId="394"/>
    <cellStyle name="输入 5 2" xfId="395"/>
    <cellStyle name="常规 7 2" xfId="396"/>
    <cellStyle name="常规 8 4" xfId="397"/>
    <cellStyle name="强调文字颜色 6 3 2" xfId="398"/>
    <cellStyle name="常规 9" xfId="399"/>
    <cellStyle name="常规_付款通知书智联（神数系统）" xfId="400"/>
    <cellStyle name="警告文本 2" xfId="401"/>
    <cellStyle name="注释 5 2" xfId="402"/>
    <cellStyle name="好 2 2" xfId="403"/>
    <cellStyle name="好 3" xfId="404"/>
    <cellStyle name="好 4" xfId="405"/>
    <cellStyle name="汇总 2" xfId="406"/>
    <cellStyle name="汇总 2 3 2" xfId="407"/>
    <cellStyle name="检查单元格 2 2" xfId="408"/>
    <cellStyle name="汇总 4" xfId="409"/>
    <cellStyle name="汇总 5" xfId="410"/>
    <cellStyle name="汇总 5 2" xfId="411"/>
    <cellStyle name="强调文字颜色 3 5" xfId="412"/>
    <cellStyle name="常规_Sheet1" xfId="413"/>
    <cellStyle name="检查单元格 2 3" xfId="414"/>
    <cellStyle name="检查单元格 4" xfId="415"/>
    <cellStyle name="检查单元格 5" xfId="416"/>
    <cellStyle name="解释性文本 2" xfId="417"/>
    <cellStyle name="解释性文本 3 2" xfId="418"/>
    <cellStyle name="解释性文本 4" xfId="419"/>
    <cellStyle name="警告文本 3" xfId="420"/>
    <cellStyle name="注释 5 3" xfId="421"/>
    <cellStyle name="警告文本 4" xfId="422"/>
    <cellStyle name="警告文本 5" xfId="423"/>
    <cellStyle name="链接单元格 2" xfId="424"/>
    <cellStyle name="注释 2 3 2" xfId="425"/>
    <cellStyle name="链接单元格 2 2" xfId="426"/>
    <cellStyle name="注释 2 3 2 2" xfId="427"/>
    <cellStyle name="链接单元格 2 3" xfId="428"/>
    <cellStyle name="千位分隔 2" xfId="429"/>
    <cellStyle name="千位分隔 2 2" xfId="430"/>
    <cellStyle name="强调文字颜色 1 2" xfId="431"/>
    <cellStyle name="强调文字颜色 1 2 2" xfId="432"/>
    <cellStyle name="强调文字颜色 1 3" xfId="433"/>
    <cellStyle name="强调文字颜色 1 3 2" xfId="434"/>
    <cellStyle name="强调文字颜色 2 2" xfId="435"/>
    <cellStyle name="强调文字颜色 2 2 2" xfId="436"/>
    <cellStyle name="强调文字颜色 2 3" xfId="437"/>
    <cellStyle name="强调文字颜色 3 2" xfId="438"/>
    <cellStyle name="输入 2 4" xfId="439"/>
    <cellStyle name="强调文字颜色 3 3" xfId="440"/>
    <cellStyle name="强调文字颜色 3 4" xfId="441"/>
    <cellStyle name="强调文字颜色 4 4" xfId="442"/>
    <cellStyle name="强调文字颜色 4 5" xfId="443"/>
    <cellStyle name="输入 2" xfId="444"/>
    <cellStyle name="强调文字颜色 5 3" xfId="445"/>
    <cellStyle name="强调文字颜色 5 3 2" xfId="446"/>
    <cellStyle name="强调文字颜色 5 4" xfId="447"/>
    <cellStyle name="强调文字颜色 6 2" xfId="448"/>
    <cellStyle name="强调文字颜色 6 2 2" xfId="449"/>
    <cellStyle name="强调文字颜色 6 2 3" xfId="450"/>
    <cellStyle name="强调文字颜色 6 3" xfId="451"/>
    <cellStyle name="强调文字颜色 6 4" xfId="452"/>
    <cellStyle name="强调文字颜色 6 5" xfId="453"/>
    <cellStyle name="适中 3" xfId="454"/>
    <cellStyle name="适中 3 2" xfId="455"/>
    <cellStyle name="适中 5" xfId="456"/>
    <cellStyle name="输出 2 2 2 2" xfId="457"/>
    <cellStyle name="输出 2 3 2 2" xfId="458"/>
    <cellStyle name="输出 2 3 3" xfId="459"/>
    <cellStyle name="输出 3 2 2 2" xfId="460"/>
    <cellStyle name="输入 2 2" xfId="461"/>
    <cellStyle name="样式 2 4" xfId="462"/>
    <cellStyle name="输入 2 3" xfId="463"/>
    <cellStyle name="样式 2 5" xfId="464"/>
    <cellStyle name="输入 3" xfId="465"/>
    <cellStyle name="输入 4" xfId="466"/>
    <cellStyle name="输入 5" xfId="467"/>
    <cellStyle name="样式 1 2" xfId="468"/>
    <cellStyle name="样式 2" xfId="469"/>
    <cellStyle name="样式 2 2" xfId="470"/>
    <cellStyle name="样式 2 3" xfId="471"/>
    <cellStyle name="注释 2 2" xfId="472"/>
    <cellStyle name="注释 2 2 2" xfId="473"/>
    <cellStyle name="注释 2 2 2 2" xfId="474"/>
    <cellStyle name="注释 2 2 3" xfId="475"/>
    <cellStyle name="注释 2 4" xfId="476"/>
    <cellStyle name="注释 2 5" xfId="477"/>
    <cellStyle name="注释 3" xfId="478"/>
    <cellStyle name="注释 3 2" xfId="479"/>
    <cellStyle name="注释 3 3" xfId="480"/>
    <cellStyle name="注释 3 3 2" xfId="481"/>
    <cellStyle name="注释 3 4" xfId="482"/>
    <cellStyle name="注释 4" xfId="483"/>
    <cellStyle name="注释 4 2" xfId="484"/>
    <cellStyle name="注释 4 2 2" xfId="485"/>
    <cellStyle name="注释 4 3" xfId="486"/>
    <cellStyle name="常规_0705 UL South CS meeting (chonghua)" xfId="487"/>
    <cellStyle name="㼿㼿㼿㼿㼿" xfId="488"/>
    <cellStyle name="㼿㼿㼿㼿㼿㼿㼿" xfId="489"/>
    <cellStyle name="㼿㼿㼿㼿? 2" xfId="490"/>
  </cellStyles>
  <dxfs count="6">
    <dxf>
      <fill>
        <patternFill patternType="solid">
          <bgColor indexed="43"/>
        </patternFill>
      </fill>
    </dxf>
    <dxf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9EBA7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2</xdr:row>
      <xdr:rowOff>95250</xdr:rowOff>
    </xdr:to>
    <xdr:pic>
      <xdr:nvPicPr>
        <xdr:cNvPr id="2" name="图片 4" descr="cid:_Foxmail.1@6377c9cf-32a5-0363-4d93-1ccf8febe0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24098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comments" Target="../comments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comments" Target="../comments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workbookViewId="0">
      <selection activeCell="H22" sqref="H22"/>
    </sheetView>
  </sheetViews>
  <sheetFormatPr defaultColWidth="9" defaultRowHeight="13.5"/>
  <cols>
    <col min="1" max="2" width="9" style="284"/>
    <col min="3" max="3" width="10.75" style="284" customWidth="1"/>
    <col min="4" max="4" width="16.75" style="284" customWidth="1"/>
    <col min="5" max="5" width="11.75" style="284" customWidth="1"/>
    <col min="6" max="6" width="9" style="284"/>
    <col min="7" max="7" width="10.75" style="284" customWidth="1"/>
    <col min="8" max="12" width="9" style="284"/>
    <col min="13" max="13" width="9.5" style="284" customWidth="1"/>
    <col min="14" max="14" width="16.5" style="284" customWidth="1"/>
    <col min="15" max="16384" width="9" style="284"/>
  </cols>
  <sheetData>
    <row r="1" s="284" customFormat="1" ht="25.5" spans="1:14">
      <c r="A1" s="285" t="s">
        <v>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</row>
    <row r="2" s="284" customFormat="1" ht="14.25" spans="1:14">
      <c r="A2" s="286"/>
      <c r="B2" s="287"/>
      <c r="C2" s="287"/>
      <c r="D2" s="288"/>
      <c r="E2" s="288"/>
      <c r="F2" s="288"/>
      <c r="G2" s="286"/>
      <c r="H2" s="286"/>
      <c r="I2" s="286"/>
      <c r="J2" s="288"/>
      <c r="K2" s="288"/>
      <c r="L2" s="288"/>
      <c r="M2" s="288"/>
      <c r="N2" s="288"/>
    </row>
    <row r="3" s="284" customFormat="1" spans="1:14">
      <c r="A3" s="289"/>
      <c r="B3" s="290"/>
      <c r="C3" s="291"/>
      <c r="D3" s="292"/>
      <c r="E3" s="293"/>
      <c r="F3" s="293"/>
      <c r="G3" s="294"/>
      <c r="H3" s="295"/>
      <c r="I3" s="290"/>
      <c r="J3" s="291"/>
      <c r="K3" s="292"/>
      <c r="L3" s="363"/>
      <c r="M3" s="288"/>
      <c r="N3" s="288"/>
    </row>
    <row r="4" s="284" customFormat="1" spans="1:14">
      <c r="A4" s="289"/>
      <c r="B4" s="296" t="s">
        <v>1</v>
      </c>
      <c r="C4" s="296"/>
      <c r="D4" s="296"/>
      <c r="E4" s="296"/>
      <c r="F4" s="297"/>
      <c r="G4" s="296"/>
      <c r="H4" s="295"/>
      <c r="K4" s="288"/>
      <c r="L4" s="364"/>
      <c r="M4" s="365"/>
      <c r="N4" s="288"/>
    </row>
    <row r="5" s="284" customFormat="1" spans="1:14">
      <c r="A5" s="298"/>
      <c r="B5" s="299" t="s">
        <v>2</v>
      </c>
      <c r="C5" s="292"/>
      <c r="D5" s="292"/>
      <c r="E5" s="292"/>
      <c r="F5" s="292"/>
      <c r="G5" s="292"/>
      <c r="H5" s="300"/>
      <c r="I5" s="295"/>
      <c r="J5" s="290"/>
      <c r="K5" s="291"/>
      <c r="L5" s="363"/>
      <c r="M5" s="288"/>
      <c r="N5" s="288"/>
    </row>
    <row r="6" s="284" customFormat="1" ht="9.75" customHeight="1" spans="1:14">
      <c r="A6" s="301"/>
      <c r="B6" s="301"/>
      <c r="C6" s="301"/>
      <c r="D6" s="301"/>
      <c r="E6" s="301"/>
      <c r="F6" s="301"/>
      <c r="G6" s="301"/>
      <c r="H6" s="301"/>
      <c r="I6" s="366"/>
      <c r="J6" s="366"/>
      <c r="K6" s="367"/>
      <c r="L6" s="367"/>
      <c r="M6" s="367"/>
      <c r="N6" s="367"/>
    </row>
    <row r="7" s="284" customFormat="1" ht="15" spans="1:14">
      <c r="A7" s="301"/>
      <c r="B7" s="302" t="s">
        <v>3</v>
      </c>
      <c r="C7" s="303"/>
      <c r="D7" s="303"/>
      <c r="E7" s="303"/>
      <c r="F7" s="303"/>
      <c r="G7" s="303"/>
      <c r="H7" s="303"/>
      <c r="I7" s="368" t="s">
        <v>4</v>
      </c>
      <c r="J7" s="368"/>
      <c r="K7" s="369"/>
      <c r="L7" s="287"/>
      <c r="M7" s="287"/>
      <c r="N7" s="370"/>
    </row>
    <row r="8" s="284" customFormat="1" ht="14.25" spans="1:14">
      <c r="A8" s="301"/>
      <c r="B8" s="304" t="s">
        <v>5</v>
      </c>
      <c r="C8" s="305"/>
      <c r="D8" s="305"/>
      <c r="E8" s="306">
        <f>D10</f>
        <v>124775.78</v>
      </c>
      <c r="F8" s="307"/>
      <c r="G8" s="307"/>
      <c r="H8" s="308"/>
      <c r="I8" s="371"/>
      <c r="J8" s="372" t="s">
        <v>6</v>
      </c>
      <c r="K8" s="372"/>
      <c r="L8" s="372"/>
      <c r="M8" s="372"/>
      <c r="N8" s="372"/>
    </row>
    <row r="9" s="284" customFormat="1" ht="14.25" spans="1:14">
      <c r="A9" s="301"/>
      <c r="B9" s="309" t="s">
        <v>7</v>
      </c>
      <c r="C9" s="310"/>
      <c r="D9" s="310"/>
      <c r="E9" s="311">
        <f>G24</f>
        <v>124775.78</v>
      </c>
      <c r="F9" s="312"/>
      <c r="G9" s="312"/>
      <c r="H9" s="313"/>
      <c r="I9" s="372"/>
      <c r="J9" s="373" t="s">
        <v>8</v>
      </c>
      <c r="K9" s="373"/>
      <c r="L9" s="373"/>
      <c r="M9" s="373"/>
      <c r="N9" s="374"/>
    </row>
    <row r="10" s="284" customFormat="1" ht="15" spans="1:14">
      <c r="A10" s="301"/>
      <c r="B10" s="314" t="s">
        <v>9</v>
      </c>
      <c r="C10" s="315"/>
      <c r="D10" s="316">
        <f>G24</f>
        <v>124775.78</v>
      </c>
      <c r="E10" s="317" t="s">
        <v>10</v>
      </c>
      <c r="F10" s="318"/>
      <c r="G10" s="319"/>
      <c r="H10" s="320">
        <v>0</v>
      </c>
      <c r="I10" s="375"/>
      <c r="J10" s="376" t="s">
        <v>11</v>
      </c>
      <c r="K10" s="376"/>
      <c r="L10" s="376"/>
      <c r="M10" s="376"/>
      <c r="N10" s="377"/>
    </row>
    <row r="11" s="284" customFormat="1" ht="14.25" spans="1:14">
      <c r="A11" s="301"/>
      <c r="B11" s="321" t="s">
        <v>12</v>
      </c>
      <c r="C11" s="322"/>
      <c r="D11" s="323"/>
      <c r="E11" s="324" t="s">
        <v>13</v>
      </c>
      <c r="F11" s="325"/>
      <c r="G11" s="326"/>
      <c r="H11" s="327"/>
      <c r="I11" s="378"/>
      <c r="J11" s="379"/>
      <c r="K11" s="378"/>
      <c r="L11" s="378"/>
      <c r="M11" s="378"/>
      <c r="N11" s="380"/>
    </row>
    <row r="12" s="284" customFormat="1" spans="1:14">
      <c r="A12" s="298"/>
      <c r="B12" s="321" t="s">
        <v>14</v>
      </c>
      <c r="C12" s="322"/>
      <c r="D12" s="323">
        <v>0</v>
      </c>
      <c r="E12" s="324" t="s">
        <v>15</v>
      </c>
      <c r="F12" s="325"/>
      <c r="G12" s="326"/>
      <c r="H12" s="327"/>
      <c r="I12" s="381"/>
      <c r="J12" s="382"/>
      <c r="K12" s="383"/>
      <c r="L12" s="383"/>
      <c r="M12" s="383"/>
      <c r="N12" s="383"/>
    </row>
    <row r="13" s="284" customFormat="1" ht="14.25" spans="1:14">
      <c r="A13" s="288"/>
      <c r="B13" s="328" t="s">
        <v>16</v>
      </c>
      <c r="C13" s="329"/>
      <c r="D13" s="330">
        <v>0</v>
      </c>
      <c r="E13" s="331"/>
      <c r="F13" s="332"/>
      <c r="G13" s="333"/>
      <c r="H13" s="334"/>
      <c r="I13" s="301"/>
      <c r="J13" s="384"/>
      <c r="K13" s="385"/>
      <c r="L13" s="385"/>
      <c r="M13" s="385"/>
      <c r="N13" s="385"/>
    </row>
    <row r="14" s="284" customFormat="1" ht="5.25" customHeight="1" spans="1:14">
      <c r="A14" s="335"/>
      <c r="B14" s="301"/>
      <c r="C14" s="301"/>
      <c r="D14" s="301"/>
      <c r="E14" s="301"/>
      <c r="F14" s="301"/>
      <c r="G14" s="301"/>
      <c r="H14" s="301"/>
      <c r="I14" s="301"/>
      <c r="J14" s="301"/>
      <c r="K14" s="301"/>
      <c r="L14" s="301"/>
      <c r="M14" s="301"/>
      <c r="N14" s="301"/>
    </row>
    <row r="15" s="284" customFormat="1" spans="1:14">
      <c r="A15" s="288" t="s">
        <v>17</v>
      </c>
      <c r="B15" s="288"/>
      <c r="C15" s="288"/>
      <c r="D15" s="288"/>
      <c r="E15" s="288"/>
      <c r="F15" s="288"/>
      <c r="G15" s="288"/>
      <c r="H15" s="288"/>
      <c r="I15" s="288"/>
      <c r="J15" s="288"/>
      <c r="K15" s="288"/>
      <c r="L15" s="288"/>
      <c r="M15" s="288"/>
      <c r="N15" s="288"/>
    </row>
    <row r="16" s="284" customFormat="1" ht="3" customHeight="1" spans="1:14">
      <c r="A16" s="288"/>
      <c r="B16" s="288"/>
      <c r="C16" s="288"/>
      <c r="D16" s="288"/>
      <c r="E16" s="288"/>
      <c r="F16" s="288"/>
      <c r="G16" s="288"/>
      <c r="H16" s="288"/>
      <c r="I16" s="288"/>
      <c r="J16" s="288"/>
      <c r="K16" s="288"/>
      <c r="L16" s="288"/>
      <c r="M16" s="288"/>
      <c r="N16" s="288"/>
    </row>
    <row r="17" s="284" customFormat="1" ht="18.75" spans="2:13">
      <c r="B17" s="336" t="s">
        <v>18</v>
      </c>
      <c r="C17" s="337" t="s">
        <v>19</v>
      </c>
      <c r="D17" s="337" t="s">
        <v>20</v>
      </c>
      <c r="E17" s="337"/>
      <c r="F17" s="338" t="s">
        <v>21</v>
      </c>
      <c r="G17" s="339" t="s">
        <v>22</v>
      </c>
      <c r="H17" s="340" t="s">
        <v>23</v>
      </c>
      <c r="J17" s="386" t="s">
        <v>24</v>
      </c>
      <c r="K17" s="386"/>
      <c r="L17" s="386"/>
      <c r="M17" s="386"/>
    </row>
    <row r="18" s="284" customFormat="1" ht="16.5" spans="2:13">
      <c r="B18" s="341">
        <v>1</v>
      </c>
      <c r="C18" s="342" t="s">
        <v>25</v>
      </c>
      <c r="D18" s="343" t="s">
        <v>26</v>
      </c>
      <c r="E18" s="343"/>
      <c r="F18" s="344"/>
      <c r="G18" s="345">
        <f>'（居民）工资表-2月'!E18</f>
        <v>124775.78</v>
      </c>
      <c r="H18" s="346"/>
      <c r="J18" s="386"/>
      <c r="K18" s="386"/>
      <c r="L18" s="386"/>
      <c r="M18" s="386"/>
    </row>
    <row r="19" s="284" customFormat="1" ht="16.5" spans="2:13">
      <c r="B19" s="341">
        <v>2</v>
      </c>
      <c r="C19" s="342"/>
      <c r="D19" s="347" t="s">
        <v>27</v>
      </c>
      <c r="E19" s="348" t="s">
        <v>28</v>
      </c>
      <c r="F19" s="344"/>
      <c r="G19" s="345"/>
      <c r="H19" s="349"/>
      <c r="J19" s="386"/>
      <c r="K19" s="386"/>
      <c r="L19" s="386"/>
      <c r="M19" s="386"/>
    </row>
    <row r="20" s="284" customFormat="1" ht="16.5" spans="2:13">
      <c r="B20" s="341">
        <v>3</v>
      </c>
      <c r="C20" s="342"/>
      <c r="D20" s="347" t="s">
        <v>29</v>
      </c>
      <c r="E20" s="348" t="s">
        <v>28</v>
      </c>
      <c r="F20" s="344"/>
      <c r="G20" s="345"/>
      <c r="H20" s="349"/>
      <c r="J20" s="386"/>
      <c r="K20" s="386"/>
      <c r="L20" s="386"/>
      <c r="M20" s="386"/>
    </row>
    <row r="21" s="284" customFormat="1" ht="16.5" spans="2:13">
      <c r="B21" s="341">
        <v>6</v>
      </c>
      <c r="C21" s="342"/>
      <c r="D21" s="350" t="s">
        <v>30</v>
      </c>
      <c r="E21" s="350"/>
      <c r="F21" s="344"/>
      <c r="G21" s="351">
        <f>G18+G19+G20</f>
        <v>124775.78</v>
      </c>
      <c r="H21" s="352"/>
      <c r="J21" s="386"/>
      <c r="K21" s="386"/>
      <c r="L21" s="386"/>
      <c r="M21" s="386"/>
    </row>
    <row r="22" s="284" customFormat="1" ht="16.5" spans="2:13">
      <c r="B22" s="341">
        <v>7</v>
      </c>
      <c r="C22" s="342" t="s">
        <v>31</v>
      </c>
      <c r="D22" s="350" t="s">
        <v>32</v>
      </c>
      <c r="E22" s="350"/>
      <c r="F22" s="344"/>
      <c r="G22" s="351"/>
      <c r="H22" s="346"/>
      <c r="J22" s="386"/>
      <c r="K22" s="386"/>
      <c r="L22" s="386"/>
      <c r="M22" s="386"/>
    </row>
    <row r="23" s="284" customFormat="1" ht="17" customHeight="1" spans="2:13">
      <c r="B23" s="341">
        <v>8</v>
      </c>
      <c r="C23" s="353" t="s">
        <v>33</v>
      </c>
      <c r="D23" s="354">
        <v>0.056</v>
      </c>
      <c r="E23" s="354"/>
      <c r="F23" s="354"/>
      <c r="G23" s="351"/>
      <c r="H23" s="346"/>
      <c r="J23" s="386"/>
      <c r="K23" s="386"/>
      <c r="L23" s="386"/>
      <c r="M23" s="386"/>
    </row>
    <row r="24" s="284" customFormat="1" ht="16.5" spans="2:8">
      <c r="B24" s="355" t="s">
        <v>34</v>
      </c>
      <c r="C24" s="356"/>
      <c r="D24" s="356"/>
      <c r="E24" s="356"/>
      <c r="F24" s="356"/>
      <c r="G24" s="357">
        <f>G21+G22+G23+J26</f>
        <v>124775.78</v>
      </c>
      <c r="H24" s="358"/>
    </row>
    <row r="25" s="284" customFormat="1" ht="16" customHeight="1" spans="2:8">
      <c r="B25" s="359" t="s">
        <v>35</v>
      </c>
      <c r="C25" s="360"/>
      <c r="D25" s="360"/>
      <c r="E25" s="360"/>
      <c r="F25" s="360"/>
      <c r="G25" s="361">
        <f>G24</f>
        <v>124775.78</v>
      </c>
      <c r="H25" s="362"/>
    </row>
    <row r="26" s="284" customFormat="1" ht="14.25"/>
  </sheetData>
  <mergeCells count="31">
    <mergeCell ref="A1:N1"/>
    <mergeCell ref="B4:F4"/>
    <mergeCell ref="B7:H7"/>
    <mergeCell ref="I7:J7"/>
    <mergeCell ref="B8:D8"/>
    <mergeCell ref="E8:H8"/>
    <mergeCell ref="J8:N8"/>
    <mergeCell ref="B9:D9"/>
    <mergeCell ref="E9:H9"/>
    <mergeCell ref="J9:N9"/>
    <mergeCell ref="B10:C10"/>
    <mergeCell ref="E10:G10"/>
    <mergeCell ref="J10:N10"/>
    <mergeCell ref="B11:C11"/>
    <mergeCell ref="E11:G11"/>
    <mergeCell ref="B12:C12"/>
    <mergeCell ref="E12:G12"/>
    <mergeCell ref="K12:N12"/>
    <mergeCell ref="B13:C13"/>
    <mergeCell ref="E13:G13"/>
    <mergeCell ref="K13:N13"/>
    <mergeCell ref="A15:N15"/>
    <mergeCell ref="D17:E17"/>
    <mergeCell ref="D18:E18"/>
    <mergeCell ref="D21:E21"/>
    <mergeCell ref="D22:E22"/>
    <mergeCell ref="D23:F23"/>
    <mergeCell ref="B24:F24"/>
    <mergeCell ref="B25:F25"/>
    <mergeCell ref="C18:C21"/>
    <mergeCell ref="J17:M23"/>
  </mergeCells>
  <conditionalFormatting sqref="G20:H20 C21:H21 F19:F22">
    <cfRule type="cellIs" dxfId="0" priority="2" stopIfTrue="1" operator="equal">
      <formula>"現金"</formula>
    </cfRule>
    <cfRule type="cellIs" dxfId="1" priority="1" stopIfTrue="1" operator="equal">
      <formula>"信用卡"</formula>
    </cfRule>
  </conditionalFormatting>
  <pageMargins left="0.75" right="0.75" top="1" bottom="1" header="0.5" footer="0.5"/>
  <headerFooter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7"/>
    </sheetView>
  </sheetViews>
  <sheetFormatPr defaultColWidth="9" defaultRowHeight="13.5"/>
  <cols>
    <col min="1" max="1" width="4.5" style="34" customWidth="1"/>
    <col min="2" max="2" width="12.625" style="34" customWidth="1"/>
    <col min="3" max="3" width="10.5" style="34" customWidth="1"/>
    <col min="4" max="4" width="8.75" style="34" customWidth="1"/>
    <col min="5" max="5" width="19.5" style="35" customWidth="1"/>
    <col min="6" max="6" width="9" style="34"/>
    <col min="7" max="7" width="11.875" style="36" customWidth="1"/>
    <col min="8" max="8" width="4.625" style="34" hidden="1" customWidth="1"/>
    <col min="9" max="9" width="5.25" style="34" hidden="1" customWidth="1"/>
    <col min="10" max="10" width="11.75" style="37" customWidth="1"/>
    <col min="11" max="11" width="5.25" style="34" customWidth="1"/>
    <col min="12" max="12" width="11.75" style="34" customWidth="1"/>
    <col min="13" max="13" width="12.5" style="34" customWidth="1" outlineLevel="1"/>
    <col min="14" max="15" width="9" style="34" customWidth="1" outlineLevel="1"/>
    <col min="16" max="16" width="11.125" style="34" customWidth="1" outlineLevel="1"/>
    <col min="17" max="17" width="9.75" style="34" customWidth="1"/>
    <col min="18" max="18" width="9.5" style="34" customWidth="1"/>
    <col min="19" max="19" width="13.375" style="34" customWidth="1"/>
    <col min="20" max="21" width="12.25" style="34" customWidth="1"/>
    <col min="22" max="27" width="9" style="34" customWidth="1" outlineLevel="1"/>
    <col min="28" max="28" width="11.25" style="34" customWidth="1"/>
    <col min="29" max="29" width="8.5" style="34" customWidth="1"/>
    <col min="30" max="30" width="15.25" style="34" customWidth="1"/>
    <col min="31" max="31" width="13.375" style="34" customWidth="1"/>
    <col min="32" max="32" width="10.75" style="34" customWidth="1"/>
    <col min="33" max="33" width="12.25" style="34" customWidth="1"/>
    <col min="34" max="34" width="11.5" style="34" customWidth="1"/>
    <col min="35" max="35" width="7.875" style="38" customWidth="1"/>
    <col min="36" max="36" width="11.5" style="34" customWidth="1"/>
    <col min="37" max="37" width="9" style="34"/>
    <col min="38" max="38" width="11.5" style="34" customWidth="1"/>
    <col min="39" max="40" width="9" style="34" customWidth="1"/>
    <col min="41" max="41" width="19" style="34" customWidth="1"/>
    <col min="42" max="42" width="12.25" style="34" customWidth="1"/>
    <col min="43" max="43" width="9" style="34"/>
    <col min="44" max="44" width="7" style="34" customWidth="1"/>
    <col min="45" max="45" width="6.75" style="34" customWidth="1"/>
    <col min="46" max="46" width="6.125" style="34" customWidth="1"/>
    <col min="47" max="16384" width="9" style="34"/>
  </cols>
  <sheetData>
    <row r="1" s="29" customFormat="1" ht="29.25" customHeight="1" spans="1:45">
      <c r="A1" s="39" t="s">
        <v>36</v>
      </c>
      <c r="B1" s="40"/>
      <c r="C1" s="41"/>
      <c r="D1" s="42"/>
      <c r="E1" s="43"/>
      <c r="F1" s="43"/>
      <c r="G1" s="44"/>
      <c r="J1" s="79"/>
      <c r="L1" s="80"/>
      <c r="M1" s="81" t="s">
        <v>37</v>
      </c>
      <c r="N1" s="81"/>
      <c r="O1" s="81"/>
      <c r="P1" s="81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80"/>
      <c r="AE1" s="80"/>
      <c r="AF1" s="80"/>
      <c r="AG1" s="80"/>
      <c r="AH1" s="80"/>
      <c r="AI1" s="116"/>
      <c r="AJ1" s="80"/>
      <c r="AK1" s="80"/>
      <c r="AL1" s="80"/>
      <c r="AM1" s="43"/>
      <c r="AN1" s="43"/>
      <c r="AO1" s="126"/>
      <c r="AP1" s="43"/>
      <c r="AQ1" s="43"/>
      <c r="AR1" s="43"/>
      <c r="AS1" s="43"/>
    </row>
    <row r="2" s="30" customFormat="1" ht="20.1" customHeight="1" spans="1:46">
      <c r="A2" s="45" t="s">
        <v>18</v>
      </c>
      <c r="B2" s="46" t="s">
        <v>38</v>
      </c>
      <c r="C2" s="47" t="s">
        <v>39</v>
      </c>
      <c r="D2" s="47" t="s">
        <v>40</v>
      </c>
      <c r="E2" s="48" t="s">
        <v>41</v>
      </c>
      <c r="F2" s="49" t="s">
        <v>42</v>
      </c>
      <c r="G2" s="48" t="s">
        <v>43</v>
      </c>
      <c r="H2" s="48" t="s">
        <v>44</v>
      </c>
      <c r="I2" s="48" t="s">
        <v>45</v>
      </c>
      <c r="J2" s="82" t="s">
        <v>46</v>
      </c>
      <c r="K2" s="48" t="s">
        <v>47</v>
      </c>
      <c r="L2" s="48" t="s">
        <v>48</v>
      </c>
      <c r="M2" s="83" t="s">
        <v>49</v>
      </c>
      <c r="N2" s="84"/>
      <c r="O2" s="84"/>
      <c r="P2" s="85"/>
      <c r="Q2" s="49" t="s">
        <v>50</v>
      </c>
      <c r="R2" s="48" t="s">
        <v>51</v>
      </c>
      <c r="S2" s="49" t="s">
        <v>52</v>
      </c>
      <c r="T2" s="103" t="s">
        <v>53</v>
      </c>
      <c r="U2" s="49" t="s">
        <v>54</v>
      </c>
      <c r="V2" s="104" t="s">
        <v>55</v>
      </c>
      <c r="W2" s="105"/>
      <c r="X2" s="105"/>
      <c r="Y2" s="105"/>
      <c r="Z2" s="105"/>
      <c r="AA2" s="111"/>
      <c r="AB2" s="49" t="s">
        <v>56</v>
      </c>
      <c r="AC2" s="49" t="s">
        <v>57</v>
      </c>
      <c r="AD2" s="103" t="s">
        <v>58</v>
      </c>
      <c r="AE2" s="103" t="s">
        <v>59</v>
      </c>
      <c r="AF2" s="103" t="s">
        <v>60</v>
      </c>
      <c r="AG2" s="103" t="s">
        <v>61</v>
      </c>
      <c r="AH2" s="117" t="s">
        <v>62</v>
      </c>
      <c r="AI2" s="118" t="s">
        <v>63</v>
      </c>
      <c r="AJ2" s="117" t="s">
        <v>64</v>
      </c>
      <c r="AK2" s="47" t="s">
        <v>65</v>
      </c>
      <c r="AL2" s="117" t="s">
        <v>66</v>
      </c>
      <c r="AM2" s="48" t="s">
        <v>67</v>
      </c>
      <c r="AN2" s="48" t="s">
        <v>68</v>
      </c>
      <c r="AO2" s="127" t="s">
        <v>69</v>
      </c>
      <c r="AP2" s="48" t="s">
        <v>70</v>
      </c>
      <c r="AQ2" s="48" t="s">
        <v>71</v>
      </c>
      <c r="AR2" s="49" t="s">
        <v>72</v>
      </c>
      <c r="AS2" s="49" t="s">
        <v>73</v>
      </c>
      <c r="AT2" s="49" t="s">
        <v>74</v>
      </c>
    </row>
    <row r="3" s="30" customFormat="1" ht="27" customHeight="1" spans="1:46">
      <c r="A3" s="50"/>
      <c r="B3" s="51"/>
      <c r="C3" s="52"/>
      <c r="D3" s="52"/>
      <c r="E3" s="53"/>
      <c r="F3" s="54"/>
      <c r="G3" s="53"/>
      <c r="H3" s="53"/>
      <c r="I3" s="53"/>
      <c r="J3" s="86"/>
      <c r="K3" s="53"/>
      <c r="L3" s="53"/>
      <c r="M3" s="87" t="s">
        <v>75</v>
      </c>
      <c r="N3" s="87" t="s">
        <v>76</v>
      </c>
      <c r="O3" s="87" t="s">
        <v>77</v>
      </c>
      <c r="P3" s="87" t="s">
        <v>78</v>
      </c>
      <c r="Q3" s="54"/>
      <c r="R3" s="53"/>
      <c r="S3" s="54"/>
      <c r="T3" s="106"/>
      <c r="U3" s="54"/>
      <c r="V3" s="107" t="s">
        <v>79</v>
      </c>
      <c r="W3" s="107" t="s">
        <v>80</v>
      </c>
      <c r="X3" s="107" t="s">
        <v>81</v>
      </c>
      <c r="Y3" s="107" t="s">
        <v>82</v>
      </c>
      <c r="Z3" s="107" t="s">
        <v>83</v>
      </c>
      <c r="AA3" s="107" t="s">
        <v>84</v>
      </c>
      <c r="AB3" s="54"/>
      <c r="AC3" s="54"/>
      <c r="AD3" s="106"/>
      <c r="AE3" s="106"/>
      <c r="AF3" s="106"/>
      <c r="AG3" s="106"/>
      <c r="AH3" s="119"/>
      <c r="AI3" s="120"/>
      <c r="AJ3" s="119"/>
      <c r="AK3" s="52"/>
      <c r="AL3" s="119"/>
      <c r="AM3" s="53"/>
      <c r="AN3" s="53"/>
      <c r="AO3" s="128"/>
      <c r="AP3" s="53"/>
      <c r="AQ3" s="53"/>
      <c r="AR3" s="54"/>
      <c r="AS3" s="54"/>
      <c r="AT3" s="54"/>
    </row>
    <row r="4" s="31" customFormat="1" ht="18" customHeight="1" spans="1:46">
      <c r="A4" s="55">
        <v>1</v>
      </c>
      <c r="B4" s="56" t="s">
        <v>85</v>
      </c>
      <c r="C4" s="56" t="s">
        <v>86</v>
      </c>
      <c r="D4" s="56" t="s">
        <v>87</v>
      </c>
      <c r="E4" s="56" t="s">
        <v>88</v>
      </c>
      <c r="F4" s="57" t="s">
        <v>210</v>
      </c>
      <c r="G4" s="58">
        <v>18035163638</v>
      </c>
      <c r="H4" s="59"/>
      <c r="I4" s="59"/>
      <c r="J4" s="88"/>
      <c r="K4" s="59"/>
      <c r="L4" s="89">
        <v>8660</v>
      </c>
      <c r="M4" s="90">
        <v>264</v>
      </c>
      <c r="N4" s="90">
        <v>66</v>
      </c>
      <c r="O4" s="90">
        <v>9.9</v>
      </c>
      <c r="P4" s="90">
        <v>180</v>
      </c>
      <c r="Q4" s="108">
        <f>ROUND(SUM(M4:P4),2)</f>
        <v>519.9</v>
      </c>
      <c r="R4" s="89">
        <v>0</v>
      </c>
      <c r="S4" s="109">
        <f>L4+IFERROR(VLOOKUP($E:$E,'（居民）工资表-7月'!$E:$S,15,0),0)</f>
        <v>66210</v>
      </c>
      <c r="T4" s="110">
        <f>5000+IFERROR(VLOOKUP($E:$E,'（居民）工资表-7月'!$E:$T,16,0),0)</f>
        <v>40000</v>
      </c>
      <c r="U4" s="110">
        <f>Q4+IFERROR(VLOOKUP($E:$E,'（居民）工资表-7月'!$E:$U,17,0),0)</f>
        <v>4159.2</v>
      </c>
      <c r="V4" s="89"/>
      <c r="W4" s="89"/>
      <c r="X4" s="89">
        <v>8000</v>
      </c>
      <c r="Y4" s="89"/>
      <c r="Z4" s="89"/>
      <c r="AA4" s="89"/>
      <c r="AB4" s="109">
        <f>ROUND(SUM(V4:AA4),2)</f>
        <v>8000</v>
      </c>
      <c r="AC4" s="109">
        <f>R4+IFERROR(VLOOKUP($E:$E,'（居民）工资表-7月'!$E:$AC,25,0),0)</f>
        <v>0</v>
      </c>
      <c r="AD4" s="112">
        <f>ROUND(S4-T4-U4-AB4-AC4,2)</f>
        <v>14050.8</v>
      </c>
      <c r="AE4" s="113">
        <f>ROUND(MAX((AD4)*{0.03;0.1;0.2;0.25;0.3;0.35;0.45}-{0;2520;16920;31920;52920;85920;181920},0),2)</f>
        <v>421.52</v>
      </c>
      <c r="AF4" s="114">
        <f>IFERROR(VLOOKUP(E:E,'（居民）工资表-7月'!E:AF,28,0)+VLOOKUP(E:E,'（居民）工资表-7月'!E:AG,29,0),0)</f>
        <v>357.32</v>
      </c>
      <c r="AG4" s="114">
        <f>IF((AE4-AF4)&lt;0,0,AE4-AF4)</f>
        <v>64.2</v>
      </c>
      <c r="AH4" s="121">
        <f>ROUND(IF((L4-Q4-AG4)&lt;0,0,(L4-Q4-AG4)),2)</f>
        <v>8075.9</v>
      </c>
      <c r="AI4" s="122"/>
      <c r="AJ4" s="121">
        <f>AH4+AI4</f>
        <v>8075.9</v>
      </c>
      <c r="AK4" s="123"/>
      <c r="AL4" s="121">
        <f>AJ4+AG4+AK4</f>
        <v>8140.1</v>
      </c>
      <c r="AM4" s="123"/>
      <c r="AN4" s="123"/>
      <c r="AO4" s="123"/>
      <c r="AP4" s="123"/>
      <c r="AQ4" s="123"/>
      <c r="AR4" s="129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29" t="str">
        <f>IF(SUMPRODUCT(N(E$1:E$7=E4))&gt;1,"重复","不")</f>
        <v>不</v>
      </c>
      <c r="AT4" s="129" t="str">
        <f>IF(SUMPRODUCT(N(AO$1:AO$7=AO4))&gt;1,"重复","不")</f>
        <v>重复</v>
      </c>
    </row>
    <row r="5" s="31" customFormat="1" ht="18" customHeight="1" spans="1:46">
      <c r="A5" s="55">
        <v>2</v>
      </c>
      <c r="B5" s="56" t="s">
        <v>85</v>
      </c>
      <c r="C5" s="56" t="s">
        <v>154</v>
      </c>
      <c r="D5" s="56" t="s">
        <v>87</v>
      </c>
      <c r="E5" s="56" t="s">
        <v>155</v>
      </c>
      <c r="F5" s="57" t="s">
        <v>210</v>
      </c>
      <c r="G5" s="58">
        <v>13944441728</v>
      </c>
      <c r="H5" s="59"/>
      <c r="I5" s="59"/>
      <c r="J5" s="88"/>
      <c r="K5" s="59"/>
      <c r="L5" s="89">
        <v>6921</v>
      </c>
      <c r="M5" s="90">
        <v>244.24</v>
      </c>
      <c r="N5" s="90">
        <v>61.06</v>
      </c>
      <c r="O5" s="90">
        <v>9.16</v>
      </c>
      <c r="P5" s="90">
        <v>79</v>
      </c>
      <c r="Q5" s="108">
        <f>ROUND(SUM(M5:P5),2)</f>
        <v>393.46</v>
      </c>
      <c r="R5" s="89">
        <v>0</v>
      </c>
      <c r="S5" s="109">
        <f>L5+IFERROR(VLOOKUP($E:$E,'（居民）工资表-7月'!$E:$S,15,0),0)</f>
        <v>35061</v>
      </c>
      <c r="T5" s="110">
        <f>5000+IFERROR(VLOOKUP($E:$E,'（居民）工资表-7月'!$E:$T,16,0),0)</f>
        <v>25000</v>
      </c>
      <c r="U5" s="110">
        <f>Q5+IFERROR(VLOOKUP($E:$E,'（居民）工资表-7月'!$E:$U,17,0),0)</f>
        <v>2360.76</v>
      </c>
      <c r="V5" s="89"/>
      <c r="W5" s="89"/>
      <c r="X5" s="89"/>
      <c r="Y5" s="89"/>
      <c r="Z5" s="89"/>
      <c r="AA5" s="89"/>
      <c r="AB5" s="109">
        <f>ROUND(SUM(V5:AA5),2)</f>
        <v>0</v>
      </c>
      <c r="AC5" s="109">
        <f>R5+IFERROR(VLOOKUP($E:$E,'（居民）工资表-7月'!$E:$AC,25,0),0)</f>
        <v>0</v>
      </c>
      <c r="AD5" s="112">
        <f>ROUND(S5-T5-U5-AB5-AC5,2)</f>
        <v>7700.24</v>
      </c>
      <c r="AE5" s="113">
        <f>ROUND(MAX((AD5)*{0.03;0.1;0.2;0.25;0.3;0.35;0.45}-{0;2520;16920;31920;52920;85920;181920},0),2)</f>
        <v>231.01</v>
      </c>
      <c r="AF5" s="114">
        <f>IFERROR(VLOOKUP(E:E,'（居民）工资表-7月'!E:AF,28,0)+VLOOKUP(E:E,'（居民）工资表-7月'!E:AG,29,0),0)</f>
        <v>185.18</v>
      </c>
      <c r="AG5" s="114">
        <f>IF((AE5-AF5)&lt;0,0,AE5-AF5)</f>
        <v>45.83</v>
      </c>
      <c r="AH5" s="121">
        <f>ROUND(IF((L5-Q5-AG5)&lt;0,0,(L5-Q5-AG5)),2)</f>
        <v>6481.71</v>
      </c>
      <c r="AI5" s="122"/>
      <c r="AJ5" s="121">
        <f>AH5+AI5</f>
        <v>6481.71</v>
      </c>
      <c r="AK5" s="123"/>
      <c r="AL5" s="121">
        <f>AJ5+AG5+AK5</f>
        <v>6527.54</v>
      </c>
      <c r="AM5" s="123"/>
      <c r="AN5" s="123"/>
      <c r="AO5" s="123"/>
      <c r="AP5" s="123"/>
      <c r="AQ5" s="123"/>
      <c r="AR5" s="129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29" t="str">
        <f>IF(SUMPRODUCT(N(E$1:E$7=E5))&gt;1,"重复","不")</f>
        <v>不</v>
      </c>
      <c r="AT5" s="129" t="str">
        <f>IF(SUMPRODUCT(N(AO$1:AO$7=AO5))&gt;1,"重复","不")</f>
        <v>重复</v>
      </c>
    </row>
    <row r="6" s="31" customFormat="1" ht="18" customHeight="1" spans="1:46">
      <c r="A6" s="55">
        <v>3</v>
      </c>
      <c r="B6" s="56" t="s">
        <v>85</v>
      </c>
      <c r="C6" s="56" t="s">
        <v>160</v>
      </c>
      <c r="D6" s="56" t="s">
        <v>87</v>
      </c>
      <c r="E6" s="390" t="s">
        <v>161</v>
      </c>
      <c r="F6" s="57" t="s">
        <v>210</v>
      </c>
      <c r="G6" s="58">
        <v>18607383005</v>
      </c>
      <c r="H6" s="59"/>
      <c r="I6" s="59"/>
      <c r="J6" s="88"/>
      <c r="K6" s="59"/>
      <c r="L6" s="89">
        <v>24800</v>
      </c>
      <c r="M6" s="90">
        <f>320</f>
        <v>320</v>
      </c>
      <c r="N6" s="90">
        <f>80</f>
        <v>80</v>
      </c>
      <c r="O6" s="90">
        <f>12</f>
        <v>12</v>
      </c>
      <c r="P6" s="90">
        <v>200</v>
      </c>
      <c r="Q6" s="108">
        <f>ROUND(SUM(M6:P6),2)</f>
        <v>612</v>
      </c>
      <c r="R6" s="89">
        <v>0</v>
      </c>
      <c r="S6" s="109">
        <f>L6+IFERROR(VLOOKUP($E:$E,'（居民）工资表-7月'!$E:$S,15,0),0)</f>
        <v>86504.76</v>
      </c>
      <c r="T6" s="110">
        <f>5000+IFERROR(VLOOKUP($E:$E,'（居民）工资表-7月'!$E:$T,16,0),0)</f>
        <v>20000</v>
      </c>
      <c r="U6" s="110">
        <f>Q6+IFERROR(VLOOKUP($E:$E,'（居民）工资表-7月'!$E:$U,17,0),0)</f>
        <v>2534.67</v>
      </c>
      <c r="V6" s="89"/>
      <c r="W6" s="89"/>
      <c r="X6" s="89"/>
      <c r="Y6" s="89"/>
      <c r="Z6" s="89"/>
      <c r="AA6" s="89"/>
      <c r="AB6" s="109">
        <f>ROUND(SUM(V6:AA6),2)</f>
        <v>0</v>
      </c>
      <c r="AC6" s="109">
        <f>R6+IFERROR(VLOOKUP($E:$E,'（居民）工资表-7月'!$E:$AC,25,0),0)</f>
        <v>0</v>
      </c>
      <c r="AD6" s="112">
        <f>ROUND(S6-T6-U6-AB6-AC6,2)</f>
        <v>63970.09</v>
      </c>
      <c r="AE6" s="113">
        <f>ROUND(MAX((AD6)*{0.03;0.1;0.2;0.25;0.3;0.35;0.45}-{0;2520;16920;31920;52920;85920;181920},0),2)</f>
        <v>3877.01</v>
      </c>
      <c r="AF6" s="114">
        <f>IFERROR(VLOOKUP(E:E,'（居民）工资表-7月'!E:AF,28,0)+VLOOKUP(E:E,'（居民）工资表-7月'!E:AG,29,0),0)</f>
        <v>1958.21</v>
      </c>
      <c r="AG6" s="114">
        <f>IF((AE6-AF6)&lt;0,0,AE6-AF6)</f>
        <v>1918.8</v>
      </c>
      <c r="AH6" s="121">
        <f>ROUND(IF((L6-Q6-AG6)&lt;0,0,(L6-Q6-AG6)),2)</f>
        <v>22269.2</v>
      </c>
      <c r="AI6" s="122"/>
      <c r="AJ6" s="121">
        <f>AH6+AI6</f>
        <v>22269.2</v>
      </c>
      <c r="AK6" s="123"/>
      <c r="AL6" s="121">
        <f>AJ6+AG6+AK6</f>
        <v>24188</v>
      </c>
      <c r="AM6" s="123"/>
      <c r="AN6" s="123"/>
      <c r="AO6" s="123"/>
      <c r="AP6" s="123"/>
      <c r="AQ6" s="123"/>
      <c r="AR6" s="129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29" t="str">
        <f>IF(SUMPRODUCT(N(E$1:E$7=E6))&gt;1,"重复","不")</f>
        <v>不</v>
      </c>
      <c r="AT6" s="129" t="str">
        <f>IF(SUMPRODUCT(N(AO$1:AO$7=AO6))&gt;1,"重复","不")</f>
        <v>重复</v>
      </c>
    </row>
    <row r="7" s="31" customFormat="1" ht="18" customHeight="1" spans="1:46">
      <c r="A7" s="55">
        <v>4</v>
      </c>
      <c r="B7" s="56" t="s">
        <v>85</v>
      </c>
      <c r="C7" s="56" t="s">
        <v>170</v>
      </c>
      <c r="D7" s="56" t="s">
        <v>87</v>
      </c>
      <c r="E7" s="390" t="s">
        <v>171</v>
      </c>
      <c r="F7" s="57" t="str">
        <f>IF(MOD(MID(E7,17,1),2)=1,"男","女")</f>
        <v>女</v>
      </c>
      <c r="G7" s="58">
        <v>15360550807</v>
      </c>
      <c r="H7" s="59"/>
      <c r="I7" s="59"/>
      <c r="J7" s="88"/>
      <c r="K7" s="59"/>
      <c r="L7" s="89">
        <v>4560</v>
      </c>
      <c r="M7" s="90"/>
      <c r="N7" s="90"/>
      <c r="O7" s="90"/>
      <c r="P7" s="90"/>
      <c r="Q7" s="108">
        <f>ROUND(SUM(M7:P7),2)</f>
        <v>0</v>
      </c>
      <c r="R7" s="89">
        <v>0</v>
      </c>
      <c r="S7" s="109">
        <f>L7+IFERROR(VLOOKUP($E:$E,'（居民）工资表-7月'!$E:$S,15,0),0)</f>
        <v>8083.63636363636</v>
      </c>
      <c r="T7" s="110">
        <f>5000+IFERROR(VLOOKUP($E:$E,'（居民）工资表-7月'!$E:$T,16,0),0)</f>
        <v>10000</v>
      </c>
      <c r="U7" s="110">
        <f>Q7+IFERROR(VLOOKUP($E:$E,'（居民）工资表-7月'!$E:$U,17,0),0)</f>
        <v>0</v>
      </c>
      <c r="V7" s="89"/>
      <c r="W7" s="89"/>
      <c r="X7" s="89"/>
      <c r="Y7" s="89"/>
      <c r="Z7" s="89"/>
      <c r="AA7" s="89"/>
      <c r="AB7" s="109">
        <f>ROUND(SUM(V7:AA7),2)</f>
        <v>0</v>
      </c>
      <c r="AC7" s="109">
        <f>R7+IFERROR(VLOOKUP($E:$E,'（居民）工资表-7月'!$E:$AC,25,0),0)</f>
        <v>0</v>
      </c>
      <c r="AD7" s="112">
        <f>ROUND(S7-T7-U7-AB7-AC7,2)</f>
        <v>-1916.36</v>
      </c>
      <c r="AE7" s="113">
        <f>ROUND(MAX((AD7)*{0.03;0.1;0.2;0.25;0.3;0.35;0.45}-{0;2520;16920;31920;52920;85920;181920},0),2)</f>
        <v>0</v>
      </c>
      <c r="AF7" s="114">
        <f>IFERROR(VLOOKUP(E:E,'（居民）工资表-7月'!E:AF,28,0)+VLOOKUP(E:E,'（居民）工资表-7月'!E:AG,29,0),0)</f>
        <v>0</v>
      </c>
      <c r="AG7" s="114">
        <f>IF((AE7-AF7)&lt;0,0,AE7-AF7)</f>
        <v>0</v>
      </c>
      <c r="AH7" s="121">
        <f>ROUND(IF((L7-Q7-AG7)&lt;0,0,(L7-Q7-AG7)),2)</f>
        <v>4560</v>
      </c>
      <c r="AI7" s="122"/>
      <c r="AJ7" s="121">
        <f>AH7+AI7</f>
        <v>4560</v>
      </c>
      <c r="AK7" s="123"/>
      <c r="AL7" s="121">
        <f>AJ7+AG7+AK7</f>
        <v>4560</v>
      </c>
      <c r="AM7" s="123"/>
      <c r="AN7" s="123"/>
      <c r="AO7" s="123"/>
      <c r="AP7" s="123"/>
      <c r="AQ7" s="123"/>
      <c r="AR7" s="129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29" t="str">
        <f>IF(SUMPRODUCT(N(E$1:E$7=E7))&gt;1,"重复","不")</f>
        <v>不</v>
      </c>
      <c r="AT7" s="129" t="str">
        <f>IF(SUMPRODUCT(N(AO$1:AO$7=AO7))&gt;1,"重复","不")</f>
        <v>重复</v>
      </c>
    </row>
    <row r="8" s="32" customFormat="1" ht="18" customHeight="1" spans="1:46">
      <c r="A8" s="60"/>
      <c r="B8" s="61" t="s">
        <v>91</v>
      </c>
      <c r="C8" s="61"/>
      <c r="D8" s="62"/>
      <c r="E8" s="63"/>
      <c r="F8" s="64"/>
      <c r="G8" s="65"/>
      <c r="H8" s="64"/>
      <c r="I8" s="91"/>
      <c r="J8" s="92"/>
      <c r="K8" s="91"/>
      <c r="L8" s="93">
        <f t="shared" ref="L8:AL8" si="0">SUM(L4:L7)</f>
        <v>44941</v>
      </c>
      <c r="M8" s="93">
        <f t="shared" si="0"/>
        <v>828.24</v>
      </c>
      <c r="N8" s="93">
        <f t="shared" si="0"/>
        <v>207.06</v>
      </c>
      <c r="O8" s="93">
        <f t="shared" si="0"/>
        <v>31.06</v>
      </c>
      <c r="P8" s="93">
        <f t="shared" si="0"/>
        <v>459</v>
      </c>
      <c r="Q8" s="93">
        <f t="shared" si="0"/>
        <v>1525.36</v>
      </c>
      <c r="R8" s="93">
        <f t="shared" si="0"/>
        <v>0</v>
      </c>
      <c r="S8" s="93">
        <f t="shared" si="0"/>
        <v>195859.396363636</v>
      </c>
      <c r="T8" s="93">
        <f t="shared" si="0"/>
        <v>95000</v>
      </c>
      <c r="U8" s="93">
        <f t="shared" si="0"/>
        <v>9054.63</v>
      </c>
      <c r="V8" s="93">
        <f t="shared" si="0"/>
        <v>0</v>
      </c>
      <c r="W8" s="93">
        <f t="shared" si="0"/>
        <v>0</v>
      </c>
      <c r="X8" s="93">
        <f t="shared" si="0"/>
        <v>8000</v>
      </c>
      <c r="Y8" s="93">
        <f t="shared" si="0"/>
        <v>0</v>
      </c>
      <c r="Z8" s="93">
        <f t="shared" si="0"/>
        <v>0</v>
      </c>
      <c r="AA8" s="93">
        <f t="shared" si="0"/>
        <v>0</v>
      </c>
      <c r="AB8" s="93">
        <f t="shared" si="0"/>
        <v>8000</v>
      </c>
      <c r="AC8" s="93">
        <f t="shared" si="0"/>
        <v>0</v>
      </c>
      <c r="AD8" s="93">
        <f t="shared" si="0"/>
        <v>83804.77</v>
      </c>
      <c r="AE8" s="93">
        <f t="shared" si="0"/>
        <v>4529.54</v>
      </c>
      <c r="AF8" s="93">
        <f t="shared" si="0"/>
        <v>2500.71</v>
      </c>
      <c r="AG8" s="93">
        <f t="shared" si="0"/>
        <v>2028.83</v>
      </c>
      <c r="AH8" s="93">
        <f t="shared" si="0"/>
        <v>41386.81</v>
      </c>
      <c r="AI8" s="131">
        <f t="shared" si="0"/>
        <v>0</v>
      </c>
      <c r="AJ8" s="93">
        <f t="shared" si="0"/>
        <v>41386.81</v>
      </c>
      <c r="AK8" s="93">
        <f t="shared" si="0"/>
        <v>0</v>
      </c>
      <c r="AL8" s="93">
        <f t="shared" si="0"/>
        <v>43415.64</v>
      </c>
      <c r="AM8" s="124"/>
      <c r="AN8" s="124"/>
      <c r="AO8" s="124"/>
      <c r="AP8" s="124"/>
      <c r="AQ8" s="124"/>
      <c r="AR8" s="64"/>
      <c r="AS8" s="64"/>
      <c r="AT8" s="130"/>
    </row>
    <row r="11" spans="30:30">
      <c r="AD11" s="115"/>
    </row>
    <row r="12" ht="18.75" customHeight="1" spans="2:30">
      <c r="B12" s="66" t="s">
        <v>64</v>
      </c>
      <c r="C12" s="66" t="s">
        <v>92</v>
      </c>
      <c r="D12" s="66" t="s">
        <v>65</v>
      </c>
      <c r="E12" s="66" t="s">
        <v>93</v>
      </c>
      <c r="AD12" s="29"/>
    </row>
    <row r="13" ht="18.75" customHeight="1" spans="2:5">
      <c r="B13" s="67">
        <f>AJ8</f>
        <v>41386.81</v>
      </c>
      <c r="C13" s="67">
        <f>AG8</f>
        <v>2028.83</v>
      </c>
      <c r="D13" s="67">
        <f>AK8</f>
        <v>0</v>
      </c>
      <c r="E13" s="67">
        <f>B13+C13+D13</f>
        <v>43415.64</v>
      </c>
    </row>
    <row r="14" spans="2:5">
      <c r="B14" s="68"/>
      <c r="C14" s="68"/>
      <c r="D14" s="68"/>
      <c r="E14" s="68"/>
    </row>
    <row r="15" s="33" customFormat="1" spans="1:35">
      <c r="A15" s="69" t="s">
        <v>94</v>
      </c>
      <c r="B15" s="70" t="s">
        <v>95</v>
      </c>
      <c r="C15" s="71"/>
      <c r="D15" s="71"/>
      <c r="E15" s="71"/>
      <c r="G15" s="72"/>
      <c r="J15" s="94"/>
      <c r="M15" s="95"/>
      <c r="AI15" s="125"/>
    </row>
    <row r="16" s="33" customFormat="1" spans="1:35">
      <c r="A16" s="73"/>
      <c r="B16" s="74" t="s">
        <v>96</v>
      </c>
      <c r="C16" s="71"/>
      <c r="D16" s="71"/>
      <c r="E16" s="71"/>
      <c r="G16" s="72"/>
      <c r="J16" s="94"/>
      <c r="M16" s="95"/>
      <c r="AI16" s="125"/>
    </row>
    <row r="17" s="33" customFormat="1" spans="1:35">
      <c r="A17" s="70"/>
      <c r="B17" s="74" t="s">
        <v>97</v>
      </c>
      <c r="C17" s="75"/>
      <c r="D17" s="75"/>
      <c r="E17" s="75"/>
      <c r="F17" s="75"/>
      <c r="G17" s="75"/>
      <c r="H17" s="75"/>
      <c r="I17" s="75"/>
      <c r="J17" s="96"/>
      <c r="K17" s="75"/>
      <c r="L17" s="75"/>
      <c r="M17" s="97"/>
      <c r="N17" s="75"/>
      <c r="O17" s="75"/>
      <c r="P17" s="75"/>
      <c r="AI17" s="125"/>
    </row>
    <row r="18" s="33" customFormat="1" customHeight="1" spans="1:35">
      <c r="A18" s="74"/>
      <c r="B18" s="74" t="s">
        <v>98</v>
      </c>
      <c r="C18" s="76"/>
      <c r="D18" s="76"/>
      <c r="E18" s="76"/>
      <c r="F18" s="76"/>
      <c r="G18" s="76"/>
      <c r="H18" s="76"/>
      <c r="I18" s="98"/>
      <c r="J18" s="99"/>
      <c r="K18" s="98"/>
      <c r="L18" s="98"/>
      <c r="M18" s="100"/>
      <c r="N18" s="98"/>
      <c r="O18" s="98"/>
      <c r="P18" s="98"/>
      <c r="AI18" s="125"/>
    </row>
    <row r="19" s="33" customFormat="1" customHeight="1" spans="1:35">
      <c r="A19" s="74"/>
      <c r="B19" s="74" t="s">
        <v>99</v>
      </c>
      <c r="C19" s="76"/>
      <c r="D19" s="76"/>
      <c r="E19" s="76"/>
      <c r="F19" s="76"/>
      <c r="G19" s="76"/>
      <c r="H19" s="76"/>
      <c r="I19" s="76"/>
      <c r="J19" s="101"/>
      <c r="K19" s="76"/>
      <c r="L19" s="98"/>
      <c r="M19" s="100"/>
      <c r="N19" s="98"/>
      <c r="O19" s="98"/>
      <c r="P19" s="98"/>
      <c r="AI19" s="125"/>
    </row>
    <row r="20" s="33" customFormat="1" customHeight="1" spans="1:35">
      <c r="A20" s="74"/>
      <c r="B20" s="74" t="s">
        <v>100</v>
      </c>
      <c r="C20" s="76"/>
      <c r="D20" s="76"/>
      <c r="E20" s="76"/>
      <c r="F20" s="76"/>
      <c r="G20" s="76"/>
      <c r="H20" s="76"/>
      <c r="I20" s="98"/>
      <c r="J20" s="99"/>
      <c r="K20" s="98"/>
      <c r="L20" s="98"/>
      <c r="M20" s="100"/>
      <c r="N20" s="98"/>
      <c r="O20" s="98"/>
      <c r="P20" s="98"/>
      <c r="AI20" s="125"/>
    </row>
    <row r="22" ht="11.25" customHeight="1" spans="2:2">
      <c r="B22" s="77" t="s">
        <v>101</v>
      </c>
    </row>
    <row r="23" spans="2:2">
      <c r="B23" s="78" t="s">
        <v>102</v>
      </c>
    </row>
    <row r="24" spans="2:2">
      <c r="B24" s="78" t="s">
        <v>103</v>
      </c>
    </row>
  </sheetData>
  <autoFilter ref="A3:AT8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0">
    <cfRule type="duplicateValues" dxfId="2" priority="2" stopIfTrue="1"/>
  </conditionalFormatting>
  <conditionalFormatting sqref="B15:B19">
    <cfRule type="duplicateValues" dxfId="2" priority="3" stopIfTrue="1"/>
  </conditionalFormatting>
  <conditionalFormatting sqref="B23:B24">
    <cfRule type="duplicateValues" dxfId="2" priority="1" stopIfTrue="1"/>
  </conditionalFormatting>
  <conditionalFormatting sqref="C12:C14">
    <cfRule type="duplicateValues" dxfId="2" priority="4" stopIfTrue="1"/>
    <cfRule type="expression" dxfId="3" priority="5" stopIfTrue="1">
      <formula>AND(COUNTIF($B$8:$B$65444,C12)+COUNTIF($B$1:$B$3,C12)&gt;1,NOT(ISBLANK(C12)))</formula>
    </cfRule>
    <cfRule type="expression" dxfId="3" priority="6" stopIfTrue="1">
      <formula>AND(COUNTIF($B$19:$B$65395,C12)+COUNTIF($B$1:$B$18,C12)&gt;1,NOT(ISBLANK(C12)))</formula>
    </cfRule>
    <cfRule type="expression" dxfId="3" priority="7" stopIfTrue="1">
      <formula>AND(COUNTIF($B$8:$B$65433,C12)+COUNTIF($B$1:$B$3,C12)&gt;1,NOT(ISBLANK(C12)))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7"/>
    </sheetView>
  </sheetViews>
  <sheetFormatPr defaultColWidth="9" defaultRowHeight="13.5"/>
  <cols>
    <col min="1" max="1" width="4.5" style="34" customWidth="1"/>
    <col min="2" max="2" width="12.625" style="34" customWidth="1"/>
    <col min="3" max="3" width="10.5" style="34" customWidth="1"/>
    <col min="4" max="4" width="8.75" style="34" customWidth="1"/>
    <col min="5" max="5" width="19.5" style="35" customWidth="1"/>
    <col min="6" max="6" width="9" style="34"/>
    <col min="7" max="7" width="11.875" style="36" customWidth="1"/>
    <col min="8" max="8" width="4.625" style="34" hidden="1" customWidth="1"/>
    <col min="9" max="9" width="5.25" style="34" hidden="1" customWidth="1"/>
    <col min="10" max="10" width="11.75" style="37" customWidth="1"/>
    <col min="11" max="11" width="5.25" style="34" customWidth="1"/>
    <col min="12" max="12" width="11.75" style="34" customWidth="1"/>
    <col min="13" max="13" width="12.5" style="34" customWidth="1" outlineLevel="1"/>
    <col min="14" max="15" width="9" style="34" customWidth="1" outlineLevel="1"/>
    <col min="16" max="16" width="11.125" style="34" customWidth="1" outlineLevel="1"/>
    <col min="17" max="17" width="9.75" style="34" customWidth="1"/>
    <col min="18" max="18" width="9.5" style="34" customWidth="1"/>
    <col min="19" max="19" width="13.375" style="34" customWidth="1"/>
    <col min="20" max="21" width="12.25" style="34" customWidth="1"/>
    <col min="22" max="27" width="9" style="34" customWidth="1" outlineLevel="1"/>
    <col min="28" max="28" width="11.25" style="34" customWidth="1"/>
    <col min="29" max="29" width="8.5" style="34" customWidth="1"/>
    <col min="30" max="30" width="15.25" style="34" customWidth="1"/>
    <col min="31" max="31" width="13.375" style="34" customWidth="1"/>
    <col min="32" max="32" width="10.75" style="34" customWidth="1"/>
    <col min="33" max="33" width="12.25" style="34" customWidth="1"/>
    <col min="34" max="34" width="11.5" style="34" customWidth="1"/>
    <col min="35" max="35" width="7.875" style="38" customWidth="1"/>
    <col min="36" max="36" width="11.5" style="34" customWidth="1"/>
    <col min="37" max="37" width="9" style="34"/>
    <col min="38" max="38" width="11.5" style="34" customWidth="1"/>
    <col min="39" max="40" width="9" style="34" customWidth="1"/>
    <col min="41" max="41" width="19" style="34" customWidth="1"/>
    <col min="42" max="42" width="12.25" style="34" customWidth="1"/>
    <col min="43" max="43" width="9" style="34"/>
    <col min="44" max="44" width="7" style="34" customWidth="1"/>
    <col min="45" max="45" width="6.75" style="34" customWidth="1"/>
    <col min="46" max="46" width="6.125" style="34" customWidth="1"/>
    <col min="47" max="16384" width="9" style="34"/>
  </cols>
  <sheetData>
    <row r="1" s="29" customFormat="1" ht="29.25" customHeight="1" spans="1:45">
      <c r="A1" s="39" t="s">
        <v>36</v>
      </c>
      <c r="B1" s="40"/>
      <c r="C1" s="41"/>
      <c r="D1" s="42"/>
      <c r="E1" s="43"/>
      <c r="F1" s="43"/>
      <c r="G1" s="44"/>
      <c r="J1" s="79"/>
      <c r="L1" s="80"/>
      <c r="M1" s="81" t="s">
        <v>37</v>
      </c>
      <c r="N1" s="81"/>
      <c r="O1" s="81"/>
      <c r="P1" s="81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80"/>
      <c r="AE1" s="80"/>
      <c r="AF1" s="80"/>
      <c r="AG1" s="80"/>
      <c r="AH1" s="80"/>
      <c r="AI1" s="116"/>
      <c r="AJ1" s="80"/>
      <c r="AK1" s="80"/>
      <c r="AL1" s="80"/>
      <c r="AM1" s="43"/>
      <c r="AN1" s="43"/>
      <c r="AO1" s="126"/>
      <c r="AP1" s="43"/>
      <c r="AQ1" s="43"/>
      <c r="AR1" s="43"/>
      <c r="AS1" s="43"/>
    </row>
    <row r="2" s="30" customFormat="1" ht="20.1" customHeight="1" spans="1:46">
      <c r="A2" s="45" t="s">
        <v>18</v>
      </c>
      <c r="B2" s="46" t="s">
        <v>38</v>
      </c>
      <c r="C2" s="47" t="s">
        <v>39</v>
      </c>
      <c r="D2" s="47" t="s">
        <v>40</v>
      </c>
      <c r="E2" s="48" t="s">
        <v>41</v>
      </c>
      <c r="F2" s="49" t="s">
        <v>42</v>
      </c>
      <c r="G2" s="48" t="s">
        <v>43</v>
      </c>
      <c r="H2" s="48" t="s">
        <v>44</v>
      </c>
      <c r="I2" s="48" t="s">
        <v>45</v>
      </c>
      <c r="J2" s="82" t="s">
        <v>46</v>
      </c>
      <c r="K2" s="48" t="s">
        <v>47</v>
      </c>
      <c r="L2" s="48" t="s">
        <v>48</v>
      </c>
      <c r="M2" s="83" t="s">
        <v>49</v>
      </c>
      <c r="N2" s="84"/>
      <c r="O2" s="84"/>
      <c r="P2" s="85"/>
      <c r="Q2" s="49" t="s">
        <v>50</v>
      </c>
      <c r="R2" s="48" t="s">
        <v>51</v>
      </c>
      <c r="S2" s="49" t="s">
        <v>52</v>
      </c>
      <c r="T2" s="103" t="s">
        <v>53</v>
      </c>
      <c r="U2" s="49" t="s">
        <v>54</v>
      </c>
      <c r="V2" s="104" t="s">
        <v>55</v>
      </c>
      <c r="W2" s="105"/>
      <c r="X2" s="105"/>
      <c r="Y2" s="105"/>
      <c r="Z2" s="105"/>
      <c r="AA2" s="111"/>
      <c r="AB2" s="49" t="s">
        <v>56</v>
      </c>
      <c r="AC2" s="49" t="s">
        <v>57</v>
      </c>
      <c r="AD2" s="103" t="s">
        <v>58</v>
      </c>
      <c r="AE2" s="103" t="s">
        <v>59</v>
      </c>
      <c r="AF2" s="103" t="s">
        <v>60</v>
      </c>
      <c r="AG2" s="103" t="s">
        <v>61</v>
      </c>
      <c r="AH2" s="117" t="s">
        <v>62</v>
      </c>
      <c r="AI2" s="118" t="s">
        <v>63</v>
      </c>
      <c r="AJ2" s="117" t="s">
        <v>64</v>
      </c>
      <c r="AK2" s="47" t="s">
        <v>65</v>
      </c>
      <c r="AL2" s="117" t="s">
        <v>66</v>
      </c>
      <c r="AM2" s="48" t="s">
        <v>67</v>
      </c>
      <c r="AN2" s="48" t="s">
        <v>68</v>
      </c>
      <c r="AO2" s="127" t="s">
        <v>69</v>
      </c>
      <c r="AP2" s="48" t="s">
        <v>70</v>
      </c>
      <c r="AQ2" s="48" t="s">
        <v>71</v>
      </c>
      <c r="AR2" s="49" t="s">
        <v>72</v>
      </c>
      <c r="AS2" s="49" t="s">
        <v>73</v>
      </c>
      <c r="AT2" s="49" t="s">
        <v>74</v>
      </c>
    </row>
    <row r="3" s="30" customFormat="1" ht="27" customHeight="1" spans="1:46">
      <c r="A3" s="50"/>
      <c r="B3" s="51"/>
      <c r="C3" s="52"/>
      <c r="D3" s="52"/>
      <c r="E3" s="53"/>
      <c r="F3" s="54"/>
      <c r="G3" s="53"/>
      <c r="H3" s="53"/>
      <c r="I3" s="53"/>
      <c r="J3" s="86"/>
      <c r="K3" s="53"/>
      <c r="L3" s="53"/>
      <c r="M3" s="87" t="s">
        <v>75</v>
      </c>
      <c r="N3" s="87" t="s">
        <v>76</v>
      </c>
      <c r="O3" s="87" t="s">
        <v>77</v>
      </c>
      <c r="P3" s="87" t="s">
        <v>78</v>
      </c>
      <c r="Q3" s="54"/>
      <c r="R3" s="53"/>
      <c r="S3" s="54"/>
      <c r="T3" s="106"/>
      <c r="U3" s="54"/>
      <c r="V3" s="107" t="s">
        <v>79</v>
      </c>
      <c r="W3" s="107" t="s">
        <v>80</v>
      </c>
      <c r="X3" s="107" t="s">
        <v>81</v>
      </c>
      <c r="Y3" s="107" t="s">
        <v>82</v>
      </c>
      <c r="Z3" s="107" t="s">
        <v>83</v>
      </c>
      <c r="AA3" s="107" t="s">
        <v>84</v>
      </c>
      <c r="AB3" s="54"/>
      <c r="AC3" s="54"/>
      <c r="AD3" s="106"/>
      <c r="AE3" s="106"/>
      <c r="AF3" s="106"/>
      <c r="AG3" s="106"/>
      <c r="AH3" s="119"/>
      <c r="AI3" s="120"/>
      <c r="AJ3" s="119"/>
      <c r="AK3" s="52"/>
      <c r="AL3" s="119"/>
      <c r="AM3" s="53"/>
      <c r="AN3" s="53"/>
      <c r="AO3" s="128"/>
      <c r="AP3" s="53"/>
      <c r="AQ3" s="53"/>
      <c r="AR3" s="54"/>
      <c r="AS3" s="54"/>
      <c r="AT3" s="54"/>
    </row>
    <row r="4" s="31" customFormat="1" ht="18" customHeight="1" spans="1:46">
      <c r="A4" s="55">
        <v>1</v>
      </c>
      <c r="B4" s="56" t="s">
        <v>85</v>
      </c>
      <c r="C4" s="56" t="s">
        <v>86</v>
      </c>
      <c r="D4" s="56" t="s">
        <v>87</v>
      </c>
      <c r="E4" s="56" t="s">
        <v>88</v>
      </c>
      <c r="F4" s="57" t="s">
        <v>210</v>
      </c>
      <c r="G4" s="58">
        <v>18035163638</v>
      </c>
      <c r="H4" s="59"/>
      <c r="I4" s="59"/>
      <c r="J4" s="88"/>
      <c r="K4" s="59"/>
      <c r="L4" s="89">
        <v>9780</v>
      </c>
      <c r="M4" s="90">
        <v>264</v>
      </c>
      <c r="N4" s="90">
        <v>66</v>
      </c>
      <c r="O4" s="90">
        <v>9.9</v>
      </c>
      <c r="P4" s="90">
        <v>180</v>
      </c>
      <c r="Q4" s="108">
        <f>ROUND(SUM(M4:P4),2)</f>
        <v>519.9</v>
      </c>
      <c r="R4" s="89">
        <v>0</v>
      </c>
      <c r="S4" s="109">
        <f>L4+IFERROR(VLOOKUP($E:$E,'（居民）工资表-8月'!$E:$S,15,0),0)</f>
        <v>75990</v>
      </c>
      <c r="T4" s="110">
        <f>5000+IFERROR(VLOOKUP($E:$E,'（居民）工资表-8月'!$E:$T,16,0),0)</f>
        <v>45000</v>
      </c>
      <c r="U4" s="110">
        <f>Q4+IFERROR(VLOOKUP($E:$E,'（居民）工资表-8月'!$E:$U,17,0),0)</f>
        <v>4679.1</v>
      </c>
      <c r="V4" s="89"/>
      <c r="W4" s="89"/>
      <c r="X4" s="89">
        <v>9000</v>
      </c>
      <c r="Y4" s="89"/>
      <c r="Z4" s="89"/>
      <c r="AA4" s="89"/>
      <c r="AB4" s="109">
        <f>ROUND(SUM(V4:AA4),2)</f>
        <v>9000</v>
      </c>
      <c r="AC4" s="109">
        <f>R4+IFERROR(VLOOKUP($E:$E,'（居民）工资表-8月'!$E:$AC,25,0),0)</f>
        <v>0</v>
      </c>
      <c r="AD4" s="112">
        <f>ROUND(S4-T4-U4-AB4-AC4,2)</f>
        <v>17310.9</v>
      </c>
      <c r="AE4" s="113">
        <f>ROUND(MAX((AD4)*{0.03;0.1;0.2;0.25;0.3;0.35;0.45}-{0;2520;16920;31920;52920;85920;181920},0),2)</f>
        <v>519.33</v>
      </c>
      <c r="AF4" s="114">
        <f>IFERROR(VLOOKUP(E:E,'（居民）工资表-8月'!E:AF,28,0)+VLOOKUP(E:E,'（居民）工资表-8月'!E:AG,29,0),0)</f>
        <v>421.52</v>
      </c>
      <c r="AG4" s="114">
        <f>IF((AE4-AF4)&lt;0,0,AE4-AF4)</f>
        <v>97.8100000000001</v>
      </c>
      <c r="AH4" s="121">
        <f>ROUND(IF((L4-Q4-AG4)&lt;0,0,(L4-Q4-AG4)),2)</f>
        <v>9162.29</v>
      </c>
      <c r="AI4" s="122"/>
      <c r="AJ4" s="121">
        <f>AH4+AI4</f>
        <v>9162.29</v>
      </c>
      <c r="AK4" s="123"/>
      <c r="AL4" s="121">
        <f>AJ4+AG4+AK4</f>
        <v>9260.1</v>
      </c>
      <c r="AM4" s="123"/>
      <c r="AN4" s="123"/>
      <c r="AO4" s="123"/>
      <c r="AP4" s="123"/>
      <c r="AQ4" s="123"/>
      <c r="AR4" s="129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29" t="str">
        <f>IF(SUMPRODUCT(N(E$1:E$7=E4))&gt;1,"重复","不")</f>
        <v>不</v>
      </c>
      <c r="AT4" s="129" t="str">
        <f>IF(SUMPRODUCT(N(AO$1:AO$7=AO4))&gt;1,"重复","不")</f>
        <v>重复</v>
      </c>
    </row>
    <row r="5" s="31" customFormat="1" ht="18" customHeight="1" spans="1:46">
      <c r="A5" s="55">
        <v>2</v>
      </c>
      <c r="B5" s="56" t="s">
        <v>85</v>
      </c>
      <c r="C5" s="56" t="s">
        <v>154</v>
      </c>
      <c r="D5" s="56" t="s">
        <v>87</v>
      </c>
      <c r="E5" s="56" t="s">
        <v>155</v>
      </c>
      <c r="F5" s="57" t="s">
        <v>210</v>
      </c>
      <c r="G5" s="58">
        <v>13944441728</v>
      </c>
      <c r="H5" s="59"/>
      <c r="I5" s="59"/>
      <c r="J5" s="88"/>
      <c r="K5" s="59"/>
      <c r="L5" s="89">
        <v>6921</v>
      </c>
      <c r="M5" s="90">
        <v>244.24</v>
      </c>
      <c r="N5" s="90">
        <v>61.06</v>
      </c>
      <c r="O5" s="90">
        <v>9.16</v>
      </c>
      <c r="P5" s="90">
        <v>79</v>
      </c>
      <c r="Q5" s="108">
        <f>ROUND(SUM(M5:P5),2)</f>
        <v>393.46</v>
      </c>
      <c r="R5" s="89">
        <v>0</v>
      </c>
      <c r="S5" s="109">
        <f>L5+IFERROR(VLOOKUP($E:$E,'（居民）工资表-8月'!$E:$S,15,0),0)</f>
        <v>41982</v>
      </c>
      <c r="T5" s="110">
        <f>5000+IFERROR(VLOOKUP($E:$E,'（居民）工资表-8月'!$E:$T,16,0),0)</f>
        <v>30000</v>
      </c>
      <c r="U5" s="110">
        <f>Q5+IFERROR(VLOOKUP($E:$E,'（居民）工资表-8月'!$E:$U,17,0),0)</f>
        <v>2754.22</v>
      </c>
      <c r="V5" s="89"/>
      <c r="W5" s="89"/>
      <c r="X5" s="89"/>
      <c r="Y5" s="89"/>
      <c r="Z5" s="89"/>
      <c r="AA5" s="89"/>
      <c r="AB5" s="109">
        <f>ROUND(SUM(V5:AA5),2)</f>
        <v>0</v>
      </c>
      <c r="AC5" s="109">
        <f>R5+IFERROR(VLOOKUP($E:$E,'（居民）工资表-8月'!$E:$AC,25,0),0)</f>
        <v>0</v>
      </c>
      <c r="AD5" s="112">
        <f>ROUND(S5-T5-U5-AB5-AC5,2)</f>
        <v>9227.78</v>
      </c>
      <c r="AE5" s="113">
        <f>ROUND(MAX((AD5)*{0.03;0.1;0.2;0.25;0.3;0.35;0.45}-{0;2520;16920;31920;52920;85920;181920},0),2)</f>
        <v>276.83</v>
      </c>
      <c r="AF5" s="114">
        <f>IFERROR(VLOOKUP(E:E,'（居民）工资表-8月'!E:AF,28,0)+VLOOKUP(E:E,'（居民）工资表-8月'!E:AG,29,0),0)</f>
        <v>231.01</v>
      </c>
      <c r="AG5" s="114">
        <f>IF((AE5-AF5)&lt;0,0,AE5-AF5)</f>
        <v>45.82</v>
      </c>
      <c r="AH5" s="121">
        <f>ROUND(IF((L5-Q5-AG5)&lt;0,0,(L5-Q5-AG5)),2)</f>
        <v>6481.72</v>
      </c>
      <c r="AI5" s="122"/>
      <c r="AJ5" s="121">
        <f>AH5+AI5</f>
        <v>6481.72</v>
      </c>
      <c r="AK5" s="123"/>
      <c r="AL5" s="121">
        <f>AJ5+AG5+AK5</f>
        <v>6527.54</v>
      </c>
      <c r="AM5" s="123"/>
      <c r="AN5" s="123"/>
      <c r="AO5" s="123"/>
      <c r="AP5" s="123"/>
      <c r="AQ5" s="123"/>
      <c r="AR5" s="129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29" t="str">
        <f>IF(SUMPRODUCT(N(E$1:E$7=E5))&gt;1,"重复","不")</f>
        <v>不</v>
      </c>
      <c r="AT5" s="129" t="str">
        <f>IF(SUMPRODUCT(N(AO$1:AO$7=AO5))&gt;1,"重复","不")</f>
        <v>重复</v>
      </c>
    </row>
    <row r="6" s="31" customFormat="1" ht="18" customHeight="1" spans="1:46">
      <c r="A6" s="55">
        <v>3</v>
      </c>
      <c r="B6" s="56" t="s">
        <v>85</v>
      </c>
      <c r="C6" s="56" t="s">
        <v>160</v>
      </c>
      <c r="D6" s="56" t="s">
        <v>87</v>
      </c>
      <c r="E6" s="390" t="s">
        <v>161</v>
      </c>
      <c r="F6" s="57" t="s">
        <v>210</v>
      </c>
      <c r="G6" s="58">
        <v>18607383005</v>
      </c>
      <c r="H6" s="59"/>
      <c r="I6" s="59"/>
      <c r="J6" s="88"/>
      <c r="K6" s="59"/>
      <c r="L6" s="89">
        <v>22800</v>
      </c>
      <c r="M6" s="90">
        <f>320</f>
        <v>320</v>
      </c>
      <c r="N6" s="90">
        <f>80</f>
        <v>80</v>
      </c>
      <c r="O6" s="90">
        <f>12</f>
        <v>12</v>
      </c>
      <c r="P6" s="90">
        <v>200</v>
      </c>
      <c r="Q6" s="108">
        <f>ROUND(SUM(M6:P6),2)</f>
        <v>612</v>
      </c>
      <c r="R6" s="89">
        <v>0</v>
      </c>
      <c r="S6" s="109">
        <f>L6+IFERROR(VLOOKUP($E:$E,'（居民）工资表-8月'!$E:$S,15,0),0)</f>
        <v>109304.76</v>
      </c>
      <c r="T6" s="110">
        <f>5000+IFERROR(VLOOKUP($E:$E,'（居民）工资表-8月'!$E:$T,16,0),0)</f>
        <v>25000</v>
      </c>
      <c r="U6" s="110">
        <f>Q6+IFERROR(VLOOKUP($E:$E,'（居民）工资表-8月'!$E:$U,17,0),0)</f>
        <v>3146.67</v>
      </c>
      <c r="V6" s="89"/>
      <c r="W6" s="89"/>
      <c r="X6" s="89"/>
      <c r="Y6" s="89"/>
      <c r="Z6" s="89"/>
      <c r="AA6" s="89"/>
      <c r="AB6" s="109">
        <f>ROUND(SUM(V6:AA6),2)</f>
        <v>0</v>
      </c>
      <c r="AC6" s="109">
        <f>R6+IFERROR(VLOOKUP($E:$E,'（居民）工资表-8月'!$E:$AC,25,0),0)</f>
        <v>0</v>
      </c>
      <c r="AD6" s="112">
        <f>ROUND(S6-T6-U6-AB6-AC6,2)</f>
        <v>81158.09</v>
      </c>
      <c r="AE6" s="113">
        <f>ROUND(MAX((AD6)*{0.03;0.1;0.2;0.25;0.3;0.35;0.45}-{0;2520;16920;31920;52920;85920;181920},0),2)</f>
        <v>5595.81</v>
      </c>
      <c r="AF6" s="114">
        <f>IFERROR(VLOOKUP(E:E,'（居民）工资表-8月'!E:AF,28,0)+VLOOKUP(E:E,'（居民）工资表-8月'!E:AG,29,0),0)</f>
        <v>3877.01</v>
      </c>
      <c r="AG6" s="114">
        <f>IF((AE6-AF6)&lt;0,0,AE6-AF6)</f>
        <v>1718.8</v>
      </c>
      <c r="AH6" s="121">
        <f>ROUND(IF((L6-Q6-AG6)&lt;0,0,(L6-Q6-AG6)),2)</f>
        <v>20469.2</v>
      </c>
      <c r="AI6" s="122"/>
      <c r="AJ6" s="121">
        <f>AH6+AI6</f>
        <v>20469.2</v>
      </c>
      <c r="AK6" s="123"/>
      <c r="AL6" s="121">
        <f>AJ6+AG6+AK6</f>
        <v>22188</v>
      </c>
      <c r="AM6" s="123"/>
      <c r="AN6" s="123"/>
      <c r="AO6" s="123"/>
      <c r="AP6" s="123"/>
      <c r="AQ6" s="123"/>
      <c r="AR6" s="129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29" t="str">
        <f>IF(SUMPRODUCT(N(E$1:E$7=E6))&gt;1,"重复","不")</f>
        <v>不</v>
      </c>
      <c r="AT6" s="129" t="str">
        <f>IF(SUMPRODUCT(N(AO$1:AO$7=AO6))&gt;1,"重复","不")</f>
        <v>重复</v>
      </c>
    </row>
    <row r="7" s="31" customFormat="1" ht="18" customHeight="1" spans="1:46">
      <c r="A7" s="55">
        <v>4</v>
      </c>
      <c r="B7" s="56" t="s">
        <v>85</v>
      </c>
      <c r="C7" s="56" t="s">
        <v>170</v>
      </c>
      <c r="D7" s="56" t="s">
        <v>87</v>
      </c>
      <c r="E7" s="390" t="s">
        <v>171</v>
      </c>
      <c r="F7" s="57" t="str">
        <f>IF(MOD(MID(E7,17,1),2)=1,"男","女")</f>
        <v>女</v>
      </c>
      <c r="G7" s="58">
        <v>15360550807</v>
      </c>
      <c r="H7" s="59"/>
      <c r="I7" s="59"/>
      <c r="J7" s="88"/>
      <c r="K7" s="59"/>
      <c r="L7" s="89">
        <v>4560</v>
      </c>
      <c r="M7" s="90"/>
      <c r="N7" s="90"/>
      <c r="O7" s="90"/>
      <c r="P7" s="90"/>
      <c r="Q7" s="108">
        <f>ROUND(SUM(M7:P7),2)</f>
        <v>0</v>
      </c>
      <c r="R7" s="89">
        <v>0</v>
      </c>
      <c r="S7" s="109">
        <f>L7+IFERROR(VLOOKUP($E:$E,'（居民）工资表-8月'!$E:$S,15,0),0)</f>
        <v>12643.6363636364</v>
      </c>
      <c r="T7" s="110">
        <f>5000+IFERROR(VLOOKUP($E:$E,'（居民）工资表-8月'!$E:$T,16,0),0)</f>
        <v>15000</v>
      </c>
      <c r="U7" s="110">
        <f>Q7+IFERROR(VLOOKUP($E:$E,'（居民）工资表-8月'!$E:$U,17,0),0)</f>
        <v>0</v>
      </c>
      <c r="V7" s="89"/>
      <c r="W7" s="89"/>
      <c r="X7" s="89"/>
      <c r="Y7" s="89"/>
      <c r="Z7" s="89"/>
      <c r="AA7" s="89"/>
      <c r="AB7" s="109">
        <f>ROUND(SUM(V7:AA7),2)</f>
        <v>0</v>
      </c>
      <c r="AC7" s="109">
        <f>R7+IFERROR(VLOOKUP($E:$E,'（居民）工资表-8月'!$E:$AC,25,0),0)</f>
        <v>0</v>
      </c>
      <c r="AD7" s="112">
        <f>ROUND(S7-T7-U7-AB7-AC7,2)</f>
        <v>-2356.36</v>
      </c>
      <c r="AE7" s="113">
        <f>ROUND(MAX((AD7)*{0.03;0.1;0.2;0.25;0.3;0.35;0.45}-{0;2520;16920;31920;52920;85920;181920},0),2)</f>
        <v>0</v>
      </c>
      <c r="AF7" s="114">
        <f>IFERROR(VLOOKUP(E:E,'（居民）工资表-8月'!E:AF,28,0)+VLOOKUP(E:E,'（居民）工资表-8月'!E:AG,29,0),0)</f>
        <v>0</v>
      </c>
      <c r="AG7" s="114">
        <f>IF((AE7-AF7)&lt;0,0,AE7-AF7)</f>
        <v>0</v>
      </c>
      <c r="AH7" s="121">
        <f>ROUND(IF((L7-Q7-AG7)&lt;0,0,(L7-Q7-AG7)),2)</f>
        <v>4560</v>
      </c>
      <c r="AI7" s="122"/>
      <c r="AJ7" s="121">
        <f>AH7+AI7</f>
        <v>4560</v>
      </c>
      <c r="AK7" s="123"/>
      <c r="AL7" s="121">
        <f>AJ7+AG7+AK7</f>
        <v>4560</v>
      </c>
      <c r="AM7" s="123"/>
      <c r="AN7" s="123"/>
      <c r="AO7" s="123"/>
      <c r="AP7" s="123"/>
      <c r="AQ7" s="123"/>
      <c r="AR7" s="129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29" t="str">
        <f>IF(SUMPRODUCT(N(E$1:E$7=E7))&gt;1,"重复","不")</f>
        <v>不</v>
      </c>
      <c r="AT7" s="129" t="str">
        <f>IF(SUMPRODUCT(N(AO$1:AO$7=AO7))&gt;1,"重复","不")</f>
        <v>重复</v>
      </c>
    </row>
    <row r="8" s="32" customFormat="1" ht="18" customHeight="1" spans="1:46">
      <c r="A8" s="60"/>
      <c r="B8" s="61" t="s">
        <v>91</v>
      </c>
      <c r="C8" s="61"/>
      <c r="D8" s="62"/>
      <c r="E8" s="63"/>
      <c r="F8" s="64"/>
      <c r="G8" s="65"/>
      <c r="H8" s="64"/>
      <c r="I8" s="91"/>
      <c r="J8" s="92"/>
      <c r="K8" s="91"/>
      <c r="L8" s="93">
        <f t="shared" ref="L8:AL8" si="0">SUM(L4:L7)</f>
        <v>44061</v>
      </c>
      <c r="M8" s="93">
        <f t="shared" si="0"/>
        <v>828.24</v>
      </c>
      <c r="N8" s="93">
        <f t="shared" si="0"/>
        <v>207.06</v>
      </c>
      <c r="O8" s="93">
        <f t="shared" si="0"/>
        <v>31.06</v>
      </c>
      <c r="P8" s="93">
        <f t="shared" si="0"/>
        <v>459</v>
      </c>
      <c r="Q8" s="93">
        <f t="shared" si="0"/>
        <v>1525.36</v>
      </c>
      <c r="R8" s="93">
        <f t="shared" si="0"/>
        <v>0</v>
      </c>
      <c r="S8" s="93">
        <f t="shared" si="0"/>
        <v>239920.396363636</v>
      </c>
      <c r="T8" s="93">
        <f t="shared" si="0"/>
        <v>115000</v>
      </c>
      <c r="U8" s="93">
        <f t="shared" si="0"/>
        <v>10579.99</v>
      </c>
      <c r="V8" s="93">
        <f t="shared" si="0"/>
        <v>0</v>
      </c>
      <c r="W8" s="93">
        <f t="shared" si="0"/>
        <v>0</v>
      </c>
      <c r="X8" s="93">
        <f t="shared" si="0"/>
        <v>9000</v>
      </c>
      <c r="Y8" s="93">
        <f t="shared" si="0"/>
        <v>0</v>
      </c>
      <c r="Z8" s="93">
        <f t="shared" si="0"/>
        <v>0</v>
      </c>
      <c r="AA8" s="93">
        <f t="shared" si="0"/>
        <v>0</v>
      </c>
      <c r="AB8" s="93">
        <f t="shared" si="0"/>
        <v>9000</v>
      </c>
      <c r="AC8" s="93">
        <f t="shared" si="0"/>
        <v>0</v>
      </c>
      <c r="AD8" s="93">
        <f t="shared" si="0"/>
        <v>105340.41</v>
      </c>
      <c r="AE8" s="93">
        <f t="shared" si="0"/>
        <v>6391.97</v>
      </c>
      <c r="AF8" s="93">
        <f t="shared" si="0"/>
        <v>4529.54</v>
      </c>
      <c r="AG8" s="93">
        <f t="shared" si="0"/>
        <v>1862.43</v>
      </c>
      <c r="AH8" s="93">
        <f t="shared" si="0"/>
        <v>40673.21</v>
      </c>
      <c r="AI8" s="131">
        <f t="shared" si="0"/>
        <v>0</v>
      </c>
      <c r="AJ8" s="93">
        <f t="shared" si="0"/>
        <v>40673.21</v>
      </c>
      <c r="AK8" s="93">
        <f t="shared" si="0"/>
        <v>0</v>
      </c>
      <c r="AL8" s="93">
        <f t="shared" si="0"/>
        <v>42535.64</v>
      </c>
      <c r="AM8" s="124"/>
      <c r="AN8" s="124"/>
      <c r="AO8" s="124"/>
      <c r="AP8" s="124"/>
      <c r="AQ8" s="124"/>
      <c r="AR8" s="64"/>
      <c r="AS8" s="64"/>
      <c r="AT8" s="130"/>
    </row>
    <row r="11" spans="30:30">
      <c r="AD11" s="115"/>
    </row>
    <row r="12" ht="18.75" customHeight="1" spans="2:30">
      <c r="B12" s="66" t="s">
        <v>64</v>
      </c>
      <c r="C12" s="66" t="s">
        <v>92</v>
      </c>
      <c r="D12" s="66" t="s">
        <v>65</v>
      </c>
      <c r="E12" s="66" t="s">
        <v>93</v>
      </c>
      <c r="AD12" s="29"/>
    </row>
    <row r="13" ht="18.75" customHeight="1" spans="2:5">
      <c r="B13" s="67">
        <f>AJ8</f>
        <v>40673.21</v>
      </c>
      <c r="C13" s="67">
        <f>AG8</f>
        <v>1862.43</v>
      </c>
      <c r="D13" s="67">
        <f>AK8</f>
        <v>0</v>
      </c>
      <c r="E13" s="67">
        <f>B13+C13+D13</f>
        <v>42535.64</v>
      </c>
    </row>
    <row r="14" spans="2:5">
      <c r="B14" s="68"/>
      <c r="C14" s="68"/>
      <c r="D14" s="68"/>
      <c r="E14" s="68"/>
    </row>
    <row r="15" s="33" customFormat="1" spans="1:35">
      <c r="A15" s="69" t="s">
        <v>94</v>
      </c>
      <c r="B15" s="70" t="s">
        <v>95</v>
      </c>
      <c r="C15" s="71"/>
      <c r="D15" s="71"/>
      <c r="E15" s="71"/>
      <c r="G15" s="72"/>
      <c r="J15" s="94"/>
      <c r="M15" s="95"/>
      <c r="AI15" s="125"/>
    </row>
    <row r="16" s="33" customFormat="1" spans="1:35">
      <c r="A16" s="73"/>
      <c r="B16" s="74" t="s">
        <v>96</v>
      </c>
      <c r="C16" s="71"/>
      <c r="D16" s="71"/>
      <c r="E16" s="71"/>
      <c r="G16" s="72"/>
      <c r="J16" s="94"/>
      <c r="M16" s="95"/>
      <c r="AI16" s="125"/>
    </row>
    <row r="17" s="33" customFormat="1" spans="1:35">
      <c r="A17" s="70"/>
      <c r="B17" s="74" t="s">
        <v>97</v>
      </c>
      <c r="C17" s="75"/>
      <c r="D17" s="75"/>
      <c r="E17" s="75"/>
      <c r="F17" s="75"/>
      <c r="G17" s="75"/>
      <c r="H17" s="75"/>
      <c r="I17" s="75"/>
      <c r="J17" s="96"/>
      <c r="K17" s="75"/>
      <c r="L17" s="75"/>
      <c r="M17" s="97"/>
      <c r="N17" s="75"/>
      <c r="O17" s="75"/>
      <c r="P17" s="75"/>
      <c r="AI17" s="125"/>
    </row>
    <row r="18" s="33" customFormat="1" customHeight="1" spans="1:35">
      <c r="A18" s="74"/>
      <c r="B18" s="74" t="s">
        <v>98</v>
      </c>
      <c r="C18" s="76"/>
      <c r="D18" s="76"/>
      <c r="E18" s="76"/>
      <c r="F18" s="76"/>
      <c r="G18" s="76"/>
      <c r="H18" s="76"/>
      <c r="I18" s="98"/>
      <c r="J18" s="99"/>
      <c r="K18" s="98"/>
      <c r="L18" s="98"/>
      <c r="M18" s="100"/>
      <c r="N18" s="98"/>
      <c r="O18" s="98"/>
      <c r="P18" s="98"/>
      <c r="AI18" s="125"/>
    </row>
    <row r="19" s="33" customFormat="1" customHeight="1" spans="1:35">
      <c r="A19" s="74"/>
      <c r="B19" s="74" t="s">
        <v>99</v>
      </c>
      <c r="C19" s="76"/>
      <c r="D19" s="76"/>
      <c r="E19" s="76"/>
      <c r="F19" s="76"/>
      <c r="G19" s="76"/>
      <c r="H19" s="76"/>
      <c r="I19" s="76"/>
      <c r="J19" s="101"/>
      <c r="K19" s="76"/>
      <c r="L19" s="98"/>
      <c r="M19" s="100"/>
      <c r="N19" s="98"/>
      <c r="O19" s="98"/>
      <c r="P19" s="98"/>
      <c r="AI19" s="125"/>
    </row>
    <row r="20" s="33" customFormat="1" customHeight="1" spans="1:35">
      <c r="A20" s="74"/>
      <c r="B20" s="74" t="s">
        <v>100</v>
      </c>
      <c r="C20" s="76"/>
      <c r="D20" s="76"/>
      <c r="E20" s="76"/>
      <c r="F20" s="76"/>
      <c r="G20" s="76"/>
      <c r="H20" s="76"/>
      <c r="I20" s="98"/>
      <c r="J20" s="99"/>
      <c r="K20" s="98"/>
      <c r="L20" s="98"/>
      <c r="M20" s="100"/>
      <c r="N20" s="98"/>
      <c r="O20" s="98"/>
      <c r="P20" s="98"/>
      <c r="AI20" s="125"/>
    </row>
    <row r="22" ht="11.25" customHeight="1" spans="2:2">
      <c r="B22" s="77" t="s">
        <v>101</v>
      </c>
    </row>
    <row r="23" spans="2:2">
      <c r="B23" s="78" t="s">
        <v>102</v>
      </c>
    </row>
    <row r="24" spans="2:2">
      <c r="B24" s="78" t="s">
        <v>103</v>
      </c>
    </row>
  </sheetData>
  <autoFilter ref="A3:AT8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0">
    <cfRule type="duplicateValues" dxfId="2" priority="2" stopIfTrue="1"/>
  </conditionalFormatting>
  <conditionalFormatting sqref="B15:B19">
    <cfRule type="duplicateValues" dxfId="2" priority="3" stopIfTrue="1"/>
  </conditionalFormatting>
  <conditionalFormatting sqref="B23:B24">
    <cfRule type="duplicateValues" dxfId="2" priority="1" stopIfTrue="1"/>
  </conditionalFormatting>
  <conditionalFormatting sqref="C12:C14">
    <cfRule type="duplicateValues" dxfId="2" priority="4" stopIfTrue="1"/>
    <cfRule type="expression" dxfId="3" priority="5" stopIfTrue="1">
      <formula>AND(COUNTIF($B$8:$B$65444,C12)+COUNTIF($B$1:$B$3,C12)&gt;1,NOT(ISBLANK(C12)))</formula>
    </cfRule>
    <cfRule type="expression" dxfId="3" priority="6" stopIfTrue="1">
      <formula>AND(COUNTIF($B$19:$B$65395,C12)+COUNTIF($B$1:$B$18,C12)&gt;1,NOT(ISBLANK(C12)))</formula>
    </cfRule>
    <cfRule type="expression" dxfId="3" priority="7" stopIfTrue="1">
      <formula>AND(COUNTIF($B$8:$B$65433,C12)+COUNTIF($B$1:$B$3,C12)&gt;1,NOT(ISBLANK(C12)))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7"/>
    </sheetView>
  </sheetViews>
  <sheetFormatPr defaultColWidth="9" defaultRowHeight="13.5"/>
  <cols>
    <col min="1" max="1" width="4.5" style="34" customWidth="1"/>
    <col min="2" max="2" width="12.625" style="34" customWidth="1"/>
    <col min="3" max="3" width="10.5" style="34" customWidth="1"/>
    <col min="4" max="4" width="8.75" style="34" customWidth="1"/>
    <col min="5" max="5" width="19.5" style="35" customWidth="1"/>
    <col min="6" max="6" width="9" style="34"/>
    <col min="7" max="7" width="11.875" style="36" customWidth="1"/>
    <col min="8" max="8" width="4.625" style="34" hidden="1" customWidth="1"/>
    <col min="9" max="9" width="5.25" style="34" hidden="1" customWidth="1"/>
    <col min="10" max="10" width="11.75" style="37" customWidth="1"/>
    <col min="11" max="11" width="5.25" style="34" customWidth="1"/>
    <col min="12" max="12" width="11.75" style="34" customWidth="1"/>
    <col min="13" max="13" width="12.5" style="34" customWidth="1" outlineLevel="1"/>
    <col min="14" max="15" width="9" style="34" customWidth="1" outlineLevel="1"/>
    <col min="16" max="16" width="11.125" style="34" customWidth="1" outlineLevel="1"/>
    <col min="17" max="17" width="9.75" style="34" customWidth="1"/>
    <col min="18" max="18" width="9.5" style="34" customWidth="1"/>
    <col min="19" max="19" width="13.375" style="34" customWidth="1"/>
    <col min="20" max="21" width="12.25" style="34" customWidth="1"/>
    <col min="22" max="27" width="9" style="34" customWidth="1" outlineLevel="1"/>
    <col min="28" max="28" width="11.25" style="34" customWidth="1"/>
    <col min="29" max="29" width="8.5" style="34" customWidth="1"/>
    <col min="30" max="30" width="15.25" style="34" customWidth="1"/>
    <col min="31" max="31" width="13.375" style="34" customWidth="1"/>
    <col min="32" max="32" width="10.75" style="34" customWidth="1"/>
    <col min="33" max="33" width="12.25" style="34" customWidth="1"/>
    <col min="34" max="34" width="11.5" style="34" customWidth="1"/>
    <col min="35" max="35" width="7.875" style="38" customWidth="1"/>
    <col min="36" max="36" width="11.5" style="34" customWidth="1"/>
    <col min="37" max="37" width="9" style="34"/>
    <col min="38" max="38" width="11.5" style="34" customWidth="1"/>
    <col min="39" max="40" width="9" style="34" customWidth="1"/>
    <col min="41" max="41" width="19" style="34" customWidth="1"/>
    <col min="42" max="42" width="12.25" style="34" customWidth="1"/>
    <col min="43" max="43" width="9" style="34"/>
    <col min="44" max="44" width="7" style="34" customWidth="1"/>
    <col min="45" max="45" width="6.75" style="34" customWidth="1"/>
    <col min="46" max="46" width="6.125" style="34" customWidth="1"/>
    <col min="47" max="16384" width="9" style="34"/>
  </cols>
  <sheetData>
    <row r="1" s="29" customFormat="1" ht="29.25" customHeight="1" spans="1:45">
      <c r="A1" s="39" t="s">
        <v>36</v>
      </c>
      <c r="B1" s="40"/>
      <c r="C1" s="41"/>
      <c r="D1" s="42"/>
      <c r="E1" s="43"/>
      <c r="F1" s="43"/>
      <c r="G1" s="44"/>
      <c r="J1" s="79"/>
      <c r="L1" s="80"/>
      <c r="M1" s="81" t="s">
        <v>37</v>
      </c>
      <c r="N1" s="81"/>
      <c r="O1" s="81"/>
      <c r="P1" s="81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80"/>
      <c r="AE1" s="80"/>
      <c r="AF1" s="80"/>
      <c r="AG1" s="80"/>
      <c r="AH1" s="80"/>
      <c r="AI1" s="116"/>
      <c r="AJ1" s="80"/>
      <c r="AK1" s="80"/>
      <c r="AL1" s="80"/>
      <c r="AM1" s="43"/>
      <c r="AN1" s="43"/>
      <c r="AO1" s="126"/>
      <c r="AP1" s="43"/>
      <c r="AQ1" s="43"/>
      <c r="AR1" s="43"/>
      <c r="AS1" s="43"/>
    </row>
    <row r="2" s="30" customFormat="1" ht="20.1" customHeight="1" spans="1:46">
      <c r="A2" s="45" t="s">
        <v>18</v>
      </c>
      <c r="B2" s="46" t="s">
        <v>38</v>
      </c>
      <c r="C2" s="47" t="s">
        <v>39</v>
      </c>
      <c r="D2" s="47" t="s">
        <v>40</v>
      </c>
      <c r="E2" s="48" t="s">
        <v>41</v>
      </c>
      <c r="F2" s="49" t="s">
        <v>42</v>
      </c>
      <c r="G2" s="48" t="s">
        <v>43</v>
      </c>
      <c r="H2" s="48" t="s">
        <v>44</v>
      </c>
      <c r="I2" s="48" t="s">
        <v>45</v>
      </c>
      <c r="J2" s="82" t="s">
        <v>46</v>
      </c>
      <c r="K2" s="48" t="s">
        <v>47</v>
      </c>
      <c r="L2" s="48" t="s">
        <v>48</v>
      </c>
      <c r="M2" s="83" t="s">
        <v>49</v>
      </c>
      <c r="N2" s="84"/>
      <c r="O2" s="84"/>
      <c r="P2" s="85"/>
      <c r="Q2" s="49" t="s">
        <v>50</v>
      </c>
      <c r="R2" s="48" t="s">
        <v>51</v>
      </c>
      <c r="S2" s="49" t="s">
        <v>52</v>
      </c>
      <c r="T2" s="103" t="s">
        <v>53</v>
      </c>
      <c r="U2" s="49" t="s">
        <v>54</v>
      </c>
      <c r="V2" s="104" t="s">
        <v>55</v>
      </c>
      <c r="W2" s="105"/>
      <c r="X2" s="105"/>
      <c r="Y2" s="105"/>
      <c r="Z2" s="105"/>
      <c r="AA2" s="111"/>
      <c r="AB2" s="49" t="s">
        <v>56</v>
      </c>
      <c r="AC2" s="49" t="s">
        <v>57</v>
      </c>
      <c r="AD2" s="103" t="s">
        <v>58</v>
      </c>
      <c r="AE2" s="103" t="s">
        <v>59</v>
      </c>
      <c r="AF2" s="103" t="s">
        <v>60</v>
      </c>
      <c r="AG2" s="103" t="s">
        <v>61</v>
      </c>
      <c r="AH2" s="117" t="s">
        <v>62</v>
      </c>
      <c r="AI2" s="118" t="s">
        <v>63</v>
      </c>
      <c r="AJ2" s="117" t="s">
        <v>64</v>
      </c>
      <c r="AK2" s="47" t="s">
        <v>65</v>
      </c>
      <c r="AL2" s="117" t="s">
        <v>66</v>
      </c>
      <c r="AM2" s="48" t="s">
        <v>67</v>
      </c>
      <c r="AN2" s="48" t="s">
        <v>68</v>
      </c>
      <c r="AO2" s="127" t="s">
        <v>69</v>
      </c>
      <c r="AP2" s="48" t="s">
        <v>70</v>
      </c>
      <c r="AQ2" s="48" t="s">
        <v>71</v>
      </c>
      <c r="AR2" s="49" t="s">
        <v>72</v>
      </c>
      <c r="AS2" s="49" t="s">
        <v>73</v>
      </c>
      <c r="AT2" s="49" t="s">
        <v>74</v>
      </c>
    </row>
    <row r="3" s="30" customFormat="1" ht="27" customHeight="1" spans="1:46">
      <c r="A3" s="50"/>
      <c r="B3" s="51"/>
      <c r="C3" s="52"/>
      <c r="D3" s="52"/>
      <c r="E3" s="53"/>
      <c r="F3" s="54"/>
      <c r="G3" s="53"/>
      <c r="H3" s="53"/>
      <c r="I3" s="53"/>
      <c r="J3" s="86"/>
      <c r="K3" s="53"/>
      <c r="L3" s="53"/>
      <c r="M3" s="87" t="s">
        <v>75</v>
      </c>
      <c r="N3" s="87" t="s">
        <v>76</v>
      </c>
      <c r="O3" s="87" t="s">
        <v>77</v>
      </c>
      <c r="P3" s="87" t="s">
        <v>78</v>
      </c>
      <c r="Q3" s="54"/>
      <c r="R3" s="53"/>
      <c r="S3" s="54"/>
      <c r="T3" s="106"/>
      <c r="U3" s="54"/>
      <c r="V3" s="107" t="s">
        <v>79</v>
      </c>
      <c r="W3" s="107" t="s">
        <v>80</v>
      </c>
      <c r="X3" s="107" t="s">
        <v>81</v>
      </c>
      <c r="Y3" s="107" t="s">
        <v>82</v>
      </c>
      <c r="Z3" s="107" t="s">
        <v>83</v>
      </c>
      <c r="AA3" s="107" t="s">
        <v>84</v>
      </c>
      <c r="AB3" s="54"/>
      <c r="AC3" s="54"/>
      <c r="AD3" s="106"/>
      <c r="AE3" s="106"/>
      <c r="AF3" s="106"/>
      <c r="AG3" s="106"/>
      <c r="AH3" s="119"/>
      <c r="AI3" s="120"/>
      <c r="AJ3" s="119"/>
      <c r="AK3" s="52"/>
      <c r="AL3" s="119"/>
      <c r="AM3" s="53"/>
      <c r="AN3" s="53"/>
      <c r="AO3" s="128"/>
      <c r="AP3" s="53"/>
      <c r="AQ3" s="53"/>
      <c r="AR3" s="54"/>
      <c r="AS3" s="54"/>
      <c r="AT3" s="54"/>
    </row>
    <row r="4" s="31" customFormat="1" ht="18" customHeight="1" spans="1:46">
      <c r="A4" s="55">
        <v>1</v>
      </c>
      <c r="B4" s="56" t="s">
        <v>85</v>
      </c>
      <c r="C4" s="56" t="s">
        <v>86</v>
      </c>
      <c r="D4" s="56" t="s">
        <v>87</v>
      </c>
      <c r="E4" s="56" t="s">
        <v>88</v>
      </c>
      <c r="F4" s="57" t="s">
        <v>210</v>
      </c>
      <c r="G4" s="58">
        <v>18035163638</v>
      </c>
      <c r="H4" s="59"/>
      <c r="I4" s="59"/>
      <c r="J4" s="88"/>
      <c r="K4" s="59"/>
      <c r="L4" s="89">
        <v>9070</v>
      </c>
      <c r="M4" s="90">
        <v>264</v>
      </c>
      <c r="N4" s="90">
        <v>66</v>
      </c>
      <c r="O4" s="90">
        <v>9.9</v>
      </c>
      <c r="P4" s="90">
        <v>180</v>
      </c>
      <c r="Q4" s="108">
        <f>ROUND(SUM(M4:P4),2)</f>
        <v>519.9</v>
      </c>
      <c r="R4" s="89">
        <v>0</v>
      </c>
      <c r="S4" s="109">
        <f>L4+IFERROR(VLOOKUP($E:$E,'（居民）工资表-9月'!$E:$S,15,0),0)</f>
        <v>85060</v>
      </c>
      <c r="T4" s="110">
        <f>5000+IFERROR(VLOOKUP($E:$E,'（居民）工资表-9月'!$E:$T,16,0),0)</f>
        <v>50000</v>
      </c>
      <c r="U4" s="110">
        <f>Q4+IFERROR(VLOOKUP($E:$E,'（居民）工资表-9月'!$E:$U,17,0),0)</f>
        <v>5199</v>
      </c>
      <c r="V4" s="89"/>
      <c r="W4" s="89"/>
      <c r="X4" s="89">
        <v>10000</v>
      </c>
      <c r="Y4" s="89"/>
      <c r="Z4" s="89"/>
      <c r="AA4" s="89"/>
      <c r="AB4" s="109">
        <f>ROUND(SUM(V4:AA4),2)</f>
        <v>10000</v>
      </c>
      <c r="AC4" s="109">
        <f>R4+IFERROR(VLOOKUP($E:$E,'（居民）工资表-9月'!$E:$AC,25,0),0)</f>
        <v>0</v>
      </c>
      <c r="AD4" s="112">
        <f>ROUND(S4-T4-U4-AB4-AC4,2)</f>
        <v>19861</v>
      </c>
      <c r="AE4" s="113">
        <f>ROUND(MAX((AD4)*{0.03;0.1;0.2;0.25;0.3;0.35;0.45}-{0;2520;16920;31920;52920;85920;181920},0),2)</f>
        <v>595.83</v>
      </c>
      <c r="AF4" s="114">
        <f>IFERROR(VLOOKUP(E:E,'（居民）工资表-9月'!E:AF,28,0)+VLOOKUP(E:E,'（居民）工资表-9月'!E:AG,29,0),0)</f>
        <v>519.33</v>
      </c>
      <c r="AG4" s="114">
        <f>IF((AE4-AF4)&lt;0,0,AE4-AF4)</f>
        <v>76.5</v>
      </c>
      <c r="AH4" s="121">
        <f>ROUND(IF((L4-Q4-AG4)&lt;0,0,(L4-Q4-AG4)),2)</f>
        <v>8473.6</v>
      </c>
      <c r="AI4" s="122"/>
      <c r="AJ4" s="121">
        <f>AH4+AI4</f>
        <v>8473.6</v>
      </c>
      <c r="AK4" s="123"/>
      <c r="AL4" s="121">
        <f>AJ4+AG4+AK4</f>
        <v>8550.1</v>
      </c>
      <c r="AM4" s="123"/>
      <c r="AN4" s="123"/>
      <c r="AO4" s="123"/>
      <c r="AP4" s="123"/>
      <c r="AQ4" s="123"/>
      <c r="AR4" s="129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29" t="str">
        <f>IF(SUMPRODUCT(N(E$1:E$7=E4))&gt;1,"重复","不")</f>
        <v>不</v>
      </c>
      <c r="AT4" s="129" t="str">
        <f>IF(SUMPRODUCT(N(AO$1:AO$7=AO4))&gt;1,"重复","不")</f>
        <v>重复</v>
      </c>
    </row>
    <row r="5" s="31" customFormat="1" ht="18" customHeight="1" spans="1:46">
      <c r="A5" s="55">
        <v>2</v>
      </c>
      <c r="B5" s="56" t="s">
        <v>85</v>
      </c>
      <c r="C5" s="56" t="s">
        <v>154</v>
      </c>
      <c r="D5" s="56" t="s">
        <v>87</v>
      </c>
      <c r="E5" s="56" t="s">
        <v>155</v>
      </c>
      <c r="F5" s="57" t="s">
        <v>210</v>
      </c>
      <c r="G5" s="58">
        <v>13944441728</v>
      </c>
      <c r="H5" s="59"/>
      <c r="I5" s="59"/>
      <c r="J5" s="88"/>
      <c r="K5" s="59"/>
      <c r="L5" s="89">
        <v>6889.4</v>
      </c>
      <c r="M5" s="90">
        <v>244.24</v>
      </c>
      <c r="N5" s="90">
        <v>61.06</v>
      </c>
      <c r="O5" s="90">
        <v>9.16</v>
      </c>
      <c r="P5" s="90">
        <v>79</v>
      </c>
      <c r="Q5" s="108">
        <f>ROUND(SUM(M5:P5),2)</f>
        <v>393.46</v>
      </c>
      <c r="R5" s="89">
        <v>0</v>
      </c>
      <c r="S5" s="109">
        <f>L5+IFERROR(VLOOKUP($E:$E,'（居民）工资表-9月'!$E:$S,15,0),0)</f>
        <v>48871.4</v>
      </c>
      <c r="T5" s="110">
        <f>5000+IFERROR(VLOOKUP($E:$E,'（居民）工资表-9月'!$E:$T,16,0),0)</f>
        <v>35000</v>
      </c>
      <c r="U5" s="110">
        <f>Q5+IFERROR(VLOOKUP($E:$E,'（居民）工资表-9月'!$E:$U,17,0),0)</f>
        <v>3147.68</v>
      </c>
      <c r="V5" s="89"/>
      <c r="W5" s="89"/>
      <c r="X5" s="89"/>
      <c r="Y5" s="89"/>
      <c r="Z5" s="89"/>
      <c r="AA5" s="89"/>
      <c r="AB5" s="109">
        <f>ROUND(SUM(V5:AA5),2)</f>
        <v>0</v>
      </c>
      <c r="AC5" s="109">
        <f>R5+IFERROR(VLOOKUP($E:$E,'（居民）工资表-9月'!$E:$AC,25,0),0)</f>
        <v>0</v>
      </c>
      <c r="AD5" s="112">
        <f>ROUND(S5-T5-U5-AB5-AC5,2)</f>
        <v>10723.72</v>
      </c>
      <c r="AE5" s="113">
        <f>ROUND(MAX((AD5)*{0.03;0.1;0.2;0.25;0.3;0.35;0.45}-{0;2520;16920;31920;52920;85920;181920},0),2)</f>
        <v>321.71</v>
      </c>
      <c r="AF5" s="114">
        <f>IFERROR(VLOOKUP(E:E,'（居民）工资表-9月'!E:AF,28,0)+VLOOKUP(E:E,'（居民）工资表-9月'!E:AG,29,0),0)</f>
        <v>276.83</v>
      </c>
      <c r="AG5" s="114">
        <f>IF((AE5-AF5)&lt;0,0,AE5-AF5)</f>
        <v>44.88</v>
      </c>
      <c r="AH5" s="121">
        <f>ROUND(IF((L5-Q5-AG5)&lt;0,0,(L5-Q5-AG5)),2)</f>
        <v>6451.06</v>
      </c>
      <c r="AI5" s="122"/>
      <c r="AJ5" s="121">
        <f>AH5+AI5</f>
        <v>6451.06</v>
      </c>
      <c r="AK5" s="123"/>
      <c r="AL5" s="121">
        <f>AJ5+AG5+AK5</f>
        <v>6495.94</v>
      </c>
      <c r="AM5" s="123"/>
      <c r="AN5" s="123"/>
      <c r="AO5" s="123"/>
      <c r="AP5" s="123"/>
      <c r="AQ5" s="123"/>
      <c r="AR5" s="129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29" t="str">
        <f>IF(SUMPRODUCT(N(E$1:E$7=E5))&gt;1,"重复","不")</f>
        <v>不</v>
      </c>
      <c r="AT5" s="129" t="str">
        <f>IF(SUMPRODUCT(N(AO$1:AO$7=AO5))&gt;1,"重复","不")</f>
        <v>重复</v>
      </c>
    </row>
    <row r="6" s="31" customFormat="1" ht="18" customHeight="1" spans="1:46">
      <c r="A6" s="55">
        <v>3</v>
      </c>
      <c r="B6" s="56" t="s">
        <v>85</v>
      </c>
      <c r="C6" s="56" t="s">
        <v>160</v>
      </c>
      <c r="D6" s="56" t="s">
        <v>87</v>
      </c>
      <c r="E6" s="390" t="s">
        <v>161</v>
      </c>
      <c r="F6" s="57" t="s">
        <v>210</v>
      </c>
      <c r="G6" s="58">
        <v>18607383005</v>
      </c>
      <c r="H6" s="59"/>
      <c r="I6" s="59"/>
      <c r="J6" s="88"/>
      <c r="K6" s="59"/>
      <c r="L6" s="89">
        <v>20720</v>
      </c>
      <c r="M6" s="90">
        <f>320</f>
        <v>320</v>
      </c>
      <c r="N6" s="90">
        <f>80</f>
        <v>80</v>
      </c>
      <c r="O6" s="90">
        <f>12</f>
        <v>12</v>
      </c>
      <c r="P6" s="90">
        <v>200</v>
      </c>
      <c r="Q6" s="108">
        <f>ROUND(SUM(M6:P6),2)</f>
        <v>612</v>
      </c>
      <c r="R6" s="89">
        <v>0</v>
      </c>
      <c r="S6" s="109">
        <f>L6+IFERROR(VLOOKUP($E:$E,'（居民）工资表-9月'!$E:$S,15,0),0)</f>
        <v>130024.76</v>
      </c>
      <c r="T6" s="110">
        <f>5000+IFERROR(VLOOKUP($E:$E,'（居民）工资表-9月'!$E:$T,16,0),0)</f>
        <v>30000</v>
      </c>
      <c r="U6" s="110">
        <f>Q6+IFERROR(VLOOKUP($E:$E,'（居民）工资表-9月'!$E:$U,17,0),0)</f>
        <v>3758.67</v>
      </c>
      <c r="V6" s="89"/>
      <c r="W6" s="89"/>
      <c r="X6" s="89"/>
      <c r="Y6" s="89"/>
      <c r="Z6" s="89"/>
      <c r="AA6" s="89"/>
      <c r="AB6" s="109">
        <f>ROUND(SUM(V6:AA6),2)</f>
        <v>0</v>
      </c>
      <c r="AC6" s="109">
        <f>R6+IFERROR(VLOOKUP($E:$E,'（居民）工资表-9月'!$E:$AC,25,0),0)</f>
        <v>0</v>
      </c>
      <c r="AD6" s="112">
        <f>ROUND(S6-T6-U6-AB6-AC6,2)</f>
        <v>96266.09</v>
      </c>
      <c r="AE6" s="113">
        <f>ROUND(MAX((AD6)*{0.03;0.1;0.2;0.25;0.3;0.35;0.45}-{0;2520;16920;31920;52920;85920;181920},0),2)</f>
        <v>7106.61</v>
      </c>
      <c r="AF6" s="114">
        <f>IFERROR(VLOOKUP(E:E,'（居民）工资表-9月'!E:AF,28,0)+VLOOKUP(E:E,'（居民）工资表-9月'!E:AG,29,0),0)</f>
        <v>5595.81</v>
      </c>
      <c r="AG6" s="114">
        <f>IF((AE6-AF6)&lt;0,0,AE6-AF6)</f>
        <v>1510.8</v>
      </c>
      <c r="AH6" s="121">
        <f>ROUND(IF((L6-Q6-AG6)&lt;0,0,(L6-Q6-AG6)),2)</f>
        <v>18597.2</v>
      </c>
      <c r="AI6" s="122"/>
      <c r="AJ6" s="121">
        <f>AH6+AI6</f>
        <v>18597.2</v>
      </c>
      <c r="AK6" s="123"/>
      <c r="AL6" s="121">
        <f>AJ6+AG6+AK6</f>
        <v>20108</v>
      </c>
      <c r="AM6" s="123"/>
      <c r="AN6" s="123"/>
      <c r="AO6" s="123"/>
      <c r="AP6" s="123"/>
      <c r="AQ6" s="123"/>
      <c r="AR6" s="129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29" t="str">
        <f>IF(SUMPRODUCT(N(E$1:E$7=E6))&gt;1,"重复","不")</f>
        <v>不</v>
      </c>
      <c r="AT6" s="129" t="str">
        <f>IF(SUMPRODUCT(N(AO$1:AO$7=AO6))&gt;1,"重复","不")</f>
        <v>重复</v>
      </c>
    </row>
    <row r="7" s="31" customFormat="1" ht="18" customHeight="1" spans="1:46">
      <c r="A7" s="55">
        <v>4</v>
      </c>
      <c r="B7" s="56" t="s">
        <v>85</v>
      </c>
      <c r="C7" s="56" t="s">
        <v>170</v>
      </c>
      <c r="D7" s="56" t="s">
        <v>87</v>
      </c>
      <c r="E7" s="390" t="s">
        <v>171</v>
      </c>
      <c r="F7" s="57" t="str">
        <f>IF(MOD(MID(E7,17,1),2)=1,"男","女")</f>
        <v>女</v>
      </c>
      <c r="G7" s="58">
        <v>15360550807</v>
      </c>
      <c r="H7" s="59"/>
      <c r="I7" s="59"/>
      <c r="J7" s="88"/>
      <c r="K7" s="59"/>
      <c r="L7" s="89">
        <v>5700</v>
      </c>
      <c r="M7" s="90"/>
      <c r="N7" s="90"/>
      <c r="O7" s="90"/>
      <c r="P7" s="90"/>
      <c r="Q7" s="108">
        <f>ROUND(SUM(M7:P7),2)</f>
        <v>0</v>
      </c>
      <c r="R7" s="89">
        <v>0</v>
      </c>
      <c r="S7" s="109">
        <f>L7+IFERROR(VLOOKUP($E:$E,'（居民）工资表-9月'!$E:$S,15,0),0)</f>
        <v>18343.6363636364</v>
      </c>
      <c r="T7" s="110">
        <f>5000+IFERROR(VLOOKUP($E:$E,'（居民）工资表-9月'!$E:$T,16,0),0)</f>
        <v>20000</v>
      </c>
      <c r="U7" s="110">
        <f>Q7+IFERROR(VLOOKUP($E:$E,'（居民）工资表-9月'!$E:$U,17,0),0)</f>
        <v>0</v>
      </c>
      <c r="V7" s="89"/>
      <c r="W7" s="89"/>
      <c r="X7" s="89"/>
      <c r="Y7" s="89"/>
      <c r="Z7" s="89"/>
      <c r="AA7" s="89"/>
      <c r="AB7" s="109">
        <f>ROUND(SUM(V7:AA7),2)</f>
        <v>0</v>
      </c>
      <c r="AC7" s="109">
        <f>R7+IFERROR(VLOOKUP($E:$E,'（居民）工资表-9月'!$E:$AC,25,0),0)</f>
        <v>0</v>
      </c>
      <c r="AD7" s="112">
        <f>ROUND(S7-T7-U7-AB7-AC7,2)</f>
        <v>-1656.36</v>
      </c>
      <c r="AE7" s="113">
        <f>ROUND(MAX((AD7)*{0.03;0.1;0.2;0.25;0.3;0.35;0.45}-{0;2520;16920;31920;52920;85920;181920},0),2)</f>
        <v>0</v>
      </c>
      <c r="AF7" s="114">
        <f>IFERROR(VLOOKUP(E:E,'（居民）工资表-9月'!E:AF,28,0)+VLOOKUP(E:E,'（居民）工资表-9月'!E:AG,29,0),0)</f>
        <v>0</v>
      </c>
      <c r="AG7" s="114">
        <f>IF((AE7-AF7)&lt;0,0,AE7-AF7)</f>
        <v>0</v>
      </c>
      <c r="AH7" s="121">
        <f>ROUND(IF((L7-Q7-AG7)&lt;0,0,(L7-Q7-AG7)),2)</f>
        <v>5700</v>
      </c>
      <c r="AI7" s="122"/>
      <c r="AJ7" s="121">
        <f>AH7+AI7</f>
        <v>5700</v>
      </c>
      <c r="AK7" s="123"/>
      <c r="AL7" s="121">
        <f>AJ7+AG7+AK7</f>
        <v>5700</v>
      </c>
      <c r="AM7" s="123"/>
      <c r="AN7" s="123"/>
      <c r="AO7" s="123"/>
      <c r="AP7" s="123"/>
      <c r="AQ7" s="123"/>
      <c r="AR7" s="129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29" t="str">
        <f>IF(SUMPRODUCT(N(E$1:E$7=E7))&gt;1,"重复","不")</f>
        <v>不</v>
      </c>
      <c r="AT7" s="129" t="str">
        <f>IF(SUMPRODUCT(N(AO$1:AO$7=AO7))&gt;1,"重复","不")</f>
        <v>重复</v>
      </c>
    </row>
    <row r="8" s="32" customFormat="1" ht="18" customHeight="1" spans="1:46">
      <c r="A8" s="60"/>
      <c r="B8" s="61" t="s">
        <v>91</v>
      </c>
      <c r="C8" s="61"/>
      <c r="D8" s="62"/>
      <c r="E8" s="63"/>
      <c r="F8" s="64"/>
      <c r="G8" s="65"/>
      <c r="H8" s="64"/>
      <c r="I8" s="91"/>
      <c r="J8" s="92"/>
      <c r="K8" s="91"/>
      <c r="L8" s="93">
        <f t="shared" ref="L8:AL8" si="0">SUM(L4:L7)</f>
        <v>42379.4</v>
      </c>
      <c r="M8" s="93">
        <f t="shared" si="0"/>
        <v>828.24</v>
      </c>
      <c r="N8" s="93">
        <f t="shared" si="0"/>
        <v>207.06</v>
      </c>
      <c r="O8" s="93">
        <f t="shared" si="0"/>
        <v>31.06</v>
      </c>
      <c r="P8" s="93">
        <f t="shared" si="0"/>
        <v>459</v>
      </c>
      <c r="Q8" s="93">
        <f t="shared" si="0"/>
        <v>1525.36</v>
      </c>
      <c r="R8" s="93">
        <f t="shared" si="0"/>
        <v>0</v>
      </c>
      <c r="S8" s="93">
        <f t="shared" si="0"/>
        <v>282299.796363636</v>
      </c>
      <c r="T8" s="93">
        <f t="shared" si="0"/>
        <v>135000</v>
      </c>
      <c r="U8" s="93">
        <f t="shared" si="0"/>
        <v>12105.35</v>
      </c>
      <c r="V8" s="93">
        <f t="shared" si="0"/>
        <v>0</v>
      </c>
      <c r="W8" s="93">
        <f t="shared" si="0"/>
        <v>0</v>
      </c>
      <c r="X8" s="93">
        <f t="shared" si="0"/>
        <v>10000</v>
      </c>
      <c r="Y8" s="93">
        <f t="shared" si="0"/>
        <v>0</v>
      </c>
      <c r="Z8" s="93">
        <f t="shared" si="0"/>
        <v>0</v>
      </c>
      <c r="AA8" s="93">
        <f t="shared" si="0"/>
        <v>0</v>
      </c>
      <c r="AB8" s="93">
        <f t="shared" si="0"/>
        <v>10000</v>
      </c>
      <c r="AC8" s="93">
        <f t="shared" si="0"/>
        <v>0</v>
      </c>
      <c r="AD8" s="93">
        <f t="shared" si="0"/>
        <v>125194.45</v>
      </c>
      <c r="AE8" s="93">
        <f t="shared" si="0"/>
        <v>8024.15</v>
      </c>
      <c r="AF8" s="93">
        <f t="shared" si="0"/>
        <v>6391.97</v>
      </c>
      <c r="AG8" s="93">
        <f t="shared" si="0"/>
        <v>1632.18</v>
      </c>
      <c r="AH8" s="93">
        <f t="shared" si="0"/>
        <v>39221.86</v>
      </c>
      <c r="AI8" s="131">
        <f t="shared" si="0"/>
        <v>0</v>
      </c>
      <c r="AJ8" s="93">
        <f t="shared" si="0"/>
        <v>39221.86</v>
      </c>
      <c r="AK8" s="93">
        <f t="shared" si="0"/>
        <v>0</v>
      </c>
      <c r="AL8" s="93">
        <f t="shared" si="0"/>
        <v>40854.04</v>
      </c>
      <c r="AM8" s="124"/>
      <c r="AN8" s="124"/>
      <c r="AO8" s="124"/>
      <c r="AP8" s="124"/>
      <c r="AQ8" s="124"/>
      <c r="AR8" s="64"/>
      <c r="AS8" s="64"/>
      <c r="AT8" s="130"/>
    </row>
    <row r="11" spans="30:30">
      <c r="AD11" s="115"/>
    </row>
    <row r="12" ht="18.75" customHeight="1" spans="2:30">
      <c r="B12" s="66" t="s">
        <v>64</v>
      </c>
      <c r="C12" s="66" t="s">
        <v>92</v>
      </c>
      <c r="D12" s="66" t="s">
        <v>65</v>
      </c>
      <c r="E12" s="66" t="s">
        <v>93</v>
      </c>
      <c r="AD12" s="29"/>
    </row>
    <row r="13" ht="18.75" customHeight="1" spans="2:5">
      <c r="B13" s="67">
        <f>AJ8</f>
        <v>39221.86</v>
      </c>
      <c r="C13" s="67">
        <f>AG8</f>
        <v>1632.18</v>
      </c>
      <c r="D13" s="67">
        <f>AK8</f>
        <v>0</v>
      </c>
      <c r="E13" s="67">
        <f>B13+C13+D13</f>
        <v>40854.04</v>
      </c>
    </row>
    <row r="14" spans="2:5">
      <c r="B14" s="68"/>
      <c r="C14" s="68"/>
      <c r="D14" s="68"/>
      <c r="E14" s="68"/>
    </row>
    <row r="15" s="33" customFormat="1" spans="1:35">
      <c r="A15" s="69" t="s">
        <v>94</v>
      </c>
      <c r="B15" s="70" t="s">
        <v>95</v>
      </c>
      <c r="C15" s="71"/>
      <c r="D15" s="71"/>
      <c r="E15" s="71"/>
      <c r="G15" s="72"/>
      <c r="J15" s="94"/>
      <c r="M15" s="95"/>
      <c r="AI15" s="125"/>
    </row>
    <row r="16" s="33" customFormat="1" spans="1:35">
      <c r="A16" s="73"/>
      <c r="B16" s="74" t="s">
        <v>96</v>
      </c>
      <c r="C16" s="71"/>
      <c r="D16" s="71"/>
      <c r="E16" s="71"/>
      <c r="G16" s="72"/>
      <c r="J16" s="94"/>
      <c r="M16" s="95"/>
      <c r="AI16" s="125"/>
    </row>
    <row r="17" s="33" customFormat="1" spans="1:35">
      <c r="A17" s="70"/>
      <c r="B17" s="74" t="s">
        <v>97</v>
      </c>
      <c r="C17" s="75"/>
      <c r="D17" s="75"/>
      <c r="E17" s="75"/>
      <c r="F17" s="75"/>
      <c r="G17" s="75"/>
      <c r="H17" s="75"/>
      <c r="I17" s="75"/>
      <c r="J17" s="96"/>
      <c r="K17" s="75"/>
      <c r="L17" s="75"/>
      <c r="M17" s="97"/>
      <c r="N17" s="75"/>
      <c r="O17" s="75"/>
      <c r="P17" s="75"/>
      <c r="AI17" s="125"/>
    </row>
    <row r="18" s="33" customFormat="1" customHeight="1" spans="1:35">
      <c r="A18" s="74"/>
      <c r="B18" s="74" t="s">
        <v>98</v>
      </c>
      <c r="C18" s="76"/>
      <c r="D18" s="76"/>
      <c r="E18" s="76"/>
      <c r="F18" s="76"/>
      <c r="G18" s="76"/>
      <c r="H18" s="76"/>
      <c r="I18" s="98"/>
      <c r="J18" s="99"/>
      <c r="K18" s="98"/>
      <c r="L18" s="98"/>
      <c r="M18" s="100"/>
      <c r="N18" s="98"/>
      <c r="O18" s="98"/>
      <c r="P18" s="98"/>
      <c r="AI18" s="125"/>
    </row>
    <row r="19" s="33" customFormat="1" customHeight="1" spans="1:35">
      <c r="A19" s="74"/>
      <c r="B19" s="74" t="s">
        <v>99</v>
      </c>
      <c r="C19" s="76"/>
      <c r="D19" s="76"/>
      <c r="E19" s="76"/>
      <c r="F19" s="76"/>
      <c r="G19" s="76"/>
      <c r="H19" s="76"/>
      <c r="I19" s="76"/>
      <c r="J19" s="101"/>
      <c r="K19" s="76"/>
      <c r="L19" s="98"/>
      <c r="M19" s="100"/>
      <c r="N19" s="98"/>
      <c r="O19" s="98"/>
      <c r="P19" s="98"/>
      <c r="AI19" s="125"/>
    </row>
    <row r="20" s="33" customFormat="1" customHeight="1" spans="1:35">
      <c r="A20" s="74"/>
      <c r="B20" s="74" t="s">
        <v>100</v>
      </c>
      <c r="C20" s="76"/>
      <c r="D20" s="76"/>
      <c r="E20" s="76"/>
      <c r="F20" s="76"/>
      <c r="G20" s="76"/>
      <c r="H20" s="76"/>
      <c r="I20" s="98"/>
      <c r="J20" s="99"/>
      <c r="K20" s="98"/>
      <c r="L20" s="98"/>
      <c r="M20" s="100"/>
      <c r="N20" s="98"/>
      <c r="O20" s="98"/>
      <c r="P20" s="98"/>
      <c r="AI20" s="125"/>
    </row>
    <row r="22" ht="11.25" customHeight="1" spans="2:2">
      <c r="B22" s="77" t="s">
        <v>101</v>
      </c>
    </row>
    <row r="23" spans="2:2">
      <c r="B23" s="78" t="s">
        <v>102</v>
      </c>
    </row>
    <row r="24" spans="2:2">
      <c r="B24" s="78" t="s">
        <v>103</v>
      </c>
    </row>
  </sheetData>
  <autoFilter ref="A3:AT8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0">
    <cfRule type="duplicateValues" dxfId="2" priority="2" stopIfTrue="1"/>
  </conditionalFormatting>
  <conditionalFormatting sqref="B15:B19">
    <cfRule type="duplicateValues" dxfId="2" priority="3" stopIfTrue="1"/>
  </conditionalFormatting>
  <conditionalFormatting sqref="B23:B24">
    <cfRule type="duplicateValues" dxfId="2" priority="1" stopIfTrue="1"/>
  </conditionalFormatting>
  <conditionalFormatting sqref="C12:C14">
    <cfRule type="duplicateValues" dxfId="2" priority="4" stopIfTrue="1"/>
    <cfRule type="expression" dxfId="3" priority="5" stopIfTrue="1">
      <formula>AND(COUNTIF($B$8:$B$65444,C12)+COUNTIF($B$1:$B$3,C12)&gt;1,NOT(ISBLANK(C12)))</formula>
    </cfRule>
    <cfRule type="expression" dxfId="3" priority="6" stopIfTrue="1">
      <formula>AND(COUNTIF($B$19:$B$65395,C12)+COUNTIF($B$1:$B$18,C12)&gt;1,NOT(ISBLANK(C12)))</formula>
    </cfRule>
    <cfRule type="expression" dxfId="3" priority="7" stopIfTrue="1">
      <formula>AND(COUNTIF($B$8:$B$65433,C12)+COUNTIF($B$1:$B$3,C12)&gt;1,NOT(ISBLANK(C12)))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5"/>
  <sheetViews>
    <sheetView workbookViewId="0">
      <pane xSplit="6" ySplit="3" topLeftCell="S4" activePane="bottomRight" state="frozen"/>
      <selection/>
      <selection pane="topRight"/>
      <selection pane="bottomLeft"/>
      <selection pane="bottomRight" activeCell="B4" sqref="B4:P8"/>
    </sheetView>
  </sheetViews>
  <sheetFormatPr defaultColWidth="9" defaultRowHeight="13.5"/>
  <cols>
    <col min="1" max="1" width="4.5" style="34" customWidth="1"/>
    <col min="2" max="2" width="12.625" style="34" customWidth="1"/>
    <col min="3" max="3" width="10.5" style="34" customWidth="1"/>
    <col min="4" max="4" width="8.75" style="34" customWidth="1"/>
    <col min="5" max="5" width="19.5" style="35" customWidth="1"/>
    <col min="6" max="6" width="9" style="34"/>
    <col min="7" max="7" width="11.875" style="36" customWidth="1"/>
    <col min="8" max="8" width="4.625" style="34" hidden="1" customWidth="1"/>
    <col min="9" max="9" width="5.25" style="34" hidden="1" customWidth="1"/>
    <col min="10" max="10" width="11.75" style="37" customWidth="1"/>
    <col min="11" max="11" width="5.25" style="34" customWidth="1"/>
    <col min="12" max="12" width="11.75" style="34" customWidth="1"/>
    <col min="13" max="13" width="12.5" style="34" customWidth="1" outlineLevel="1"/>
    <col min="14" max="15" width="9" style="34" customWidth="1" outlineLevel="1"/>
    <col min="16" max="16" width="11.125" style="34" customWidth="1" outlineLevel="1"/>
    <col min="17" max="17" width="9.75" style="34" customWidth="1"/>
    <col min="18" max="18" width="9.5" style="34" customWidth="1"/>
    <col min="19" max="19" width="13.375" style="34" customWidth="1"/>
    <col min="20" max="21" width="12.25" style="34" customWidth="1"/>
    <col min="22" max="27" width="9" style="34" customWidth="1" outlineLevel="1"/>
    <col min="28" max="28" width="11.25" style="34" customWidth="1"/>
    <col min="29" max="29" width="8.5" style="34" customWidth="1"/>
    <col min="30" max="30" width="15.25" style="34" customWidth="1"/>
    <col min="31" max="31" width="13.375" style="34" customWidth="1"/>
    <col min="32" max="32" width="10.75" style="34" customWidth="1"/>
    <col min="33" max="33" width="12.25" style="34" customWidth="1"/>
    <col min="34" max="34" width="11.5" style="34" customWidth="1"/>
    <col min="35" max="35" width="7.875" style="38" customWidth="1"/>
    <col min="36" max="36" width="11.5" style="34" customWidth="1"/>
    <col min="37" max="37" width="9" style="34"/>
    <col min="38" max="38" width="11.5" style="34" customWidth="1"/>
    <col min="39" max="40" width="9" style="34" customWidth="1"/>
    <col min="41" max="41" width="19" style="34" customWidth="1"/>
    <col min="42" max="42" width="12.25" style="34" customWidth="1"/>
    <col min="43" max="43" width="9" style="34"/>
    <col min="44" max="44" width="7" style="34" customWidth="1"/>
    <col min="45" max="45" width="6.75" style="34" customWidth="1"/>
    <col min="46" max="46" width="6.125" style="34" customWidth="1"/>
    <col min="47" max="16384" width="9" style="34"/>
  </cols>
  <sheetData>
    <row r="1" s="29" customFormat="1" ht="29.25" customHeight="1" spans="1:45">
      <c r="A1" s="39" t="s">
        <v>36</v>
      </c>
      <c r="B1" s="40"/>
      <c r="C1" s="41"/>
      <c r="D1" s="42"/>
      <c r="E1" s="43"/>
      <c r="F1" s="43"/>
      <c r="G1" s="44"/>
      <c r="J1" s="79"/>
      <c r="L1" s="80"/>
      <c r="M1" s="81" t="s">
        <v>37</v>
      </c>
      <c r="N1" s="81"/>
      <c r="O1" s="81"/>
      <c r="P1" s="81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80"/>
      <c r="AE1" s="80"/>
      <c r="AF1" s="80"/>
      <c r="AG1" s="80"/>
      <c r="AH1" s="80"/>
      <c r="AI1" s="116"/>
      <c r="AJ1" s="80"/>
      <c r="AK1" s="80"/>
      <c r="AL1" s="80"/>
      <c r="AM1" s="43"/>
      <c r="AN1" s="43"/>
      <c r="AO1" s="126"/>
      <c r="AP1" s="43"/>
      <c r="AQ1" s="43"/>
      <c r="AR1" s="43"/>
      <c r="AS1" s="43"/>
    </row>
    <row r="2" s="30" customFormat="1" ht="20.1" customHeight="1" spans="1:46">
      <c r="A2" s="45" t="s">
        <v>18</v>
      </c>
      <c r="B2" s="46" t="s">
        <v>38</v>
      </c>
      <c r="C2" s="47" t="s">
        <v>39</v>
      </c>
      <c r="D2" s="47" t="s">
        <v>40</v>
      </c>
      <c r="E2" s="48" t="s">
        <v>41</v>
      </c>
      <c r="F2" s="49" t="s">
        <v>42</v>
      </c>
      <c r="G2" s="48" t="s">
        <v>43</v>
      </c>
      <c r="H2" s="48" t="s">
        <v>44</v>
      </c>
      <c r="I2" s="48" t="s">
        <v>45</v>
      </c>
      <c r="J2" s="82" t="s">
        <v>46</v>
      </c>
      <c r="K2" s="48" t="s">
        <v>47</v>
      </c>
      <c r="L2" s="48" t="s">
        <v>48</v>
      </c>
      <c r="M2" s="83" t="s">
        <v>49</v>
      </c>
      <c r="N2" s="84"/>
      <c r="O2" s="84"/>
      <c r="P2" s="85"/>
      <c r="Q2" s="49" t="s">
        <v>50</v>
      </c>
      <c r="R2" s="48" t="s">
        <v>51</v>
      </c>
      <c r="S2" s="49" t="s">
        <v>52</v>
      </c>
      <c r="T2" s="103" t="s">
        <v>53</v>
      </c>
      <c r="U2" s="49" t="s">
        <v>54</v>
      </c>
      <c r="V2" s="104" t="s">
        <v>55</v>
      </c>
      <c r="W2" s="105"/>
      <c r="X2" s="105"/>
      <c r="Y2" s="105"/>
      <c r="Z2" s="105"/>
      <c r="AA2" s="111"/>
      <c r="AB2" s="49" t="s">
        <v>56</v>
      </c>
      <c r="AC2" s="49" t="s">
        <v>57</v>
      </c>
      <c r="AD2" s="103" t="s">
        <v>58</v>
      </c>
      <c r="AE2" s="103" t="s">
        <v>59</v>
      </c>
      <c r="AF2" s="103" t="s">
        <v>60</v>
      </c>
      <c r="AG2" s="103" t="s">
        <v>61</v>
      </c>
      <c r="AH2" s="117" t="s">
        <v>62</v>
      </c>
      <c r="AI2" s="118" t="s">
        <v>63</v>
      </c>
      <c r="AJ2" s="117" t="s">
        <v>64</v>
      </c>
      <c r="AK2" s="47" t="s">
        <v>65</v>
      </c>
      <c r="AL2" s="117" t="s">
        <v>66</v>
      </c>
      <c r="AM2" s="48" t="s">
        <v>67</v>
      </c>
      <c r="AN2" s="48" t="s">
        <v>68</v>
      </c>
      <c r="AO2" s="127" t="s">
        <v>69</v>
      </c>
      <c r="AP2" s="48" t="s">
        <v>70</v>
      </c>
      <c r="AQ2" s="48" t="s">
        <v>71</v>
      </c>
      <c r="AR2" s="49" t="s">
        <v>72</v>
      </c>
      <c r="AS2" s="49" t="s">
        <v>73</v>
      </c>
      <c r="AT2" s="49" t="s">
        <v>74</v>
      </c>
    </row>
    <row r="3" s="30" customFormat="1" ht="27" customHeight="1" spans="1:46">
      <c r="A3" s="50"/>
      <c r="B3" s="51"/>
      <c r="C3" s="52"/>
      <c r="D3" s="52"/>
      <c r="E3" s="53"/>
      <c r="F3" s="54"/>
      <c r="G3" s="53"/>
      <c r="H3" s="53"/>
      <c r="I3" s="53"/>
      <c r="J3" s="86"/>
      <c r="K3" s="53"/>
      <c r="L3" s="53"/>
      <c r="M3" s="87" t="s">
        <v>75</v>
      </c>
      <c r="N3" s="87" t="s">
        <v>76</v>
      </c>
      <c r="O3" s="87" t="s">
        <v>77</v>
      </c>
      <c r="P3" s="87" t="s">
        <v>78</v>
      </c>
      <c r="Q3" s="54"/>
      <c r="R3" s="53"/>
      <c r="S3" s="54"/>
      <c r="T3" s="106"/>
      <c r="U3" s="54"/>
      <c r="V3" s="107" t="s">
        <v>79</v>
      </c>
      <c r="W3" s="107" t="s">
        <v>80</v>
      </c>
      <c r="X3" s="107" t="s">
        <v>81</v>
      </c>
      <c r="Y3" s="107" t="s">
        <v>82</v>
      </c>
      <c r="Z3" s="107" t="s">
        <v>83</v>
      </c>
      <c r="AA3" s="107" t="s">
        <v>84</v>
      </c>
      <c r="AB3" s="54"/>
      <c r="AC3" s="54"/>
      <c r="AD3" s="106"/>
      <c r="AE3" s="106"/>
      <c r="AF3" s="106"/>
      <c r="AG3" s="106"/>
      <c r="AH3" s="119"/>
      <c r="AI3" s="120"/>
      <c r="AJ3" s="119"/>
      <c r="AK3" s="52"/>
      <c r="AL3" s="119"/>
      <c r="AM3" s="53"/>
      <c r="AN3" s="53"/>
      <c r="AO3" s="128"/>
      <c r="AP3" s="53"/>
      <c r="AQ3" s="53"/>
      <c r="AR3" s="54"/>
      <c r="AS3" s="54"/>
      <c r="AT3" s="54"/>
    </row>
    <row r="4" s="31" customFormat="1" ht="18" customHeight="1" spans="1:46">
      <c r="A4" s="55">
        <v>1</v>
      </c>
      <c r="B4" s="56" t="s">
        <v>85</v>
      </c>
      <c r="C4" s="56" t="s">
        <v>86</v>
      </c>
      <c r="D4" s="56" t="s">
        <v>87</v>
      </c>
      <c r="E4" s="56" t="s">
        <v>88</v>
      </c>
      <c r="F4" s="57" t="s">
        <v>210</v>
      </c>
      <c r="G4" s="58">
        <v>18035163638</v>
      </c>
      <c r="H4" s="59"/>
      <c r="I4" s="59"/>
      <c r="J4" s="88"/>
      <c r="K4" s="59"/>
      <c r="L4" s="89">
        <v>10400</v>
      </c>
      <c r="M4" s="90">
        <v>264</v>
      </c>
      <c r="N4" s="90">
        <v>66</v>
      </c>
      <c r="O4" s="90">
        <v>9.9</v>
      </c>
      <c r="P4" s="90">
        <v>180</v>
      </c>
      <c r="Q4" s="108">
        <f>ROUND(SUM(M4:P4),2)</f>
        <v>519.9</v>
      </c>
      <c r="R4" s="89">
        <v>0</v>
      </c>
      <c r="S4" s="109">
        <f>L4+IFERROR(VLOOKUP($E:$E,'（居民）工资表-10月'!$E:$S,15,0),0)</f>
        <v>95460</v>
      </c>
      <c r="T4" s="110">
        <f>5000+IFERROR(VLOOKUP($E:$E,'（居民）工资表-10月'!$E:$T,16,0),0)</f>
        <v>55000</v>
      </c>
      <c r="U4" s="110">
        <f>Q4+IFERROR(VLOOKUP($E:$E,'（居民）工资表-10月'!$E:$U,17,0),0)</f>
        <v>5718.9</v>
      </c>
      <c r="V4" s="89"/>
      <c r="W4" s="89"/>
      <c r="X4" s="89">
        <v>11000</v>
      </c>
      <c r="Y4" s="89"/>
      <c r="Z4" s="89"/>
      <c r="AA4" s="89"/>
      <c r="AB4" s="109">
        <f>ROUND(SUM(V4:AA4),2)</f>
        <v>11000</v>
      </c>
      <c r="AC4" s="109">
        <f>R4+IFERROR(VLOOKUP($E:$E,'（居民）工资表-10月'!$E:$AC,25,0),0)</f>
        <v>0</v>
      </c>
      <c r="AD4" s="112">
        <f>ROUND(S4-T4-U4-AB4-AC4,2)</f>
        <v>23741.1</v>
      </c>
      <c r="AE4" s="113">
        <f>ROUND(MAX((AD4)*{0.03;0.1;0.2;0.25;0.3;0.35;0.45}-{0;2520;16920;31920;52920;85920;181920},0),2)</f>
        <v>712.23</v>
      </c>
      <c r="AF4" s="114">
        <f>IFERROR(VLOOKUP(E:E,'（居民）工资表-10月'!E:AF,28,0)+VLOOKUP(E:E,'（居民）工资表-10月'!E:AG,29,0),0)</f>
        <v>595.83</v>
      </c>
      <c r="AG4" s="114">
        <f>IF((AE4-AF4)&lt;0,0,AE4-AF4)</f>
        <v>116.4</v>
      </c>
      <c r="AH4" s="121">
        <f>ROUND(IF((L4-Q4-AG4)&lt;0,0,(L4-Q4-AG4)),2)</f>
        <v>9763.7</v>
      </c>
      <c r="AI4" s="122"/>
      <c r="AJ4" s="121">
        <f>AH4+AI4</f>
        <v>9763.7</v>
      </c>
      <c r="AK4" s="123"/>
      <c r="AL4" s="121">
        <f>AJ4+AG4+AK4</f>
        <v>9880.1</v>
      </c>
      <c r="AM4" s="123"/>
      <c r="AN4" s="123"/>
      <c r="AO4" s="123"/>
      <c r="AP4" s="123"/>
      <c r="AQ4" s="123"/>
      <c r="AR4" s="129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29" t="str">
        <f>IF(SUMPRODUCT(N(E$1:E$6=E4))&gt;1,"重复","不")</f>
        <v>不</v>
      </c>
      <c r="AT4" s="129" t="str">
        <f>IF(SUMPRODUCT(N(AO$1:AO$6=AO4))&gt;1,"重复","不")</f>
        <v>重复</v>
      </c>
    </row>
    <row r="5" s="31" customFormat="1" ht="18" customHeight="1" spans="1:46">
      <c r="A5" s="55">
        <v>2</v>
      </c>
      <c r="B5" s="56" t="s">
        <v>85</v>
      </c>
      <c r="C5" s="56" t="s">
        <v>154</v>
      </c>
      <c r="D5" s="56" t="s">
        <v>87</v>
      </c>
      <c r="E5" s="56" t="s">
        <v>155</v>
      </c>
      <c r="F5" s="57" t="s">
        <v>210</v>
      </c>
      <c r="G5" s="58">
        <v>13944441728</v>
      </c>
      <c r="H5" s="59"/>
      <c r="I5" s="59"/>
      <c r="J5" s="88"/>
      <c r="K5" s="59"/>
      <c r="L5" s="89">
        <v>7000</v>
      </c>
      <c r="M5" s="90">
        <f>268.81+24.57*4</f>
        <v>367.09</v>
      </c>
      <c r="N5" s="90">
        <v>61.06</v>
      </c>
      <c r="O5" s="90">
        <f>10.08+0.92*4</f>
        <v>13.76</v>
      </c>
      <c r="P5" s="90">
        <v>79</v>
      </c>
      <c r="Q5" s="108">
        <f>ROUND(SUM(M5:P5),2)</f>
        <v>520.91</v>
      </c>
      <c r="R5" s="89">
        <v>0</v>
      </c>
      <c r="S5" s="109">
        <f>L5+IFERROR(VLOOKUP($E:$E,'（居民）工资表-10月'!$E:$S,15,0),0)</f>
        <v>55871.4</v>
      </c>
      <c r="T5" s="110">
        <f>5000+IFERROR(VLOOKUP($E:$E,'（居民）工资表-10月'!$E:$T,16,0),0)</f>
        <v>40000</v>
      </c>
      <c r="U5" s="110">
        <f>Q5+IFERROR(VLOOKUP($E:$E,'（居民）工资表-10月'!$E:$U,17,0),0)</f>
        <v>3668.59</v>
      </c>
      <c r="V5" s="89"/>
      <c r="W5" s="89"/>
      <c r="X5" s="89"/>
      <c r="Y5" s="89"/>
      <c r="Z5" s="89"/>
      <c r="AA5" s="89"/>
      <c r="AB5" s="109">
        <f>ROUND(SUM(V5:AA5),2)</f>
        <v>0</v>
      </c>
      <c r="AC5" s="109">
        <f>R5+IFERROR(VLOOKUP($E:$E,'（居民）工资表-10月'!$E:$AC,25,0),0)</f>
        <v>0</v>
      </c>
      <c r="AD5" s="112">
        <f>ROUND(S5-T5-U5-AB5-AC5,2)</f>
        <v>12202.81</v>
      </c>
      <c r="AE5" s="113">
        <f>ROUND(MAX((AD5)*{0.03;0.1;0.2;0.25;0.3;0.35;0.45}-{0;2520;16920;31920;52920;85920;181920},0),2)</f>
        <v>366.08</v>
      </c>
      <c r="AF5" s="114">
        <f>IFERROR(VLOOKUP(E:E,'（居民）工资表-10月'!E:AF,28,0)+VLOOKUP(E:E,'（居民）工资表-10月'!E:AG,29,0),0)</f>
        <v>321.71</v>
      </c>
      <c r="AG5" s="114">
        <f>IF((AE5-AF5)&lt;0,0,AE5-AF5)</f>
        <v>44.37</v>
      </c>
      <c r="AH5" s="121">
        <f>ROUND(IF((L5-Q5-AG5)&lt;0,0,(L5-Q5-AG5)),2)</f>
        <v>6434.72</v>
      </c>
      <c r="AI5" s="122"/>
      <c r="AJ5" s="121">
        <f>AH5+AI5</f>
        <v>6434.72</v>
      </c>
      <c r="AK5" s="123"/>
      <c r="AL5" s="121">
        <f>AJ5+AG5+AK5</f>
        <v>6479.09</v>
      </c>
      <c r="AM5" s="123"/>
      <c r="AN5" s="123"/>
      <c r="AO5" s="123"/>
      <c r="AP5" s="123"/>
      <c r="AQ5" s="123"/>
      <c r="AR5" s="129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29" t="str">
        <f>IF(SUMPRODUCT(N(E$1:E$6=E5))&gt;1,"重复","不")</f>
        <v>不</v>
      </c>
      <c r="AT5" s="129" t="str">
        <f>IF(SUMPRODUCT(N(AO$1:AO$6=AO5))&gt;1,"重复","不")</f>
        <v>重复</v>
      </c>
    </row>
    <row r="6" s="31" customFormat="1" ht="18" customHeight="1" spans="1:46">
      <c r="A6" s="55">
        <v>3</v>
      </c>
      <c r="B6" s="56" t="s">
        <v>85</v>
      </c>
      <c r="C6" s="56" t="s">
        <v>170</v>
      </c>
      <c r="D6" s="56" t="s">
        <v>87</v>
      </c>
      <c r="E6" s="390" t="s">
        <v>171</v>
      </c>
      <c r="F6" s="57" t="str">
        <f>IF(MOD(MID(E6,17,1),2)=1,"男","女")</f>
        <v>女</v>
      </c>
      <c r="G6" s="58">
        <v>15360550807</v>
      </c>
      <c r="H6" s="59"/>
      <c r="I6" s="59"/>
      <c r="J6" s="88"/>
      <c r="K6" s="59"/>
      <c r="L6" s="89">
        <v>5700</v>
      </c>
      <c r="M6" s="90">
        <v>367.04</v>
      </c>
      <c r="N6" s="90">
        <v>123.5</v>
      </c>
      <c r="O6" s="90">
        <v>4.2</v>
      </c>
      <c r="P6" s="90">
        <v>105</v>
      </c>
      <c r="Q6" s="108">
        <f>ROUND(SUM(M6:P6),2)</f>
        <v>599.74</v>
      </c>
      <c r="R6" s="89">
        <v>0</v>
      </c>
      <c r="S6" s="109">
        <f>L6+IFERROR(VLOOKUP($E:$E,'（居民）工资表-10月'!$E:$S,15,0),0)</f>
        <v>24043.6363636364</v>
      </c>
      <c r="T6" s="110">
        <f>5000+IFERROR(VLOOKUP($E:$E,'（居民）工资表-10月'!$E:$T,16,0),0)</f>
        <v>25000</v>
      </c>
      <c r="U6" s="110">
        <f>Q6+IFERROR(VLOOKUP($E:$E,'（居民）工资表-10月'!$E:$U,17,0),0)</f>
        <v>599.74</v>
      </c>
      <c r="V6" s="89"/>
      <c r="W6" s="89"/>
      <c r="X6" s="89"/>
      <c r="Y6" s="89"/>
      <c r="Z6" s="89"/>
      <c r="AA6" s="89"/>
      <c r="AB6" s="109">
        <f>ROUND(SUM(V6:AA6),2)</f>
        <v>0</v>
      </c>
      <c r="AC6" s="109">
        <f>R6+IFERROR(VLOOKUP($E:$E,'（居民）工资表-10月'!$E:$AC,25,0),0)</f>
        <v>0</v>
      </c>
      <c r="AD6" s="112">
        <f>ROUND(S6-T6-U6-AB6-AC6,2)</f>
        <v>-1556.1</v>
      </c>
      <c r="AE6" s="113">
        <f>ROUND(MAX((AD6)*{0.03;0.1;0.2;0.25;0.3;0.35;0.45}-{0;2520;16920;31920;52920;85920;181920},0),2)</f>
        <v>0</v>
      </c>
      <c r="AF6" s="114">
        <f>IFERROR(VLOOKUP(E:E,'（居民）工资表-10月'!E:AF,28,0)+VLOOKUP(E:E,'（居民）工资表-10月'!E:AG,29,0),0)</f>
        <v>0</v>
      </c>
      <c r="AG6" s="114">
        <f>IF((AE6-AF6)&lt;0,0,AE6-AF6)</f>
        <v>0</v>
      </c>
      <c r="AH6" s="121">
        <f>ROUND(IF((L6-Q6-AG6)&lt;0,0,(L6-Q6-AG6)),2)</f>
        <v>5100.26</v>
      </c>
      <c r="AI6" s="122"/>
      <c r="AJ6" s="121">
        <f>AH6+AI6</f>
        <v>5100.26</v>
      </c>
      <c r="AK6" s="123"/>
      <c r="AL6" s="121">
        <f>AJ6+AG6+AK6</f>
        <v>5100.26</v>
      </c>
      <c r="AM6" s="123"/>
      <c r="AN6" s="123"/>
      <c r="AO6" s="123"/>
      <c r="AP6" s="123"/>
      <c r="AQ6" s="123"/>
      <c r="AR6" s="129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29" t="str">
        <f>IF(SUMPRODUCT(N(E$1:E$6=E6))&gt;1,"重复","不")</f>
        <v>不</v>
      </c>
      <c r="AT6" s="129" t="str">
        <f>IF(SUMPRODUCT(N(AO$1:AO$6=AO6))&gt;1,"重复","不")</f>
        <v>重复</v>
      </c>
    </row>
    <row r="7" s="31" customFormat="1" ht="18" customHeight="1" spans="1:46">
      <c r="A7" s="55">
        <v>4</v>
      </c>
      <c r="B7" s="56" t="s">
        <v>85</v>
      </c>
      <c r="C7" s="56" t="s">
        <v>160</v>
      </c>
      <c r="D7" s="56" t="s">
        <v>87</v>
      </c>
      <c r="E7" s="390" t="s">
        <v>161</v>
      </c>
      <c r="F7" s="57" t="s">
        <v>210</v>
      </c>
      <c r="G7" s="58">
        <v>18607383005</v>
      </c>
      <c r="H7" s="59"/>
      <c r="I7" s="59"/>
      <c r="J7" s="88"/>
      <c r="K7" s="59"/>
      <c r="L7" s="89">
        <v>25000</v>
      </c>
      <c r="M7" s="90">
        <f>320</f>
        <v>320</v>
      </c>
      <c r="N7" s="90">
        <f>80</f>
        <v>80</v>
      </c>
      <c r="O7" s="90">
        <f>12</f>
        <v>12</v>
      </c>
      <c r="P7" s="90">
        <v>200</v>
      </c>
      <c r="Q7" s="108">
        <f>ROUND(SUM(M7:P7),2)</f>
        <v>612</v>
      </c>
      <c r="R7" s="89">
        <v>0</v>
      </c>
      <c r="S7" s="109">
        <f>L7+IFERROR(VLOOKUP($E:$E,'（居民）工资表-10月'!$E:$S,15,0),0)</f>
        <v>155024.76</v>
      </c>
      <c r="T7" s="110">
        <f>5000+IFERROR(VLOOKUP($E:$E,'（居民）工资表-10月'!$E:$T,16,0),0)</f>
        <v>35000</v>
      </c>
      <c r="U7" s="110">
        <f>Q7+IFERROR(VLOOKUP($E:$E,'（居民）工资表-10月'!$E:$U,17,0),0)</f>
        <v>4370.67</v>
      </c>
      <c r="V7" s="89"/>
      <c r="W7" s="89"/>
      <c r="X7" s="89"/>
      <c r="Y7" s="89"/>
      <c r="Z7" s="89"/>
      <c r="AA7" s="89"/>
      <c r="AB7" s="109">
        <f>ROUND(SUM(V7:AA7),2)</f>
        <v>0</v>
      </c>
      <c r="AC7" s="109">
        <f>R7+IFERROR(VLOOKUP($E:$E,'（居民）工资表-10月'!$E:$AC,25,0),0)</f>
        <v>0</v>
      </c>
      <c r="AD7" s="112">
        <f>ROUND(S7-T7-U7-AB7-AC7,2)</f>
        <v>115654.09</v>
      </c>
      <c r="AE7" s="113">
        <f>ROUND(MAX((AD7)*{0.03;0.1;0.2;0.25;0.3;0.35;0.45}-{0;2520;16920;31920;52920;85920;181920},0),2)</f>
        <v>9045.41</v>
      </c>
      <c r="AF7" s="114">
        <f>IFERROR(VLOOKUP(E:E,'（居民）工资表-10月'!E:AF,28,0)+VLOOKUP(E:E,'（居民）工资表-10月'!E:AG,29,0),0)</f>
        <v>7106.61</v>
      </c>
      <c r="AG7" s="114">
        <f>IF((AE7-AF7)&lt;0,0,AE7-AF7)</f>
        <v>1938.8</v>
      </c>
      <c r="AH7" s="121">
        <f>ROUND(IF((L7-Q7-AG7)&lt;0,0,(L7-Q7-AG7)),2)</f>
        <v>22449.2</v>
      </c>
      <c r="AI7" s="122"/>
      <c r="AJ7" s="121">
        <f>AH7+AI7</f>
        <v>22449.2</v>
      </c>
      <c r="AK7" s="123"/>
      <c r="AL7" s="121">
        <f>AJ7+AG7+AK7</f>
        <v>24388</v>
      </c>
      <c r="AM7" s="123"/>
      <c r="AN7" s="123"/>
      <c r="AO7" s="123"/>
      <c r="AP7" s="123"/>
      <c r="AQ7" s="123"/>
      <c r="AR7" s="129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29" t="str">
        <f>IF(SUMPRODUCT(N(E$1:E$6=E7))&gt;1,"重复","不")</f>
        <v>不</v>
      </c>
      <c r="AT7" s="129" t="str">
        <f>IF(SUMPRODUCT(N(AO$1:AO$6=AO7))&gt;1,"重复","不")</f>
        <v>重复</v>
      </c>
    </row>
    <row r="8" s="31" customFormat="1" ht="18" customHeight="1" spans="1:46">
      <c r="A8" s="55">
        <v>5</v>
      </c>
      <c r="B8" s="56" t="s">
        <v>85</v>
      </c>
      <c r="C8" s="56" t="s">
        <v>166</v>
      </c>
      <c r="D8" s="56" t="s">
        <v>87</v>
      </c>
      <c r="E8" s="56" t="s">
        <v>167</v>
      </c>
      <c r="F8" s="57" t="s">
        <v>210</v>
      </c>
      <c r="G8" s="58">
        <v>13373825180</v>
      </c>
      <c r="H8" s="59"/>
      <c r="I8" s="59"/>
      <c r="J8" s="88"/>
      <c r="K8" s="59"/>
      <c r="L8" s="89">
        <v>25000</v>
      </c>
      <c r="M8" s="90">
        <f>261.04*2</f>
        <v>522.08</v>
      </c>
      <c r="N8" s="90">
        <f>57.18*2+32.5</f>
        <v>146.86</v>
      </c>
      <c r="O8" s="90">
        <f>9.1*2</f>
        <v>18.2</v>
      </c>
      <c r="P8" s="90">
        <f>85*2</f>
        <v>170</v>
      </c>
      <c r="Q8" s="108">
        <f>ROUND(SUM(M8:P8),2)</f>
        <v>857.14</v>
      </c>
      <c r="R8" s="89">
        <v>0</v>
      </c>
      <c r="S8" s="109">
        <f>L8+IFERROR(VLOOKUP($E:$E,'（居民）工资表-10月'!$E:$S,15,0),0)</f>
        <v>25000</v>
      </c>
      <c r="T8" s="110">
        <f>5000+IFERROR(VLOOKUP($E:$E,'（居民）工资表-10月'!$E:$T,16,0),0)</f>
        <v>5000</v>
      </c>
      <c r="U8" s="110">
        <f>Q8+IFERROR(VLOOKUP($E:$E,'（居民）工资表-10月'!$E:$U,17,0),0)</f>
        <v>857.14</v>
      </c>
      <c r="V8" s="89"/>
      <c r="W8" s="89"/>
      <c r="X8" s="89"/>
      <c r="Y8" s="89"/>
      <c r="Z8" s="89"/>
      <c r="AA8" s="89"/>
      <c r="AB8" s="109">
        <f>ROUND(SUM(V8:AA8),2)</f>
        <v>0</v>
      </c>
      <c r="AC8" s="109">
        <f>R8+IFERROR(VLOOKUP($E:$E,'（居民）工资表-10月'!$E:$AC,25,0),0)</f>
        <v>0</v>
      </c>
      <c r="AD8" s="112">
        <f>ROUND(S8-T8-U8-AB8-AC8,2)</f>
        <v>19142.86</v>
      </c>
      <c r="AE8" s="113">
        <f>ROUND(MAX((AD8)*{0.03;0.1;0.2;0.25;0.3;0.35;0.45}-{0;2520;16920;31920;52920;85920;181920},0),2)</f>
        <v>574.29</v>
      </c>
      <c r="AF8" s="114">
        <f>IFERROR(VLOOKUP(E:E,'（居民）工资表-10月'!E:AF,28,0)+VLOOKUP(E:E,'（居民）工资表-10月'!E:AG,29,0),0)</f>
        <v>0</v>
      </c>
      <c r="AG8" s="114">
        <f>IF((AE8-AF8)&lt;0,0,AE8-AF8)</f>
        <v>574.29</v>
      </c>
      <c r="AH8" s="121">
        <f>ROUND(IF((L8-Q8-AG8)&lt;0,0,(L8-Q8-AG8)),2)</f>
        <v>23568.57</v>
      </c>
      <c r="AI8" s="122"/>
      <c r="AJ8" s="121">
        <f>AH8+AI8</f>
        <v>23568.57</v>
      </c>
      <c r="AK8" s="123"/>
      <c r="AL8" s="121">
        <f>AJ8+AG8+AK8</f>
        <v>24142.86</v>
      </c>
      <c r="AM8" s="123"/>
      <c r="AN8" s="123"/>
      <c r="AO8" s="123"/>
      <c r="AP8" s="123"/>
      <c r="AQ8" s="123"/>
      <c r="AR8" s="129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29" t="str">
        <f>IF(SUMPRODUCT(N(E$1:E$6=E8))&gt;1,"重复","不")</f>
        <v>不</v>
      </c>
      <c r="AT8" s="129" t="str">
        <f>IF(SUMPRODUCT(N(AO$1:AO$6=AO8))&gt;1,"重复","不")</f>
        <v>重复</v>
      </c>
    </row>
    <row r="9" s="32" customFormat="1" ht="18" customHeight="1" spans="1:46">
      <c r="A9" s="60"/>
      <c r="B9" s="61" t="s">
        <v>91</v>
      </c>
      <c r="C9" s="61"/>
      <c r="D9" s="62"/>
      <c r="E9" s="63"/>
      <c r="F9" s="64"/>
      <c r="G9" s="65"/>
      <c r="H9" s="64"/>
      <c r="I9" s="91"/>
      <c r="J9" s="92"/>
      <c r="K9" s="91"/>
      <c r="L9" s="93">
        <f>SUM(L4:L8)</f>
        <v>73100</v>
      </c>
      <c r="M9" s="93">
        <f t="shared" ref="M9:AL9" si="0">SUM(M4:M8)</f>
        <v>1840.21</v>
      </c>
      <c r="N9" s="93">
        <f t="shared" si="0"/>
        <v>477.42</v>
      </c>
      <c r="O9" s="93">
        <f t="shared" si="0"/>
        <v>58.06</v>
      </c>
      <c r="P9" s="93">
        <f t="shared" si="0"/>
        <v>734</v>
      </c>
      <c r="Q9" s="93">
        <f t="shared" si="0"/>
        <v>3109.69</v>
      </c>
      <c r="R9" s="93">
        <f t="shared" si="0"/>
        <v>0</v>
      </c>
      <c r="S9" s="93">
        <f t="shared" si="0"/>
        <v>355399.796363636</v>
      </c>
      <c r="T9" s="93">
        <f t="shared" si="0"/>
        <v>160000</v>
      </c>
      <c r="U9" s="93">
        <f t="shared" si="0"/>
        <v>15215.04</v>
      </c>
      <c r="V9" s="93">
        <f t="shared" si="0"/>
        <v>0</v>
      </c>
      <c r="W9" s="93">
        <f t="shared" si="0"/>
        <v>0</v>
      </c>
      <c r="X9" s="93">
        <f t="shared" si="0"/>
        <v>11000</v>
      </c>
      <c r="Y9" s="93">
        <f t="shared" si="0"/>
        <v>0</v>
      </c>
      <c r="Z9" s="93">
        <f t="shared" si="0"/>
        <v>0</v>
      </c>
      <c r="AA9" s="93">
        <f t="shared" si="0"/>
        <v>0</v>
      </c>
      <c r="AB9" s="93">
        <f t="shared" si="0"/>
        <v>11000</v>
      </c>
      <c r="AC9" s="93">
        <f t="shared" si="0"/>
        <v>0</v>
      </c>
      <c r="AD9" s="93">
        <f t="shared" si="0"/>
        <v>169184.76</v>
      </c>
      <c r="AE9" s="93">
        <f t="shared" si="0"/>
        <v>10698.01</v>
      </c>
      <c r="AF9" s="93">
        <f t="shared" si="0"/>
        <v>8024.15</v>
      </c>
      <c r="AG9" s="93">
        <f t="shared" si="0"/>
        <v>2673.86</v>
      </c>
      <c r="AH9" s="93">
        <f t="shared" si="0"/>
        <v>67316.45</v>
      </c>
      <c r="AI9" s="93">
        <f t="shared" si="0"/>
        <v>0</v>
      </c>
      <c r="AJ9" s="93">
        <f t="shared" si="0"/>
        <v>67316.45</v>
      </c>
      <c r="AK9" s="93">
        <f t="shared" si="0"/>
        <v>0</v>
      </c>
      <c r="AL9" s="93">
        <f t="shared" si="0"/>
        <v>69990.31</v>
      </c>
      <c r="AM9" s="124"/>
      <c r="AN9" s="124"/>
      <c r="AO9" s="124"/>
      <c r="AP9" s="124"/>
      <c r="AQ9" s="124"/>
      <c r="AR9" s="64"/>
      <c r="AS9" s="64"/>
      <c r="AT9" s="130"/>
    </row>
    <row r="12" spans="30:30">
      <c r="AD12" s="115"/>
    </row>
    <row r="13" ht="18.75" customHeight="1" spans="2:30">
      <c r="B13" s="66" t="s">
        <v>64</v>
      </c>
      <c r="C13" s="66" t="s">
        <v>92</v>
      </c>
      <c r="D13" s="66" t="s">
        <v>65</v>
      </c>
      <c r="E13" s="66" t="s">
        <v>93</v>
      </c>
      <c r="AD13" s="29"/>
    </row>
    <row r="14" ht="18.75" customHeight="1" spans="2:5">
      <c r="B14" s="67">
        <f>AJ9</f>
        <v>67316.45</v>
      </c>
      <c r="C14" s="67">
        <f>AG9</f>
        <v>2673.86</v>
      </c>
      <c r="D14" s="67">
        <f>AK9</f>
        <v>0</v>
      </c>
      <c r="E14" s="67">
        <f>B14+C14+D14</f>
        <v>69990.31</v>
      </c>
    </row>
    <row r="15" spans="2:5">
      <c r="B15" s="68"/>
      <c r="C15" s="68"/>
      <c r="D15" s="68"/>
      <c r="E15" s="68"/>
    </row>
    <row r="16" s="33" customFormat="1" spans="1:35">
      <c r="A16" s="69" t="s">
        <v>94</v>
      </c>
      <c r="B16" s="70" t="s">
        <v>95</v>
      </c>
      <c r="C16" s="71"/>
      <c r="D16" s="71"/>
      <c r="E16" s="71"/>
      <c r="G16" s="72"/>
      <c r="J16" s="94"/>
      <c r="M16" s="95"/>
      <c r="AI16" s="125"/>
    </row>
    <row r="17" s="33" customFormat="1" spans="1:35">
      <c r="A17" s="73"/>
      <c r="B17" s="74" t="s">
        <v>96</v>
      </c>
      <c r="C17" s="71"/>
      <c r="D17" s="71"/>
      <c r="E17" s="71"/>
      <c r="G17" s="72"/>
      <c r="J17" s="94"/>
      <c r="M17" s="95"/>
      <c r="AI17" s="125"/>
    </row>
    <row r="18" s="33" customFormat="1" spans="1:35">
      <c r="A18" s="70"/>
      <c r="B18" s="74" t="s">
        <v>97</v>
      </c>
      <c r="C18" s="75"/>
      <c r="D18" s="75"/>
      <c r="E18" s="75"/>
      <c r="F18" s="75"/>
      <c r="G18" s="75"/>
      <c r="H18" s="75"/>
      <c r="I18" s="75"/>
      <c r="J18" s="96"/>
      <c r="K18" s="75"/>
      <c r="L18" s="75"/>
      <c r="M18" s="97"/>
      <c r="N18" s="75"/>
      <c r="O18" s="75"/>
      <c r="P18" s="75"/>
      <c r="AI18" s="125"/>
    </row>
    <row r="19" s="33" customFormat="1" customHeight="1" spans="1:35">
      <c r="A19" s="74"/>
      <c r="B19" s="74" t="s">
        <v>98</v>
      </c>
      <c r="C19" s="76"/>
      <c r="D19" s="76"/>
      <c r="E19" s="76"/>
      <c r="F19" s="76"/>
      <c r="G19" s="76"/>
      <c r="H19" s="76"/>
      <c r="I19" s="98"/>
      <c r="J19" s="99"/>
      <c r="K19" s="98"/>
      <c r="L19" s="98"/>
      <c r="M19" s="100"/>
      <c r="N19" s="98"/>
      <c r="O19" s="98"/>
      <c r="P19" s="98"/>
      <c r="AI19" s="125"/>
    </row>
    <row r="20" s="33" customFormat="1" customHeight="1" spans="1:35">
      <c r="A20" s="74"/>
      <c r="B20" s="74" t="s">
        <v>99</v>
      </c>
      <c r="C20" s="76"/>
      <c r="D20" s="76"/>
      <c r="E20" s="76"/>
      <c r="F20" s="76"/>
      <c r="G20" s="76"/>
      <c r="H20" s="76"/>
      <c r="I20" s="76"/>
      <c r="J20" s="101"/>
      <c r="K20" s="76"/>
      <c r="L20" s="98"/>
      <c r="M20" s="100"/>
      <c r="N20" s="98"/>
      <c r="O20" s="98"/>
      <c r="P20" s="98"/>
      <c r="AI20" s="125"/>
    </row>
    <row r="21" s="33" customFormat="1" customHeight="1" spans="1:35">
      <c r="A21" s="74"/>
      <c r="B21" s="74" t="s">
        <v>100</v>
      </c>
      <c r="C21" s="76"/>
      <c r="D21" s="76"/>
      <c r="E21" s="76"/>
      <c r="F21" s="76"/>
      <c r="G21" s="76"/>
      <c r="H21" s="76"/>
      <c r="I21" s="98"/>
      <c r="J21" s="99"/>
      <c r="K21" s="98"/>
      <c r="L21" s="98"/>
      <c r="M21" s="100"/>
      <c r="N21" s="98"/>
      <c r="O21" s="98"/>
      <c r="P21" s="98"/>
      <c r="AI21" s="125"/>
    </row>
    <row r="23" ht="11.25" customHeight="1" spans="2:2">
      <c r="B23" s="77" t="s">
        <v>101</v>
      </c>
    </row>
    <row r="24" spans="2:2">
      <c r="B24" s="78" t="s">
        <v>102</v>
      </c>
    </row>
    <row r="25" spans="2:2">
      <c r="B25" s="78" t="s">
        <v>103</v>
      </c>
    </row>
  </sheetData>
  <autoFilter ref="A3:AT9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1">
    <cfRule type="duplicateValues" dxfId="2" priority="2" stopIfTrue="1"/>
  </conditionalFormatting>
  <conditionalFormatting sqref="B16:B20">
    <cfRule type="duplicateValues" dxfId="2" priority="3" stopIfTrue="1"/>
  </conditionalFormatting>
  <conditionalFormatting sqref="B24:B25">
    <cfRule type="duplicateValues" dxfId="2" priority="1" stopIfTrue="1"/>
  </conditionalFormatting>
  <conditionalFormatting sqref="C13:C15">
    <cfRule type="duplicateValues" dxfId="2" priority="4" stopIfTrue="1"/>
    <cfRule type="expression" dxfId="3" priority="5" stopIfTrue="1">
      <formula>AND(COUNTIF($B$9:$B$65445,C13)+COUNTIF($B$1:$B$3,C13)&gt;1,NOT(ISBLANK(C13)))</formula>
    </cfRule>
    <cfRule type="expression" dxfId="3" priority="6" stopIfTrue="1">
      <formula>AND(COUNTIF($B$20:$B$65396,C13)+COUNTIF($B$1:$B$19,C13)&gt;1,NOT(ISBLANK(C13)))</formula>
    </cfRule>
    <cfRule type="expression" dxfId="3" priority="7" stopIfTrue="1">
      <formula>AND(COUNTIF($B$9:$B$65434,C13)+COUNTIF($B$1:$B$3,C13)&gt;1,NOT(ISBLANK(C13)))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5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M8" sqref="M8"/>
    </sheetView>
  </sheetViews>
  <sheetFormatPr defaultColWidth="9" defaultRowHeight="13.5"/>
  <cols>
    <col min="1" max="1" width="4.5" style="34" customWidth="1"/>
    <col min="2" max="2" width="14" style="34" customWidth="1"/>
    <col min="3" max="3" width="10.5" style="34" customWidth="1"/>
    <col min="4" max="4" width="8.75" style="34" customWidth="1"/>
    <col min="5" max="5" width="19.5" style="35" customWidth="1"/>
    <col min="6" max="6" width="9" style="34"/>
    <col min="7" max="7" width="11.875" style="36" customWidth="1"/>
    <col min="8" max="8" width="4.625" style="34" hidden="1" customWidth="1"/>
    <col min="9" max="9" width="5.25" style="34" hidden="1" customWidth="1"/>
    <col min="10" max="10" width="11.75" style="37" customWidth="1"/>
    <col min="11" max="11" width="5.25" style="34" customWidth="1"/>
    <col min="12" max="12" width="11.75" style="34" customWidth="1"/>
    <col min="13" max="13" width="9.75" style="34" customWidth="1" outlineLevel="1"/>
    <col min="14" max="15" width="9" style="34" customWidth="1" outlineLevel="1"/>
    <col min="16" max="16" width="11.125" style="34" customWidth="1" outlineLevel="1"/>
    <col min="17" max="17" width="9.75" style="34" customWidth="1"/>
    <col min="18" max="18" width="9.5" style="34" customWidth="1"/>
    <col min="19" max="19" width="11.5" style="34" customWidth="1"/>
    <col min="20" max="21" width="12.25" style="34" customWidth="1"/>
    <col min="22" max="27" width="9" style="34" customWidth="1" outlineLevel="1"/>
    <col min="28" max="28" width="11.25" style="34" customWidth="1"/>
    <col min="29" max="29" width="8.5" style="34" customWidth="1"/>
    <col min="30" max="30" width="15.25" style="34" customWidth="1"/>
    <col min="31" max="31" width="14" style="34" customWidth="1"/>
    <col min="32" max="32" width="10.75" style="34" customWidth="1"/>
    <col min="33" max="33" width="12.25" style="34" customWidth="1"/>
    <col min="34" max="34" width="11.5" style="34" customWidth="1"/>
    <col min="35" max="35" width="7.875" style="38" customWidth="1"/>
    <col min="36" max="36" width="11.5" style="34" customWidth="1"/>
    <col min="37" max="37" width="9" style="34"/>
    <col min="38" max="38" width="11.5" style="34" customWidth="1"/>
    <col min="39" max="40" width="9" style="34" hidden="1" customWidth="1"/>
    <col min="41" max="41" width="19" style="34" customWidth="1"/>
    <col min="42" max="42" width="12.25" style="34" customWidth="1"/>
    <col min="43" max="43" width="9" style="34"/>
    <col min="44" max="44" width="7" style="34" customWidth="1"/>
    <col min="45" max="45" width="6.75" style="34" customWidth="1"/>
    <col min="46" max="46" width="6.125" style="34" customWidth="1"/>
    <col min="47" max="16384" width="9" style="34"/>
  </cols>
  <sheetData>
    <row r="1" s="29" customFormat="1" ht="29.25" customHeight="1" spans="1:45">
      <c r="A1" s="39" t="s">
        <v>36</v>
      </c>
      <c r="B1" s="40"/>
      <c r="C1" s="41"/>
      <c r="D1" s="42"/>
      <c r="E1" s="43"/>
      <c r="F1" s="43"/>
      <c r="G1" s="44"/>
      <c r="J1" s="79"/>
      <c r="L1" s="80"/>
      <c r="M1" s="81" t="s">
        <v>37</v>
      </c>
      <c r="N1" s="81"/>
      <c r="O1" s="81"/>
      <c r="P1" s="81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80"/>
      <c r="AE1" s="80"/>
      <c r="AF1" s="80"/>
      <c r="AG1" s="80"/>
      <c r="AH1" s="80"/>
      <c r="AI1" s="116"/>
      <c r="AJ1" s="80"/>
      <c r="AK1" s="80"/>
      <c r="AL1" s="80"/>
      <c r="AM1" s="43"/>
      <c r="AN1" s="43"/>
      <c r="AO1" s="126"/>
      <c r="AP1" s="43"/>
      <c r="AQ1" s="43"/>
      <c r="AR1" s="43"/>
      <c r="AS1" s="43"/>
    </row>
    <row r="2" s="30" customFormat="1" ht="20.1" customHeight="1" spans="1:46">
      <c r="A2" s="45" t="s">
        <v>18</v>
      </c>
      <c r="B2" s="46" t="s">
        <v>38</v>
      </c>
      <c r="C2" s="47" t="s">
        <v>39</v>
      </c>
      <c r="D2" s="47" t="s">
        <v>40</v>
      </c>
      <c r="E2" s="48" t="s">
        <v>41</v>
      </c>
      <c r="F2" s="49" t="s">
        <v>42</v>
      </c>
      <c r="G2" s="48" t="s">
        <v>43</v>
      </c>
      <c r="H2" s="48" t="s">
        <v>44</v>
      </c>
      <c r="I2" s="48" t="s">
        <v>45</v>
      </c>
      <c r="J2" s="82" t="s">
        <v>46</v>
      </c>
      <c r="K2" s="48" t="s">
        <v>47</v>
      </c>
      <c r="L2" s="48" t="s">
        <v>48</v>
      </c>
      <c r="M2" s="83" t="s">
        <v>49</v>
      </c>
      <c r="N2" s="84"/>
      <c r="O2" s="84"/>
      <c r="P2" s="85"/>
      <c r="Q2" s="49" t="s">
        <v>50</v>
      </c>
      <c r="R2" s="48" t="s">
        <v>51</v>
      </c>
      <c r="S2" s="49" t="s">
        <v>52</v>
      </c>
      <c r="T2" s="103" t="s">
        <v>53</v>
      </c>
      <c r="U2" s="49" t="s">
        <v>54</v>
      </c>
      <c r="V2" s="104" t="s">
        <v>55</v>
      </c>
      <c r="W2" s="105"/>
      <c r="X2" s="105"/>
      <c r="Y2" s="105"/>
      <c r="Z2" s="105"/>
      <c r="AA2" s="111"/>
      <c r="AB2" s="49" t="s">
        <v>56</v>
      </c>
      <c r="AC2" s="49" t="s">
        <v>57</v>
      </c>
      <c r="AD2" s="103" t="s">
        <v>58</v>
      </c>
      <c r="AE2" s="103" t="s">
        <v>59</v>
      </c>
      <c r="AF2" s="103" t="s">
        <v>60</v>
      </c>
      <c r="AG2" s="103" t="s">
        <v>61</v>
      </c>
      <c r="AH2" s="117" t="s">
        <v>62</v>
      </c>
      <c r="AI2" s="118" t="s">
        <v>63</v>
      </c>
      <c r="AJ2" s="117" t="s">
        <v>64</v>
      </c>
      <c r="AK2" s="47" t="s">
        <v>65</v>
      </c>
      <c r="AL2" s="117" t="s">
        <v>66</v>
      </c>
      <c r="AM2" s="48" t="s">
        <v>67</v>
      </c>
      <c r="AN2" s="48" t="s">
        <v>68</v>
      </c>
      <c r="AO2" s="127" t="s">
        <v>69</v>
      </c>
      <c r="AP2" s="48" t="s">
        <v>70</v>
      </c>
      <c r="AQ2" s="48" t="s">
        <v>71</v>
      </c>
      <c r="AR2" s="49" t="s">
        <v>72</v>
      </c>
      <c r="AS2" s="49" t="s">
        <v>73</v>
      </c>
      <c r="AT2" s="49" t="s">
        <v>74</v>
      </c>
    </row>
    <row r="3" s="30" customFormat="1" ht="27" customHeight="1" spans="1:46">
      <c r="A3" s="50"/>
      <c r="B3" s="51"/>
      <c r="C3" s="52"/>
      <c r="D3" s="52"/>
      <c r="E3" s="53"/>
      <c r="F3" s="54"/>
      <c r="G3" s="53"/>
      <c r="H3" s="53"/>
      <c r="I3" s="53"/>
      <c r="J3" s="86"/>
      <c r="K3" s="53"/>
      <c r="L3" s="53"/>
      <c r="M3" s="87" t="s">
        <v>75</v>
      </c>
      <c r="N3" s="87" t="s">
        <v>76</v>
      </c>
      <c r="O3" s="87" t="s">
        <v>77</v>
      </c>
      <c r="P3" s="87" t="s">
        <v>78</v>
      </c>
      <c r="Q3" s="54"/>
      <c r="R3" s="53"/>
      <c r="S3" s="54"/>
      <c r="T3" s="106"/>
      <c r="U3" s="54"/>
      <c r="V3" s="107" t="s">
        <v>79</v>
      </c>
      <c r="W3" s="107" t="s">
        <v>80</v>
      </c>
      <c r="X3" s="107" t="s">
        <v>81</v>
      </c>
      <c r="Y3" s="107" t="s">
        <v>82</v>
      </c>
      <c r="Z3" s="107" t="s">
        <v>83</v>
      </c>
      <c r="AA3" s="107" t="s">
        <v>84</v>
      </c>
      <c r="AB3" s="54"/>
      <c r="AC3" s="54"/>
      <c r="AD3" s="106"/>
      <c r="AE3" s="106"/>
      <c r="AF3" s="106"/>
      <c r="AG3" s="106"/>
      <c r="AH3" s="119"/>
      <c r="AI3" s="120"/>
      <c r="AJ3" s="119"/>
      <c r="AK3" s="52"/>
      <c r="AL3" s="119"/>
      <c r="AM3" s="53"/>
      <c r="AN3" s="53"/>
      <c r="AO3" s="128"/>
      <c r="AP3" s="53"/>
      <c r="AQ3" s="53"/>
      <c r="AR3" s="54"/>
      <c r="AS3" s="54"/>
      <c r="AT3" s="54"/>
    </row>
    <row r="4" s="31" customFormat="1" ht="18" customHeight="1" spans="1:46">
      <c r="A4" s="55">
        <v>1</v>
      </c>
      <c r="B4" s="56" t="s">
        <v>259</v>
      </c>
      <c r="C4" s="56" t="s">
        <v>86</v>
      </c>
      <c r="D4" s="56" t="s">
        <v>87</v>
      </c>
      <c r="E4" s="56" t="s">
        <v>88</v>
      </c>
      <c r="F4" s="57" t="s">
        <v>210</v>
      </c>
      <c r="G4" s="58">
        <v>18035163638</v>
      </c>
      <c r="H4" s="59"/>
      <c r="I4" s="59"/>
      <c r="J4" s="88"/>
      <c r="K4" s="59"/>
      <c r="L4" s="89">
        <v>9280</v>
      </c>
      <c r="M4" s="90">
        <v>264</v>
      </c>
      <c r="N4" s="90">
        <v>66</v>
      </c>
      <c r="O4" s="90">
        <v>9.9</v>
      </c>
      <c r="P4" s="90">
        <v>180</v>
      </c>
      <c r="Q4" s="108">
        <f>ROUND(SUM(M4:P4),2)</f>
        <v>519.9</v>
      </c>
      <c r="R4" s="89">
        <v>0</v>
      </c>
      <c r="S4" s="109">
        <f>L4</f>
        <v>9280</v>
      </c>
      <c r="T4" s="110">
        <v>5000</v>
      </c>
      <c r="U4" s="110">
        <f>Q4</f>
        <v>519.9</v>
      </c>
      <c r="V4" s="89">
        <v>1000</v>
      </c>
      <c r="W4" s="89"/>
      <c r="X4" s="89">
        <v>1000</v>
      </c>
      <c r="Y4" s="89"/>
      <c r="Z4" s="89"/>
      <c r="AA4" s="89"/>
      <c r="AB4" s="109">
        <f>ROUND(SUM(V4:AA4),2)</f>
        <v>2000</v>
      </c>
      <c r="AC4" s="109">
        <f>R4</f>
        <v>0</v>
      </c>
      <c r="AD4" s="112">
        <f>ROUND(S4-T4-U4-AB4-AC4,2)</f>
        <v>1760.1</v>
      </c>
      <c r="AE4" s="113">
        <f>ROUND(MAX((AD4)*{0.03;0.1;0.2;0.25;0.3;0.35;0.45}-{0;2520;16920;31920;52920;85920;181920},0),2)</f>
        <v>52.8</v>
      </c>
      <c r="AF4" s="114">
        <v>0</v>
      </c>
      <c r="AG4" s="114">
        <f>IF((AE4-AF4)&lt;0,0,AE4-AF4)</f>
        <v>52.8</v>
      </c>
      <c r="AH4" s="121">
        <f>ROUND(IF((L4-Q4-AG4)&lt;0,0,(L4-Q4-AG4)),2)</f>
        <v>8707.3</v>
      </c>
      <c r="AI4" s="122"/>
      <c r="AJ4" s="121">
        <f>AH4+AI4</f>
        <v>8707.3</v>
      </c>
      <c r="AK4" s="123"/>
      <c r="AL4" s="121">
        <f>AJ4+AG4+AK4</f>
        <v>8760.1</v>
      </c>
      <c r="AM4" s="123"/>
      <c r="AN4" s="123"/>
      <c r="AO4" s="123" t="s">
        <v>260</v>
      </c>
      <c r="AP4" s="123" t="s">
        <v>261</v>
      </c>
      <c r="AQ4" s="123" t="s">
        <v>262</v>
      </c>
      <c r="AR4" s="129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29" t="str">
        <f>IF(SUMPRODUCT(N(E$1:E$8=E4))&gt;1,"重复","不")</f>
        <v>不</v>
      </c>
      <c r="AT4" s="129" t="str">
        <f>IF(SUMPRODUCT(N(AO$1:AO$8=AO4))&gt;1,"重复","不")</f>
        <v>重复</v>
      </c>
    </row>
    <row r="5" s="31" customFormat="1" ht="18" customHeight="1" spans="1:46">
      <c r="A5" s="55">
        <v>2</v>
      </c>
      <c r="B5" s="56" t="s">
        <v>259</v>
      </c>
      <c r="C5" s="56" t="s">
        <v>154</v>
      </c>
      <c r="D5" s="56" t="s">
        <v>87</v>
      </c>
      <c r="E5" s="56" t="s">
        <v>155</v>
      </c>
      <c r="F5" s="57" t="s">
        <v>210</v>
      </c>
      <c r="G5" s="58">
        <v>13944441728</v>
      </c>
      <c r="H5" s="59"/>
      <c r="I5" s="59"/>
      <c r="J5" s="88"/>
      <c r="K5" s="59"/>
      <c r="L5" s="89">
        <v>7000</v>
      </c>
      <c r="M5" s="90">
        <v>268.81</v>
      </c>
      <c r="N5" s="90">
        <v>10.08</v>
      </c>
      <c r="O5" s="90">
        <v>61.06</v>
      </c>
      <c r="P5" s="90">
        <v>79</v>
      </c>
      <c r="Q5" s="108">
        <f>ROUND(SUM(M5:P5),2)</f>
        <v>418.95</v>
      </c>
      <c r="R5" s="89">
        <v>0</v>
      </c>
      <c r="S5" s="109">
        <f>L5</f>
        <v>7000</v>
      </c>
      <c r="T5" s="110">
        <v>5000</v>
      </c>
      <c r="U5" s="110">
        <f>Q5</f>
        <v>418.95</v>
      </c>
      <c r="V5" s="89"/>
      <c r="W5" s="89"/>
      <c r="X5" s="89">
        <v>1000</v>
      </c>
      <c r="Y5" s="89"/>
      <c r="Z5" s="89"/>
      <c r="AA5" s="89"/>
      <c r="AB5" s="109">
        <f>ROUND(SUM(V5:AA5),2)</f>
        <v>1000</v>
      </c>
      <c r="AC5" s="109">
        <f>R5</f>
        <v>0</v>
      </c>
      <c r="AD5" s="112">
        <f>ROUND(S5-T5-U5-AB5-AC5,2)</f>
        <v>581.05</v>
      </c>
      <c r="AE5" s="113">
        <f>ROUND(MAX((AD5)*{0.03;0.1;0.2;0.25;0.3;0.35;0.45}-{0;2520;16920;31920;52920;85920;181920},0),2)</f>
        <v>17.43</v>
      </c>
      <c r="AF5" s="114">
        <v>0</v>
      </c>
      <c r="AG5" s="114">
        <f>IF((AE5-AF5)&lt;0,0,AE5-AF5)</f>
        <v>17.43</v>
      </c>
      <c r="AH5" s="121">
        <f>ROUND(IF((L5-Q5-AG5)&lt;0,0,(L5-Q5-AG5)),2)</f>
        <v>6563.62</v>
      </c>
      <c r="AI5" s="122"/>
      <c r="AJ5" s="121">
        <f>AH5+AI5</f>
        <v>6563.62</v>
      </c>
      <c r="AK5" s="123"/>
      <c r="AL5" s="121">
        <f>AJ5+AG5+AK5</f>
        <v>6581.05</v>
      </c>
      <c r="AM5" s="123"/>
      <c r="AN5" s="123"/>
      <c r="AO5" s="123" t="s">
        <v>260</v>
      </c>
      <c r="AP5" s="123" t="s">
        <v>261</v>
      </c>
      <c r="AQ5" s="123" t="s">
        <v>262</v>
      </c>
      <c r="AR5" s="129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29" t="str">
        <f>IF(SUMPRODUCT(N(E$1:E$8=E5))&gt;1,"重复","不")</f>
        <v>不</v>
      </c>
      <c r="AT5" s="129" t="str">
        <f>IF(SUMPRODUCT(N(AO$1:AO$8=AO5))&gt;1,"重复","不")</f>
        <v>重复</v>
      </c>
    </row>
    <row r="6" s="31" customFormat="1" ht="18" customHeight="1" spans="1:46">
      <c r="A6" s="55">
        <v>3</v>
      </c>
      <c r="B6" s="56" t="s">
        <v>259</v>
      </c>
      <c r="C6" s="56" t="s">
        <v>170</v>
      </c>
      <c r="D6" s="56" t="s">
        <v>87</v>
      </c>
      <c r="E6" s="390" t="s">
        <v>171</v>
      </c>
      <c r="F6" s="57" t="str">
        <f>IF(MOD(MID(E6,17,1),2)=1,"男","女")</f>
        <v>女</v>
      </c>
      <c r="G6" s="58">
        <v>15360550807</v>
      </c>
      <c r="H6" s="59"/>
      <c r="I6" s="59"/>
      <c r="J6" s="88"/>
      <c r="K6" s="59"/>
      <c r="L6" s="89">
        <v>5700</v>
      </c>
      <c r="M6" s="90">
        <v>367.04</v>
      </c>
      <c r="N6" s="90">
        <v>123.5</v>
      </c>
      <c r="O6" s="90">
        <v>4.2</v>
      </c>
      <c r="P6" s="90">
        <v>105</v>
      </c>
      <c r="Q6" s="108">
        <f>ROUND(SUM(M6:P6),2)</f>
        <v>599.74</v>
      </c>
      <c r="R6" s="89">
        <v>0</v>
      </c>
      <c r="S6" s="109">
        <f>L6</f>
        <v>5700</v>
      </c>
      <c r="T6" s="110">
        <v>5000</v>
      </c>
      <c r="U6" s="110">
        <f>Q6</f>
        <v>599.74</v>
      </c>
      <c r="V6" s="89"/>
      <c r="W6" s="89"/>
      <c r="X6" s="89"/>
      <c r="Y6" s="89">
        <v>1500</v>
      </c>
      <c r="Z6" s="89"/>
      <c r="AA6" s="89"/>
      <c r="AB6" s="109">
        <f>ROUND(SUM(V6:AA6),2)</f>
        <v>1500</v>
      </c>
      <c r="AC6" s="109">
        <f>R6</f>
        <v>0</v>
      </c>
      <c r="AD6" s="112">
        <f>ROUND(S6-T6-U6-AB6-AC6,2)</f>
        <v>-1399.74</v>
      </c>
      <c r="AE6" s="113">
        <f>ROUND(MAX((AD6)*{0.03;0.1;0.2;0.25;0.3;0.35;0.45}-{0;2520;16920;31920;52920;85920;181920},0),2)</f>
        <v>0</v>
      </c>
      <c r="AF6" s="114">
        <v>0</v>
      </c>
      <c r="AG6" s="114">
        <f>IF((AE6-AF6)&lt;0,0,AE6-AF6)</f>
        <v>0</v>
      </c>
      <c r="AH6" s="121">
        <f>ROUND(IF((L6-Q6-AG6)&lt;0,0,(L6-Q6-AG6)),2)</f>
        <v>5100.26</v>
      </c>
      <c r="AI6" s="122"/>
      <c r="AJ6" s="121">
        <f>AH6+AI6</f>
        <v>5100.26</v>
      </c>
      <c r="AK6" s="123"/>
      <c r="AL6" s="121">
        <f>AJ6+AG6+AK6</f>
        <v>5100.26</v>
      </c>
      <c r="AM6" s="123"/>
      <c r="AN6" s="123"/>
      <c r="AO6" s="123" t="s">
        <v>260</v>
      </c>
      <c r="AP6" s="123" t="s">
        <v>261</v>
      </c>
      <c r="AQ6" s="123" t="s">
        <v>262</v>
      </c>
      <c r="AR6" s="129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29" t="str">
        <f>IF(SUMPRODUCT(N(E$1:E$8=E6))&gt;1,"重复","不")</f>
        <v>不</v>
      </c>
      <c r="AT6" s="129" t="str">
        <f>IF(SUMPRODUCT(N(AO$1:AO$8=AO6))&gt;1,"重复","不")</f>
        <v>重复</v>
      </c>
    </row>
    <row r="7" s="31" customFormat="1" ht="18" customHeight="1" spans="1:46">
      <c r="A7" s="55">
        <v>4</v>
      </c>
      <c r="B7" s="56" t="s">
        <v>259</v>
      </c>
      <c r="C7" s="56" t="s">
        <v>160</v>
      </c>
      <c r="D7" s="56" t="s">
        <v>87</v>
      </c>
      <c r="E7" s="390" t="s">
        <v>161</v>
      </c>
      <c r="F7" s="57" t="s">
        <v>210</v>
      </c>
      <c r="G7" s="58">
        <v>18607383005</v>
      </c>
      <c r="H7" s="59"/>
      <c r="I7" s="59"/>
      <c r="J7" s="88"/>
      <c r="K7" s="59"/>
      <c r="L7" s="89">
        <v>31000</v>
      </c>
      <c r="M7" s="90">
        <f>320</f>
        <v>320</v>
      </c>
      <c r="N7" s="90">
        <f>80</f>
        <v>80</v>
      </c>
      <c r="O7" s="90">
        <f>12</f>
        <v>12</v>
      </c>
      <c r="P7" s="90">
        <v>200</v>
      </c>
      <c r="Q7" s="108">
        <f>ROUND(SUM(M7:P7),2)</f>
        <v>612</v>
      </c>
      <c r="R7" s="89">
        <v>0</v>
      </c>
      <c r="S7" s="109">
        <f>L7</f>
        <v>31000</v>
      </c>
      <c r="T7" s="110">
        <v>5000</v>
      </c>
      <c r="U7" s="110">
        <f>Q7</f>
        <v>612</v>
      </c>
      <c r="V7" s="89">
        <v>2000</v>
      </c>
      <c r="W7" s="89">
        <v>1000</v>
      </c>
      <c r="X7" s="89"/>
      <c r="Y7" s="89"/>
      <c r="Z7" s="89"/>
      <c r="AA7" s="89"/>
      <c r="AB7" s="109">
        <f>ROUND(SUM(V7:AA7),2)</f>
        <v>3000</v>
      </c>
      <c r="AC7" s="109">
        <f>R7</f>
        <v>0</v>
      </c>
      <c r="AD7" s="112">
        <f>ROUND(S7-T7-U7-AB7-AC7,2)</f>
        <v>22388</v>
      </c>
      <c r="AE7" s="113">
        <f>ROUND(MAX((AD7)*{0.03;0.1;0.2;0.25;0.3;0.35;0.45}-{0;2520;16920;31920;52920;85920;181920},0),2)</f>
        <v>671.64</v>
      </c>
      <c r="AF7" s="114">
        <v>0</v>
      </c>
      <c r="AG7" s="114">
        <f>IF((AE7-AF7)&lt;0,0,AE7-AF7)</f>
        <v>671.64</v>
      </c>
      <c r="AH7" s="121">
        <f>ROUND(IF((L7-Q7-AG7)&lt;0,0,(L7-Q7-AG7)),2)</f>
        <v>29716.36</v>
      </c>
      <c r="AI7" s="122"/>
      <c r="AJ7" s="121">
        <f>AH7+AI7</f>
        <v>29716.36</v>
      </c>
      <c r="AK7" s="123"/>
      <c r="AL7" s="121">
        <f>AJ7+AG7+AK7</f>
        <v>30388</v>
      </c>
      <c r="AM7" s="123"/>
      <c r="AN7" s="123"/>
      <c r="AO7" s="123" t="s">
        <v>260</v>
      </c>
      <c r="AP7" s="123" t="s">
        <v>261</v>
      </c>
      <c r="AQ7" s="123" t="s">
        <v>262</v>
      </c>
      <c r="AR7" s="129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29" t="str">
        <f>IF(SUMPRODUCT(N(E$1:E$8=E7))&gt;1,"重复","不")</f>
        <v>不</v>
      </c>
      <c r="AT7" s="129" t="str">
        <f>IF(SUMPRODUCT(N(AO$1:AO$8=AO7))&gt;1,"重复","不")</f>
        <v>重复</v>
      </c>
    </row>
    <row r="8" s="31" customFormat="1" ht="18" customHeight="1" spans="1:46">
      <c r="A8" s="55">
        <v>5</v>
      </c>
      <c r="B8" s="56" t="s">
        <v>259</v>
      </c>
      <c r="C8" s="56" t="s">
        <v>166</v>
      </c>
      <c r="D8" s="56" t="s">
        <v>87</v>
      </c>
      <c r="E8" s="56" t="s">
        <v>167</v>
      </c>
      <c r="F8" s="57" t="s">
        <v>210</v>
      </c>
      <c r="G8" s="58">
        <v>13373825180</v>
      </c>
      <c r="H8" s="59"/>
      <c r="I8" s="59"/>
      <c r="J8" s="88"/>
      <c r="K8" s="59"/>
      <c r="L8" s="89">
        <v>26739</v>
      </c>
      <c r="M8" s="90">
        <v>261.04</v>
      </c>
      <c r="N8" s="90">
        <v>9.1</v>
      </c>
      <c r="O8" s="90">
        <v>57.18</v>
      </c>
      <c r="P8" s="90">
        <v>85</v>
      </c>
      <c r="Q8" s="108">
        <f>ROUND(SUM(M8:P8),2)</f>
        <v>412.32</v>
      </c>
      <c r="R8" s="89">
        <v>0</v>
      </c>
      <c r="S8" s="109">
        <f>L8</f>
        <v>26739</v>
      </c>
      <c r="T8" s="110">
        <v>5000</v>
      </c>
      <c r="U8" s="110">
        <f>Q8</f>
        <v>412.32</v>
      </c>
      <c r="V8" s="89">
        <v>1000</v>
      </c>
      <c r="W8" s="89">
        <v>1000</v>
      </c>
      <c r="X8" s="89">
        <v>1000</v>
      </c>
      <c r="Y8" s="89"/>
      <c r="Z8" s="89"/>
      <c r="AA8" s="89"/>
      <c r="AB8" s="109">
        <f>ROUND(SUM(V8:AA8),2)</f>
        <v>3000</v>
      </c>
      <c r="AC8" s="109">
        <f>R8</f>
        <v>0</v>
      </c>
      <c r="AD8" s="112">
        <f>ROUND(S8-T8-U8-AB8-AC8,2)</f>
        <v>18326.68</v>
      </c>
      <c r="AE8" s="113">
        <f>ROUND(MAX((AD8)*{0.03;0.1;0.2;0.25;0.3;0.35;0.45}-{0;2520;16920;31920;52920;85920;181920},0),2)</f>
        <v>549.8</v>
      </c>
      <c r="AF8" s="114">
        <v>0</v>
      </c>
      <c r="AG8" s="114">
        <f>IF((AE8-AF8)&lt;0,0,AE8-AF8)</f>
        <v>549.8</v>
      </c>
      <c r="AH8" s="121">
        <f>ROUND(IF((L8-Q8-AG8)&lt;0,0,(L8-Q8-AG8)),2)</f>
        <v>25776.88</v>
      </c>
      <c r="AI8" s="122"/>
      <c r="AJ8" s="121">
        <f>AH8+AI8</f>
        <v>25776.88</v>
      </c>
      <c r="AK8" s="123"/>
      <c r="AL8" s="121">
        <f>AJ8+AG8+AK8</f>
        <v>26326.68</v>
      </c>
      <c r="AM8" s="123"/>
      <c r="AN8" s="123"/>
      <c r="AO8" s="123" t="s">
        <v>260</v>
      </c>
      <c r="AP8" s="123" t="s">
        <v>261</v>
      </c>
      <c r="AQ8" s="123" t="s">
        <v>262</v>
      </c>
      <c r="AR8" s="129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29" t="str">
        <f>IF(SUMPRODUCT(N(E$1:E$8=E8))&gt;1,"重复","不")</f>
        <v>不</v>
      </c>
      <c r="AT8" s="129" t="str">
        <f>IF(SUMPRODUCT(N(AO$1:AO$8=AO8))&gt;1,"重复","不")</f>
        <v>重复</v>
      </c>
    </row>
    <row r="9" s="32" customFormat="1" ht="18" customHeight="1" spans="1:46">
      <c r="A9" s="60"/>
      <c r="B9" s="61" t="s">
        <v>91</v>
      </c>
      <c r="C9" s="61"/>
      <c r="D9" s="62"/>
      <c r="E9" s="63"/>
      <c r="F9" s="64"/>
      <c r="G9" s="65"/>
      <c r="H9" s="64"/>
      <c r="I9" s="91"/>
      <c r="J9" s="92"/>
      <c r="K9" s="91"/>
      <c r="L9" s="93">
        <f t="shared" ref="L9:AL9" si="0">SUM(L4:L8)</f>
        <v>79719</v>
      </c>
      <c r="M9" s="93">
        <f t="shared" si="0"/>
        <v>1480.89</v>
      </c>
      <c r="N9" s="93">
        <f t="shared" si="0"/>
        <v>288.68</v>
      </c>
      <c r="O9" s="93">
        <f t="shared" si="0"/>
        <v>144.34</v>
      </c>
      <c r="P9" s="93">
        <f t="shared" si="0"/>
        <v>649</v>
      </c>
      <c r="Q9" s="93">
        <f t="shared" si="0"/>
        <v>2562.91</v>
      </c>
      <c r="R9" s="93">
        <f t="shared" si="0"/>
        <v>0</v>
      </c>
      <c r="S9" s="93">
        <f t="shared" si="0"/>
        <v>79719</v>
      </c>
      <c r="T9" s="93">
        <f t="shared" si="0"/>
        <v>25000</v>
      </c>
      <c r="U9" s="93">
        <f t="shared" si="0"/>
        <v>2562.91</v>
      </c>
      <c r="V9" s="93">
        <f t="shared" si="0"/>
        <v>4000</v>
      </c>
      <c r="W9" s="93">
        <f t="shared" si="0"/>
        <v>2000</v>
      </c>
      <c r="X9" s="93">
        <f t="shared" si="0"/>
        <v>3000</v>
      </c>
      <c r="Y9" s="93">
        <f t="shared" si="0"/>
        <v>1500</v>
      </c>
      <c r="Z9" s="93">
        <f t="shared" si="0"/>
        <v>0</v>
      </c>
      <c r="AA9" s="93">
        <f t="shared" si="0"/>
        <v>0</v>
      </c>
      <c r="AB9" s="93">
        <f t="shared" si="0"/>
        <v>10500</v>
      </c>
      <c r="AC9" s="93">
        <f t="shared" si="0"/>
        <v>0</v>
      </c>
      <c r="AD9" s="93">
        <f t="shared" si="0"/>
        <v>41656.09</v>
      </c>
      <c r="AE9" s="93">
        <f t="shared" si="0"/>
        <v>1291.67</v>
      </c>
      <c r="AF9" s="93">
        <f t="shared" si="0"/>
        <v>0</v>
      </c>
      <c r="AG9" s="93">
        <f t="shared" si="0"/>
        <v>1291.67</v>
      </c>
      <c r="AH9" s="93">
        <f t="shared" si="0"/>
        <v>75864.42</v>
      </c>
      <c r="AI9" s="131">
        <f t="shared" si="0"/>
        <v>0</v>
      </c>
      <c r="AJ9" s="93">
        <f t="shared" si="0"/>
        <v>75864.42</v>
      </c>
      <c r="AK9" s="93">
        <f t="shared" si="0"/>
        <v>0</v>
      </c>
      <c r="AL9" s="93">
        <f t="shared" si="0"/>
        <v>77156.09</v>
      </c>
      <c r="AM9" s="124"/>
      <c r="AN9" s="124"/>
      <c r="AO9" s="124"/>
      <c r="AP9" s="124"/>
      <c r="AQ9" s="124"/>
      <c r="AR9" s="64"/>
      <c r="AS9" s="64"/>
      <c r="AT9" s="130"/>
    </row>
    <row r="12" spans="30:30">
      <c r="AD12" s="115"/>
    </row>
    <row r="13" ht="18.75" customHeight="1" spans="2:30">
      <c r="B13" s="66" t="s">
        <v>64</v>
      </c>
      <c r="C13" s="66" t="s">
        <v>92</v>
      </c>
      <c r="D13" s="66" t="s">
        <v>65</v>
      </c>
      <c r="E13" s="66" t="s">
        <v>93</v>
      </c>
      <c r="AD13" s="29"/>
    </row>
    <row r="14" ht="18.75" customHeight="1" spans="2:5">
      <c r="B14" s="67">
        <f>AJ9</f>
        <v>75864.42</v>
      </c>
      <c r="C14" s="67">
        <f>AG9</f>
        <v>1291.67</v>
      </c>
      <c r="D14" s="67">
        <f>AK9</f>
        <v>0</v>
      </c>
      <c r="E14" s="67">
        <f>B14+C14+D14</f>
        <v>77156.09</v>
      </c>
    </row>
    <row r="15" spans="2:5">
      <c r="B15" s="68"/>
      <c r="C15" s="68"/>
      <c r="D15" s="68"/>
      <c r="E15" s="68"/>
    </row>
    <row r="16" s="33" customFormat="1" spans="1:35">
      <c r="A16" s="69" t="s">
        <v>94</v>
      </c>
      <c r="B16" s="70" t="s">
        <v>95</v>
      </c>
      <c r="C16" s="71"/>
      <c r="D16" s="71"/>
      <c r="E16" s="71"/>
      <c r="G16" s="72"/>
      <c r="J16" s="94"/>
      <c r="M16" s="95"/>
      <c r="AI16" s="125"/>
    </row>
    <row r="17" s="33" customFormat="1" spans="1:35">
      <c r="A17" s="73"/>
      <c r="B17" s="74" t="s">
        <v>96</v>
      </c>
      <c r="C17" s="71"/>
      <c r="D17" s="71"/>
      <c r="E17" s="71"/>
      <c r="G17" s="72"/>
      <c r="J17" s="94"/>
      <c r="M17" s="95"/>
      <c r="AI17" s="125"/>
    </row>
    <row r="18" s="33" customFormat="1" spans="1:35">
      <c r="A18" s="70"/>
      <c r="B18" s="74" t="s">
        <v>97</v>
      </c>
      <c r="C18" s="75"/>
      <c r="D18" s="75"/>
      <c r="E18" s="75"/>
      <c r="F18" s="75"/>
      <c r="G18" s="75"/>
      <c r="H18" s="75"/>
      <c r="I18" s="75"/>
      <c r="J18" s="96"/>
      <c r="K18" s="75"/>
      <c r="L18" s="75"/>
      <c r="M18" s="97"/>
      <c r="N18" s="75"/>
      <c r="O18" s="75"/>
      <c r="P18" s="75"/>
      <c r="AI18" s="125"/>
    </row>
    <row r="19" s="33" customFormat="1" customHeight="1" spans="1:35">
      <c r="A19" s="74"/>
      <c r="B19" s="74" t="s">
        <v>98</v>
      </c>
      <c r="C19" s="76"/>
      <c r="D19" s="76"/>
      <c r="E19" s="76"/>
      <c r="F19" s="76"/>
      <c r="G19" s="76"/>
      <c r="H19" s="76"/>
      <c r="I19" s="98"/>
      <c r="J19" s="99"/>
      <c r="K19" s="98"/>
      <c r="L19" s="98"/>
      <c r="M19" s="100"/>
      <c r="N19" s="98"/>
      <c r="O19" s="98"/>
      <c r="P19" s="98"/>
      <c r="AI19" s="125"/>
    </row>
    <row r="20" s="33" customFormat="1" customHeight="1" spans="1:35">
      <c r="A20" s="74"/>
      <c r="B20" s="74" t="s">
        <v>99</v>
      </c>
      <c r="C20" s="76"/>
      <c r="D20" s="76"/>
      <c r="E20" s="76"/>
      <c r="F20" s="76"/>
      <c r="G20" s="76"/>
      <c r="H20" s="76"/>
      <c r="I20" s="76"/>
      <c r="J20" s="101"/>
      <c r="K20" s="76"/>
      <c r="L20" s="98"/>
      <c r="M20" s="100"/>
      <c r="N20" s="98"/>
      <c r="O20" s="98"/>
      <c r="P20" s="98"/>
      <c r="AI20" s="125"/>
    </row>
    <row r="21" s="33" customFormat="1" customHeight="1" spans="1:35">
      <c r="A21" s="74"/>
      <c r="B21" s="74" t="s">
        <v>100</v>
      </c>
      <c r="C21" s="76"/>
      <c r="D21" s="76"/>
      <c r="E21" s="76"/>
      <c r="F21" s="76"/>
      <c r="G21" s="76"/>
      <c r="H21" s="76"/>
      <c r="I21" s="98"/>
      <c r="J21" s="99"/>
      <c r="K21" s="98"/>
      <c r="L21" s="98"/>
      <c r="M21" s="100"/>
      <c r="N21" s="98"/>
      <c r="O21" s="98"/>
      <c r="P21" s="98"/>
      <c r="AI21" s="125"/>
    </row>
    <row r="23" ht="11.25" customHeight="1" spans="2:2">
      <c r="B23" s="77" t="s">
        <v>101</v>
      </c>
    </row>
    <row r="24" spans="2:2">
      <c r="B24" s="78" t="s">
        <v>102</v>
      </c>
    </row>
    <row r="25" spans="2:2">
      <c r="B25" s="78" t="s">
        <v>103</v>
      </c>
    </row>
  </sheetData>
  <autoFilter ref="A3:AT9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1">
    <cfRule type="duplicateValues" dxfId="2" priority="10" stopIfTrue="1"/>
  </conditionalFormatting>
  <conditionalFormatting sqref="B16:B20">
    <cfRule type="duplicateValues" dxfId="2" priority="13" stopIfTrue="1"/>
  </conditionalFormatting>
  <conditionalFormatting sqref="B24:B25">
    <cfRule type="duplicateValues" dxfId="2" priority="1" stopIfTrue="1"/>
  </conditionalFormatting>
  <conditionalFormatting sqref="C13:C15">
    <cfRule type="duplicateValues" dxfId="2" priority="17" stopIfTrue="1"/>
    <cfRule type="expression" dxfId="3" priority="19" stopIfTrue="1">
      <formula>AND(COUNTIF($B$9:$B$65445,C13)+COUNTIF($B$1:$B$3,C13)&gt;1,NOT(ISBLANK(C13)))</formula>
    </cfRule>
    <cfRule type="expression" dxfId="3" priority="21" stopIfTrue="1">
      <formula>AND(COUNTIF($B$20:$B$65396,C13)+COUNTIF($B$1:$B$19,C13)&gt;1,NOT(ISBLANK(C13)))</formula>
    </cfRule>
    <cfRule type="expression" dxfId="3" priority="23" stopIfTrue="1">
      <formula>AND(COUNTIF($B$9:$B$65434,C13)+COUNTIF($B$1:$B$3,C13)&gt;1,NOT(ISBLANK(C13)))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5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8"/>
    </sheetView>
  </sheetViews>
  <sheetFormatPr defaultColWidth="9" defaultRowHeight="13.5"/>
  <cols>
    <col min="1" max="1" width="4.5" style="34" customWidth="1"/>
    <col min="2" max="2" width="12.625" style="34" customWidth="1"/>
    <col min="3" max="3" width="10.5" style="34" customWidth="1"/>
    <col min="4" max="4" width="8.75" style="34" customWidth="1"/>
    <col min="5" max="5" width="19.5" style="35" customWidth="1"/>
    <col min="6" max="6" width="9" style="34"/>
    <col min="7" max="7" width="11.875" style="36" customWidth="1"/>
    <col min="8" max="8" width="4.625" style="34" hidden="1" customWidth="1"/>
    <col min="9" max="9" width="5.25" style="34" hidden="1" customWidth="1"/>
    <col min="10" max="10" width="11.75" style="37" customWidth="1"/>
    <col min="11" max="11" width="5.25" style="34" customWidth="1"/>
    <col min="12" max="12" width="11.75" style="34" customWidth="1"/>
    <col min="13" max="13" width="12.5" style="34" customWidth="1" outlineLevel="1"/>
    <col min="14" max="15" width="9" style="34" customWidth="1" outlineLevel="1"/>
    <col min="16" max="16" width="11.125" style="34" customWidth="1" outlineLevel="1"/>
    <col min="17" max="17" width="9.75" style="34" customWidth="1"/>
    <col min="18" max="18" width="9.5" style="34" customWidth="1"/>
    <col min="19" max="19" width="13.375" style="34" customWidth="1"/>
    <col min="20" max="21" width="12.25" style="34" customWidth="1"/>
    <col min="22" max="27" width="9" style="34" customWidth="1" outlineLevel="1"/>
    <col min="28" max="28" width="11.25" style="34" customWidth="1"/>
    <col min="29" max="29" width="8.5" style="34" customWidth="1"/>
    <col min="30" max="30" width="15.25" style="34" customWidth="1"/>
    <col min="31" max="31" width="13.375" style="34" customWidth="1"/>
    <col min="32" max="32" width="10.75" style="34" customWidth="1"/>
    <col min="33" max="33" width="12.25" style="34" customWidth="1"/>
    <col min="34" max="34" width="11.5" style="34" customWidth="1"/>
    <col min="35" max="35" width="7.875" style="38" customWidth="1"/>
    <col min="36" max="36" width="11.5" style="34" customWidth="1"/>
    <col min="37" max="37" width="9" style="34"/>
    <col min="38" max="38" width="11.5" style="34" customWidth="1"/>
    <col min="39" max="40" width="9" style="34" customWidth="1"/>
    <col min="41" max="41" width="19" style="34" customWidth="1"/>
    <col min="42" max="42" width="12.25" style="34" customWidth="1"/>
    <col min="43" max="43" width="9" style="34"/>
    <col min="44" max="44" width="7" style="34" customWidth="1"/>
    <col min="45" max="45" width="6.75" style="34" customWidth="1"/>
    <col min="46" max="46" width="6.125" style="34" customWidth="1"/>
    <col min="47" max="16384" width="9" style="34"/>
  </cols>
  <sheetData>
    <row r="1" s="29" customFormat="1" ht="29.25" customHeight="1" spans="1:45">
      <c r="A1" s="39" t="s">
        <v>36</v>
      </c>
      <c r="B1" s="40"/>
      <c r="C1" s="41"/>
      <c r="D1" s="42"/>
      <c r="E1" s="43"/>
      <c r="F1" s="43"/>
      <c r="G1" s="44"/>
      <c r="J1" s="79"/>
      <c r="L1" s="80"/>
      <c r="M1" s="81" t="s">
        <v>37</v>
      </c>
      <c r="N1" s="81"/>
      <c r="O1" s="81"/>
      <c r="P1" s="81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80"/>
      <c r="AE1" s="80"/>
      <c r="AF1" s="80"/>
      <c r="AG1" s="80"/>
      <c r="AH1" s="80"/>
      <c r="AI1" s="116"/>
      <c r="AJ1" s="80"/>
      <c r="AK1" s="80"/>
      <c r="AL1" s="80"/>
      <c r="AM1" s="43"/>
      <c r="AN1" s="43"/>
      <c r="AO1" s="126"/>
      <c r="AP1" s="43"/>
      <c r="AQ1" s="43"/>
      <c r="AR1" s="43"/>
      <c r="AS1" s="43"/>
    </row>
    <row r="2" s="30" customFormat="1" ht="20.1" customHeight="1" spans="1:46">
      <c r="A2" s="45" t="s">
        <v>18</v>
      </c>
      <c r="B2" s="46" t="s">
        <v>38</v>
      </c>
      <c r="C2" s="47" t="s">
        <v>39</v>
      </c>
      <c r="D2" s="47" t="s">
        <v>40</v>
      </c>
      <c r="E2" s="48" t="s">
        <v>41</v>
      </c>
      <c r="F2" s="49" t="s">
        <v>42</v>
      </c>
      <c r="G2" s="48" t="s">
        <v>43</v>
      </c>
      <c r="H2" s="48" t="s">
        <v>44</v>
      </c>
      <c r="I2" s="48" t="s">
        <v>45</v>
      </c>
      <c r="J2" s="82" t="s">
        <v>46</v>
      </c>
      <c r="K2" s="48" t="s">
        <v>47</v>
      </c>
      <c r="L2" s="48" t="s">
        <v>48</v>
      </c>
      <c r="M2" s="83" t="s">
        <v>49</v>
      </c>
      <c r="N2" s="84"/>
      <c r="O2" s="84"/>
      <c r="P2" s="85"/>
      <c r="Q2" s="49" t="s">
        <v>50</v>
      </c>
      <c r="R2" s="48" t="s">
        <v>51</v>
      </c>
      <c r="S2" s="49" t="s">
        <v>52</v>
      </c>
      <c r="T2" s="103" t="s">
        <v>53</v>
      </c>
      <c r="U2" s="49" t="s">
        <v>54</v>
      </c>
      <c r="V2" s="104" t="s">
        <v>55</v>
      </c>
      <c r="W2" s="105"/>
      <c r="X2" s="105"/>
      <c r="Y2" s="105"/>
      <c r="Z2" s="105"/>
      <c r="AA2" s="111"/>
      <c r="AB2" s="49" t="s">
        <v>56</v>
      </c>
      <c r="AC2" s="49" t="s">
        <v>57</v>
      </c>
      <c r="AD2" s="103" t="s">
        <v>58</v>
      </c>
      <c r="AE2" s="103" t="s">
        <v>59</v>
      </c>
      <c r="AF2" s="103" t="s">
        <v>60</v>
      </c>
      <c r="AG2" s="103" t="s">
        <v>61</v>
      </c>
      <c r="AH2" s="117" t="s">
        <v>62</v>
      </c>
      <c r="AI2" s="118" t="s">
        <v>63</v>
      </c>
      <c r="AJ2" s="117" t="s">
        <v>64</v>
      </c>
      <c r="AK2" s="47" t="s">
        <v>65</v>
      </c>
      <c r="AL2" s="117" t="s">
        <v>66</v>
      </c>
      <c r="AM2" s="48" t="s">
        <v>67</v>
      </c>
      <c r="AN2" s="48" t="s">
        <v>68</v>
      </c>
      <c r="AO2" s="127" t="s">
        <v>69</v>
      </c>
      <c r="AP2" s="48" t="s">
        <v>70</v>
      </c>
      <c r="AQ2" s="48" t="s">
        <v>71</v>
      </c>
      <c r="AR2" s="49" t="s">
        <v>72</v>
      </c>
      <c r="AS2" s="49" t="s">
        <v>73</v>
      </c>
      <c r="AT2" s="49" t="s">
        <v>74</v>
      </c>
    </row>
    <row r="3" s="30" customFormat="1" ht="27" customHeight="1" spans="1:46">
      <c r="A3" s="50"/>
      <c r="B3" s="51"/>
      <c r="C3" s="52"/>
      <c r="D3" s="52"/>
      <c r="E3" s="53"/>
      <c r="F3" s="54"/>
      <c r="G3" s="53"/>
      <c r="H3" s="53"/>
      <c r="I3" s="53"/>
      <c r="J3" s="86"/>
      <c r="K3" s="53"/>
      <c r="L3" s="53"/>
      <c r="M3" s="87" t="s">
        <v>75</v>
      </c>
      <c r="N3" s="87" t="s">
        <v>76</v>
      </c>
      <c r="O3" s="87" t="s">
        <v>77</v>
      </c>
      <c r="P3" s="87" t="s">
        <v>78</v>
      </c>
      <c r="Q3" s="54"/>
      <c r="R3" s="53"/>
      <c r="S3" s="54"/>
      <c r="T3" s="106"/>
      <c r="U3" s="54"/>
      <c r="V3" s="107" t="s">
        <v>79</v>
      </c>
      <c r="W3" s="107" t="s">
        <v>80</v>
      </c>
      <c r="X3" s="107" t="s">
        <v>81</v>
      </c>
      <c r="Y3" s="107" t="s">
        <v>82</v>
      </c>
      <c r="Z3" s="107" t="s">
        <v>83</v>
      </c>
      <c r="AA3" s="107" t="s">
        <v>84</v>
      </c>
      <c r="AB3" s="54"/>
      <c r="AC3" s="54"/>
      <c r="AD3" s="106"/>
      <c r="AE3" s="106"/>
      <c r="AF3" s="106"/>
      <c r="AG3" s="106"/>
      <c r="AH3" s="119"/>
      <c r="AI3" s="120"/>
      <c r="AJ3" s="119"/>
      <c r="AK3" s="52"/>
      <c r="AL3" s="119"/>
      <c r="AM3" s="53"/>
      <c r="AN3" s="53"/>
      <c r="AO3" s="128"/>
      <c r="AP3" s="53"/>
      <c r="AQ3" s="53"/>
      <c r="AR3" s="54"/>
      <c r="AS3" s="54"/>
      <c r="AT3" s="54"/>
    </row>
    <row r="4" s="31" customFormat="1" ht="18" customHeight="1" spans="1:46">
      <c r="A4" s="55">
        <v>1</v>
      </c>
      <c r="B4" s="56" t="s">
        <v>85</v>
      </c>
      <c r="C4" s="56" t="s">
        <v>86</v>
      </c>
      <c r="D4" s="56" t="s">
        <v>87</v>
      </c>
      <c r="E4" s="56" t="s">
        <v>88</v>
      </c>
      <c r="F4" s="57" t="s">
        <v>210</v>
      </c>
      <c r="G4" s="58">
        <v>18035163638</v>
      </c>
      <c r="H4" s="59"/>
      <c r="I4" s="59"/>
      <c r="J4" s="88"/>
      <c r="K4" s="59"/>
      <c r="L4" s="89">
        <v>8000</v>
      </c>
      <c r="M4" s="90">
        <v>264</v>
      </c>
      <c r="N4" s="90">
        <v>66</v>
      </c>
      <c r="O4" s="90">
        <v>9.9</v>
      </c>
      <c r="P4" s="90">
        <v>180</v>
      </c>
      <c r="Q4" s="108">
        <f>ROUND(SUM(M4:P4),2)</f>
        <v>519.9</v>
      </c>
      <c r="R4" s="89">
        <v>0</v>
      </c>
      <c r="S4" s="109">
        <f>L4+IFERROR(VLOOKUP($E:$E,'（居民）工资表-11月'!$E:$S,15,0),0)</f>
        <v>103460</v>
      </c>
      <c r="T4" s="110">
        <f>5000+IFERROR(VLOOKUP($E:$E,'（居民）工资表-11月'!$E:$T,16,0),0)</f>
        <v>60000</v>
      </c>
      <c r="U4" s="110">
        <f>Q4+IFERROR(VLOOKUP($E:$E,'（居民）工资表-11月'!$E:$U,17,0),0)</f>
        <v>6238.8</v>
      </c>
      <c r="V4" s="89"/>
      <c r="W4" s="89"/>
      <c r="X4" s="89">
        <v>12000</v>
      </c>
      <c r="Y4" s="89"/>
      <c r="Z4" s="89"/>
      <c r="AA4" s="89"/>
      <c r="AB4" s="109">
        <f>ROUND(SUM(V4:AA4),2)</f>
        <v>12000</v>
      </c>
      <c r="AC4" s="109">
        <f>R4+IFERROR(VLOOKUP($E:$E,'（居民）工资表-11月'!$E:$AC,25,0),0)</f>
        <v>0</v>
      </c>
      <c r="AD4" s="112">
        <f>ROUND(S4-T4-U4-AB4-AC4,2)</f>
        <v>25221.2</v>
      </c>
      <c r="AE4" s="113">
        <f>ROUND(MAX((AD4)*{0.03;0.1;0.2;0.25;0.3;0.35;0.45}-{0;2520;16920;31920;52920;85920;181920},0),2)</f>
        <v>756.64</v>
      </c>
      <c r="AF4" s="114">
        <f>IFERROR(VLOOKUP(E:E,'（居民）工资表-11月'!E:AF,28,0)+VLOOKUP(E:E,'（居民）工资表-11月'!E:AG,29,0),0)</f>
        <v>712.23</v>
      </c>
      <c r="AG4" s="114">
        <f>IF((AE4-AF4)&lt;0,0,AE4-AF4)</f>
        <v>44.41</v>
      </c>
      <c r="AH4" s="121">
        <f>ROUND(IF((L4-Q4-AG4)&lt;0,0,(L4-Q4-AG4)),2)</f>
        <v>7435.69</v>
      </c>
      <c r="AI4" s="122"/>
      <c r="AJ4" s="121">
        <f>AH4+AI4</f>
        <v>7435.69</v>
      </c>
      <c r="AK4" s="123"/>
      <c r="AL4" s="121">
        <f>AJ4+AG4+AK4</f>
        <v>7480.1</v>
      </c>
      <c r="AM4" s="123"/>
      <c r="AN4" s="123"/>
      <c r="AO4" s="123"/>
      <c r="AP4" s="123"/>
      <c r="AQ4" s="123"/>
      <c r="AR4" s="129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29" t="str">
        <f>IF(SUMPRODUCT(N(E$1:E$8=E4))&gt;1,"重复","不")</f>
        <v>不</v>
      </c>
      <c r="AT4" s="129" t="str">
        <f>IF(SUMPRODUCT(N(AO$1:AO$8=AO4))&gt;1,"重复","不")</f>
        <v>重复</v>
      </c>
    </row>
    <row r="5" s="31" customFormat="1" ht="18" customHeight="1" spans="1:46">
      <c r="A5" s="55">
        <v>2</v>
      </c>
      <c r="B5" s="56" t="s">
        <v>85</v>
      </c>
      <c r="C5" s="56" t="s">
        <v>154</v>
      </c>
      <c r="D5" s="56" t="s">
        <v>87</v>
      </c>
      <c r="E5" s="56" t="s">
        <v>155</v>
      </c>
      <c r="F5" s="57" t="s">
        <v>210</v>
      </c>
      <c r="G5" s="58">
        <v>13944441728</v>
      </c>
      <c r="H5" s="59"/>
      <c r="I5" s="59"/>
      <c r="J5" s="88"/>
      <c r="K5" s="59"/>
      <c r="L5" s="89">
        <v>7000</v>
      </c>
      <c r="M5" s="90">
        <v>268.81</v>
      </c>
      <c r="N5" s="90">
        <v>10.08</v>
      </c>
      <c r="O5" s="90">
        <v>61.06</v>
      </c>
      <c r="P5" s="90">
        <v>79</v>
      </c>
      <c r="Q5" s="108">
        <f>ROUND(SUM(M5:P5),2)</f>
        <v>418.95</v>
      </c>
      <c r="R5" s="89">
        <v>0</v>
      </c>
      <c r="S5" s="109">
        <f>L5+IFERROR(VLOOKUP($E:$E,'（居民）工资表-11月'!$E:$S,15,0),0)</f>
        <v>62871.4</v>
      </c>
      <c r="T5" s="110">
        <f>5000+IFERROR(VLOOKUP($E:$E,'（居民）工资表-11月'!$E:$T,16,0),0)</f>
        <v>45000</v>
      </c>
      <c r="U5" s="110">
        <f>Q5+IFERROR(VLOOKUP($E:$E,'（居民）工资表-11月'!$E:$U,17,0),0)</f>
        <v>4087.54</v>
      </c>
      <c r="V5" s="89"/>
      <c r="W5" s="89"/>
      <c r="X5" s="89"/>
      <c r="Y5" s="89"/>
      <c r="Z5" s="89"/>
      <c r="AA5" s="89"/>
      <c r="AB5" s="109">
        <f>ROUND(SUM(V5:AA5),2)</f>
        <v>0</v>
      </c>
      <c r="AC5" s="109">
        <f>R5+IFERROR(VLOOKUP($E:$E,'（居民）工资表-11月'!$E:$AC,25,0),0)</f>
        <v>0</v>
      </c>
      <c r="AD5" s="112">
        <f>ROUND(S5-T5-U5-AB5-AC5,2)</f>
        <v>13783.86</v>
      </c>
      <c r="AE5" s="113">
        <f>ROUND(MAX((AD5)*{0.03;0.1;0.2;0.25;0.3;0.35;0.45}-{0;2520;16920;31920;52920;85920;181920},0),2)</f>
        <v>413.52</v>
      </c>
      <c r="AF5" s="114">
        <f>IFERROR(VLOOKUP(E:E,'（居民）工资表-11月'!E:AF,28,0)+VLOOKUP(E:E,'（居民）工资表-11月'!E:AG,29,0),0)</f>
        <v>366.08</v>
      </c>
      <c r="AG5" s="114">
        <f>IF((AE5-AF5)&lt;0,0,AE5-AF5)</f>
        <v>47.44</v>
      </c>
      <c r="AH5" s="121">
        <f>ROUND(IF((L5-Q5-AG5)&lt;0,0,(L5-Q5-AG5)),2)</f>
        <v>6533.61</v>
      </c>
      <c r="AI5" s="122"/>
      <c r="AJ5" s="121">
        <f>AH5+AI5</f>
        <v>6533.61</v>
      </c>
      <c r="AK5" s="123"/>
      <c r="AL5" s="121">
        <f>AJ5+AG5+AK5</f>
        <v>6581.05</v>
      </c>
      <c r="AM5" s="123"/>
      <c r="AN5" s="123"/>
      <c r="AO5" s="123"/>
      <c r="AP5" s="123"/>
      <c r="AQ5" s="123"/>
      <c r="AR5" s="129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29" t="str">
        <f>IF(SUMPRODUCT(N(E$1:E$8=E5))&gt;1,"重复","不")</f>
        <v>不</v>
      </c>
      <c r="AT5" s="129" t="str">
        <f>IF(SUMPRODUCT(N(AO$1:AO$8=AO5))&gt;1,"重复","不")</f>
        <v>重复</v>
      </c>
    </row>
    <row r="6" s="31" customFormat="1" ht="18" customHeight="1" spans="1:46">
      <c r="A6" s="55">
        <v>3</v>
      </c>
      <c r="B6" s="56" t="s">
        <v>85</v>
      </c>
      <c r="C6" s="56" t="s">
        <v>170</v>
      </c>
      <c r="D6" s="56" t="s">
        <v>87</v>
      </c>
      <c r="E6" s="390" t="s">
        <v>171</v>
      </c>
      <c r="F6" s="57" t="str">
        <f>IF(MOD(MID(E6,17,1),2)=1,"男","女")</f>
        <v>女</v>
      </c>
      <c r="G6" s="58">
        <v>15360550807</v>
      </c>
      <c r="H6" s="59"/>
      <c r="I6" s="59"/>
      <c r="J6" s="88"/>
      <c r="K6" s="59"/>
      <c r="L6" s="89">
        <v>5700</v>
      </c>
      <c r="M6" s="90">
        <v>367.04</v>
      </c>
      <c r="N6" s="90">
        <v>123.5</v>
      </c>
      <c r="O6" s="90">
        <v>4.2</v>
      </c>
      <c r="P6" s="90">
        <v>105</v>
      </c>
      <c r="Q6" s="108">
        <f>ROUND(SUM(M6:P6),2)</f>
        <v>599.74</v>
      </c>
      <c r="R6" s="89">
        <v>0</v>
      </c>
      <c r="S6" s="109">
        <f>L6+IFERROR(VLOOKUP($E:$E,'（居民）工资表-11月'!$E:$S,15,0),0)</f>
        <v>29743.6363636364</v>
      </c>
      <c r="T6" s="110">
        <f>5000+IFERROR(VLOOKUP($E:$E,'（居民）工资表-11月'!$E:$T,16,0),0)</f>
        <v>30000</v>
      </c>
      <c r="U6" s="110">
        <f>Q6+IFERROR(VLOOKUP($E:$E,'（居民）工资表-11月'!$E:$U,17,0),0)</f>
        <v>1199.48</v>
      </c>
      <c r="V6" s="89"/>
      <c r="W6" s="89"/>
      <c r="X6" s="89"/>
      <c r="Y6" s="89"/>
      <c r="Z6" s="89"/>
      <c r="AA6" s="89"/>
      <c r="AB6" s="109">
        <f>ROUND(SUM(V6:AA6),2)</f>
        <v>0</v>
      </c>
      <c r="AC6" s="109">
        <f>R6+IFERROR(VLOOKUP($E:$E,'（居民）工资表-11月'!$E:$AC,25,0),0)</f>
        <v>0</v>
      </c>
      <c r="AD6" s="112">
        <f>ROUND(S6-T6-U6-AB6-AC6,2)</f>
        <v>-1455.84</v>
      </c>
      <c r="AE6" s="113">
        <f>ROUND(MAX((AD6)*{0.03;0.1;0.2;0.25;0.3;0.35;0.45}-{0;2520;16920;31920;52920;85920;181920},0),2)</f>
        <v>0</v>
      </c>
      <c r="AF6" s="114">
        <f>IFERROR(VLOOKUP(E:E,'（居民）工资表-11月'!E:AF,28,0)+VLOOKUP(E:E,'（居民）工资表-11月'!E:AG,29,0),0)</f>
        <v>0</v>
      </c>
      <c r="AG6" s="114">
        <f>IF((AE6-AF6)&lt;0,0,AE6-AF6)</f>
        <v>0</v>
      </c>
      <c r="AH6" s="121">
        <f>ROUND(IF((L6-Q6-AG6)&lt;0,0,(L6-Q6-AG6)),2)</f>
        <v>5100.26</v>
      </c>
      <c r="AI6" s="122"/>
      <c r="AJ6" s="121">
        <f>AH6+AI6</f>
        <v>5100.26</v>
      </c>
      <c r="AK6" s="123"/>
      <c r="AL6" s="121">
        <f>AJ6+AG6+AK6</f>
        <v>5100.26</v>
      </c>
      <c r="AM6" s="123"/>
      <c r="AN6" s="123"/>
      <c r="AO6" s="123"/>
      <c r="AP6" s="123"/>
      <c r="AQ6" s="123"/>
      <c r="AR6" s="129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29" t="str">
        <f>IF(SUMPRODUCT(N(E$1:E$8=E6))&gt;1,"重复","不")</f>
        <v>不</v>
      </c>
      <c r="AT6" s="129" t="str">
        <f>IF(SUMPRODUCT(N(AO$1:AO$8=AO6))&gt;1,"重复","不")</f>
        <v>重复</v>
      </c>
    </row>
    <row r="7" s="31" customFormat="1" ht="18" customHeight="1" spans="1:46">
      <c r="A7" s="55">
        <v>4</v>
      </c>
      <c r="B7" s="56" t="s">
        <v>85</v>
      </c>
      <c r="C7" s="56" t="s">
        <v>160</v>
      </c>
      <c r="D7" s="56" t="s">
        <v>87</v>
      </c>
      <c r="E7" s="390" t="s">
        <v>161</v>
      </c>
      <c r="F7" s="57" t="s">
        <v>210</v>
      </c>
      <c r="G7" s="58">
        <v>18607383005</v>
      </c>
      <c r="H7" s="59"/>
      <c r="I7" s="59"/>
      <c r="J7" s="88"/>
      <c r="K7" s="59"/>
      <c r="L7" s="89">
        <v>25000</v>
      </c>
      <c r="M7" s="90">
        <f>320</f>
        <v>320</v>
      </c>
      <c r="N7" s="90">
        <f>80</f>
        <v>80</v>
      </c>
      <c r="O7" s="90">
        <f>12</f>
        <v>12</v>
      </c>
      <c r="P7" s="90">
        <v>200</v>
      </c>
      <c r="Q7" s="108">
        <f>ROUND(SUM(M7:P7),2)</f>
        <v>612</v>
      </c>
      <c r="R7" s="89">
        <v>0</v>
      </c>
      <c r="S7" s="109">
        <f>L7+IFERROR(VLOOKUP($E:$E,'（居民）工资表-11月'!$E:$S,15,0),0)</f>
        <v>180024.76</v>
      </c>
      <c r="T7" s="110">
        <f>5000+IFERROR(VLOOKUP($E:$E,'（居民）工资表-11月'!$E:$T,16,0),0)</f>
        <v>40000</v>
      </c>
      <c r="U7" s="110">
        <f>Q7+IFERROR(VLOOKUP($E:$E,'（居民）工资表-11月'!$E:$U,17,0),0)</f>
        <v>4982.67</v>
      </c>
      <c r="V7" s="89"/>
      <c r="W7" s="89"/>
      <c r="X7" s="89"/>
      <c r="Y7" s="89"/>
      <c r="Z7" s="89"/>
      <c r="AA7" s="89"/>
      <c r="AB7" s="109">
        <f>ROUND(SUM(V7:AA7),2)</f>
        <v>0</v>
      </c>
      <c r="AC7" s="109">
        <f>R7+IFERROR(VLOOKUP($E:$E,'（居民）工资表-11月'!$E:$AC,25,0),0)</f>
        <v>0</v>
      </c>
      <c r="AD7" s="112">
        <f>ROUND(S7-T7-U7-AB7-AC7,2)</f>
        <v>135042.09</v>
      </c>
      <c r="AE7" s="113">
        <f>ROUND(MAX((AD7)*{0.03;0.1;0.2;0.25;0.3;0.35;0.45}-{0;2520;16920;31920;52920;85920;181920},0),2)</f>
        <v>10984.21</v>
      </c>
      <c r="AF7" s="114">
        <f>IFERROR(VLOOKUP(E:E,'（居民）工资表-11月'!E:AF,28,0)+VLOOKUP(E:E,'（居民）工资表-11月'!E:AG,29,0),0)</f>
        <v>9045.41</v>
      </c>
      <c r="AG7" s="114">
        <f>IF((AE7-AF7)&lt;0,0,AE7-AF7)</f>
        <v>1938.8</v>
      </c>
      <c r="AH7" s="121">
        <f>ROUND(IF((L7-Q7-AG7)&lt;0,0,(L7-Q7-AG7)),2)</f>
        <v>22449.2</v>
      </c>
      <c r="AI7" s="122"/>
      <c r="AJ7" s="121">
        <f>AH7+AI7</f>
        <v>22449.2</v>
      </c>
      <c r="AK7" s="123"/>
      <c r="AL7" s="121">
        <f>AJ7+AG7+AK7</f>
        <v>24388</v>
      </c>
      <c r="AM7" s="123"/>
      <c r="AN7" s="123"/>
      <c r="AO7" s="123"/>
      <c r="AP7" s="123"/>
      <c r="AQ7" s="123"/>
      <c r="AR7" s="129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29" t="str">
        <f>IF(SUMPRODUCT(N(E$1:E$8=E7))&gt;1,"重复","不")</f>
        <v>不</v>
      </c>
      <c r="AT7" s="129" t="str">
        <f>IF(SUMPRODUCT(N(AO$1:AO$8=AO7))&gt;1,"重复","不")</f>
        <v>重复</v>
      </c>
    </row>
    <row r="8" s="31" customFormat="1" ht="18" customHeight="1" spans="1:46">
      <c r="A8" s="55">
        <v>5</v>
      </c>
      <c r="B8" s="56" t="s">
        <v>85</v>
      </c>
      <c r="C8" s="56" t="s">
        <v>166</v>
      </c>
      <c r="D8" s="56" t="s">
        <v>87</v>
      </c>
      <c r="E8" s="56" t="s">
        <v>167</v>
      </c>
      <c r="F8" s="57" t="s">
        <v>210</v>
      </c>
      <c r="G8" s="58">
        <v>13373825180</v>
      </c>
      <c r="H8" s="59"/>
      <c r="I8" s="59"/>
      <c r="J8" s="88"/>
      <c r="K8" s="59"/>
      <c r="L8" s="89">
        <v>25000</v>
      </c>
      <c r="M8" s="90">
        <v>261.04</v>
      </c>
      <c r="N8" s="90">
        <v>9.1</v>
      </c>
      <c r="O8" s="90">
        <v>57.18</v>
      </c>
      <c r="P8" s="90">
        <v>85</v>
      </c>
      <c r="Q8" s="108">
        <f>ROUND(SUM(M8:P8),2)</f>
        <v>412.32</v>
      </c>
      <c r="R8" s="89">
        <v>0</v>
      </c>
      <c r="S8" s="109">
        <f>L8+IFERROR(VLOOKUP($E:$E,'（居民）工资表-11月'!$E:$S,15,0),0)</f>
        <v>50000</v>
      </c>
      <c r="T8" s="110">
        <f>5000+IFERROR(VLOOKUP($E:$E,'（居民）工资表-11月'!$E:$T,16,0),0)</f>
        <v>10000</v>
      </c>
      <c r="U8" s="110">
        <f>Q8+IFERROR(VLOOKUP($E:$E,'（居民）工资表-11月'!$E:$U,17,0),0)</f>
        <v>1269.46</v>
      </c>
      <c r="V8" s="89"/>
      <c r="W8" s="89"/>
      <c r="X8" s="89"/>
      <c r="Y8" s="89"/>
      <c r="Z8" s="89"/>
      <c r="AA8" s="89"/>
      <c r="AB8" s="109">
        <f>ROUND(SUM(V8:AA8),2)</f>
        <v>0</v>
      </c>
      <c r="AC8" s="109">
        <f>R8+IFERROR(VLOOKUP($E:$E,'（居民）工资表-11月'!$E:$AC,25,0),0)</f>
        <v>0</v>
      </c>
      <c r="AD8" s="112">
        <f>ROUND(S8-T8-U8-AB8-AC8,2)</f>
        <v>38730.54</v>
      </c>
      <c r="AE8" s="113">
        <f>ROUND(MAX((AD8)*{0.03;0.1;0.2;0.25;0.3;0.35;0.45}-{0;2520;16920;31920;52920;85920;181920},0),2)</f>
        <v>1353.05</v>
      </c>
      <c r="AF8" s="114">
        <f>IFERROR(VLOOKUP(E:E,'（居民）工资表-11月'!E:AF,28,0)+VLOOKUP(E:E,'（居民）工资表-11月'!E:AG,29,0),0)</f>
        <v>574.29</v>
      </c>
      <c r="AG8" s="114">
        <f>IF((AE8-AF8)&lt;0,0,AE8-AF8)</f>
        <v>778.76</v>
      </c>
      <c r="AH8" s="121">
        <f>ROUND(IF((L8-Q8-AG8)&lt;0,0,(L8-Q8-AG8)),2)</f>
        <v>23808.92</v>
      </c>
      <c r="AI8" s="122"/>
      <c r="AJ8" s="121">
        <f>AH8+AI8</f>
        <v>23808.92</v>
      </c>
      <c r="AK8" s="123"/>
      <c r="AL8" s="121">
        <f>AJ8+AG8+AK8</f>
        <v>24587.68</v>
      </c>
      <c r="AM8" s="123"/>
      <c r="AN8" s="123"/>
      <c r="AO8" s="123"/>
      <c r="AP8" s="123"/>
      <c r="AQ8" s="123"/>
      <c r="AR8" s="129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29" t="str">
        <f>IF(SUMPRODUCT(N(E$1:E$8=E8))&gt;1,"重复","不")</f>
        <v>不</v>
      </c>
      <c r="AT8" s="129" t="str">
        <f>IF(SUMPRODUCT(N(AO$1:AO$8=AO8))&gt;1,"重复","不")</f>
        <v>重复</v>
      </c>
    </row>
    <row r="9" s="32" customFormat="1" ht="18" customHeight="1" spans="1:46">
      <c r="A9" s="60"/>
      <c r="B9" s="61" t="s">
        <v>91</v>
      </c>
      <c r="C9" s="61"/>
      <c r="D9" s="62"/>
      <c r="E9" s="63"/>
      <c r="F9" s="64"/>
      <c r="G9" s="65"/>
      <c r="H9" s="64"/>
      <c r="I9" s="91"/>
      <c r="J9" s="92"/>
      <c r="K9" s="91"/>
      <c r="L9" s="93">
        <f t="shared" ref="L9:AL9" si="0">SUM(L4:L8)</f>
        <v>70700</v>
      </c>
      <c r="M9" s="93">
        <f t="shared" si="0"/>
        <v>1480.89</v>
      </c>
      <c r="N9" s="93">
        <f t="shared" si="0"/>
        <v>288.68</v>
      </c>
      <c r="O9" s="93">
        <f t="shared" si="0"/>
        <v>144.34</v>
      </c>
      <c r="P9" s="93">
        <f t="shared" si="0"/>
        <v>649</v>
      </c>
      <c r="Q9" s="93">
        <f t="shared" si="0"/>
        <v>2562.91</v>
      </c>
      <c r="R9" s="93">
        <f t="shared" si="0"/>
        <v>0</v>
      </c>
      <c r="S9" s="93">
        <f t="shared" si="0"/>
        <v>426099.796363636</v>
      </c>
      <c r="T9" s="93">
        <f t="shared" si="0"/>
        <v>185000</v>
      </c>
      <c r="U9" s="93">
        <f t="shared" si="0"/>
        <v>17777.95</v>
      </c>
      <c r="V9" s="93">
        <f t="shared" si="0"/>
        <v>0</v>
      </c>
      <c r="W9" s="93">
        <f t="shared" si="0"/>
        <v>0</v>
      </c>
      <c r="X9" s="93">
        <f t="shared" si="0"/>
        <v>12000</v>
      </c>
      <c r="Y9" s="93">
        <f t="shared" si="0"/>
        <v>0</v>
      </c>
      <c r="Z9" s="93">
        <f t="shared" si="0"/>
        <v>0</v>
      </c>
      <c r="AA9" s="93">
        <f t="shared" si="0"/>
        <v>0</v>
      </c>
      <c r="AB9" s="93">
        <f t="shared" si="0"/>
        <v>12000</v>
      </c>
      <c r="AC9" s="93">
        <f t="shared" si="0"/>
        <v>0</v>
      </c>
      <c r="AD9" s="93">
        <f t="shared" si="0"/>
        <v>211321.85</v>
      </c>
      <c r="AE9" s="93">
        <f t="shared" si="0"/>
        <v>13507.42</v>
      </c>
      <c r="AF9" s="93">
        <f t="shared" si="0"/>
        <v>10698.01</v>
      </c>
      <c r="AG9" s="93">
        <f t="shared" si="0"/>
        <v>2809.41</v>
      </c>
      <c r="AH9" s="93">
        <f t="shared" si="0"/>
        <v>65327.68</v>
      </c>
      <c r="AI9" s="131">
        <f t="shared" si="0"/>
        <v>0</v>
      </c>
      <c r="AJ9" s="93">
        <f t="shared" si="0"/>
        <v>65327.68</v>
      </c>
      <c r="AK9" s="93">
        <f t="shared" si="0"/>
        <v>0</v>
      </c>
      <c r="AL9" s="93">
        <f t="shared" si="0"/>
        <v>68137.09</v>
      </c>
      <c r="AM9" s="124"/>
      <c r="AN9" s="124"/>
      <c r="AO9" s="124"/>
      <c r="AP9" s="124"/>
      <c r="AQ9" s="124"/>
      <c r="AR9" s="64"/>
      <c r="AS9" s="64"/>
      <c r="AT9" s="130"/>
    </row>
    <row r="12" spans="30:30">
      <c r="AD12" s="115"/>
    </row>
    <row r="13" ht="18.75" customHeight="1" spans="2:30">
      <c r="B13" s="66" t="s">
        <v>64</v>
      </c>
      <c r="C13" s="66" t="s">
        <v>92</v>
      </c>
      <c r="D13" s="66" t="s">
        <v>65</v>
      </c>
      <c r="E13" s="66" t="s">
        <v>93</v>
      </c>
      <c r="AD13" s="29"/>
    </row>
    <row r="14" ht="18.75" customHeight="1" spans="2:5">
      <c r="B14" s="67">
        <f>AJ9</f>
        <v>65327.68</v>
      </c>
      <c r="C14" s="67">
        <f>AG9</f>
        <v>2809.41</v>
      </c>
      <c r="D14" s="67">
        <f>AK9</f>
        <v>0</v>
      </c>
      <c r="E14" s="67">
        <f>B14+C14+D14</f>
        <v>68137.09</v>
      </c>
    </row>
    <row r="15" spans="2:5">
      <c r="B15" s="68"/>
      <c r="C15" s="68"/>
      <c r="D15" s="68"/>
      <c r="E15" s="68"/>
    </row>
    <row r="16" s="33" customFormat="1" spans="1:35">
      <c r="A16" s="69" t="s">
        <v>94</v>
      </c>
      <c r="B16" s="70" t="s">
        <v>95</v>
      </c>
      <c r="C16" s="71"/>
      <c r="D16" s="71"/>
      <c r="E16" s="71"/>
      <c r="G16" s="72"/>
      <c r="J16" s="94"/>
      <c r="M16" s="95"/>
      <c r="AI16" s="125"/>
    </row>
    <row r="17" s="33" customFormat="1" spans="1:35">
      <c r="A17" s="73"/>
      <c r="B17" s="74" t="s">
        <v>96</v>
      </c>
      <c r="C17" s="71"/>
      <c r="D17" s="71"/>
      <c r="E17" s="71"/>
      <c r="G17" s="72"/>
      <c r="J17" s="94"/>
      <c r="M17" s="95"/>
      <c r="AI17" s="125"/>
    </row>
    <row r="18" s="33" customFormat="1" spans="1:35">
      <c r="A18" s="70"/>
      <c r="B18" s="74" t="s">
        <v>97</v>
      </c>
      <c r="C18" s="75"/>
      <c r="D18" s="75"/>
      <c r="E18" s="75"/>
      <c r="F18" s="75"/>
      <c r="G18" s="75"/>
      <c r="H18" s="75"/>
      <c r="I18" s="75"/>
      <c r="J18" s="96"/>
      <c r="K18" s="75"/>
      <c r="L18" s="75"/>
      <c r="M18" s="97"/>
      <c r="N18" s="75"/>
      <c r="O18" s="75"/>
      <c r="P18" s="75"/>
      <c r="AI18" s="125"/>
    </row>
    <row r="19" s="33" customFormat="1" customHeight="1" spans="1:35">
      <c r="A19" s="74"/>
      <c r="B19" s="74" t="s">
        <v>98</v>
      </c>
      <c r="C19" s="76"/>
      <c r="D19" s="76"/>
      <c r="E19" s="76"/>
      <c r="F19" s="76"/>
      <c r="G19" s="76"/>
      <c r="H19" s="76"/>
      <c r="I19" s="98"/>
      <c r="J19" s="99"/>
      <c r="K19" s="98"/>
      <c r="L19" s="98"/>
      <c r="M19" s="100"/>
      <c r="N19" s="98"/>
      <c r="O19" s="98"/>
      <c r="P19" s="98"/>
      <c r="AI19" s="125"/>
    </row>
    <row r="20" s="33" customFormat="1" customHeight="1" spans="1:35">
      <c r="A20" s="74"/>
      <c r="B20" s="74" t="s">
        <v>99</v>
      </c>
      <c r="C20" s="76"/>
      <c r="D20" s="76"/>
      <c r="E20" s="76"/>
      <c r="F20" s="76"/>
      <c r="G20" s="76"/>
      <c r="H20" s="76"/>
      <c r="I20" s="76"/>
      <c r="J20" s="101"/>
      <c r="K20" s="76"/>
      <c r="L20" s="98"/>
      <c r="M20" s="100"/>
      <c r="N20" s="98"/>
      <c r="O20" s="98"/>
      <c r="P20" s="98"/>
      <c r="AI20" s="125"/>
    </row>
    <row r="21" s="33" customFormat="1" customHeight="1" spans="1:35">
      <c r="A21" s="74"/>
      <c r="B21" s="74" t="s">
        <v>100</v>
      </c>
      <c r="C21" s="76"/>
      <c r="D21" s="76"/>
      <c r="E21" s="76"/>
      <c r="F21" s="76"/>
      <c r="G21" s="76"/>
      <c r="H21" s="76"/>
      <c r="I21" s="98"/>
      <c r="J21" s="99"/>
      <c r="K21" s="98"/>
      <c r="L21" s="98"/>
      <c r="M21" s="100"/>
      <c r="N21" s="98"/>
      <c r="O21" s="98"/>
      <c r="P21" s="98"/>
      <c r="AI21" s="125"/>
    </row>
    <row r="23" ht="11.25" customHeight="1" spans="2:2">
      <c r="B23" s="77" t="s">
        <v>101</v>
      </c>
    </row>
    <row r="24" spans="2:2">
      <c r="B24" s="78" t="s">
        <v>102</v>
      </c>
    </row>
    <row r="25" spans="2:2">
      <c r="B25" s="78" t="s">
        <v>103</v>
      </c>
    </row>
  </sheetData>
  <autoFilter ref="A3:AT9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1">
    <cfRule type="duplicateValues" dxfId="2" priority="2" stopIfTrue="1"/>
  </conditionalFormatting>
  <conditionalFormatting sqref="B16:B20">
    <cfRule type="duplicateValues" dxfId="2" priority="3" stopIfTrue="1"/>
  </conditionalFormatting>
  <conditionalFormatting sqref="B24:B25">
    <cfRule type="duplicateValues" dxfId="2" priority="1" stopIfTrue="1"/>
  </conditionalFormatting>
  <conditionalFormatting sqref="C13:C15">
    <cfRule type="duplicateValues" dxfId="2" priority="4" stopIfTrue="1"/>
    <cfRule type="expression" dxfId="3" priority="5" stopIfTrue="1">
      <formula>AND(COUNTIF($B$9:$B$65445,C13)+COUNTIF($B$1:$B$3,C13)&gt;1,NOT(ISBLANK(C13)))</formula>
    </cfRule>
    <cfRule type="expression" dxfId="3" priority="6" stopIfTrue="1">
      <formula>AND(COUNTIF($B$20:$B$65396,C13)+COUNTIF($B$1:$B$19,C13)&gt;1,NOT(ISBLANK(C13)))</formula>
    </cfRule>
    <cfRule type="expression" dxfId="3" priority="7" stopIfTrue="1">
      <formula>AND(COUNTIF($B$9:$B$65434,C13)+COUNTIF($B$1:$B$3,C13)&gt;1,NOT(ISBLANK(C13)))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AT29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Q13" sqref="Q13"/>
    </sheetView>
  </sheetViews>
  <sheetFormatPr defaultColWidth="9" defaultRowHeight="13.5"/>
  <cols>
    <col min="1" max="1" width="4.5" style="34" customWidth="1"/>
    <col min="2" max="2" width="12.625" style="34" customWidth="1"/>
    <col min="3" max="3" width="10.5" style="34" customWidth="1"/>
    <col min="4" max="4" width="8.75" style="34" customWidth="1"/>
    <col min="5" max="5" width="19.5" style="35" customWidth="1"/>
    <col min="6" max="6" width="9" style="34"/>
    <col min="7" max="7" width="11.875" style="36" customWidth="1"/>
    <col min="8" max="8" width="4.625" style="34" hidden="1" customWidth="1"/>
    <col min="9" max="9" width="5.25" style="34" hidden="1" customWidth="1"/>
    <col min="10" max="10" width="11.75" style="37" customWidth="1"/>
    <col min="11" max="11" width="5.25" style="34" customWidth="1"/>
    <col min="12" max="12" width="11.75" style="34" customWidth="1"/>
    <col min="13" max="13" width="9.5" style="34" customWidth="1" outlineLevel="1"/>
    <col min="14" max="15" width="9" style="34" customWidth="1" outlineLevel="1"/>
    <col min="16" max="16" width="11.125" style="34" customWidth="1" outlineLevel="1"/>
    <col min="17" max="17" width="9.75" style="34" customWidth="1"/>
    <col min="18" max="18" width="9.5" style="34" customWidth="1"/>
    <col min="19" max="19" width="11.5" style="34" customWidth="1"/>
    <col min="20" max="21" width="12.25" style="34" customWidth="1"/>
    <col min="22" max="27" width="9" style="34" customWidth="1" outlineLevel="1"/>
    <col min="28" max="28" width="11.25" style="34" customWidth="1"/>
    <col min="29" max="29" width="8.5" style="34" customWidth="1"/>
    <col min="30" max="30" width="15.25" style="34" customWidth="1"/>
    <col min="31" max="31" width="14" style="34" customWidth="1"/>
    <col min="32" max="32" width="10.75" style="34" customWidth="1"/>
    <col min="33" max="33" width="12.25" style="34" customWidth="1"/>
    <col min="34" max="34" width="11.5" style="34" customWidth="1"/>
    <col min="35" max="35" width="7.875" style="38" customWidth="1"/>
    <col min="36" max="36" width="11.5" style="34" customWidth="1"/>
    <col min="37" max="37" width="9" style="34"/>
    <col min="38" max="38" width="11.5" style="34" customWidth="1"/>
    <col min="39" max="40" width="9" style="34" customWidth="1"/>
    <col min="41" max="41" width="19" style="34" customWidth="1"/>
    <col min="42" max="42" width="12.25" style="34" customWidth="1"/>
    <col min="43" max="43" width="9" style="34"/>
    <col min="44" max="44" width="7" style="34" customWidth="1"/>
    <col min="45" max="45" width="6.75" style="34" customWidth="1"/>
    <col min="46" max="46" width="6.125" style="34" customWidth="1"/>
    <col min="47" max="16384" width="9" style="34"/>
  </cols>
  <sheetData>
    <row r="1" s="29" customFormat="1" ht="29.25" customHeight="1" spans="1:45">
      <c r="A1" s="39" t="s">
        <v>36</v>
      </c>
      <c r="B1" s="40"/>
      <c r="C1" s="41"/>
      <c r="D1" s="42"/>
      <c r="E1" s="43"/>
      <c r="F1" s="43"/>
      <c r="G1" s="44"/>
      <c r="J1" s="79"/>
      <c r="L1" s="80"/>
      <c r="M1" s="81" t="s">
        <v>37</v>
      </c>
      <c r="N1" s="81"/>
      <c r="O1" s="81"/>
      <c r="P1" s="81"/>
      <c r="Q1" s="102"/>
      <c r="R1" s="102"/>
      <c r="S1" s="102"/>
      <c r="T1" s="102"/>
      <c r="U1" s="102">
        <f>U4/2</f>
        <v>519.9</v>
      </c>
      <c r="V1" s="102"/>
      <c r="W1" s="102"/>
      <c r="X1" s="102"/>
      <c r="Y1" s="102"/>
      <c r="Z1" s="102"/>
      <c r="AA1" s="102"/>
      <c r="AB1" s="102"/>
      <c r="AC1" s="102"/>
      <c r="AD1" s="80"/>
      <c r="AE1" s="80"/>
      <c r="AF1" s="80"/>
      <c r="AG1" s="80"/>
      <c r="AH1" s="80"/>
      <c r="AI1" s="116"/>
      <c r="AJ1" s="80"/>
      <c r="AK1" s="80"/>
      <c r="AL1" s="80"/>
      <c r="AM1" s="43"/>
      <c r="AN1" s="43"/>
      <c r="AO1" s="126"/>
      <c r="AP1" s="43"/>
      <c r="AQ1" s="43"/>
      <c r="AR1" s="43"/>
      <c r="AS1" s="43"/>
    </row>
    <row r="2" s="30" customFormat="1" ht="20.1" customHeight="1" spans="1:46">
      <c r="A2" s="45" t="s">
        <v>18</v>
      </c>
      <c r="B2" s="46" t="s">
        <v>38</v>
      </c>
      <c r="C2" s="47" t="s">
        <v>39</v>
      </c>
      <c r="D2" s="47" t="s">
        <v>40</v>
      </c>
      <c r="E2" s="48" t="s">
        <v>41</v>
      </c>
      <c r="F2" s="49" t="s">
        <v>42</v>
      </c>
      <c r="G2" s="48" t="s">
        <v>43</v>
      </c>
      <c r="H2" s="48" t="s">
        <v>44</v>
      </c>
      <c r="I2" s="48" t="s">
        <v>45</v>
      </c>
      <c r="J2" s="82" t="s">
        <v>46</v>
      </c>
      <c r="K2" s="48" t="s">
        <v>47</v>
      </c>
      <c r="L2" s="48" t="s">
        <v>48</v>
      </c>
      <c r="M2" s="83" t="s">
        <v>49</v>
      </c>
      <c r="N2" s="84"/>
      <c r="O2" s="84"/>
      <c r="P2" s="85"/>
      <c r="Q2" s="49" t="s">
        <v>50</v>
      </c>
      <c r="R2" s="48" t="s">
        <v>51</v>
      </c>
      <c r="S2" s="49" t="s">
        <v>52</v>
      </c>
      <c r="T2" s="103" t="s">
        <v>53</v>
      </c>
      <c r="U2" s="49" t="s">
        <v>54</v>
      </c>
      <c r="V2" s="104" t="s">
        <v>55</v>
      </c>
      <c r="W2" s="105"/>
      <c r="X2" s="105"/>
      <c r="Y2" s="105"/>
      <c r="Z2" s="105"/>
      <c r="AA2" s="111"/>
      <c r="AB2" s="49" t="s">
        <v>56</v>
      </c>
      <c r="AC2" s="49" t="s">
        <v>57</v>
      </c>
      <c r="AD2" s="103" t="s">
        <v>58</v>
      </c>
      <c r="AE2" s="103" t="s">
        <v>59</v>
      </c>
      <c r="AF2" s="103" t="s">
        <v>60</v>
      </c>
      <c r="AG2" s="103" t="s">
        <v>61</v>
      </c>
      <c r="AH2" s="117" t="s">
        <v>62</v>
      </c>
      <c r="AI2" s="118" t="s">
        <v>63</v>
      </c>
      <c r="AJ2" s="117" t="s">
        <v>64</v>
      </c>
      <c r="AK2" s="47" t="s">
        <v>65</v>
      </c>
      <c r="AL2" s="117" t="s">
        <v>66</v>
      </c>
      <c r="AM2" s="48" t="s">
        <v>67</v>
      </c>
      <c r="AN2" s="48" t="s">
        <v>68</v>
      </c>
      <c r="AO2" s="127" t="s">
        <v>69</v>
      </c>
      <c r="AP2" s="48" t="s">
        <v>70</v>
      </c>
      <c r="AQ2" s="48" t="s">
        <v>71</v>
      </c>
      <c r="AR2" s="49" t="s">
        <v>72</v>
      </c>
      <c r="AS2" s="49" t="s">
        <v>73</v>
      </c>
      <c r="AT2" s="49" t="s">
        <v>74</v>
      </c>
    </row>
    <row r="3" s="30" customFormat="1" ht="27" customHeight="1" spans="1:46">
      <c r="A3" s="50"/>
      <c r="B3" s="51"/>
      <c r="C3" s="52"/>
      <c r="D3" s="52"/>
      <c r="E3" s="53"/>
      <c r="F3" s="54"/>
      <c r="G3" s="53"/>
      <c r="H3" s="53"/>
      <c r="I3" s="53"/>
      <c r="J3" s="86"/>
      <c r="K3" s="53"/>
      <c r="L3" s="53"/>
      <c r="M3" s="87" t="s">
        <v>75</v>
      </c>
      <c r="N3" s="87" t="s">
        <v>76</v>
      </c>
      <c r="O3" s="87" t="s">
        <v>77</v>
      </c>
      <c r="P3" s="87" t="s">
        <v>78</v>
      </c>
      <c r="Q3" s="54"/>
      <c r="R3" s="53"/>
      <c r="S3" s="54"/>
      <c r="T3" s="106"/>
      <c r="U3" s="54"/>
      <c r="V3" s="107" t="s">
        <v>79</v>
      </c>
      <c r="W3" s="107" t="s">
        <v>80</v>
      </c>
      <c r="X3" s="107" t="s">
        <v>81</v>
      </c>
      <c r="Y3" s="107" t="s">
        <v>82</v>
      </c>
      <c r="Z3" s="107" t="s">
        <v>83</v>
      </c>
      <c r="AA3" s="107" t="s">
        <v>84</v>
      </c>
      <c r="AB3" s="54"/>
      <c r="AC3" s="54"/>
      <c r="AD3" s="106"/>
      <c r="AE3" s="106"/>
      <c r="AF3" s="106"/>
      <c r="AG3" s="106"/>
      <c r="AH3" s="119"/>
      <c r="AI3" s="120"/>
      <c r="AJ3" s="119"/>
      <c r="AK3" s="52"/>
      <c r="AL3" s="119"/>
      <c r="AM3" s="53"/>
      <c r="AN3" s="53"/>
      <c r="AO3" s="128"/>
      <c r="AP3" s="53"/>
      <c r="AQ3" s="53"/>
      <c r="AR3" s="54"/>
      <c r="AS3" s="54"/>
      <c r="AT3" s="54"/>
    </row>
    <row r="4" s="31" customFormat="1" ht="18" customHeight="1" spans="1:46">
      <c r="A4" s="55">
        <v>1</v>
      </c>
      <c r="B4" s="56" t="s">
        <v>259</v>
      </c>
      <c r="C4" s="56" t="s">
        <v>86</v>
      </c>
      <c r="D4" s="56" t="s">
        <v>87</v>
      </c>
      <c r="E4" s="56" t="s">
        <v>88</v>
      </c>
      <c r="F4" s="57" t="s">
        <v>210</v>
      </c>
      <c r="G4" s="58">
        <v>18035163638</v>
      </c>
      <c r="H4" s="59"/>
      <c r="I4" s="59"/>
      <c r="J4" s="88"/>
      <c r="K4" s="59"/>
      <c r="L4" s="89">
        <v>8490</v>
      </c>
      <c r="M4" s="90">
        <v>264</v>
      </c>
      <c r="N4" s="90">
        <v>66</v>
      </c>
      <c r="O4" s="90">
        <v>9.9</v>
      </c>
      <c r="P4" s="90">
        <v>180</v>
      </c>
      <c r="Q4" s="108">
        <f t="shared" ref="Q4:Q12" si="0">ROUND(SUM(M4:P4),2)</f>
        <v>519.9</v>
      </c>
      <c r="R4" s="89">
        <v>0</v>
      </c>
      <c r="S4" s="109">
        <f>L4+IFERROR(VLOOKUP($E:$E,'（居民）工资表-1月'!$E:$S,15,0),0)</f>
        <v>17770</v>
      </c>
      <c r="T4" s="110">
        <f>5000+IFERROR(VLOOKUP($E:$E,'（居民）工资表-1月'!$E:$T,16,0),0)</f>
        <v>10000</v>
      </c>
      <c r="U4" s="110">
        <f>Q4+IFERROR(VLOOKUP($E:$E,'（居民）工资表-1月'!$E:$U,17,0),0)</f>
        <v>1039.8</v>
      </c>
      <c r="V4" s="89"/>
      <c r="W4" s="89"/>
      <c r="X4" s="89">
        <v>2000</v>
      </c>
      <c r="Y4" s="89"/>
      <c r="Z4" s="89"/>
      <c r="AA4" s="89"/>
      <c r="AB4" s="109">
        <f t="shared" ref="AB4:AB12" si="1">ROUND(SUM(V4:AA4),2)</f>
        <v>2000</v>
      </c>
      <c r="AC4" s="109">
        <f>R4+IFERROR(VLOOKUP($E:$E,'（居民）工资表-1月'!$E:$AC,25,0),0)</f>
        <v>0</v>
      </c>
      <c r="AD4" s="112">
        <f t="shared" ref="AD4:AD12" si="2">ROUND(S4-T4-U4-AB4-AC4,2)</f>
        <v>4730.2</v>
      </c>
      <c r="AE4" s="113">
        <f>ROUND(MAX((AD4)*{0.03;0.1;0.2;0.25;0.3;0.35;0.45}-{0;2520;16920;31920;52920;85920;181920},0),2)</f>
        <v>141.91</v>
      </c>
      <c r="AF4" s="114">
        <f>IFERROR(VLOOKUP(E:E,'（居民）工资表-1月'!E:AF,28,0)+VLOOKUP(E:E,'（居民）工资表-1月'!E:AG,29,0),0)</f>
        <v>52.8</v>
      </c>
      <c r="AG4" s="114">
        <f t="shared" ref="AG4:AG12" si="3">IF((AE4-AF4)&lt;0,0,AE4-AF4)</f>
        <v>89.11</v>
      </c>
      <c r="AH4" s="121">
        <f t="shared" ref="AH4:AH12" si="4">ROUND(IF((L4-Q4-AG4)&lt;0,0,(L4-Q4-AG4)),2)</f>
        <v>7880.99</v>
      </c>
      <c r="AI4" s="122"/>
      <c r="AJ4" s="121">
        <f t="shared" ref="AJ4:AJ12" si="5">AH4+AI4</f>
        <v>7880.99</v>
      </c>
      <c r="AK4" s="123"/>
      <c r="AL4" s="121">
        <f t="shared" ref="AL4:AL12" si="6">AJ4+AG4+AK4</f>
        <v>7970.1</v>
      </c>
      <c r="AM4" s="123"/>
      <c r="AN4" s="123"/>
      <c r="AO4" s="123"/>
      <c r="AP4" s="123"/>
      <c r="AQ4" s="123"/>
      <c r="AR4" s="129" t="str">
        <f t="shared" ref="AR4:AR12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29" t="str">
        <f>IF(SUMPRODUCT(N(E$1:E$8=E4))&gt;1,"重复","不")</f>
        <v>不</v>
      </c>
      <c r="AT4" s="129" t="str">
        <f>IF(SUMPRODUCT(N(AO$1:AO$8=AO4))&gt;1,"重复","不")</f>
        <v>重复</v>
      </c>
    </row>
    <row r="5" s="31" customFormat="1" ht="18" customHeight="1" spans="1:46">
      <c r="A5" s="55">
        <v>2</v>
      </c>
      <c r="B5" s="56" t="s">
        <v>259</v>
      </c>
      <c r="C5" s="56" t="s">
        <v>154</v>
      </c>
      <c r="D5" s="56" t="s">
        <v>87</v>
      </c>
      <c r="E5" s="56" t="s">
        <v>155</v>
      </c>
      <c r="F5" s="57" t="s">
        <v>210</v>
      </c>
      <c r="G5" s="58">
        <v>13944441728</v>
      </c>
      <c r="H5" s="59"/>
      <c r="I5" s="59"/>
      <c r="J5" s="88"/>
      <c r="K5" s="59"/>
      <c r="L5" s="89">
        <v>7000</v>
      </c>
      <c r="M5" s="90">
        <v>268.81</v>
      </c>
      <c r="N5" s="90">
        <v>61.06</v>
      </c>
      <c r="O5" s="90">
        <v>10.08</v>
      </c>
      <c r="P5" s="90">
        <v>79</v>
      </c>
      <c r="Q5" s="108">
        <f t="shared" si="0"/>
        <v>418.95</v>
      </c>
      <c r="R5" s="89">
        <v>0</v>
      </c>
      <c r="S5" s="109">
        <f>L5+IFERROR(VLOOKUP($E:$E,'（居民）工资表-1月'!$E:$S,15,0),0)</f>
        <v>14000</v>
      </c>
      <c r="T5" s="110">
        <f>5000+IFERROR(VLOOKUP($E:$E,'（居民）工资表-1月'!$E:$T,16,0),0)</f>
        <v>10000</v>
      </c>
      <c r="U5" s="110">
        <f>Q5+IFERROR(VLOOKUP($E:$E,'（居民）工资表-1月'!$E:$U,17,0),0)</f>
        <v>837.9</v>
      </c>
      <c r="V5" s="89"/>
      <c r="W5" s="89"/>
      <c r="X5" s="89">
        <v>2000</v>
      </c>
      <c r="Y5" s="89"/>
      <c r="Z5" s="89"/>
      <c r="AA5" s="89"/>
      <c r="AB5" s="109">
        <f t="shared" si="1"/>
        <v>2000</v>
      </c>
      <c r="AC5" s="109">
        <f>R5+IFERROR(VLOOKUP($E:$E,'（居民）工资表-1月'!$E:$AC,25,0),0)</f>
        <v>0</v>
      </c>
      <c r="AD5" s="112">
        <f t="shared" si="2"/>
        <v>1162.1</v>
      </c>
      <c r="AE5" s="113">
        <f>ROUND(MAX((AD5)*{0.03;0.1;0.2;0.25;0.3;0.35;0.45}-{0;2520;16920;31920;52920;85920;181920},0),2)</f>
        <v>34.86</v>
      </c>
      <c r="AF5" s="114">
        <f>IFERROR(VLOOKUP(E:E,'（居民）工资表-1月'!E:AF,28,0)+VLOOKUP(E:E,'（居民）工资表-1月'!E:AG,29,0),0)</f>
        <v>17.43</v>
      </c>
      <c r="AG5" s="114">
        <f t="shared" si="3"/>
        <v>17.43</v>
      </c>
      <c r="AH5" s="121">
        <f t="shared" si="4"/>
        <v>6563.62</v>
      </c>
      <c r="AI5" s="122"/>
      <c r="AJ5" s="121">
        <f t="shared" si="5"/>
        <v>6563.62</v>
      </c>
      <c r="AK5" s="123"/>
      <c r="AL5" s="121">
        <f t="shared" si="6"/>
        <v>6581.05</v>
      </c>
      <c r="AM5" s="123"/>
      <c r="AN5" s="123"/>
      <c r="AO5" s="123"/>
      <c r="AP5" s="123"/>
      <c r="AQ5" s="123"/>
      <c r="AR5" s="129" t="str">
        <f t="shared" si="7"/>
        <v>正确</v>
      </c>
      <c r="AS5" s="129" t="str">
        <f>IF(SUMPRODUCT(N(E$1:E$8=E5))&gt;1,"重复","不")</f>
        <v>不</v>
      </c>
      <c r="AT5" s="129" t="str">
        <f>IF(SUMPRODUCT(N(AO$1:AO$8=AO5))&gt;1,"重复","不")</f>
        <v>重复</v>
      </c>
    </row>
    <row r="6" s="31" customFormat="1" ht="18" customHeight="1" spans="1:46">
      <c r="A6" s="55">
        <v>3</v>
      </c>
      <c r="B6" s="56" t="s">
        <v>259</v>
      </c>
      <c r="C6" s="56" t="s">
        <v>170</v>
      </c>
      <c r="D6" s="56" t="s">
        <v>87</v>
      </c>
      <c r="E6" s="390" t="s">
        <v>171</v>
      </c>
      <c r="F6" s="57" t="str">
        <f>IF(MOD(MID(E6,17,1),2)=1,"男","女")</f>
        <v>女</v>
      </c>
      <c r="G6" s="58">
        <v>15360550807</v>
      </c>
      <c r="H6" s="59"/>
      <c r="I6" s="59"/>
      <c r="J6" s="88"/>
      <c r="K6" s="59"/>
      <c r="L6" s="89">
        <v>5700</v>
      </c>
      <c r="M6" s="90">
        <v>367.04</v>
      </c>
      <c r="N6" s="90">
        <v>176.06</v>
      </c>
      <c r="O6" s="90">
        <v>5</v>
      </c>
      <c r="P6" s="90">
        <v>155.92</v>
      </c>
      <c r="Q6" s="108">
        <f t="shared" si="0"/>
        <v>704.02</v>
      </c>
      <c r="R6" s="89">
        <v>0</v>
      </c>
      <c r="S6" s="109">
        <f>L6+IFERROR(VLOOKUP($E:$E,'（居民）工资表-1月'!$E:$S,15,0),0)</f>
        <v>11400</v>
      </c>
      <c r="T6" s="110">
        <f>5000+IFERROR(VLOOKUP($E:$E,'（居民）工资表-1月'!$E:$T,16,0),0)</f>
        <v>10000</v>
      </c>
      <c r="U6" s="110">
        <f>Q6+IFERROR(VLOOKUP($E:$E,'（居民）工资表-1月'!$E:$U,17,0),0)</f>
        <v>1303.76</v>
      </c>
      <c r="V6" s="89"/>
      <c r="W6" s="89"/>
      <c r="X6" s="89">
        <v>2000</v>
      </c>
      <c r="Y6" s="89"/>
      <c r="Z6" s="89"/>
      <c r="AA6" s="89"/>
      <c r="AB6" s="109">
        <f t="shared" si="1"/>
        <v>2000</v>
      </c>
      <c r="AC6" s="109">
        <f>R6+IFERROR(VLOOKUP($E:$E,'（居民）工资表-1月'!$E:$AC,25,0),0)</f>
        <v>0</v>
      </c>
      <c r="AD6" s="112">
        <f t="shared" si="2"/>
        <v>-1903.76</v>
      </c>
      <c r="AE6" s="113">
        <f>ROUND(MAX((AD6)*{0.03;0.1;0.2;0.25;0.3;0.35;0.45}-{0;2520;16920;31920;52920;85920;181920},0),2)</f>
        <v>0</v>
      </c>
      <c r="AF6" s="114">
        <f>IFERROR(VLOOKUP(E:E,'（居民）工资表-1月'!E:AF,28,0)+VLOOKUP(E:E,'（居民）工资表-1月'!E:AG,29,0),0)</f>
        <v>0</v>
      </c>
      <c r="AG6" s="114">
        <f t="shared" si="3"/>
        <v>0</v>
      </c>
      <c r="AH6" s="121">
        <f t="shared" si="4"/>
        <v>4995.98</v>
      </c>
      <c r="AI6" s="122"/>
      <c r="AJ6" s="121">
        <f t="shared" si="5"/>
        <v>4995.98</v>
      </c>
      <c r="AK6" s="123"/>
      <c r="AL6" s="121">
        <f t="shared" si="6"/>
        <v>4995.98</v>
      </c>
      <c r="AM6" s="123"/>
      <c r="AN6" s="123"/>
      <c r="AO6" s="123"/>
      <c r="AP6" s="123"/>
      <c r="AQ6" s="123"/>
      <c r="AR6" s="129" t="str">
        <f t="shared" si="7"/>
        <v>正确</v>
      </c>
      <c r="AS6" s="129" t="str">
        <f>IF(SUMPRODUCT(N(E$1:E$8=E6))&gt;1,"重复","不")</f>
        <v>不</v>
      </c>
      <c r="AT6" s="129" t="str">
        <f>IF(SUMPRODUCT(N(AO$1:AO$8=AO6))&gt;1,"重复","不")</f>
        <v>重复</v>
      </c>
    </row>
    <row r="7" s="31" customFormat="1" ht="18" customHeight="1" spans="1:46">
      <c r="A7" s="55">
        <v>4</v>
      </c>
      <c r="B7" s="56" t="s">
        <v>259</v>
      </c>
      <c r="C7" s="56" t="s">
        <v>160</v>
      </c>
      <c r="D7" s="56" t="s">
        <v>87</v>
      </c>
      <c r="E7" s="390" t="s">
        <v>161</v>
      </c>
      <c r="F7" s="57" t="s">
        <v>210</v>
      </c>
      <c r="G7" s="58">
        <v>18607383005</v>
      </c>
      <c r="H7" s="59"/>
      <c r="I7" s="59"/>
      <c r="J7" s="88"/>
      <c r="K7" s="59"/>
      <c r="L7" s="89">
        <v>29000</v>
      </c>
      <c r="M7" s="90">
        <v>320</v>
      </c>
      <c r="N7" s="90">
        <v>210</v>
      </c>
      <c r="O7" s="90">
        <v>12</v>
      </c>
      <c r="P7" s="90">
        <v>330</v>
      </c>
      <c r="Q7" s="108">
        <f t="shared" si="0"/>
        <v>872</v>
      </c>
      <c r="R7" s="89">
        <v>0</v>
      </c>
      <c r="S7" s="109">
        <f>L7+IFERROR(VLOOKUP($E:$E,'（居民）工资表-1月'!$E:$S,15,0),0)</f>
        <v>60000</v>
      </c>
      <c r="T7" s="110">
        <f>5000+IFERROR(VLOOKUP($E:$E,'（居民）工资表-1月'!$E:$T,16,0),0)</f>
        <v>10000</v>
      </c>
      <c r="U7" s="110">
        <f>Q7+IFERROR(VLOOKUP($E:$E,'（居民）工资表-1月'!$E:$U,17,0),0)</f>
        <v>1484</v>
      </c>
      <c r="V7" s="89"/>
      <c r="W7" s="89"/>
      <c r="X7" s="89">
        <v>2000</v>
      </c>
      <c r="Y7" s="89"/>
      <c r="Z7" s="89"/>
      <c r="AA7" s="89"/>
      <c r="AB7" s="109">
        <f t="shared" si="1"/>
        <v>2000</v>
      </c>
      <c r="AC7" s="109">
        <f>R7+IFERROR(VLOOKUP($E:$E,'（居民）工资表-1月'!$E:$AC,25,0),0)</f>
        <v>0</v>
      </c>
      <c r="AD7" s="112">
        <f t="shared" si="2"/>
        <v>46516</v>
      </c>
      <c r="AE7" s="113">
        <f>ROUND(MAX((AD7)*{0.03;0.1;0.2;0.25;0.3;0.35;0.45}-{0;2520;16920;31920;52920;85920;181920},0),2)</f>
        <v>2131.6</v>
      </c>
      <c r="AF7" s="114">
        <f>IFERROR(VLOOKUP(E:E,'（居民）工资表-1月'!E:AF,28,0)+VLOOKUP(E:E,'（居民）工资表-1月'!E:AG,29,0),0)</f>
        <v>671.64</v>
      </c>
      <c r="AG7" s="114">
        <f t="shared" si="3"/>
        <v>1459.96</v>
      </c>
      <c r="AH7" s="121">
        <f t="shared" si="4"/>
        <v>26668.04</v>
      </c>
      <c r="AI7" s="122"/>
      <c r="AJ7" s="121">
        <f t="shared" si="5"/>
        <v>26668.04</v>
      </c>
      <c r="AK7" s="123"/>
      <c r="AL7" s="121">
        <f t="shared" si="6"/>
        <v>28128</v>
      </c>
      <c r="AM7" s="123"/>
      <c r="AN7" s="123"/>
      <c r="AO7" s="123"/>
      <c r="AP7" s="123"/>
      <c r="AQ7" s="123"/>
      <c r="AR7" s="129" t="str">
        <f t="shared" si="7"/>
        <v>正确</v>
      </c>
      <c r="AS7" s="129" t="str">
        <f>IF(SUMPRODUCT(N(E$1:E$8=E7))&gt;1,"重复","不")</f>
        <v>不</v>
      </c>
      <c r="AT7" s="129" t="str">
        <f>IF(SUMPRODUCT(N(AO$1:AO$8=AO7))&gt;1,"重复","不")</f>
        <v>重复</v>
      </c>
    </row>
    <row r="8" s="31" customFormat="1" ht="18" customHeight="1" spans="1:46">
      <c r="A8" s="55">
        <v>5</v>
      </c>
      <c r="B8" s="56" t="s">
        <v>259</v>
      </c>
      <c r="C8" s="56" t="s">
        <v>166</v>
      </c>
      <c r="D8" s="56" t="s">
        <v>87</v>
      </c>
      <c r="E8" s="56" t="s">
        <v>167</v>
      </c>
      <c r="F8" s="57" t="s">
        <v>210</v>
      </c>
      <c r="G8" s="58">
        <v>13373825180</v>
      </c>
      <c r="H8" s="59"/>
      <c r="I8" s="59"/>
      <c r="J8" s="88"/>
      <c r="K8" s="59"/>
      <c r="L8" s="89">
        <v>30739</v>
      </c>
      <c r="M8" s="90">
        <v>266.24</v>
      </c>
      <c r="N8" s="90">
        <v>228.02</v>
      </c>
      <c r="O8" s="90">
        <v>12.75</v>
      </c>
      <c r="P8" s="90">
        <v>247.5</v>
      </c>
      <c r="Q8" s="108">
        <f t="shared" si="0"/>
        <v>754.51</v>
      </c>
      <c r="R8" s="89">
        <v>0</v>
      </c>
      <c r="S8" s="109">
        <f>L8+IFERROR(VLOOKUP($E:$E,'（居民）工资表-1月'!$E:$S,15,0),0)</f>
        <v>57478</v>
      </c>
      <c r="T8" s="110">
        <f>5000+IFERROR(VLOOKUP($E:$E,'（居民）工资表-1月'!$E:$T,16,0),0)</f>
        <v>10000</v>
      </c>
      <c r="U8" s="110">
        <f>Q8+IFERROR(VLOOKUP($E:$E,'（居民）工资表-1月'!$E:$U,17,0),0)</f>
        <v>1166.83</v>
      </c>
      <c r="V8" s="89"/>
      <c r="W8" s="89"/>
      <c r="X8" s="89">
        <v>2000</v>
      </c>
      <c r="Y8" s="89"/>
      <c r="Z8" s="89"/>
      <c r="AA8" s="89"/>
      <c r="AB8" s="109">
        <f t="shared" si="1"/>
        <v>2000</v>
      </c>
      <c r="AC8" s="109">
        <f>R8+IFERROR(VLOOKUP($E:$E,'（居民）工资表-1月'!$E:$AC,25,0),0)</f>
        <v>0</v>
      </c>
      <c r="AD8" s="112">
        <f t="shared" si="2"/>
        <v>44311.17</v>
      </c>
      <c r="AE8" s="113">
        <f>ROUND(MAX((AD8)*{0.03;0.1;0.2;0.25;0.3;0.35;0.45}-{0;2520;16920;31920;52920;85920;181920},0),2)</f>
        <v>1911.12</v>
      </c>
      <c r="AF8" s="114">
        <f>IFERROR(VLOOKUP(E:E,'（居民）工资表-1月'!E:AF,28,0)+VLOOKUP(E:E,'（居民）工资表-1月'!E:AG,29,0),0)</f>
        <v>549.8</v>
      </c>
      <c r="AG8" s="114">
        <f t="shared" si="3"/>
        <v>1361.32</v>
      </c>
      <c r="AH8" s="121">
        <f t="shared" si="4"/>
        <v>28623.17</v>
      </c>
      <c r="AI8" s="122"/>
      <c r="AJ8" s="121">
        <f t="shared" si="5"/>
        <v>28623.17</v>
      </c>
      <c r="AK8" s="123"/>
      <c r="AL8" s="121">
        <f t="shared" si="6"/>
        <v>29984.49</v>
      </c>
      <c r="AM8" s="123"/>
      <c r="AN8" s="123"/>
      <c r="AO8" s="123"/>
      <c r="AP8" s="123"/>
      <c r="AQ8" s="123"/>
      <c r="AR8" s="129" t="str">
        <f t="shared" si="7"/>
        <v>正确</v>
      </c>
      <c r="AS8" s="129" t="str">
        <f>IF(SUMPRODUCT(N(E$1:E$8=E8))&gt;1,"重复","不")</f>
        <v>不</v>
      </c>
      <c r="AT8" s="129" t="str">
        <f>IF(SUMPRODUCT(N(AO$1:AO$8=AO8))&gt;1,"重复","不")</f>
        <v>重复</v>
      </c>
    </row>
    <row r="9" s="31" customFormat="1" ht="18" customHeight="1" spans="1:46">
      <c r="A9" s="55">
        <v>6</v>
      </c>
      <c r="B9" s="56" t="s">
        <v>259</v>
      </c>
      <c r="C9" s="56" t="s">
        <v>180</v>
      </c>
      <c r="D9" s="56" t="s">
        <v>87</v>
      </c>
      <c r="E9" s="56" t="s">
        <v>181</v>
      </c>
      <c r="F9" s="57" t="s">
        <v>210</v>
      </c>
      <c r="G9" s="58">
        <v>18037463616</v>
      </c>
      <c r="H9" s="59"/>
      <c r="I9" s="59"/>
      <c r="J9" s="88"/>
      <c r="K9" s="59"/>
      <c r="L9" s="89">
        <v>14200</v>
      </c>
      <c r="M9" s="90">
        <v>508.64</v>
      </c>
      <c r="N9" s="90">
        <v>127.16</v>
      </c>
      <c r="O9" s="90">
        <v>19.08</v>
      </c>
      <c r="P9" s="90">
        <v>215.58</v>
      </c>
      <c r="Q9" s="108">
        <f t="shared" si="0"/>
        <v>870.46</v>
      </c>
      <c r="R9" s="89">
        <v>0</v>
      </c>
      <c r="S9" s="109">
        <f>L9+IFERROR(VLOOKUP($E:$E,'（居民）工资表-1月'!$E:$S,15,0),0)</f>
        <v>14200</v>
      </c>
      <c r="T9" s="110">
        <f>5000+IFERROR(VLOOKUP($E:$E,'（居民）工资表-1月'!$E:$T,16,0),0)</f>
        <v>5000</v>
      </c>
      <c r="U9" s="110">
        <f>Q9+IFERROR(VLOOKUP($E:$E,'（居民）工资表-1月'!$E:$U,17,0),0)</f>
        <v>870.46</v>
      </c>
      <c r="V9" s="89"/>
      <c r="W9" s="89"/>
      <c r="X9" s="89">
        <v>2000</v>
      </c>
      <c r="Y9" s="89"/>
      <c r="Z9" s="89"/>
      <c r="AA9" s="89"/>
      <c r="AB9" s="109">
        <f t="shared" si="1"/>
        <v>2000</v>
      </c>
      <c r="AC9" s="109">
        <f>R9+IFERROR(VLOOKUP($E:$E,'（居民）工资表-1月'!$E:$AC,25,0),0)</f>
        <v>0</v>
      </c>
      <c r="AD9" s="112">
        <f t="shared" si="2"/>
        <v>6329.54</v>
      </c>
      <c r="AE9" s="113">
        <f>ROUND(MAX((AD9)*{0.03;0.1;0.2;0.25;0.3;0.35;0.45}-{0;2520;16920;31920;52920;85920;181920},0),2)</f>
        <v>189.89</v>
      </c>
      <c r="AF9" s="114">
        <f>IFERROR(VLOOKUP(E:E,'（居民）工资表-1月'!E:AF,28,0)+VLOOKUP(E:E,'（居民）工资表-1月'!E:AG,29,0),0)</f>
        <v>0</v>
      </c>
      <c r="AG9" s="114">
        <f t="shared" si="3"/>
        <v>189.89</v>
      </c>
      <c r="AH9" s="121">
        <f t="shared" si="4"/>
        <v>13139.65</v>
      </c>
      <c r="AI9" s="122"/>
      <c r="AJ9" s="121">
        <f t="shared" si="5"/>
        <v>13139.65</v>
      </c>
      <c r="AK9" s="123"/>
      <c r="AL9" s="121">
        <f t="shared" si="6"/>
        <v>13329.54</v>
      </c>
      <c r="AM9" s="123"/>
      <c r="AN9" s="123"/>
      <c r="AO9" s="123"/>
      <c r="AP9" s="123"/>
      <c r="AQ9" s="123"/>
      <c r="AR9" s="129" t="str">
        <f t="shared" si="7"/>
        <v>正确</v>
      </c>
      <c r="AS9" s="129" t="str">
        <f>IF(SUMPRODUCT(N(E$1:E$8=E9))&gt;1,"重复","不")</f>
        <v>不</v>
      </c>
      <c r="AT9" s="129" t="str">
        <f>IF(SUMPRODUCT(N(AO$1:AO$8=AO9))&gt;1,"重复","不")</f>
        <v>重复</v>
      </c>
    </row>
    <row r="10" s="31" customFormat="1" ht="18" customHeight="1" spans="1:46">
      <c r="A10" s="55">
        <v>7</v>
      </c>
      <c r="B10" s="56" t="s">
        <v>259</v>
      </c>
      <c r="C10" s="56" t="s">
        <v>182</v>
      </c>
      <c r="D10" s="56" t="s">
        <v>87</v>
      </c>
      <c r="E10" s="390" t="s">
        <v>183</v>
      </c>
      <c r="F10" s="57" t="s">
        <v>210</v>
      </c>
      <c r="G10" s="58">
        <v>18500634358</v>
      </c>
      <c r="H10" s="59"/>
      <c r="I10" s="59"/>
      <c r="J10" s="88"/>
      <c r="K10" s="59"/>
      <c r="L10" s="89">
        <v>14500</v>
      </c>
      <c r="M10" s="90">
        <v>508.64</v>
      </c>
      <c r="N10" s="90">
        <v>127.16</v>
      </c>
      <c r="O10" s="90">
        <v>19.08</v>
      </c>
      <c r="P10" s="90">
        <v>215.58</v>
      </c>
      <c r="Q10" s="108">
        <f t="shared" si="0"/>
        <v>870.46</v>
      </c>
      <c r="R10" s="89">
        <v>0</v>
      </c>
      <c r="S10" s="109">
        <f>L10+IFERROR(VLOOKUP($E:$E,'（居民）工资表-1月'!$E:$S,15,0),0)</f>
        <v>14500</v>
      </c>
      <c r="T10" s="110">
        <f>5000+IFERROR(VLOOKUP($E:$E,'（居民）工资表-1月'!$E:$T,16,0),0)</f>
        <v>5000</v>
      </c>
      <c r="U10" s="110">
        <f>Q10+IFERROR(VLOOKUP($E:$E,'（居民）工资表-1月'!$E:$U,17,0),0)</f>
        <v>870.46</v>
      </c>
      <c r="V10" s="89"/>
      <c r="W10" s="89"/>
      <c r="X10" s="89">
        <v>2000</v>
      </c>
      <c r="Y10" s="89"/>
      <c r="Z10" s="89"/>
      <c r="AA10" s="89"/>
      <c r="AB10" s="109">
        <f t="shared" si="1"/>
        <v>2000</v>
      </c>
      <c r="AC10" s="109">
        <f>R10+IFERROR(VLOOKUP($E:$E,'（居民）工资表-1月'!$E:$AC,25,0),0)</f>
        <v>0</v>
      </c>
      <c r="AD10" s="112">
        <f t="shared" si="2"/>
        <v>6629.54</v>
      </c>
      <c r="AE10" s="113">
        <f>ROUND(MAX((AD10)*{0.03;0.1;0.2;0.25;0.3;0.35;0.45}-{0;2520;16920;31920;52920;85920;181920},0),2)</f>
        <v>198.89</v>
      </c>
      <c r="AF10" s="114">
        <f>IFERROR(VLOOKUP(E:E,'（居民）工资表-1月'!E:AF,28,0)+VLOOKUP(E:E,'（居民）工资表-1月'!E:AG,29,0),0)</f>
        <v>0</v>
      </c>
      <c r="AG10" s="114">
        <f t="shared" si="3"/>
        <v>198.89</v>
      </c>
      <c r="AH10" s="121">
        <f t="shared" si="4"/>
        <v>13430.65</v>
      </c>
      <c r="AI10" s="122"/>
      <c r="AJ10" s="121">
        <f t="shared" si="5"/>
        <v>13430.65</v>
      </c>
      <c r="AK10" s="123"/>
      <c r="AL10" s="121">
        <f t="shared" si="6"/>
        <v>13629.54</v>
      </c>
      <c r="AM10" s="123"/>
      <c r="AN10" s="123"/>
      <c r="AO10" s="123"/>
      <c r="AP10" s="123"/>
      <c r="AQ10" s="123"/>
      <c r="AR10" s="129" t="str">
        <f t="shared" si="7"/>
        <v>正确</v>
      </c>
      <c r="AS10" s="129" t="str">
        <f>IF(SUMPRODUCT(N(E$1:E$8=E10))&gt;1,"重复","不")</f>
        <v>不</v>
      </c>
      <c r="AT10" s="129" t="str">
        <f>IF(SUMPRODUCT(N(AO$1:AO$8=AO10))&gt;1,"重复","不")</f>
        <v>重复</v>
      </c>
    </row>
    <row r="11" s="31" customFormat="1" ht="18" customHeight="1" spans="1:46">
      <c r="A11" s="55">
        <v>8</v>
      </c>
      <c r="B11" s="56" t="s">
        <v>259</v>
      </c>
      <c r="C11" s="56" t="s">
        <v>174</v>
      </c>
      <c r="D11" s="56" t="s">
        <v>87</v>
      </c>
      <c r="E11" s="56" t="s">
        <v>175</v>
      </c>
      <c r="F11" s="57" t="s">
        <v>210</v>
      </c>
      <c r="G11" s="58">
        <v>18738169923</v>
      </c>
      <c r="H11" s="59"/>
      <c r="I11" s="59"/>
      <c r="J11" s="88"/>
      <c r="K11" s="59"/>
      <c r="L11" s="89">
        <v>12000</v>
      </c>
      <c r="M11" s="90">
        <v>508.64</v>
      </c>
      <c r="N11" s="90">
        <v>127.16</v>
      </c>
      <c r="O11" s="90">
        <v>19.08</v>
      </c>
      <c r="P11" s="90">
        <v>317.58</v>
      </c>
      <c r="Q11" s="108">
        <f t="shared" si="0"/>
        <v>972.46</v>
      </c>
      <c r="R11" s="89">
        <v>0</v>
      </c>
      <c r="S11" s="109">
        <f>L11+IFERROR(VLOOKUP($E:$E,'（居民）工资表-1月'!$E:$S,15,0),0)</f>
        <v>12000</v>
      </c>
      <c r="T11" s="110">
        <f>5000+IFERROR(VLOOKUP($E:$E,'（居民）工资表-1月'!$E:$T,16,0),0)</f>
        <v>5000</v>
      </c>
      <c r="U11" s="110">
        <f>Q11+IFERROR(VLOOKUP($E:$E,'（居民）工资表-1月'!$E:$U,17,0),0)</f>
        <v>972.46</v>
      </c>
      <c r="V11" s="89"/>
      <c r="W11" s="89"/>
      <c r="X11" s="89">
        <v>2000</v>
      </c>
      <c r="Y11" s="89"/>
      <c r="Z11" s="89"/>
      <c r="AA11" s="89"/>
      <c r="AB11" s="109">
        <f t="shared" si="1"/>
        <v>2000</v>
      </c>
      <c r="AC11" s="109">
        <f>R11+IFERROR(VLOOKUP($E:$E,'（居民）工资表-1月'!$E:$AC,25,0),0)</f>
        <v>0</v>
      </c>
      <c r="AD11" s="112">
        <f t="shared" si="2"/>
        <v>4027.54</v>
      </c>
      <c r="AE11" s="113">
        <f>ROUND(MAX((AD11)*{0.03;0.1;0.2;0.25;0.3;0.35;0.45}-{0;2520;16920;31920;52920;85920;181920},0),2)</f>
        <v>120.83</v>
      </c>
      <c r="AF11" s="114">
        <f>IFERROR(VLOOKUP(E:E,'（居民）工资表-1月'!E:AF,28,0)+VLOOKUP(E:E,'（居民）工资表-1月'!E:AG,29,0),0)</f>
        <v>0</v>
      </c>
      <c r="AG11" s="114">
        <f t="shared" si="3"/>
        <v>120.83</v>
      </c>
      <c r="AH11" s="121">
        <f t="shared" si="4"/>
        <v>10906.71</v>
      </c>
      <c r="AI11" s="122"/>
      <c r="AJ11" s="121">
        <f t="shared" si="5"/>
        <v>10906.71</v>
      </c>
      <c r="AK11" s="123"/>
      <c r="AL11" s="121">
        <f t="shared" si="6"/>
        <v>11027.54</v>
      </c>
      <c r="AM11" s="123"/>
      <c r="AN11" s="123"/>
      <c r="AO11" s="123"/>
      <c r="AP11" s="123"/>
      <c r="AQ11" s="123"/>
      <c r="AR11" s="129" t="str">
        <f t="shared" si="7"/>
        <v>正确</v>
      </c>
      <c r="AS11" s="129" t="str">
        <f>IF(SUMPRODUCT(N(E$1:E$8=E11))&gt;1,"重复","不")</f>
        <v>不</v>
      </c>
      <c r="AT11" s="129" t="str">
        <f>IF(SUMPRODUCT(N(AO$1:AO$8=AO11))&gt;1,"重复","不")</f>
        <v>重复</v>
      </c>
    </row>
    <row r="12" s="31" customFormat="1" ht="18" customHeight="1" spans="1:46">
      <c r="A12" s="55">
        <v>9</v>
      </c>
      <c r="B12" s="56" t="s">
        <v>259</v>
      </c>
      <c r="C12" s="56" t="s">
        <v>178</v>
      </c>
      <c r="D12" s="56" t="s">
        <v>87</v>
      </c>
      <c r="E12" s="56" t="s">
        <v>179</v>
      </c>
      <c r="F12" s="57" t="s">
        <v>210</v>
      </c>
      <c r="G12" s="58">
        <v>15001138812</v>
      </c>
      <c r="H12" s="59"/>
      <c r="I12" s="59"/>
      <c r="J12" s="88"/>
      <c r="K12" s="59"/>
      <c r="L12" s="89">
        <v>10000</v>
      </c>
      <c r="M12" s="90">
        <v>508.64</v>
      </c>
      <c r="N12" s="90">
        <v>127.16</v>
      </c>
      <c r="O12" s="90">
        <v>19.08</v>
      </c>
      <c r="P12" s="90">
        <v>215.58</v>
      </c>
      <c r="Q12" s="108">
        <f t="shared" si="0"/>
        <v>870.46</v>
      </c>
      <c r="R12" s="89">
        <v>0</v>
      </c>
      <c r="S12" s="109">
        <f>L12+IFERROR(VLOOKUP($E:$E,'（居民）工资表-1月'!$E:$S,15,0),0)</f>
        <v>10000</v>
      </c>
      <c r="T12" s="110">
        <f>5000+IFERROR(VLOOKUP($E:$E,'（居民）工资表-1月'!$E:$T,16,0),0)</f>
        <v>5000</v>
      </c>
      <c r="U12" s="110">
        <f>Q12+IFERROR(VLOOKUP($E:$E,'（居民）工资表-1月'!$E:$U,17,0),0)</f>
        <v>870.46</v>
      </c>
      <c r="V12" s="89"/>
      <c r="W12" s="89"/>
      <c r="X12" s="89">
        <v>2000</v>
      </c>
      <c r="Y12" s="89"/>
      <c r="Z12" s="89"/>
      <c r="AA12" s="89"/>
      <c r="AB12" s="109">
        <f t="shared" si="1"/>
        <v>2000</v>
      </c>
      <c r="AC12" s="109">
        <f>R12+IFERROR(VLOOKUP($E:$E,'（居民）工资表-1月'!$E:$AC,25,0),0)</f>
        <v>0</v>
      </c>
      <c r="AD12" s="112">
        <f t="shared" si="2"/>
        <v>2129.54</v>
      </c>
      <c r="AE12" s="113">
        <f>ROUND(MAX((AD12)*{0.03;0.1;0.2;0.25;0.3;0.35;0.45}-{0;2520;16920;31920;52920;85920;181920},0),2)</f>
        <v>63.89</v>
      </c>
      <c r="AF12" s="114">
        <f>IFERROR(VLOOKUP(E:E,'（居民）工资表-1月'!E:AF,28,0)+VLOOKUP(E:E,'（居民）工资表-1月'!E:AG,29,0),0)</f>
        <v>0</v>
      </c>
      <c r="AG12" s="114">
        <f t="shared" si="3"/>
        <v>63.89</v>
      </c>
      <c r="AH12" s="121">
        <f t="shared" si="4"/>
        <v>9065.65</v>
      </c>
      <c r="AI12" s="122"/>
      <c r="AJ12" s="121">
        <f t="shared" si="5"/>
        <v>9065.65</v>
      </c>
      <c r="AK12" s="123"/>
      <c r="AL12" s="121">
        <f t="shared" si="6"/>
        <v>9129.54</v>
      </c>
      <c r="AM12" s="123"/>
      <c r="AN12" s="123"/>
      <c r="AO12" s="123"/>
      <c r="AP12" s="123"/>
      <c r="AQ12" s="123"/>
      <c r="AR12" s="129" t="str">
        <f t="shared" si="7"/>
        <v>正确</v>
      </c>
      <c r="AS12" s="129" t="str">
        <f>IF(SUMPRODUCT(N(E$1:E$8=E12))&gt;1,"重复","不")</f>
        <v>不</v>
      </c>
      <c r="AT12" s="129" t="str">
        <f>IF(SUMPRODUCT(N(AO$1:AO$8=AO12))&gt;1,"重复","不")</f>
        <v>重复</v>
      </c>
    </row>
    <row r="13" s="32" customFormat="1" ht="18" customHeight="1" spans="1:46">
      <c r="A13" s="60"/>
      <c r="B13" s="61" t="s">
        <v>91</v>
      </c>
      <c r="C13" s="61"/>
      <c r="D13" s="62"/>
      <c r="E13" s="63"/>
      <c r="F13" s="64"/>
      <c r="G13" s="65"/>
      <c r="H13" s="64"/>
      <c r="I13" s="91"/>
      <c r="J13" s="92"/>
      <c r="K13" s="91"/>
      <c r="L13" s="93">
        <f>SUM(L4:L12)</f>
        <v>131629</v>
      </c>
      <c r="M13" s="93">
        <f t="shared" ref="M13:AL13" si="8">SUM(M4:M12)</f>
        <v>3520.65</v>
      </c>
      <c r="N13" s="93">
        <f t="shared" si="8"/>
        <v>1249.78</v>
      </c>
      <c r="O13" s="93">
        <f t="shared" si="8"/>
        <v>126.05</v>
      </c>
      <c r="P13" s="93">
        <f t="shared" si="8"/>
        <v>1956.74</v>
      </c>
      <c r="Q13" s="93">
        <f t="shared" si="8"/>
        <v>6853.22</v>
      </c>
      <c r="R13" s="93">
        <f t="shared" si="8"/>
        <v>0</v>
      </c>
      <c r="S13" s="93">
        <f t="shared" si="8"/>
        <v>211348</v>
      </c>
      <c r="T13" s="93">
        <f t="shared" si="8"/>
        <v>70000</v>
      </c>
      <c r="U13" s="93">
        <f t="shared" si="8"/>
        <v>9416.13</v>
      </c>
      <c r="V13" s="93">
        <f t="shared" si="8"/>
        <v>0</v>
      </c>
      <c r="W13" s="93">
        <f t="shared" si="8"/>
        <v>0</v>
      </c>
      <c r="X13" s="93">
        <f t="shared" si="8"/>
        <v>18000</v>
      </c>
      <c r="Y13" s="93">
        <f t="shared" si="8"/>
        <v>0</v>
      </c>
      <c r="Z13" s="93">
        <f t="shared" si="8"/>
        <v>0</v>
      </c>
      <c r="AA13" s="93">
        <f t="shared" si="8"/>
        <v>0</v>
      </c>
      <c r="AB13" s="93">
        <f t="shared" si="8"/>
        <v>18000</v>
      </c>
      <c r="AC13" s="93">
        <f t="shared" si="8"/>
        <v>0</v>
      </c>
      <c r="AD13" s="93">
        <f t="shared" si="8"/>
        <v>113931.87</v>
      </c>
      <c r="AE13" s="93">
        <f t="shared" si="8"/>
        <v>4792.99</v>
      </c>
      <c r="AF13" s="93">
        <f t="shared" si="8"/>
        <v>1291.67</v>
      </c>
      <c r="AG13" s="93">
        <f t="shared" si="8"/>
        <v>3501.32</v>
      </c>
      <c r="AH13" s="93">
        <f t="shared" si="8"/>
        <v>121274.46</v>
      </c>
      <c r="AI13" s="93">
        <f t="shared" si="8"/>
        <v>0</v>
      </c>
      <c r="AJ13" s="93">
        <f t="shared" si="8"/>
        <v>121274.46</v>
      </c>
      <c r="AK13" s="93">
        <f t="shared" si="8"/>
        <v>0</v>
      </c>
      <c r="AL13" s="93">
        <f t="shared" si="8"/>
        <v>124775.78</v>
      </c>
      <c r="AM13" s="124"/>
      <c r="AN13" s="124"/>
      <c r="AO13" s="124"/>
      <c r="AP13" s="124"/>
      <c r="AQ13" s="124"/>
      <c r="AR13" s="64"/>
      <c r="AS13" s="64"/>
      <c r="AT13" s="130"/>
    </row>
    <row r="16" spans="30:30">
      <c r="AD16" s="115"/>
    </row>
    <row r="17" ht="18.75" customHeight="1" spans="2:30">
      <c r="B17" s="66" t="s">
        <v>64</v>
      </c>
      <c r="C17" s="66" t="s">
        <v>92</v>
      </c>
      <c r="D17" s="66" t="s">
        <v>65</v>
      </c>
      <c r="E17" s="66" t="s">
        <v>93</v>
      </c>
      <c r="AD17" s="29"/>
    </row>
    <row r="18" ht="18.75" customHeight="1" spans="2:5">
      <c r="B18" s="67">
        <f>AJ13</f>
        <v>121274.46</v>
      </c>
      <c r="C18" s="67">
        <f>AG13</f>
        <v>3501.32</v>
      </c>
      <c r="D18" s="67">
        <f>AK13</f>
        <v>0</v>
      </c>
      <c r="E18" s="67">
        <f>B18+C18+D18</f>
        <v>124775.78</v>
      </c>
    </row>
    <row r="19" spans="2:5">
      <c r="B19" s="68"/>
      <c r="C19" s="68"/>
      <c r="D19" s="68"/>
      <c r="E19" s="68"/>
    </row>
    <row r="20" s="33" customFormat="1" spans="1:35">
      <c r="A20" s="69" t="s">
        <v>94</v>
      </c>
      <c r="B20" s="70" t="s">
        <v>95</v>
      </c>
      <c r="C20" s="71"/>
      <c r="D20" s="71"/>
      <c r="E20" s="71"/>
      <c r="G20" s="72"/>
      <c r="J20" s="94"/>
      <c r="M20" s="95"/>
      <c r="AI20" s="125"/>
    </row>
    <row r="21" s="33" customFormat="1" spans="1:35">
      <c r="A21" s="73"/>
      <c r="B21" s="74" t="s">
        <v>96</v>
      </c>
      <c r="C21" s="71"/>
      <c r="D21" s="71"/>
      <c r="E21" s="71"/>
      <c r="G21" s="72"/>
      <c r="J21" s="94"/>
      <c r="M21" s="95"/>
      <c r="AI21" s="125"/>
    </row>
    <row r="22" s="33" customFormat="1" spans="1:35">
      <c r="A22" s="70"/>
      <c r="B22" s="74" t="s">
        <v>97</v>
      </c>
      <c r="C22" s="75"/>
      <c r="D22" s="75"/>
      <c r="E22" s="75"/>
      <c r="F22" s="75"/>
      <c r="G22" s="75"/>
      <c r="H22" s="75"/>
      <c r="I22" s="75"/>
      <c r="J22" s="96"/>
      <c r="K22" s="75"/>
      <c r="L22" s="75"/>
      <c r="M22" s="97"/>
      <c r="N22" s="75"/>
      <c r="O22" s="75"/>
      <c r="P22" s="75"/>
      <c r="AI22" s="125"/>
    </row>
    <row r="23" s="33" customFormat="1" customHeight="1" spans="1:35">
      <c r="A23" s="74"/>
      <c r="B23" s="74" t="s">
        <v>98</v>
      </c>
      <c r="C23" s="76"/>
      <c r="D23" s="76"/>
      <c r="E23" s="76"/>
      <c r="F23" s="76"/>
      <c r="G23" s="76"/>
      <c r="H23" s="76"/>
      <c r="I23" s="98"/>
      <c r="J23" s="99"/>
      <c r="K23" s="98"/>
      <c r="L23" s="98"/>
      <c r="M23" s="100"/>
      <c r="N23" s="98"/>
      <c r="O23" s="98"/>
      <c r="P23" s="98"/>
      <c r="AI23" s="125"/>
    </row>
    <row r="24" s="33" customFormat="1" customHeight="1" spans="1:35">
      <c r="A24" s="74"/>
      <c r="B24" s="74" t="s">
        <v>99</v>
      </c>
      <c r="C24" s="76"/>
      <c r="D24" s="76"/>
      <c r="E24" s="76"/>
      <c r="F24" s="76"/>
      <c r="G24" s="76"/>
      <c r="H24" s="76"/>
      <c r="I24" s="76"/>
      <c r="J24" s="101"/>
      <c r="K24" s="76"/>
      <c r="L24" s="98"/>
      <c r="M24" s="100"/>
      <c r="N24" s="98"/>
      <c r="O24" s="98"/>
      <c r="P24" s="98"/>
      <c r="AI24" s="125"/>
    </row>
    <row r="25" s="33" customFormat="1" customHeight="1" spans="1:35">
      <c r="A25" s="74"/>
      <c r="B25" s="74" t="s">
        <v>100</v>
      </c>
      <c r="C25" s="76"/>
      <c r="D25" s="76"/>
      <c r="E25" s="76"/>
      <c r="F25" s="76"/>
      <c r="G25" s="76"/>
      <c r="H25" s="76"/>
      <c r="I25" s="98"/>
      <c r="J25" s="99"/>
      <c r="K25" s="98"/>
      <c r="L25" s="98"/>
      <c r="M25" s="100"/>
      <c r="N25" s="98"/>
      <c r="O25" s="98"/>
      <c r="P25" s="98"/>
      <c r="AI25" s="125"/>
    </row>
    <row r="27" ht="11.25" customHeight="1" spans="2:2">
      <c r="B27" s="77" t="s">
        <v>101</v>
      </c>
    </row>
    <row r="28" spans="2:2">
      <c r="B28" s="78" t="s">
        <v>102</v>
      </c>
    </row>
    <row r="29" spans="2:2">
      <c r="B29" s="78" t="s">
        <v>103</v>
      </c>
    </row>
  </sheetData>
  <autoFilter ref="A3:AT13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5">
    <cfRule type="duplicateValues" dxfId="2" priority="2" stopIfTrue="1"/>
  </conditionalFormatting>
  <conditionalFormatting sqref="B20:B24">
    <cfRule type="duplicateValues" dxfId="2" priority="3" stopIfTrue="1"/>
  </conditionalFormatting>
  <conditionalFormatting sqref="B28:B29">
    <cfRule type="duplicateValues" dxfId="2" priority="1" stopIfTrue="1"/>
  </conditionalFormatting>
  <conditionalFormatting sqref="C17:C19">
    <cfRule type="duplicateValues" dxfId="2" priority="4" stopIfTrue="1"/>
    <cfRule type="expression" dxfId="3" priority="5" stopIfTrue="1">
      <formula>AND(COUNTIF($B$13:$B$65449,C17)+COUNTIF($B$1:$B$3,C17)&gt;1,NOT(ISBLANK(C17)))</formula>
    </cfRule>
    <cfRule type="expression" dxfId="3" priority="6" stopIfTrue="1">
      <formula>AND(COUNTIF($B$24:$B$65400,C17)+COUNTIF($B$1:$B$23,C17)&gt;1,NOT(ISBLANK(C17)))</formula>
    </cfRule>
    <cfRule type="expression" dxfId="3" priority="7" stopIfTrue="1">
      <formula>AND(COUNTIF($B$13:$B$65438,C17)+COUNTIF($B$1:$B$3,C17)&gt;1,NOT(ISBLANK(C17)))</formula>
    </cfRule>
  </conditionalFormatting>
  <pageMargins left="0.236111111111111" right="0.236111111111111" top="0.747916666666667" bottom="0.747916666666667" header="0.314583333333333" footer="0.314583333333333"/>
  <pageSetup paperSize="9" scale="40" fitToWidth="2" orientation="landscape"/>
  <headerFooter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2"/>
  <sheetViews>
    <sheetView topLeftCell="J1" workbookViewId="0">
      <selection activeCell="O15" sqref="O15"/>
    </sheetView>
  </sheetViews>
  <sheetFormatPr defaultColWidth="9" defaultRowHeight="13.5"/>
  <cols>
    <col min="1" max="9" width="9" hidden="1" customWidth="1"/>
  </cols>
  <sheetData>
    <row r="1" s="10" customFormat="1" ht="16.5" customHeight="1" spans="1:41">
      <c r="A1" s="14" t="s">
        <v>18</v>
      </c>
      <c r="B1" s="14" t="s">
        <v>212</v>
      </c>
      <c r="C1" s="15" t="s">
        <v>107</v>
      </c>
      <c r="D1" s="14" t="s">
        <v>213</v>
      </c>
      <c r="E1" s="14" t="s">
        <v>214</v>
      </c>
      <c r="F1" s="16" t="s">
        <v>104</v>
      </c>
      <c r="G1" s="17" t="s">
        <v>215</v>
      </c>
      <c r="H1" s="15" t="s">
        <v>106</v>
      </c>
      <c r="I1" s="15" t="s">
        <v>216</v>
      </c>
      <c r="J1" s="20" t="s">
        <v>108</v>
      </c>
      <c r="K1" s="20" t="s">
        <v>217</v>
      </c>
      <c r="L1" s="20" t="s">
        <v>218</v>
      </c>
      <c r="M1" s="20" t="s">
        <v>219</v>
      </c>
      <c r="N1" s="20" t="s">
        <v>220</v>
      </c>
      <c r="O1" s="20" t="s">
        <v>221</v>
      </c>
      <c r="P1" s="20" t="s">
        <v>222</v>
      </c>
      <c r="Q1" s="21" t="s">
        <v>223</v>
      </c>
      <c r="R1" s="20" t="s">
        <v>224</v>
      </c>
      <c r="S1" s="20" t="s">
        <v>225</v>
      </c>
      <c r="T1" s="22" t="s">
        <v>226</v>
      </c>
      <c r="U1" s="22"/>
      <c r="V1" s="22"/>
      <c r="W1" s="22"/>
      <c r="X1" s="22"/>
      <c r="Y1" s="22"/>
      <c r="Z1" s="20" t="s">
        <v>227</v>
      </c>
      <c r="AA1" s="20" t="s">
        <v>228</v>
      </c>
      <c r="AB1" s="20"/>
      <c r="AC1" s="20"/>
      <c r="AD1" s="23" t="s">
        <v>229</v>
      </c>
      <c r="AE1" s="14" t="s">
        <v>230</v>
      </c>
      <c r="AF1" s="14" t="s">
        <v>231</v>
      </c>
      <c r="AG1" s="14" t="s">
        <v>232</v>
      </c>
      <c r="AH1" s="14" t="s">
        <v>233</v>
      </c>
      <c r="AI1" s="14" t="s">
        <v>234</v>
      </c>
      <c r="AJ1" s="14" t="s">
        <v>23</v>
      </c>
      <c r="AK1" s="25" t="s">
        <v>235</v>
      </c>
      <c r="AL1" s="26" t="s">
        <v>236</v>
      </c>
      <c r="AM1" s="26" t="s">
        <v>237</v>
      </c>
      <c r="AN1" s="27" t="s">
        <v>238</v>
      </c>
      <c r="AO1" s="27" t="s">
        <v>239</v>
      </c>
    </row>
    <row r="2" s="11" customFormat="1" ht="49.5" spans="1:41">
      <c r="A2" s="18"/>
      <c r="B2" s="18"/>
      <c r="C2" s="15"/>
      <c r="D2" s="18"/>
      <c r="E2" s="18"/>
      <c r="F2" s="19"/>
      <c r="G2" s="17"/>
      <c r="H2" s="15"/>
      <c r="I2" s="15"/>
      <c r="J2" s="20"/>
      <c r="K2" s="20"/>
      <c r="L2" s="20"/>
      <c r="M2" s="20"/>
      <c r="N2" s="20"/>
      <c r="O2" s="20"/>
      <c r="P2" s="20"/>
      <c r="Q2" s="21"/>
      <c r="R2" s="20"/>
      <c r="S2" s="20"/>
      <c r="T2" s="22" t="s">
        <v>240</v>
      </c>
      <c r="U2" s="22" t="s">
        <v>241</v>
      </c>
      <c r="V2" s="22" t="s">
        <v>242</v>
      </c>
      <c r="W2" s="22" t="s">
        <v>243</v>
      </c>
      <c r="X2" s="22" t="s">
        <v>244</v>
      </c>
      <c r="Y2" s="22" t="s">
        <v>245</v>
      </c>
      <c r="Z2" s="20"/>
      <c r="AA2" s="22" t="s">
        <v>246</v>
      </c>
      <c r="AB2" s="22" t="s">
        <v>247</v>
      </c>
      <c r="AC2" s="22" t="s">
        <v>248</v>
      </c>
      <c r="AD2" s="24"/>
      <c r="AE2" s="18"/>
      <c r="AF2" s="18"/>
      <c r="AG2" s="18"/>
      <c r="AH2" s="18"/>
      <c r="AI2" s="18"/>
      <c r="AJ2" s="18"/>
      <c r="AK2" s="25"/>
      <c r="AL2" s="26"/>
      <c r="AM2" s="26"/>
      <c r="AN2" s="27"/>
      <c r="AO2" s="28"/>
    </row>
    <row r="3" s="12" customFormat="1" ht="12" spans="6:29">
      <c r="F3" s="12" t="s">
        <v>85</v>
      </c>
      <c r="J3" s="12" t="s">
        <v>185</v>
      </c>
      <c r="K3" s="12" t="s">
        <v>186</v>
      </c>
      <c r="L3" s="12">
        <v>13997516515</v>
      </c>
      <c r="N3" s="12" t="s">
        <v>263</v>
      </c>
      <c r="O3" s="12" t="s">
        <v>184</v>
      </c>
      <c r="P3" s="12" t="s">
        <v>264</v>
      </c>
      <c r="R3" s="12" t="s">
        <v>263</v>
      </c>
      <c r="S3" s="12" t="s">
        <v>253</v>
      </c>
      <c r="T3" s="12">
        <v>202201</v>
      </c>
      <c r="U3" s="12">
        <v>1800</v>
      </c>
      <c r="V3" s="12">
        <v>3676</v>
      </c>
      <c r="W3" s="12">
        <v>1800</v>
      </c>
      <c r="X3" s="12">
        <v>3488.4</v>
      </c>
      <c r="Y3" s="12">
        <v>3676</v>
      </c>
      <c r="Z3" s="12" t="s">
        <v>253</v>
      </c>
      <c r="AA3" s="12">
        <v>202201</v>
      </c>
      <c r="AB3" s="12">
        <v>0.05</v>
      </c>
      <c r="AC3" s="12">
        <v>1720</v>
      </c>
    </row>
    <row r="4" s="12" customFormat="1" ht="12" spans="6:29">
      <c r="F4" s="12" t="s">
        <v>85</v>
      </c>
      <c r="J4" s="12" t="s">
        <v>188</v>
      </c>
      <c r="K4" s="12" t="s">
        <v>189</v>
      </c>
      <c r="L4" s="12">
        <v>17764403230</v>
      </c>
      <c r="N4" s="12" t="s">
        <v>187</v>
      </c>
      <c r="O4" s="12" t="s">
        <v>187</v>
      </c>
      <c r="P4" s="12" t="s">
        <v>264</v>
      </c>
      <c r="R4" s="12" t="s">
        <v>187</v>
      </c>
      <c r="S4" s="12" t="s">
        <v>253</v>
      </c>
      <c r="T4" s="12">
        <v>202201</v>
      </c>
      <c r="U4" s="12">
        <v>3430</v>
      </c>
      <c r="V4" s="12">
        <v>3430</v>
      </c>
      <c r="W4" s="12">
        <v>3430</v>
      </c>
      <c r="X4" s="12">
        <v>3430</v>
      </c>
      <c r="Y4" s="12">
        <v>3430</v>
      </c>
      <c r="Z4" s="12" t="s">
        <v>253</v>
      </c>
      <c r="AA4" s="12">
        <v>202201</v>
      </c>
      <c r="AB4" s="12">
        <v>0.05</v>
      </c>
      <c r="AC4" s="12">
        <v>1650</v>
      </c>
    </row>
    <row r="5" s="12" customFormat="1" ht="12" spans="6:29">
      <c r="F5" s="12" t="s">
        <v>85</v>
      </c>
      <c r="J5" s="12" t="s">
        <v>190</v>
      </c>
      <c r="K5" s="12" t="s">
        <v>191</v>
      </c>
      <c r="L5" s="12">
        <v>15656127587</v>
      </c>
      <c r="N5" s="12" t="s">
        <v>187</v>
      </c>
      <c r="O5" s="12" t="s">
        <v>187</v>
      </c>
      <c r="P5" s="12" t="s">
        <v>265</v>
      </c>
      <c r="R5" s="12" t="s">
        <v>187</v>
      </c>
      <c r="S5" s="12" t="s">
        <v>253</v>
      </c>
      <c r="T5" s="12">
        <v>202201</v>
      </c>
      <c r="U5" s="12">
        <v>3430</v>
      </c>
      <c r="V5" s="12">
        <v>3430</v>
      </c>
      <c r="W5" s="12">
        <v>3430</v>
      </c>
      <c r="X5" s="12">
        <v>3430</v>
      </c>
      <c r="Y5" s="12">
        <v>3430</v>
      </c>
      <c r="Z5" s="12" t="s">
        <v>253</v>
      </c>
      <c r="AA5" s="12">
        <v>202201</v>
      </c>
      <c r="AB5" s="12">
        <v>0.05</v>
      </c>
      <c r="AC5" s="12">
        <v>1650</v>
      </c>
    </row>
    <row r="6" s="12" customFormat="1" ht="12" spans="6:29">
      <c r="F6" s="12" t="s">
        <v>85</v>
      </c>
      <c r="J6" s="12" t="s">
        <v>192</v>
      </c>
      <c r="K6" s="12" t="s">
        <v>193</v>
      </c>
      <c r="L6" s="12">
        <v>15375381802</v>
      </c>
      <c r="N6" s="12" t="s">
        <v>187</v>
      </c>
      <c r="O6" s="12" t="s">
        <v>187</v>
      </c>
      <c r="P6" s="12" t="s">
        <v>264</v>
      </c>
      <c r="R6" s="12" t="s">
        <v>187</v>
      </c>
      <c r="S6" s="12" t="s">
        <v>253</v>
      </c>
      <c r="T6" s="12">
        <v>202201</v>
      </c>
      <c r="U6" s="12">
        <v>3430</v>
      </c>
      <c r="V6" s="12">
        <v>3430</v>
      </c>
      <c r="W6" s="12">
        <v>3430</v>
      </c>
      <c r="X6" s="12">
        <v>3430</v>
      </c>
      <c r="Y6" s="12">
        <v>3430</v>
      </c>
      <c r="Z6" s="12" t="s">
        <v>253</v>
      </c>
      <c r="AA6" s="12">
        <v>202201</v>
      </c>
      <c r="AB6" s="12">
        <v>0.05</v>
      </c>
      <c r="AC6" s="12">
        <v>1650</v>
      </c>
    </row>
    <row r="7" s="12" customFormat="1" ht="12" spans="6:29">
      <c r="F7" s="12" t="s">
        <v>85</v>
      </c>
      <c r="J7" s="12" t="s">
        <v>194</v>
      </c>
      <c r="K7" s="12" t="s">
        <v>195</v>
      </c>
      <c r="L7" s="12">
        <v>17775340176</v>
      </c>
      <c r="N7" s="12" t="s">
        <v>187</v>
      </c>
      <c r="O7" s="12" t="s">
        <v>187</v>
      </c>
      <c r="P7" s="12" t="s">
        <v>264</v>
      </c>
      <c r="R7" s="12" t="s">
        <v>187</v>
      </c>
      <c r="S7" s="12" t="s">
        <v>253</v>
      </c>
      <c r="T7" s="12">
        <v>202201</v>
      </c>
      <c r="U7" s="12">
        <v>3430</v>
      </c>
      <c r="V7" s="12">
        <v>3430</v>
      </c>
      <c r="W7" s="12">
        <v>3430</v>
      </c>
      <c r="X7" s="12">
        <v>3430</v>
      </c>
      <c r="Y7" s="12">
        <v>3430</v>
      </c>
      <c r="Z7" s="12" t="s">
        <v>253</v>
      </c>
      <c r="AA7" s="12">
        <v>202201</v>
      </c>
      <c r="AB7" s="12">
        <v>0.05</v>
      </c>
      <c r="AC7" s="12">
        <v>1650</v>
      </c>
    </row>
    <row r="8" s="12" customFormat="1" ht="12" spans="6:29">
      <c r="F8" s="12" t="s">
        <v>85</v>
      </c>
      <c r="J8" s="12" t="s">
        <v>196</v>
      </c>
      <c r="K8" s="12" t="s">
        <v>197</v>
      </c>
      <c r="L8" s="12">
        <v>18375326103</v>
      </c>
      <c r="N8" s="12" t="s">
        <v>187</v>
      </c>
      <c r="O8" s="12" t="s">
        <v>187</v>
      </c>
      <c r="P8" s="12" t="s">
        <v>264</v>
      </c>
      <c r="R8" s="12" t="s">
        <v>187</v>
      </c>
      <c r="S8" s="12" t="s">
        <v>253</v>
      </c>
      <c r="T8" s="12">
        <v>202201</v>
      </c>
      <c r="U8" s="12">
        <v>3430</v>
      </c>
      <c r="V8" s="12">
        <v>3430</v>
      </c>
      <c r="W8" s="12">
        <v>3430</v>
      </c>
      <c r="X8" s="12">
        <v>3430</v>
      </c>
      <c r="Y8" s="12">
        <v>3430</v>
      </c>
      <c r="Z8" s="12" t="s">
        <v>253</v>
      </c>
      <c r="AA8" s="12">
        <v>202201</v>
      </c>
      <c r="AB8" s="12">
        <v>0.05</v>
      </c>
      <c r="AC8" s="12">
        <v>1650</v>
      </c>
    </row>
    <row r="9" s="13" customFormat="1" ht="12" spans="6:36">
      <c r="F9" s="13" t="s">
        <v>85</v>
      </c>
      <c r="J9" s="13" t="s">
        <v>198</v>
      </c>
      <c r="K9" s="13" t="s">
        <v>199</v>
      </c>
      <c r="L9" s="13">
        <v>18895324958</v>
      </c>
      <c r="N9" s="13" t="s">
        <v>187</v>
      </c>
      <c r="O9" s="13" t="s">
        <v>187</v>
      </c>
      <c r="P9" s="13" t="s">
        <v>265</v>
      </c>
      <c r="R9" s="13" t="s">
        <v>187</v>
      </c>
      <c r="S9" s="13" t="s">
        <v>253</v>
      </c>
      <c r="T9" s="13">
        <v>202201</v>
      </c>
      <c r="U9" s="13">
        <v>3430</v>
      </c>
      <c r="V9" s="13">
        <v>3430</v>
      </c>
      <c r="W9" s="13">
        <v>3430</v>
      </c>
      <c r="X9" s="13">
        <v>3430</v>
      </c>
      <c r="Y9" s="13">
        <v>3430</v>
      </c>
      <c r="Z9" s="13" t="s">
        <v>253</v>
      </c>
      <c r="AA9" s="13">
        <v>202201</v>
      </c>
      <c r="AB9" s="13">
        <v>0.12</v>
      </c>
      <c r="AC9" s="13">
        <v>11000</v>
      </c>
      <c r="AJ9" s="13" t="s">
        <v>266</v>
      </c>
    </row>
    <row r="10" s="12" customFormat="1" ht="12" spans="6:29">
      <c r="F10" s="12" t="s">
        <v>85</v>
      </c>
      <c r="J10" s="12" t="s">
        <v>200</v>
      </c>
      <c r="K10" s="12" t="s">
        <v>201</v>
      </c>
      <c r="L10" s="12">
        <v>18255196660</v>
      </c>
      <c r="N10" s="12" t="s">
        <v>187</v>
      </c>
      <c r="O10" s="12" t="s">
        <v>187</v>
      </c>
      <c r="P10" s="12" t="s">
        <v>265</v>
      </c>
      <c r="R10" s="12" t="s">
        <v>187</v>
      </c>
      <c r="S10" s="12" t="s">
        <v>253</v>
      </c>
      <c r="T10" s="12">
        <v>202201</v>
      </c>
      <c r="U10" s="12">
        <v>3430</v>
      </c>
      <c r="V10" s="12">
        <v>3430</v>
      </c>
      <c r="W10" s="12">
        <v>3430</v>
      </c>
      <c r="X10" s="12">
        <v>3430</v>
      </c>
      <c r="Y10" s="12">
        <v>3430</v>
      </c>
      <c r="Z10" s="12" t="s">
        <v>253</v>
      </c>
      <c r="AA10" s="12">
        <v>202201</v>
      </c>
      <c r="AB10" s="12">
        <v>0.05</v>
      </c>
      <c r="AC10" s="12">
        <v>1650</v>
      </c>
    </row>
    <row r="11" s="12" customFormat="1" ht="12" spans="6:29">
      <c r="F11" s="12" t="s">
        <v>85</v>
      </c>
      <c r="J11" s="12" t="s">
        <v>202</v>
      </c>
      <c r="K11" s="12" t="s">
        <v>203</v>
      </c>
      <c r="L11" s="12">
        <v>13615514441</v>
      </c>
      <c r="N11" s="12" t="s">
        <v>187</v>
      </c>
      <c r="O11" s="12" t="s">
        <v>187</v>
      </c>
      <c r="P11" s="12" t="s">
        <v>264</v>
      </c>
      <c r="R11" s="12" t="s">
        <v>187</v>
      </c>
      <c r="S11" s="12" t="s">
        <v>253</v>
      </c>
      <c r="T11" s="12">
        <v>202201</v>
      </c>
      <c r="U11" s="12">
        <v>3430</v>
      </c>
      <c r="V11" s="12">
        <v>3430</v>
      </c>
      <c r="W11" s="12">
        <v>3430</v>
      </c>
      <c r="X11" s="12">
        <v>3430</v>
      </c>
      <c r="Y11" s="12">
        <v>3430</v>
      </c>
      <c r="Z11" s="12" t="s">
        <v>253</v>
      </c>
      <c r="AA11" s="12">
        <v>202201</v>
      </c>
      <c r="AB11" s="12">
        <v>0.05</v>
      </c>
      <c r="AC11" s="12">
        <v>1650</v>
      </c>
    </row>
    <row r="12" s="12" customFormat="1" ht="12" spans="6:29">
      <c r="F12" s="12" t="s">
        <v>85</v>
      </c>
      <c r="J12" s="12" t="s">
        <v>204</v>
      </c>
      <c r="K12" s="12" t="s">
        <v>205</v>
      </c>
      <c r="L12" s="12">
        <v>18256940817</v>
      </c>
      <c r="N12" s="12" t="s">
        <v>187</v>
      </c>
      <c r="O12" s="12" t="s">
        <v>187</v>
      </c>
      <c r="P12" s="12" t="s">
        <v>264</v>
      </c>
      <c r="R12" s="12" t="s">
        <v>187</v>
      </c>
      <c r="S12" s="12" t="s">
        <v>253</v>
      </c>
      <c r="T12" s="12">
        <v>202201</v>
      </c>
      <c r="U12" s="12">
        <v>3430</v>
      </c>
      <c r="V12" s="12">
        <v>3430</v>
      </c>
      <c r="W12" s="12">
        <v>3430</v>
      </c>
      <c r="X12" s="12">
        <v>3430</v>
      </c>
      <c r="Y12" s="12">
        <v>3430</v>
      </c>
      <c r="Z12" s="12" t="s">
        <v>253</v>
      </c>
      <c r="AA12" s="12">
        <v>202201</v>
      </c>
      <c r="AB12" s="12">
        <v>0.05</v>
      </c>
      <c r="AC12" s="12">
        <v>1650</v>
      </c>
    </row>
  </sheetData>
  <mergeCells count="34">
    <mergeCell ref="T1:Y1"/>
    <mergeCell ref="AA1:AC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Z1:Z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</mergeCells>
  <conditionalFormatting sqref="J10">
    <cfRule type="duplicateValues" dxfId="5" priority="1"/>
  </conditionalFormatting>
  <conditionalFormatting sqref="J4:J7 J11:J12 J9">
    <cfRule type="duplicateValues" dxfId="5" priority="2"/>
  </conditionalFormatting>
  <dataValidations count="2">
    <dataValidation type="list" allowBlank="1" showInputMessage="1" showErrorMessage="1" sqref="H3:H12">
      <formula1>#REF!</formula1>
    </dataValidation>
    <dataValidation type="list" allowBlank="1" showInputMessage="1" showErrorMessage="1" sqref="S3:S12 Z3:Z12">
      <formula1>"新参,调入"</formula1>
    </dataValidation>
  </dataValidations>
  <pageMargins left="0.75" right="0.75" top="1" bottom="1" header="0.5" footer="0.5"/>
  <headerFooter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44"/>
  <sheetViews>
    <sheetView workbookViewId="0">
      <selection activeCell="D4" sqref="D4"/>
    </sheetView>
  </sheetViews>
  <sheetFormatPr defaultColWidth="9" defaultRowHeight="13.5" outlineLevelCol="4"/>
  <cols>
    <col min="3" max="3" width="32" customWidth="1"/>
    <col min="4" max="4" width="13.75" customWidth="1"/>
    <col min="5" max="5" width="16.125" customWidth="1"/>
  </cols>
  <sheetData>
    <row r="1" ht="57" customHeight="1" spans="2:5">
      <c r="B1" s="1" t="s">
        <v>267</v>
      </c>
      <c r="C1" s="1"/>
      <c r="D1" s="1"/>
      <c r="E1" s="1"/>
    </row>
    <row r="2" ht="21" spans="2:2">
      <c r="B2" s="2"/>
    </row>
    <row r="3" ht="27.75" customHeight="1" spans="2:5">
      <c r="B3" s="3" t="s">
        <v>268</v>
      </c>
      <c r="C3" s="4" t="s">
        <v>269</v>
      </c>
      <c r="D3" s="4" t="s">
        <v>270</v>
      </c>
      <c r="E3" s="4" t="s">
        <v>271</v>
      </c>
    </row>
    <row r="4" ht="29.25" customHeight="1" spans="2:5">
      <c r="B4" s="5">
        <v>1</v>
      </c>
      <c r="C4" s="6" t="s">
        <v>272</v>
      </c>
      <c r="D4" s="7">
        <v>0.03</v>
      </c>
      <c r="E4" s="8">
        <v>0</v>
      </c>
    </row>
    <row r="5" ht="29.25" customHeight="1" spans="2:5">
      <c r="B5" s="5">
        <v>2</v>
      </c>
      <c r="C5" s="6" t="s">
        <v>273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274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275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276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277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278</v>
      </c>
      <c r="D10" s="7">
        <v>0.45</v>
      </c>
      <c r="E10" s="8">
        <v>181920</v>
      </c>
    </row>
    <row r="13" ht="57" customHeight="1" spans="2:5">
      <c r="B13" s="1" t="s">
        <v>279</v>
      </c>
      <c r="C13" s="1"/>
      <c r="D13" s="1"/>
      <c r="E13" s="1"/>
    </row>
    <row r="14" ht="21" spans="2:2">
      <c r="B14" s="2"/>
    </row>
    <row r="15" ht="27.75" customHeight="1" spans="2:5">
      <c r="B15" s="3" t="s">
        <v>268</v>
      </c>
      <c r="C15" s="4" t="s">
        <v>280</v>
      </c>
      <c r="D15" s="4" t="s">
        <v>270</v>
      </c>
      <c r="E15" s="4" t="s">
        <v>271</v>
      </c>
    </row>
    <row r="16" ht="29.25" customHeight="1" spans="2:5">
      <c r="B16" s="5">
        <v>1</v>
      </c>
      <c r="C16" s="6" t="s">
        <v>281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282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283</v>
      </c>
      <c r="D18" s="7">
        <v>0.4</v>
      </c>
      <c r="E18" s="8">
        <v>7000</v>
      </c>
    </row>
    <row r="21" ht="47.25" customHeight="1" spans="2:5">
      <c r="B21" s="1" t="s">
        <v>284</v>
      </c>
      <c r="C21" s="1"/>
      <c r="D21" s="1"/>
      <c r="E21" s="1"/>
    </row>
    <row r="22" ht="21" spans="2:2">
      <c r="B22" s="2"/>
    </row>
    <row r="23" ht="27.75" customHeight="1" spans="2:5">
      <c r="B23" s="3" t="s">
        <v>268</v>
      </c>
      <c r="C23" s="4" t="s">
        <v>285</v>
      </c>
      <c r="D23" s="4" t="s">
        <v>270</v>
      </c>
      <c r="E23" s="4" t="s">
        <v>271</v>
      </c>
    </row>
    <row r="24" ht="29.25" customHeight="1" spans="2:5">
      <c r="B24" s="5">
        <v>1</v>
      </c>
      <c r="C24" s="6" t="s">
        <v>286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287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288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289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290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291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292</v>
      </c>
      <c r="D30" s="7">
        <v>0.45</v>
      </c>
      <c r="E30" s="8">
        <v>15160</v>
      </c>
    </row>
    <row r="35" ht="57" customHeight="1" spans="2:5">
      <c r="B35" s="9" t="s">
        <v>293</v>
      </c>
      <c r="C35" s="9"/>
      <c r="D35" s="9"/>
      <c r="E35" s="9"/>
    </row>
    <row r="36" ht="14.25"/>
    <row r="37" ht="21.75" customHeight="1" spans="2:5">
      <c r="B37" s="3" t="s">
        <v>268</v>
      </c>
      <c r="C37" s="4" t="s">
        <v>294</v>
      </c>
      <c r="D37" s="4" t="s">
        <v>295</v>
      </c>
      <c r="E37" s="4" t="s">
        <v>271</v>
      </c>
    </row>
    <row r="38" ht="21.75" customHeight="1" spans="2:5">
      <c r="B38" s="5">
        <v>1</v>
      </c>
      <c r="C38" s="6" t="s">
        <v>286</v>
      </c>
      <c r="D38" s="7">
        <v>0.03</v>
      </c>
      <c r="E38" s="8">
        <v>0</v>
      </c>
    </row>
    <row r="39" ht="21.75" customHeight="1" spans="2:5">
      <c r="B39" s="5">
        <v>2</v>
      </c>
      <c r="C39" s="6" t="s">
        <v>287</v>
      </c>
      <c r="D39" s="7">
        <v>0.1</v>
      </c>
      <c r="E39" s="8">
        <v>210</v>
      </c>
    </row>
    <row r="40" ht="21.75" customHeight="1" spans="2:5">
      <c r="B40" s="5">
        <v>3</v>
      </c>
      <c r="C40" s="6" t="s">
        <v>288</v>
      </c>
      <c r="D40" s="7">
        <v>0.2</v>
      </c>
      <c r="E40" s="8">
        <v>1410</v>
      </c>
    </row>
    <row r="41" ht="21.75" customHeight="1" spans="2:5">
      <c r="B41" s="5">
        <v>4</v>
      </c>
      <c r="C41" s="6" t="s">
        <v>289</v>
      </c>
      <c r="D41" s="7">
        <v>0.25</v>
      </c>
      <c r="E41" s="8">
        <v>2660</v>
      </c>
    </row>
    <row r="42" ht="21.75" customHeight="1" spans="2:5">
      <c r="B42" s="5">
        <v>5</v>
      </c>
      <c r="C42" s="6" t="s">
        <v>290</v>
      </c>
      <c r="D42" s="7">
        <v>0.3</v>
      </c>
      <c r="E42" s="8">
        <v>4410</v>
      </c>
    </row>
    <row r="43" ht="21.75" customHeight="1" spans="2:5">
      <c r="B43" s="5">
        <v>6</v>
      </c>
      <c r="C43" s="6" t="s">
        <v>291</v>
      </c>
      <c r="D43" s="7">
        <v>0.35</v>
      </c>
      <c r="E43" s="8">
        <v>7160</v>
      </c>
    </row>
    <row r="44" ht="21.75" customHeight="1" spans="2:5">
      <c r="B44" s="5">
        <v>7</v>
      </c>
      <c r="C44" s="6" t="s">
        <v>292</v>
      </c>
      <c r="D44" s="7">
        <v>0.45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2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5"/>
    </sheetView>
  </sheetViews>
  <sheetFormatPr defaultColWidth="9" defaultRowHeight="13.5"/>
  <cols>
    <col min="1" max="1" width="4.5" style="34" customWidth="1"/>
    <col min="2" max="2" width="12.625" style="34" customWidth="1"/>
    <col min="3" max="3" width="10.5" style="34" customWidth="1"/>
    <col min="4" max="4" width="8.75" style="34" customWidth="1"/>
    <col min="5" max="5" width="19.5" style="35" customWidth="1"/>
    <col min="6" max="6" width="9" style="34"/>
    <col min="7" max="7" width="11.875" style="36" customWidth="1"/>
    <col min="8" max="8" width="4.625" style="34" hidden="1" customWidth="1"/>
    <col min="9" max="9" width="5.25" style="34" hidden="1" customWidth="1"/>
    <col min="10" max="10" width="11.75" style="37" customWidth="1"/>
    <col min="11" max="11" width="5.25" style="34" customWidth="1"/>
    <col min="12" max="12" width="11.75" style="34" customWidth="1"/>
    <col min="13" max="13" width="9.5" style="34" customWidth="1" outlineLevel="1"/>
    <col min="14" max="15" width="9" style="34" customWidth="1" outlineLevel="1"/>
    <col min="16" max="16" width="11.125" style="34" customWidth="1" outlineLevel="1"/>
    <col min="17" max="17" width="9.75" style="34" customWidth="1"/>
    <col min="18" max="18" width="9.5" style="34" customWidth="1"/>
    <col min="19" max="19" width="11.5" style="34" customWidth="1"/>
    <col min="20" max="21" width="12.25" style="34" customWidth="1"/>
    <col min="22" max="27" width="9" style="34" customWidth="1" outlineLevel="1"/>
    <col min="28" max="28" width="11.25" style="34" customWidth="1"/>
    <col min="29" max="29" width="8.5" style="34" customWidth="1"/>
    <col min="30" max="30" width="15.25" style="34" customWidth="1"/>
    <col min="31" max="31" width="14" style="34" customWidth="1"/>
    <col min="32" max="32" width="10.75" style="34" customWidth="1"/>
    <col min="33" max="33" width="12.25" style="34" customWidth="1"/>
    <col min="34" max="34" width="11.5" style="34" customWidth="1"/>
    <col min="35" max="35" width="7.875" style="38" customWidth="1"/>
    <col min="36" max="36" width="11.5" style="34" customWidth="1"/>
    <col min="37" max="37" width="9" style="34"/>
    <col min="38" max="38" width="11.5" style="34" customWidth="1"/>
    <col min="39" max="40" width="9" style="34" customWidth="1"/>
    <col min="41" max="41" width="19" style="34" customWidth="1"/>
    <col min="42" max="42" width="12.25" style="34" customWidth="1"/>
    <col min="43" max="43" width="9" style="34"/>
    <col min="44" max="44" width="7" style="34" customWidth="1"/>
    <col min="45" max="45" width="6.75" style="34" customWidth="1"/>
    <col min="46" max="46" width="6.125" style="34" customWidth="1"/>
    <col min="47" max="16384" width="9" style="34"/>
  </cols>
  <sheetData>
    <row r="1" s="29" customFormat="1" ht="29.25" customHeight="1" spans="1:45">
      <c r="A1" s="39" t="s">
        <v>36</v>
      </c>
      <c r="B1" s="40"/>
      <c r="C1" s="41"/>
      <c r="D1" s="42"/>
      <c r="E1" s="43"/>
      <c r="F1" s="43"/>
      <c r="G1" s="44"/>
      <c r="J1" s="79"/>
      <c r="L1" s="80"/>
      <c r="M1" s="81" t="s">
        <v>37</v>
      </c>
      <c r="N1" s="81"/>
      <c r="O1" s="81"/>
      <c r="P1" s="81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80"/>
      <c r="AE1" s="80"/>
      <c r="AF1" s="80"/>
      <c r="AG1" s="80"/>
      <c r="AH1" s="80"/>
      <c r="AI1" s="116"/>
      <c r="AJ1" s="80"/>
      <c r="AK1" s="80"/>
      <c r="AL1" s="80"/>
      <c r="AM1" s="43"/>
      <c r="AN1" s="43"/>
      <c r="AO1" s="126"/>
      <c r="AP1" s="43"/>
      <c r="AQ1" s="43"/>
      <c r="AR1" s="43"/>
      <c r="AS1" s="43"/>
    </row>
    <row r="2" s="30" customFormat="1" ht="20.1" customHeight="1" spans="1:46">
      <c r="A2" s="45" t="s">
        <v>18</v>
      </c>
      <c r="B2" s="46" t="s">
        <v>38</v>
      </c>
      <c r="C2" s="47" t="s">
        <v>39</v>
      </c>
      <c r="D2" s="47" t="s">
        <v>40</v>
      </c>
      <c r="E2" s="48" t="s">
        <v>41</v>
      </c>
      <c r="F2" s="49" t="s">
        <v>42</v>
      </c>
      <c r="G2" s="48" t="s">
        <v>43</v>
      </c>
      <c r="H2" s="48" t="s">
        <v>44</v>
      </c>
      <c r="I2" s="48" t="s">
        <v>45</v>
      </c>
      <c r="J2" s="82" t="s">
        <v>46</v>
      </c>
      <c r="K2" s="48" t="s">
        <v>47</v>
      </c>
      <c r="L2" s="48" t="s">
        <v>48</v>
      </c>
      <c r="M2" s="83" t="s">
        <v>49</v>
      </c>
      <c r="N2" s="84"/>
      <c r="O2" s="84"/>
      <c r="P2" s="85"/>
      <c r="Q2" s="49" t="s">
        <v>50</v>
      </c>
      <c r="R2" s="48" t="s">
        <v>51</v>
      </c>
      <c r="S2" s="49" t="s">
        <v>52</v>
      </c>
      <c r="T2" s="103" t="s">
        <v>53</v>
      </c>
      <c r="U2" s="49" t="s">
        <v>54</v>
      </c>
      <c r="V2" s="104" t="s">
        <v>55</v>
      </c>
      <c r="W2" s="105"/>
      <c r="X2" s="105"/>
      <c r="Y2" s="105"/>
      <c r="Z2" s="105"/>
      <c r="AA2" s="111"/>
      <c r="AB2" s="49" t="s">
        <v>56</v>
      </c>
      <c r="AC2" s="49" t="s">
        <v>57</v>
      </c>
      <c r="AD2" s="103" t="s">
        <v>58</v>
      </c>
      <c r="AE2" s="103" t="s">
        <v>59</v>
      </c>
      <c r="AF2" s="103" t="s">
        <v>60</v>
      </c>
      <c r="AG2" s="103" t="s">
        <v>61</v>
      </c>
      <c r="AH2" s="117" t="s">
        <v>62</v>
      </c>
      <c r="AI2" s="118" t="s">
        <v>63</v>
      </c>
      <c r="AJ2" s="117" t="s">
        <v>64</v>
      </c>
      <c r="AK2" s="47" t="s">
        <v>65</v>
      </c>
      <c r="AL2" s="117" t="s">
        <v>66</v>
      </c>
      <c r="AM2" s="48" t="s">
        <v>67</v>
      </c>
      <c r="AN2" s="48" t="s">
        <v>68</v>
      </c>
      <c r="AO2" s="127" t="s">
        <v>69</v>
      </c>
      <c r="AP2" s="48" t="s">
        <v>70</v>
      </c>
      <c r="AQ2" s="48" t="s">
        <v>71</v>
      </c>
      <c r="AR2" s="49" t="s">
        <v>72</v>
      </c>
      <c r="AS2" s="49" t="s">
        <v>73</v>
      </c>
      <c r="AT2" s="49" t="s">
        <v>74</v>
      </c>
    </row>
    <row r="3" s="30" customFormat="1" ht="27" customHeight="1" spans="1:46">
      <c r="A3" s="50"/>
      <c r="B3" s="51"/>
      <c r="C3" s="52"/>
      <c r="D3" s="52"/>
      <c r="E3" s="53"/>
      <c r="F3" s="54"/>
      <c r="G3" s="53"/>
      <c r="H3" s="53"/>
      <c r="I3" s="53"/>
      <c r="J3" s="86"/>
      <c r="K3" s="53"/>
      <c r="L3" s="53"/>
      <c r="M3" s="87" t="s">
        <v>75</v>
      </c>
      <c r="N3" s="87" t="s">
        <v>76</v>
      </c>
      <c r="O3" s="87" t="s">
        <v>77</v>
      </c>
      <c r="P3" s="87" t="s">
        <v>78</v>
      </c>
      <c r="Q3" s="54"/>
      <c r="R3" s="53"/>
      <c r="S3" s="54"/>
      <c r="T3" s="106"/>
      <c r="U3" s="54"/>
      <c r="V3" s="107" t="s">
        <v>79</v>
      </c>
      <c r="W3" s="107" t="s">
        <v>80</v>
      </c>
      <c r="X3" s="107" t="s">
        <v>81</v>
      </c>
      <c r="Y3" s="107" t="s">
        <v>82</v>
      </c>
      <c r="Z3" s="107" t="s">
        <v>83</v>
      </c>
      <c r="AA3" s="107" t="s">
        <v>84</v>
      </c>
      <c r="AB3" s="54"/>
      <c r="AC3" s="54"/>
      <c r="AD3" s="106"/>
      <c r="AE3" s="106"/>
      <c r="AF3" s="106"/>
      <c r="AG3" s="106"/>
      <c r="AH3" s="119"/>
      <c r="AI3" s="120"/>
      <c r="AJ3" s="119"/>
      <c r="AK3" s="52"/>
      <c r="AL3" s="119"/>
      <c r="AM3" s="53"/>
      <c r="AN3" s="53"/>
      <c r="AO3" s="128"/>
      <c r="AP3" s="53"/>
      <c r="AQ3" s="53"/>
      <c r="AR3" s="54"/>
      <c r="AS3" s="54"/>
      <c r="AT3" s="54"/>
    </row>
    <row r="4" s="31" customFormat="1" ht="18" customHeight="1" spans="1:46">
      <c r="A4" s="55">
        <v>1</v>
      </c>
      <c r="B4" s="56" t="s">
        <v>85</v>
      </c>
      <c r="C4" s="262" t="s">
        <v>86</v>
      </c>
      <c r="D4" s="56" t="s">
        <v>87</v>
      </c>
      <c r="E4" s="263" t="s">
        <v>88</v>
      </c>
      <c r="F4" s="57" t="str">
        <f>IF(MOD(MID(E4,17,1),2)=1,"男","女")</f>
        <v>男</v>
      </c>
      <c r="G4" s="264">
        <v>18035163638</v>
      </c>
      <c r="H4" s="265"/>
      <c r="I4" s="265"/>
      <c r="J4" s="267"/>
      <c r="K4" s="265"/>
      <c r="L4" s="268">
        <v>7700</v>
      </c>
      <c r="M4" s="268">
        <v>264</v>
      </c>
      <c r="N4" s="268">
        <v>66</v>
      </c>
      <c r="O4" s="268">
        <v>9.9</v>
      </c>
      <c r="P4" s="268">
        <v>180</v>
      </c>
      <c r="Q4" s="108">
        <f>ROUND(SUM(M4:P4),2)</f>
        <v>519.9</v>
      </c>
      <c r="R4" s="89">
        <v>0</v>
      </c>
      <c r="S4" s="109">
        <f>L4+IFERROR(VLOOKUP($E:$E,'（居民）工资表-2月'!$E:$S,15,0),0)</f>
        <v>25470</v>
      </c>
      <c r="T4" s="110">
        <f>5000+IFERROR(VLOOKUP($E:$E,'（居民）工资表-2月'!$E:$T,16,0),0)</f>
        <v>15000</v>
      </c>
      <c r="U4" s="110">
        <f>Q4+IFERROR(VLOOKUP($E:$E,'（居民）工资表-2月'!$E:$U,17,0),0)</f>
        <v>1559.7</v>
      </c>
      <c r="V4" s="89"/>
      <c r="W4" s="89"/>
      <c r="X4" s="89">
        <v>3000</v>
      </c>
      <c r="Y4" s="89"/>
      <c r="Z4" s="89"/>
      <c r="AA4" s="89"/>
      <c r="AB4" s="109">
        <f>ROUND(SUM(V4:AA4),2)</f>
        <v>3000</v>
      </c>
      <c r="AC4" s="109">
        <f>R4+IFERROR(VLOOKUP($E:$E,'（居民）工资表-2月'!$E:$AC,25,0),0)</f>
        <v>0</v>
      </c>
      <c r="AD4" s="112">
        <f>ROUND(S4-T4-U4-AB4-AC4,2)</f>
        <v>5910.3</v>
      </c>
      <c r="AE4" s="113">
        <f>ROUND(MAX((AD4)*{0.03;0.1;0.2;0.25;0.3;0.35;0.45}-{0;2520;16920;31920;52920;85920;181920},0),2)</f>
        <v>177.31</v>
      </c>
      <c r="AF4" s="114">
        <f>IFERROR(VLOOKUP(E:E,'（居民）工资表-2月'!E:AF,28,0)+VLOOKUP(E:E,'（居民）工资表-2月'!E:AG,29,0),0)</f>
        <v>141.91</v>
      </c>
      <c r="AG4" s="114">
        <f>IF((AE4-AF4)&lt;0,0,AE4-AF4)</f>
        <v>35.4</v>
      </c>
      <c r="AH4" s="121">
        <f>ROUND(IF((L4-Q4-AG4)&lt;0,0,(L4-Q4-AG4)),2)</f>
        <v>7144.7</v>
      </c>
      <c r="AI4" s="122"/>
      <c r="AJ4" s="121">
        <f>AH4+AI4</f>
        <v>7144.7</v>
      </c>
      <c r="AK4" s="123"/>
      <c r="AL4" s="121">
        <f>AJ4+AG4+AK4</f>
        <v>7180.1</v>
      </c>
      <c r="AM4" s="123"/>
      <c r="AN4" s="123"/>
      <c r="AO4" s="123"/>
      <c r="AP4" s="123"/>
      <c r="AQ4" s="123"/>
      <c r="AR4" s="129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29" t="str">
        <f>IF(SUMPRODUCT(N(E$1:E$5=E4))&gt;1,"重复","不")</f>
        <v>不</v>
      </c>
      <c r="AT4" s="129" t="str">
        <f>IF(SUMPRODUCT(N(AO$1:AO$5=AO4))&gt;1,"重复","不")</f>
        <v>重复</v>
      </c>
    </row>
    <row r="5" s="31" customFormat="1" ht="18" customHeight="1" spans="1:46">
      <c r="A5" s="55">
        <v>2</v>
      </c>
      <c r="B5" s="56" t="s">
        <v>85</v>
      </c>
      <c r="C5" s="266" t="s">
        <v>89</v>
      </c>
      <c r="D5" s="56" t="s">
        <v>87</v>
      </c>
      <c r="E5" s="387" t="s">
        <v>90</v>
      </c>
      <c r="F5" s="57" t="str">
        <f>IF(MOD(MID(E5,17,1),2)=1,"男","女")</f>
        <v>女</v>
      </c>
      <c r="G5" s="264">
        <v>13926009696</v>
      </c>
      <c r="H5" s="265"/>
      <c r="I5" s="265"/>
      <c r="J5" s="267"/>
      <c r="K5" s="265"/>
      <c r="L5" s="268">
        <v>5800</v>
      </c>
      <c r="M5" s="268">
        <v>304.24</v>
      </c>
      <c r="N5" s="268">
        <v>123.5</v>
      </c>
      <c r="O5" s="268">
        <v>7.61</v>
      </c>
      <c r="P5" s="268">
        <v>0</v>
      </c>
      <c r="Q5" s="108">
        <f>ROUND(SUM(M5:P5),2)</f>
        <v>435.35</v>
      </c>
      <c r="R5" s="89">
        <v>0</v>
      </c>
      <c r="S5" s="109">
        <f>L5+IFERROR(VLOOKUP($E:$E,'（居民）工资表-2月'!$E:$S,15,0),0)</f>
        <v>5800</v>
      </c>
      <c r="T5" s="110">
        <f>5000+IFERROR(VLOOKUP($E:$E,'（居民）工资表-2月'!$E:$T,16,0),0)</f>
        <v>5000</v>
      </c>
      <c r="U5" s="110">
        <f>Q5+IFERROR(VLOOKUP($E:$E,'（居民）工资表-2月'!$E:$U,17,0),0)</f>
        <v>435.35</v>
      </c>
      <c r="V5" s="89"/>
      <c r="W5" s="89"/>
      <c r="X5" s="89"/>
      <c r="Y5" s="89"/>
      <c r="Z5" s="89"/>
      <c r="AA5" s="89"/>
      <c r="AB5" s="109">
        <f>ROUND(SUM(V5:AA5),2)</f>
        <v>0</v>
      </c>
      <c r="AC5" s="109">
        <f>R5+IFERROR(VLOOKUP($E:$E,'（居民）工资表-2月'!$E:$AC,25,0),0)</f>
        <v>0</v>
      </c>
      <c r="AD5" s="112">
        <f>ROUND(S5-T5-U5-AB5-AC5,2)</f>
        <v>364.65</v>
      </c>
      <c r="AE5" s="113">
        <f>ROUND(MAX((AD5)*{0.03;0.1;0.2;0.25;0.3;0.35;0.45}-{0;2520;16920;31920;52920;85920;181920},0),2)</f>
        <v>10.94</v>
      </c>
      <c r="AF5" s="114">
        <f>IFERROR(VLOOKUP(E:E,'（居民）工资表-2月'!E:AF,28,0)+VLOOKUP(E:E,'（居民）工资表-2月'!E:AG,29,0),0)</f>
        <v>0</v>
      </c>
      <c r="AG5" s="114">
        <f>IF((AE5-AF5)&lt;0,0,AE5-AF5)</f>
        <v>10.94</v>
      </c>
      <c r="AH5" s="121">
        <f>ROUND(IF((L5-Q5-AG5)&lt;0,0,(L5-Q5-AG5)),2)</f>
        <v>5353.71</v>
      </c>
      <c r="AI5" s="122"/>
      <c r="AJ5" s="121">
        <f>AH5+AI5</f>
        <v>5353.71</v>
      </c>
      <c r="AK5" s="123"/>
      <c r="AL5" s="121">
        <f>AJ5+AG5+AK5</f>
        <v>5364.65</v>
      </c>
      <c r="AM5" s="123"/>
      <c r="AN5" s="123"/>
      <c r="AO5" s="123"/>
      <c r="AP5" s="123"/>
      <c r="AQ5" s="123"/>
      <c r="AR5" s="129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29" t="str">
        <f>IF(SUMPRODUCT(N(E$1:E$5=E5))&gt;1,"重复","不")</f>
        <v>不</v>
      </c>
      <c r="AT5" s="129" t="str">
        <f>IF(SUMPRODUCT(N(AO$1:AO$5=AO5))&gt;1,"重复","不")</f>
        <v>重复</v>
      </c>
    </row>
    <row r="6" s="32" customFormat="1" ht="18" customHeight="1" spans="1:46">
      <c r="A6" s="60"/>
      <c r="B6" s="61" t="s">
        <v>91</v>
      </c>
      <c r="C6" s="61"/>
      <c r="D6" s="62"/>
      <c r="E6" s="63"/>
      <c r="F6" s="64"/>
      <c r="G6" s="65"/>
      <c r="H6" s="64"/>
      <c r="I6" s="91"/>
      <c r="J6" s="92"/>
      <c r="K6" s="91"/>
      <c r="L6" s="93">
        <f t="shared" ref="L6:AL6" si="0">SUM(L4:L5)</f>
        <v>13500</v>
      </c>
      <c r="M6" s="93">
        <f t="shared" si="0"/>
        <v>568.24</v>
      </c>
      <c r="N6" s="93">
        <f t="shared" si="0"/>
        <v>189.5</v>
      </c>
      <c r="O6" s="93">
        <f t="shared" si="0"/>
        <v>17.51</v>
      </c>
      <c r="P6" s="93">
        <f t="shared" si="0"/>
        <v>180</v>
      </c>
      <c r="Q6" s="93">
        <f t="shared" si="0"/>
        <v>955.25</v>
      </c>
      <c r="R6" s="93">
        <f t="shared" si="0"/>
        <v>0</v>
      </c>
      <c r="S6" s="93">
        <f t="shared" si="0"/>
        <v>31270</v>
      </c>
      <c r="T6" s="93">
        <f t="shared" si="0"/>
        <v>20000</v>
      </c>
      <c r="U6" s="93">
        <f t="shared" si="0"/>
        <v>1995.05</v>
      </c>
      <c r="V6" s="93">
        <f t="shared" si="0"/>
        <v>0</v>
      </c>
      <c r="W6" s="93">
        <f t="shared" si="0"/>
        <v>0</v>
      </c>
      <c r="X6" s="93">
        <f t="shared" si="0"/>
        <v>3000</v>
      </c>
      <c r="Y6" s="93">
        <f t="shared" si="0"/>
        <v>0</v>
      </c>
      <c r="Z6" s="93">
        <f t="shared" si="0"/>
        <v>0</v>
      </c>
      <c r="AA6" s="93">
        <f t="shared" si="0"/>
        <v>0</v>
      </c>
      <c r="AB6" s="93">
        <f t="shared" si="0"/>
        <v>3000</v>
      </c>
      <c r="AC6" s="93">
        <f t="shared" si="0"/>
        <v>0</v>
      </c>
      <c r="AD6" s="93">
        <f t="shared" si="0"/>
        <v>6274.95</v>
      </c>
      <c r="AE6" s="93">
        <f t="shared" si="0"/>
        <v>188.25</v>
      </c>
      <c r="AF6" s="93">
        <f t="shared" si="0"/>
        <v>141.91</v>
      </c>
      <c r="AG6" s="93">
        <f t="shared" si="0"/>
        <v>46.34</v>
      </c>
      <c r="AH6" s="93">
        <f t="shared" si="0"/>
        <v>12498.41</v>
      </c>
      <c r="AI6" s="131">
        <f t="shared" si="0"/>
        <v>0</v>
      </c>
      <c r="AJ6" s="93">
        <f t="shared" si="0"/>
        <v>12498.41</v>
      </c>
      <c r="AK6" s="93">
        <f t="shared" si="0"/>
        <v>0</v>
      </c>
      <c r="AL6" s="93">
        <f t="shared" si="0"/>
        <v>12544.75</v>
      </c>
      <c r="AM6" s="124"/>
      <c r="AN6" s="124"/>
      <c r="AO6" s="124"/>
      <c r="AP6" s="124"/>
      <c r="AQ6" s="124"/>
      <c r="AR6" s="64"/>
      <c r="AS6" s="64"/>
      <c r="AT6" s="130"/>
    </row>
    <row r="9" spans="30:30">
      <c r="AD9" s="115"/>
    </row>
    <row r="10" ht="18.75" customHeight="1" spans="2:30">
      <c r="B10" s="66" t="s">
        <v>64</v>
      </c>
      <c r="C10" s="66" t="s">
        <v>92</v>
      </c>
      <c r="D10" s="66" t="s">
        <v>65</v>
      </c>
      <c r="E10" s="66" t="s">
        <v>93</v>
      </c>
      <c r="AD10" s="29"/>
    </row>
    <row r="11" ht="18.75" customHeight="1" spans="2:5">
      <c r="B11" s="67">
        <f>AJ6</f>
        <v>12498.41</v>
      </c>
      <c r="C11" s="67">
        <f>AG6</f>
        <v>46.34</v>
      </c>
      <c r="D11" s="67">
        <f>AK6</f>
        <v>0</v>
      </c>
      <c r="E11" s="67">
        <f>B11+C11+D11</f>
        <v>12544.75</v>
      </c>
    </row>
    <row r="12" spans="2:5">
      <c r="B12" s="68"/>
      <c r="C12" s="68"/>
      <c r="D12" s="68"/>
      <c r="E12" s="68"/>
    </row>
    <row r="13" s="33" customFormat="1" spans="1:35">
      <c r="A13" s="69" t="s">
        <v>94</v>
      </c>
      <c r="B13" s="70" t="s">
        <v>95</v>
      </c>
      <c r="C13" s="71"/>
      <c r="D13" s="71"/>
      <c r="E13" s="71"/>
      <c r="G13" s="72"/>
      <c r="J13" s="94"/>
      <c r="M13" s="95"/>
      <c r="AI13" s="125"/>
    </row>
    <row r="14" s="33" customFormat="1" spans="1:35">
      <c r="A14" s="73"/>
      <c r="B14" s="74" t="s">
        <v>96</v>
      </c>
      <c r="C14" s="71"/>
      <c r="D14" s="71"/>
      <c r="E14" s="71"/>
      <c r="G14" s="72"/>
      <c r="J14" s="94"/>
      <c r="M14" s="95"/>
      <c r="AI14" s="125"/>
    </row>
    <row r="15" s="33" customFormat="1" spans="1:35">
      <c r="A15" s="70"/>
      <c r="B15" s="74" t="s">
        <v>97</v>
      </c>
      <c r="C15" s="75"/>
      <c r="D15" s="75"/>
      <c r="E15" s="75"/>
      <c r="F15" s="75"/>
      <c r="G15" s="75"/>
      <c r="H15" s="75"/>
      <c r="I15" s="75"/>
      <c r="J15" s="96"/>
      <c r="K15" s="75"/>
      <c r="L15" s="75"/>
      <c r="M15" s="97"/>
      <c r="N15" s="75"/>
      <c r="O15" s="75"/>
      <c r="P15" s="75"/>
      <c r="AI15" s="125"/>
    </row>
    <row r="16" s="33" customFormat="1" customHeight="1" spans="1:35">
      <c r="A16" s="74"/>
      <c r="B16" s="74" t="s">
        <v>98</v>
      </c>
      <c r="C16" s="76"/>
      <c r="D16" s="76"/>
      <c r="E16" s="76"/>
      <c r="F16" s="76"/>
      <c r="G16" s="76"/>
      <c r="H16" s="76"/>
      <c r="I16" s="98"/>
      <c r="J16" s="99"/>
      <c r="K16" s="98"/>
      <c r="L16" s="98"/>
      <c r="M16" s="100"/>
      <c r="N16" s="98"/>
      <c r="O16" s="98"/>
      <c r="P16" s="98"/>
      <c r="AI16" s="125"/>
    </row>
    <row r="17" s="33" customFormat="1" customHeight="1" spans="1:35">
      <c r="A17" s="74"/>
      <c r="B17" s="74" t="s">
        <v>99</v>
      </c>
      <c r="C17" s="76"/>
      <c r="D17" s="76"/>
      <c r="E17" s="76"/>
      <c r="F17" s="76"/>
      <c r="G17" s="76"/>
      <c r="H17" s="76"/>
      <c r="I17" s="76"/>
      <c r="J17" s="101"/>
      <c r="K17" s="76"/>
      <c r="L17" s="98"/>
      <c r="M17" s="100"/>
      <c r="N17" s="98"/>
      <c r="O17" s="98"/>
      <c r="P17" s="98"/>
      <c r="AI17" s="125"/>
    </row>
    <row r="18" s="33" customFormat="1" customHeight="1" spans="1:35">
      <c r="A18" s="74"/>
      <c r="B18" s="74" t="s">
        <v>100</v>
      </c>
      <c r="C18" s="76"/>
      <c r="D18" s="76"/>
      <c r="E18" s="76"/>
      <c r="F18" s="76"/>
      <c r="G18" s="76"/>
      <c r="H18" s="76"/>
      <c r="I18" s="98"/>
      <c r="J18" s="99"/>
      <c r="K18" s="98"/>
      <c r="L18" s="98"/>
      <c r="M18" s="100"/>
      <c r="N18" s="98"/>
      <c r="O18" s="98"/>
      <c r="P18" s="98"/>
      <c r="AI18" s="125"/>
    </row>
    <row r="20" ht="11.25" customHeight="1" spans="2:2">
      <c r="B20" s="77" t="s">
        <v>101</v>
      </c>
    </row>
    <row r="21" spans="2:2">
      <c r="B21" s="78" t="s">
        <v>102</v>
      </c>
    </row>
    <row r="22" spans="2:2">
      <c r="B22" s="78" t="s">
        <v>103</v>
      </c>
    </row>
  </sheetData>
  <autoFilter ref="A3:AT6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8">
    <cfRule type="duplicateValues" dxfId="2" priority="2" stopIfTrue="1"/>
  </conditionalFormatting>
  <conditionalFormatting sqref="B13:B17">
    <cfRule type="duplicateValues" dxfId="2" priority="3" stopIfTrue="1"/>
  </conditionalFormatting>
  <conditionalFormatting sqref="B21:B22">
    <cfRule type="duplicateValues" dxfId="2" priority="1" stopIfTrue="1"/>
  </conditionalFormatting>
  <conditionalFormatting sqref="C10:C12">
    <cfRule type="duplicateValues" dxfId="2" priority="4" stopIfTrue="1"/>
    <cfRule type="expression" dxfId="3" priority="5" stopIfTrue="1">
      <formula>AND(COUNTIF($B$6:$B$65442,C10)+COUNTIF($B$1:$B$3,C10)&gt;1,NOT(ISBLANK(C10)))</formula>
    </cfRule>
    <cfRule type="expression" dxfId="3" priority="6" stopIfTrue="1">
      <formula>AND(COUNTIF($B$17:$B$65393,C10)+COUNTIF($B$1:$B$16,C10)&gt;1,NOT(ISBLANK(C10)))</formula>
    </cfRule>
    <cfRule type="expression" dxfId="3" priority="7" stopIfTrue="1">
      <formula>AND(COUNTIF($B$6:$B$65431,C10)+COUNTIF($B$1:$B$3,C10)&gt;1,NOT(ISBLANK(C10)))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23"/>
  <sheetViews>
    <sheetView workbookViewId="0">
      <selection activeCell="C27" sqref="C27"/>
    </sheetView>
  </sheetViews>
  <sheetFormatPr defaultColWidth="9" defaultRowHeight="16.5"/>
  <cols>
    <col min="1" max="1" width="5" style="179" customWidth="1"/>
    <col min="2" max="2" width="25" style="179" customWidth="1"/>
    <col min="3" max="3" width="7.375" style="179" customWidth="1"/>
    <col min="4" max="4" width="9.5" style="179" customWidth="1"/>
    <col min="5" max="5" width="8.25" style="179" customWidth="1"/>
    <col min="6" max="6" width="11.875" style="179" customWidth="1"/>
    <col min="7" max="7" width="16.375" style="179" customWidth="1"/>
    <col min="8" max="11" width="8.5" style="179" customWidth="1"/>
    <col min="12" max="12" width="9.125" style="179" customWidth="1"/>
    <col min="13" max="14" width="9.25" style="179" customWidth="1"/>
    <col min="15" max="15" width="7.5" style="179" customWidth="1"/>
    <col min="16" max="16" width="11.25" style="179" customWidth="1"/>
    <col min="17" max="17" width="9.125" style="179" customWidth="1"/>
    <col min="18" max="21" width="9.25" style="179" customWidth="1"/>
    <col min="22" max="22" width="9.125" style="179" customWidth="1"/>
    <col min="23" max="26" width="9.25" style="179" customWidth="1"/>
    <col min="27" max="28" width="9.125" style="179" customWidth="1"/>
    <col min="29" max="29" width="9" style="179" customWidth="1"/>
    <col min="30" max="30" width="9.125" style="179" customWidth="1"/>
    <col min="31" max="31" width="9.25" style="179" customWidth="1"/>
    <col min="32" max="32" width="8.875" style="179" customWidth="1"/>
    <col min="33" max="33" width="9.125" style="179" customWidth="1"/>
    <col min="34" max="34" width="9.25" style="179" customWidth="1"/>
    <col min="35" max="35" width="11.125" style="179" customWidth="1"/>
    <col min="36" max="36" width="9.25" style="179" customWidth="1"/>
    <col min="37" max="37" width="8.5" style="179" customWidth="1"/>
    <col min="38" max="38" width="9.125" style="179" hidden="1" customWidth="1"/>
    <col min="39" max="42" width="9.25" style="179" hidden="1" customWidth="1"/>
    <col min="43" max="43" width="9.875" style="179" customWidth="1"/>
    <col min="44" max="44" width="9.375" style="179" customWidth="1"/>
    <col min="45" max="45" width="10.25" style="185" customWidth="1"/>
    <col min="46" max="46" width="10" style="185" customWidth="1"/>
    <col min="47" max="49" width="9.25" style="185" customWidth="1"/>
    <col min="50" max="50" width="9.25" style="179" customWidth="1"/>
    <col min="51" max="51" width="5.875" style="179" customWidth="1"/>
    <col min="52" max="52" width="8.375" style="179" customWidth="1"/>
    <col min="53" max="53" width="5.875" style="179" customWidth="1"/>
    <col min="54" max="54" width="8.875" style="179" customWidth="1"/>
    <col min="55" max="55" width="10.875" style="179" customWidth="1"/>
    <col min="56" max="56" width="40.25" style="186" customWidth="1"/>
    <col min="57" max="57" width="10.625" style="179" customWidth="1"/>
    <col min="58" max="16384" width="9" style="179"/>
  </cols>
  <sheetData>
    <row r="1" s="178" customFormat="1" ht="22.5" customHeight="1" spans="1:56">
      <c r="A1" s="187" t="s">
        <v>18</v>
      </c>
      <c r="B1" s="188" t="s">
        <v>104</v>
      </c>
      <c r="C1" s="188" t="s">
        <v>105</v>
      </c>
      <c r="D1" s="187" t="s">
        <v>106</v>
      </c>
      <c r="E1" s="188" t="s">
        <v>107</v>
      </c>
      <c r="F1" s="188" t="s">
        <v>108</v>
      </c>
      <c r="G1" s="188" t="s">
        <v>109</v>
      </c>
      <c r="H1" s="188" t="s">
        <v>110</v>
      </c>
      <c r="I1" s="188" t="s">
        <v>111</v>
      </c>
      <c r="J1" s="188" t="s">
        <v>112</v>
      </c>
      <c r="K1" s="188" t="s">
        <v>113</v>
      </c>
      <c r="L1" s="216" t="s">
        <v>114</v>
      </c>
      <c r="M1" s="216"/>
      <c r="N1" s="216"/>
      <c r="O1" s="216"/>
      <c r="P1" s="216"/>
      <c r="Q1" s="216" t="s">
        <v>115</v>
      </c>
      <c r="R1" s="216"/>
      <c r="S1" s="216"/>
      <c r="T1" s="216"/>
      <c r="U1" s="216"/>
      <c r="V1" s="216" t="s">
        <v>116</v>
      </c>
      <c r="W1" s="216"/>
      <c r="X1" s="216"/>
      <c r="Y1" s="216"/>
      <c r="Z1" s="216"/>
      <c r="AA1" s="187" t="s">
        <v>117</v>
      </c>
      <c r="AB1" s="187"/>
      <c r="AC1" s="187"/>
      <c r="AD1" s="187" t="s">
        <v>118</v>
      </c>
      <c r="AE1" s="187"/>
      <c r="AF1" s="187"/>
      <c r="AG1" s="216" t="s">
        <v>119</v>
      </c>
      <c r="AH1" s="216"/>
      <c r="AI1" s="216"/>
      <c r="AJ1" s="216"/>
      <c r="AK1" s="216"/>
      <c r="AL1" s="187" t="s">
        <v>120</v>
      </c>
      <c r="AM1" s="187"/>
      <c r="AN1" s="187"/>
      <c r="AO1" s="187"/>
      <c r="AP1" s="187"/>
      <c r="AQ1" s="187" t="s">
        <v>121</v>
      </c>
      <c r="AR1" s="187"/>
      <c r="AS1" s="226" t="s">
        <v>122</v>
      </c>
      <c r="AT1" s="226"/>
      <c r="AU1" s="226"/>
      <c r="AV1" s="226"/>
      <c r="AW1" s="226"/>
      <c r="AX1" s="187" t="s">
        <v>123</v>
      </c>
      <c r="AY1" s="187"/>
      <c r="AZ1" s="187" t="s">
        <v>124</v>
      </c>
      <c r="BA1" s="187"/>
      <c r="BB1" s="187" t="s">
        <v>65</v>
      </c>
      <c r="BC1" s="187" t="s">
        <v>93</v>
      </c>
      <c r="BD1" s="237" t="s">
        <v>23</v>
      </c>
    </row>
    <row r="2" s="179" customFormat="1" ht="22.5" customHeight="1" spans="1:56">
      <c r="A2" s="187"/>
      <c r="B2" s="189"/>
      <c r="C2" s="188"/>
      <c r="D2" s="187"/>
      <c r="E2" s="188"/>
      <c r="F2" s="190"/>
      <c r="G2" s="190"/>
      <c r="H2" s="188"/>
      <c r="I2" s="188"/>
      <c r="J2" s="188"/>
      <c r="K2" s="188"/>
      <c r="L2" s="217" t="s">
        <v>125</v>
      </c>
      <c r="M2" s="217" t="s">
        <v>126</v>
      </c>
      <c r="N2" s="217" t="s">
        <v>127</v>
      </c>
      <c r="O2" s="217" t="s">
        <v>128</v>
      </c>
      <c r="P2" s="217" t="s">
        <v>129</v>
      </c>
      <c r="Q2" s="217" t="s">
        <v>125</v>
      </c>
      <c r="R2" s="217" t="s">
        <v>126</v>
      </c>
      <c r="S2" s="217" t="s">
        <v>127</v>
      </c>
      <c r="T2" s="217" t="s">
        <v>128</v>
      </c>
      <c r="U2" s="217" t="s">
        <v>129</v>
      </c>
      <c r="V2" s="217" t="s">
        <v>125</v>
      </c>
      <c r="W2" s="217" t="s">
        <v>126</v>
      </c>
      <c r="X2" s="217" t="s">
        <v>127</v>
      </c>
      <c r="Y2" s="217" t="s">
        <v>128</v>
      </c>
      <c r="Z2" s="217" t="s">
        <v>129</v>
      </c>
      <c r="AA2" s="217" t="s">
        <v>125</v>
      </c>
      <c r="AB2" s="217" t="s">
        <v>130</v>
      </c>
      <c r="AC2" s="217" t="s">
        <v>22</v>
      </c>
      <c r="AD2" s="217" t="s">
        <v>125</v>
      </c>
      <c r="AE2" s="217" t="s">
        <v>130</v>
      </c>
      <c r="AF2" s="217" t="s">
        <v>22</v>
      </c>
      <c r="AG2" s="217" t="s">
        <v>125</v>
      </c>
      <c r="AH2" s="217" t="s">
        <v>126</v>
      </c>
      <c r="AI2" s="217" t="s">
        <v>127</v>
      </c>
      <c r="AJ2" s="217" t="s">
        <v>128</v>
      </c>
      <c r="AK2" s="217" t="s">
        <v>129</v>
      </c>
      <c r="AL2" s="217" t="s">
        <v>125</v>
      </c>
      <c r="AM2" s="217" t="s">
        <v>126</v>
      </c>
      <c r="AN2" s="217" t="s">
        <v>127</v>
      </c>
      <c r="AO2" s="217" t="s">
        <v>128</v>
      </c>
      <c r="AP2" s="217" t="s">
        <v>129</v>
      </c>
      <c r="AQ2" s="217" t="s">
        <v>131</v>
      </c>
      <c r="AR2" s="217" t="s">
        <v>132</v>
      </c>
      <c r="AS2" s="227" t="s">
        <v>133</v>
      </c>
      <c r="AT2" s="227" t="s">
        <v>134</v>
      </c>
      <c r="AU2" s="227" t="s">
        <v>135</v>
      </c>
      <c r="AV2" s="227" t="s">
        <v>78</v>
      </c>
      <c r="AW2" s="227" t="s">
        <v>30</v>
      </c>
      <c r="AX2" s="187"/>
      <c r="AY2" s="187"/>
      <c r="AZ2" s="187"/>
      <c r="BA2" s="187"/>
      <c r="BB2" s="187"/>
      <c r="BC2" s="187"/>
      <c r="BD2" s="237"/>
    </row>
    <row r="3" s="180" customFormat="1" ht="18" customHeight="1" spans="1:60">
      <c r="A3" s="191">
        <v>1</v>
      </c>
      <c r="B3" s="161" t="s">
        <v>136</v>
      </c>
      <c r="C3" s="150" t="s">
        <v>137</v>
      </c>
      <c r="D3" s="160" t="s">
        <v>138</v>
      </c>
      <c r="E3" s="161" t="s">
        <v>139</v>
      </c>
      <c r="F3" s="162" t="s">
        <v>86</v>
      </c>
      <c r="G3" s="163" t="s">
        <v>88</v>
      </c>
      <c r="H3" s="160" t="s">
        <v>140</v>
      </c>
      <c r="I3" s="160" t="s">
        <v>140</v>
      </c>
      <c r="J3" s="160" t="s">
        <v>141</v>
      </c>
      <c r="K3" s="160" t="s">
        <v>141</v>
      </c>
      <c r="L3" s="191">
        <v>3300</v>
      </c>
      <c r="M3" s="191">
        <v>0.16</v>
      </c>
      <c r="N3" s="191">
        <f t="shared" ref="N3:N8" si="0">ROUND(L3*M3,2)</f>
        <v>528</v>
      </c>
      <c r="O3" s="191">
        <v>0.08</v>
      </c>
      <c r="P3" s="191">
        <f t="shared" ref="P3:P8" si="1">ROUND(L3*O3,2)</f>
        <v>264</v>
      </c>
      <c r="Q3" s="191">
        <v>3300</v>
      </c>
      <c r="R3" s="191">
        <v>0.08</v>
      </c>
      <c r="S3" s="191">
        <f t="shared" ref="S3:S8" si="2">ROUND(Q3*R3,2)</f>
        <v>264</v>
      </c>
      <c r="T3" s="191">
        <v>0.02</v>
      </c>
      <c r="U3" s="191">
        <f t="shared" ref="U3:U8" si="3">ROUND(Q3*T3,2)</f>
        <v>66</v>
      </c>
      <c r="V3" s="191">
        <v>3300</v>
      </c>
      <c r="W3" s="191">
        <v>0.007</v>
      </c>
      <c r="X3" s="191">
        <f t="shared" ref="X3:X8" si="4">ROUND(V3*W3,2)</f>
        <v>23.1</v>
      </c>
      <c r="Y3" s="191">
        <v>0.003</v>
      </c>
      <c r="Z3" s="191">
        <f t="shared" ref="Z3:Z8" si="5">ROUND(V3*Y3,2)</f>
        <v>9.9</v>
      </c>
      <c r="AA3" s="191"/>
      <c r="AB3" s="191"/>
      <c r="AC3" s="191"/>
      <c r="AD3" s="191">
        <v>3300</v>
      </c>
      <c r="AE3" s="191">
        <v>0.002</v>
      </c>
      <c r="AF3" s="191">
        <f t="shared" ref="AF3:AF15" si="6">ROUND(AD3*AE3,2)</f>
        <v>6.6</v>
      </c>
      <c r="AG3" s="191">
        <v>3000</v>
      </c>
      <c r="AH3" s="191">
        <v>0.1</v>
      </c>
      <c r="AI3" s="191">
        <f>ROUND(AG3*AH3,2)</f>
        <v>300</v>
      </c>
      <c r="AJ3" s="191">
        <v>0.06</v>
      </c>
      <c r="AK3" s="191">
        <f>ROUND(AG3*AJ3,2)</f>
        <v>180</v>
      </c>
      <c r="AL3" s="223"/>
      <c r="AM3" s="191"/>
      <c r="AN3" s="191"/>
      <c r="AO3" s="191"/>
      <c r="AP3" s="161" t="s">
        <v>142</v>
      </c>
      <c r="AQ3" s="228">
        <v>5</v>
      </c>
      <c r="AR3" s="191"/>
      <c r="AS3" s="229">
        <f t="shared" ref="AS3:AS15" si="7">N3+S3+X3+AC3+AF3+AN3+AQ3</f>
        <v>826.7</v>
      </c>
      <c r="AT3" s="229">
        <f t="shared" ref="AT3:AT15" si="8">P3+U3+Z3</f>
        <v>339.9</v>
      </c>
      <c r="AU3" s="229">
        <f t="shared" ref="AU3:AU15" si="9">AI3</f>
        <v>300</v>
      </c>
      <c r="AV3" s="229">
        <f t="shared" ref="AV3:AV15" si="10">AK3</f>
        <v>180</v>
      </c>
      <c r="AW3" s="229">
        <f t="shared" ref="AW3:AW15" si="11">AV3+AS3+AT3+AU3</f>
        <v>1646.6</v>
      </c>
      <c r="AX3" s="238">
        <f t="shared" ref="AX3:AX15" si="12">AS3+AT3</f>
        <v>1166.6</v>
      </c>
      <c r="AY3" s="238"/>
      <c r="AZ3" s="238">
        <f t="shared" ref="AZ3:AZ8" si="13">AU3+AV3</f>
        <v>480</v>
      </c>
      <c r="BA3" s="238"/>
      <c r="BB3" s="239">
        <v>80</v>
      </c>
      <c r="BC3" s="238">
        <f t="shared" ref="BC3:BC15" si="14">AX3+AZ3+BB3</f>
        <v>1726.6</v>
      </c>
      <c r="BD3" s="240"/>
      <c r="BE3" s="257"/>
      <c r="BF3" s="258"/>
      <c r="BG3" s="258"/>
      <c r="BH3" s="259" t="s">
        <v>142</v>
      </c>
    </row>
    <row r="4" s="180" customFormat="1" ht="18" customHeight="1" spans="1:60">
      <c r="A4" s="191"/>
      <c r="B4" s="161" t="s">
        <v>136</v>
      </c>
      <c r="C4" s="150" t="s">
        <v>137</v>
      </c>
      <c r="D4" s="160" t="s">
        <v>138</v>
      </c>
      <c r="E4" s="161" t="s">
        <v>139</v>
      </c>
      <c r="F4" s="162" t="s">
        <v>86</v>
      </c>
      <c r="G4" s="163" t="s">
        <v>88</v>
      </c>
      <c r="H4" s="160" t="s">
        <v>140</v>
      </c>
      <c r="I4" s="160" t="s">
        <v>140</v>
      </c>
      <c r="J4" s="160" t="s">
        <v>143</v>
      </c>
      <c r="K4" s="160" t="s">
        <v>143</v>
      </c>
      <c r="L4" s="191">
        <v>3300</v>
      </c>
      <c r="M4" s="191">
        <v>0.16</v>
      </c>
      <c r="N4" s="191">
        <f t="shared" si="0"/>
        <v>528</v>
      </c>
      <c r="O4" s="191">
        <v>0.08</v>
      </c>
      <c r="P4" s="191">
        <f t="shared" si="1"/>
        <v>264</v>
      </c>
      <c r="Q4" s="191">
        <v>3300</v>
      </c>
      <c r="R4" s="191">
        <v>0.08</v>
      </c>
      <c r="S4" s="191">
        <f t="shared" si="2"/>
        <v>264</v>
      </c>
      <c r="T4" s="191">
        <v>0.02</v>
      </c>
      <c r="U4" s="191">
        <f t="shared" si="3"/>
        <v>66</v>
      </c>
      <c r="V4" s="191">
        <v>3300</v>
      </c>
      <c r="W4" s="191">
        <v>0.007</v>
      </c>
      <c r="X4" s="191">
        <f t="shared" si="4"/>
        <v>23.1</v>
      </c>
      <c r="Y4" s="191">
        <v>0.003</v>
      </c>
      <c r="Z4" s="191">
        <f t="shared" si="5"/>
        <v>9.9</v>
      </c>
      <c r="AA4" s="191"/>
      <c r="AB4" s="191"/>
      <c r="AC4" s="191"/>
      <c r="AD4" s="191">
        <v>3300</v>
      </c>
      <c r="AE4" s="191">
        <v>0.002</v>
      </c>
      <c r="AF4" s="191">
        <f t="shared" si="6"/>
        <v>6.6</v>
      </c>
      <c r="AG4" s="191">
        <v>3000</v>
      </c>
      <c r="AH4" s="191">
        <v>0.1</v>
      </c>
      <c r="AI4" s="191">
        <f>ROUND(AG4*AH4,2)</f>
        <v>300</v>
      </c>
      <c r="AJ4" s="191">
        <v>0.06</v>
      </c>
      <c r="AK4" s="191">
        <f>ROUND(AG4*AJ4,2)</f>
        <v>180</v>
      </c>
      <c r="AL4" s="223"/>
      <c r="AM4" s="191"/>
      <c r="AN4" s="191"/>
      <c r="AO4" s="191"/>
      <c r="AP4" s="161" t="s">
        <v>142</v>
      </c>
      <c r="AQ4" s="228">
        <v>5</v>
      </c>
      <c r="AR4" s="191"/>
      <c r="AS4" s="229">
        <f t="shared" si="7"/>
        <v>826.7</v>
      </c>
      <c r="AT4" s="229">
        <f t="shared" si="8"/>
        <v>339.9</v>
      </c>
      <c r="AU4" s="229">
        <f t="shared" si="9"/>
        <v>300</v>
      </c>
      <c r="AV4" s="229">
        <f t="shared" si="10"/>
        <v>180</v>
      </c>
      <c r="AW4" s="229">
        <f t="shared" si="11"/>
        <v>1646.6</v>
      </c>
      <c r="AX4" s="238">
        <f t="shared" si="12"/>
        <v>1166.6</v>
      </c>
      <c r="AY4" s="238"/>
      <c r="AZ4" s="238">
        <f t="shared" si="13"/>
        <v>480</v>
      </c>
      <c r="BA4" s="238"/>
      <c r="BB4" s="239">
        <v>80</v>
      </c>
      <c r="BC4" s="238">
        <f t="shared" si="14"/>
        <v>1726.6</v>
      </c>
      <c r="BD4" s="240"/>
      <c r="BE4" s="257"/>
      <c r="BF4" s="258"/>
      <c r="BG4" s="258"/>
      <c r="BH4" s="259" t="s">
        <v>142</v>
      </c>
    </row>
    <row r="5" s="180" customFormat="1" ht="18" customHeight="1" spans="1:60">
      <c r="A5" s="191"/>
      <c r="B5" s="161" t="s">
        <v>136</v>
      </c>
      <c r="C5" s="150" t="s">
        <v>137</v>
      </c>
      <c r="D5" s="160" t="s">
        <v>138</v>
      </c>
      <c r="E5" s="161" t="s">
        <v>139</v>
      </c>
      <c r="F5" s="162" t="s">
        <v>86</v>
      </c>
      <c r="G5" s="163" t="s">
        <v>88</v>
      </c>
      <c r="H5" s="160" t="s">
        <v>140</v>
      </c>
      <c r="I5" s="160" t="s">
        <v>140</v>
      </c>
      <c r="J5" s="160" t="s">
        <v>144</v>
      </c>
      <c r="K5" s="160" t="s">
        <v>144</v>
      </c>
      <c r="L5" s="191">
        <v>3300</v>
      </c>
      <c r="M5" s="191">
        <v>0.16</v>
      </c>
      <c r="N5" s="191">
        <f t="shared" si="0"/>
        <v>528</v>
      </c>
      <c r="O5" s="191">
        <v>0.08</v>
      </c>
      <c r="P5" s="191">
        <f t="shared" si="1"/>
        <v>264</v>
      </c>
      <c r="Q5" s="191">
        <v>3300</v>
      </c>
      <c r="R5" s="191">
        <v>0.08</v>
      </c>
      <c r="S5" s="191">
        <f t="shared" si="2"/>
        <v>264</v>
      </c>
      <c r="T5" s="191">
        <v>0.02</v>
      </c>
      <c r="U5" s="191">
        <f t="shared" si="3"/>
        <v>66</v>
      </c>
      <c r="V5" s="191">
        <v>3300</v>
      </c>
      <c r="W5" s="191">
        <v>0.007</v>
      </c>
      <c r="X5" s="191">
        <f t="shared" si="4"/>
        <v>23.1</v>
      </c>
      <c r="Y5" s="191">
        <v>0.003</v>
      </c>
      <c r="Z5" s="191">
        <f t="shared" si="5"/>
        <v>9.9</v>
      </c>
      <c r="AA5" s="191"/>
      <c r="AB5" s="191"/>
      <c r="AC5" s="191"/>
      <c r="AD5" s="191">
        <v>3300</v>
      </c>
      <c r="AE5" s="191">
        <v>0.002</v>
      </c>
      <c r="AF5" s="191">
        <f t="shared" si="6"/>
        <v>6.6</v>
      </c>
      <c r="AG5" s="191">
        <v>3000</v>
      </c>
      <c r="AH5" s="191">
        <v>0.1</v>
      </c>
      <c r="AI5" s="191">
        <f>ROUND(AG5*AH5,2)</f>
        <v>300</v>
      </c>
      <c r="AJ5" s="191">
        <v>0.06</v>
      </c>
      <c r="AK5" s="191">
        <f>ROUND(AG5*AJ5,2)</f>
        <v>180</v>
      </c>
      <c r="AL5" s="223"/>
      <c r="AM5" s="191"/>
      <c r="AN5" s="191"/>
      <c r="AO5" s="191"/>
      <c r="AP5" s="161" t="s">
        <v>142</v>
      </c>
      <c r="AQ5" s="228">
        <v>5</v>
      </c>
      <c r="AR5" s="191"/>
      <c r="AS5" s="229">
        <f t="shared" si="7"/>
        <v>826.7</v>
      </c>
      <c r="AT5" s="229">
        <f t="shared" si="8"/>
        <v>339.9</v>
      </c>
      <c r="AU5" s="229">
        <f t="shared" si="9"/>
        <v>300</v>
      </c>
      <c r="AV5" s="229">
        <f t="shared" si="10"/>
        <v>180</v>
      </c>
      <c r="AW5" s="229">
        <f t="shared" si="11"/>
        <v>1646.6</v>
      </c>
      <c r="AX5" s="238">
        <f t="shared" si="12"/>
        <v>1166.6</v>
      </c>
      <c r="AY5" s="238"/>
      <c r="AZ5" s="238">
        <f t="shared" si="13"/>
        <v>480</v>
      </c>
      <c r="BA5" s="238"/>
      <c r="BB5" s="239">
        <v>80</v>
      </c>
      <c r="BC5" s="238">
        <f t="shared" si="14"/>
        <v>1726.6</v>
      </c>
      <c r="BD5" s="240"/>
      <c r="BE5" s="257"/>
      <c r="BF5" s="258"/>
      <c r="BG5" s="258"/>
      <c r="BH5" s="259" t="s">
        <v>142</v>
      </c>
    </row>
    <row r="6" s="180" customFormat="1" ht="18" customHeight="1" spans="1:60">
      <c r="A6" s="191">
        <v>2</v>
      </c>
      <c r="B6" s="161" t="s">
        <v>136</v>
      </c>
      <c r="C6" s="150" t="s">
        <v>145</v>
      </c>
      <c r="D6" s="160" t="s">
        <v>138</v>
      </c>
      <c r="E6" s="161" t="s">
        <v>146</v>
      </c>
      <c r="F6" s="162" t="s">
        <v>89</v>
      </c>
      <c r="G6" s="388" t="s">
        <v>90</v>
      </c>
      <c r="H6" s="160" t="s">
        <v>140</v>
      </c>
      <c r="I6" s="160" t="s">
        <v>147</v>
      </c>
      <c r="J6" s="160" t="s">
        <v>141</v>
      </c>
      <c r="K6" s="160" t="s">
        <v>147</v>
      </c>
      <c r="L6" s="191">
        <v>3803</v>
      </c>
      <c r="M6" s="191">
        <v>0.14</v>
      </c>
      <c r="N6" s="191">
        <f t="shared" si="0"/>
        <v>532.42</v>
      </c>
      <c r="O6" s="191">
        <v>0.08</v>
      </c>
      <c r="P6" s="191">
        <f t="shared" si="1"/>
        <v>304.24</v>
      </c>
      <c r="Q6" s="191">
        <v>6175</v>
      </c>
      <c r="R6" s="191">
        <v>0.055</v>
      </c>
      <c r="S6" s="191">
        <f t="shared" si="2"/>
        <v>339.63</v>
      </c>
      <c r="T6" s="191">
        <v>0.02</v>
      </c>
      <c r="U6" s="191">
        <f t="shared" si="3"/>
        <v>123.5</v>
      </c>
      <c r="V6" s="191">
        <v>3803</v>
      </c>
      <c r="W6" s="191">
        <v>0.0032</v>
      </c>
      <c r="X6" s="191">
        <f t="shared" si="4"/>
        <v>12.17</v>
      </c>
      <c r="Y6" s="191">
        <v>0.002</v>
      </c>
      <c r="Z6" s="191">
        <f t="shared" si="5"/>
        <v>7.61</v>
      </c>
      <c r="AA6" s="191">
        <v>6175</v>
      </c>
      <c r="AB6" s="191">
        <v>0.0085</v>
      </c>
      <c r="AC6" s="191">
        <f t="shared" ref="AC6:AC8" si="15">ROUND(AA6*AB6,2)</f>
        <v>52.49</v>
      </c>
      <c r="AD6" s="191">
        <v>3803</v>
      </c>
      <c r="AE6" s="191">
        <v>0.0016</v>
      </c>
      <c r="AF6" s="191">
        <f t="shared" si="6"/>
        <v>6.08</v>
      </c>
      <c r="AG6" s="191"/>
      <c r="AH6" s="191"/>
      <c r="AI6" s="191"/>
      <c r="AJ6" s="191"/>
      <c r="AK6" s="191"/>
      <c r="AL6" s="223"/>
      <c r="AM6" s="191"/>
      <c r="AN6" s="191"/>
      <c r="AO6" s="191"/>
      <c r="AP6" s="161"/>
      <c r="AQ6" s="228">
        <v>26.76</v>
      </c>
      <c r="AR6" s="191"/>
      <c r="AS6" s="229">
        <f t="shared" si="7"/>
        <v>969.55</v>
      </c>
      <c r="AT6" s="229">
        <f t="shared" si="8"/>
        <v>435.35</v>
      </c>
      <c r="AU6" s="229">
        <f t="shared" si="9"/>
        <v>0</v>
      </c>
      <c r="AV6" s="229">
        <f t="shared" si="10"/>
        <v>0</v>
      </c>
      <c r="AW6" s="229">
        <f t="shared" si="11"/>
        <v>1404.9</v>
      </c>
      <c r="AX6" s="238">
        <f t="shared" si="12"/>
        <v>1404.9</v>
      </c>
      <c r="AY6" s="238"/>
      <c r="AZ6" s="238">
        <f t="shared" si="13"/>
        <v>0</v>
      </c>
      <c r="BA6" s="238"/>
      <c r="BB6" s="239">
        <v>80</v>
      </c>
      <c r="BC6" s="238">
        <f t="shared" si="14"/>
        <v>1484.9</v>
      </c>
      <c r="BD6" s="240"/>
      <c r="BE6" s="260"/>
      <c r="BF6" s="260"/>
      <c r="BG6" s="260"/>
      <c r="BH6" s="260"/>
    </row>
    <row r="7" s="180" customFormat="1" ht="18" customHeight="1" spans="1:60">
      <c r="A7" s="191"/>
      <c r="B7" s="161" t="s">
        <v>136</v>
      </c>
      <c r="C7" s="150" t="s">
        <v>145</v>
      </c>
      <c r="D7" s="160" t="s">
        <v>138</v>
      </c>
      <c r="E7" s="161" t="s">
        <v>146</v>
      </c>
      <c r="F7" s="162" t="s">
        <v>89</v>
      </c>
      <c r="G7" s="388" t="s">
        <v>90</v>
      </c>
      <c r="H7" s="160" t="s">
        <v>140</v>
      </c>
      <c r="I7" s="160" t="s">
        <v>147</v>
      </c>
      <c r="J7" s="160" t="s">
        <v>143</v>
      </c>
      <c r="K7" s="160" t="s">
        <v>147</v>
      </c>
      <c r="L7" s="191">
        <v>3803</v>
      </c>
      <c r="M7" s="191">
        <v>0.14</v>
      </c>
      <c r="N7" s="191">
        <f t="shared" si="0"/>
        <v>532.42</v>
      </c>
      <c r="O7" s="191">
        <v>0.08</v>
      </c>
      <c r="P7" s="191">
        <f t="shared" si="1"/>
        <v>304.24</v>
      </c>
      <c r="Q7" s="191">
        <v>6175</v>
      </c>
      <c r="R7" s="191">
        <v>0.055</v>
      </c>
      <c r="S7" s="191">
        <f t="shared" si="2"/>
        <v>339.63</v>
      </c>
      <c r="T7" s="191">
        <v>0.02</v>
      </c>
      <c r="U7" s="191">
        <f t="shared" si="3"/>
        <v>123.5</v>
      </c>
      <c r="V7" s="191">
        <v>3803</v>
      </c>
      <c r="W7" s="191">
        <v>0.0032</v>
      </c>
      <c r="X7" s="191">
        <f t="shared" si="4"/>
        <v>12.17</v>
      </c>
      <c r="Y7" s="191">
        <v>0.002</v>
      </c>
      <c r="Z7" s="191">
        <f t="shared" si="5"/>
        <v>7.61</v>
      </c>
      <c r="AA7" s="191">
        <v>6175</v>
      </c>
      <c r="AB7" s="191">
        <v>0.0085</v>
      </c>
      <c r="AC7" s="191">
        <f t="shared" si="15"/>
        <v>52.49</v>
      </c>
      <c r="AD7" s="191">
        <v>3803</v>
      </c>
      <c r="AE7" s="191">
        <v>0.0016</v>
      </c>
      <c r="AF7" s="191">
        <f t="shared" si="6"/>
        <v>6.08</v>
      </c>
      <c r="AG7" s="191"/>
      <c r="AH7" s="191"/>
      <c r="AI7" s="191"/>
      <c r="AJ7" s="191"/>
      <c r="AK7" s="191"/>
      <c r="AL7" s="223"/>
      <c r="AM7" s="191"/>
      <c r="AN7" s="191"/>
      <c r="AO7" s="191"/>
      <c r="AP7" s="161"/>
      <c r="AQ7" s="228">
        <v>26.76</v>
      </c>
      <c r="AR7" s="191"/>
      <c r="AS7" s="229">
        <f t="shared" si="7"/>
        <v>969.55</v>
      </c>
      <c r="AT7" s="229">
        <f t="shared" si="8"/>
        <v>435.35</v>
      </c>
      <c r="AU7" s="229">
        <f t="shared" si="9"/>
        <v>0</v>
      </c>
      <c r="AV7" s="229">
        <f t="shared" si="10"/>
        <v>0</v>
      </c>
      <c r="AW7" s="229">
        <f t="shared" si="11"/>
        <v>1404.9</v>
      </c>
      <c r="AX7" s="238">
        <f t="shared" si="12"/>
        <v>1404.9</v>
      </c>
      <c r="AY7" s="238"/>
      <c r="AZ7" s="238">
        <f t="shared" si="13"/>
        <v>0</v>
      </c>
      <c r="BA7" s="238"/>
      <c r="BB7" s="239">
        <v>80</v>
      </c>
      <c r="BC7" s="238">
        <f t="shared" si="14"/>
        <v>1484.9</v>
      </c>
      <c r="BD7" s="240"/>
      <c r="BE7" s="260"/>
      <c r="BF7" s="260"/>
      <c r="BG7" s="260"/>
      <c r="BH7" s="260"/>
    </row>
    <row r="8" s="180" customFormat="1" ht="18" customHeight="1" spans="1:60">
      <c r="A8" s="191"/>
      <c r="B8" s="161" t="s">
        <v>136</v>
      </c>
      <c r="C8" s="150" t="s">
        <v>145</v>
      </c>
      <c r="D8" s="160" t="s">
        <v>138</v>
      </c>
      <c r="E8" s="161" t="s">
        <v>146</v>
      </c>
      <c r="F8" s="162" t="s">
        <v>89</v>
      </c>
      <c r="G8" s="388" t="s">
        <v>90</v>
      </c>
      <c r="H8" s="160" t="s">
        <v>140</v>
      </c>
      <c r="I8" s="160" t="s">
        <v>147</v>
      </c>
      <c r="J8" s="160" t="s">
        <v>144</v>
      </c>
      <c r="K8" s="160" t="s">
        <v>147</v>
      </c>
      <c r="L8" s="191">
        <v>3803</v>
      </c>
      <c r="M8" s="191">
        <v>0.14</v>
      </c>
      <c r="N8" s="191">
        <f t="shared" si="0"/>
        <v>532.42</v>
      </c>
      <c r="O8" s="191">
        <v>0.08</v>
      </c>
      <c r="P8" s="191">
        <f t="shared" si="1"/>
        <v>304.24</v>
      </c>
      <c r="Q8" s="191">
        <v>6175</v>
      </c>
      <c r="R8" s="191">
        <v>0.055</v>
      </c>
      <c r="S8" s="191">
        <f t="shared" si="2"/>
        <v>339.63</v>
      </c>
      <c r="T8" s="191">
        <v>0.02</v>
      </c>
      <c r="U8" s="191">
        <f t="shared" si="3"/>
        <v>123.5</v>
      </c>
      <c r="V8" s="191">
        <v>3803</v>
      </c>
      <c r="W8" s="191">
        <v>0.0032</v>
      </c>
      <c r="X8" s="191">
        <f t="shared" si="4"/>
        <v>12.17</v>
      </c>
      <c r="Y8" s="191">
        <v>0.002</v>
      </c>
      <c r="Z8" s="191">
        <f t="shared" si="5"/>
        <v>7.61</v>
      </c>
      <c r="AA8" s="191">
        <v>6175</v>
      </c>
      <c r="AB8" s="191">
        <v>0.0085</v>
      </c>
      <c r="AC8" s="191">
        <f t="shared" si="15"/>
        <v>52.49</v>
      </c>
      <c r="AD8" s="191">
        <v>3803</v>
      </c>
      <c r="AE8" s="191">
        <v>0.0016</v>
      </c>
      <c r="AF8" s="191">
        <f t="shared" si="6"/>
        <v>6.08</v>
      </c>
      <c r="AG8" s="191"/>
      <c r="AH8" s="191"/>
      <c r="AI8" s="191"/>
      <c r="AJ8" s="191"/>
      <c r="AK8" s="191"/>
      <c r="AL8" s="223"/>
      <c r="AM8" s="191"/>
      <c r="AN8" s="191"/>
      <c r="AO8" s="191"/>
      <c r="AP8" s="161"/>
      <c r="AQ8" s="228">
        <v>26.76</v>
      </c>
      <c r="AR8" s="191"/>
      <c r="AS8" s="229">
        <f t="shared" si="7"/>
        <v>969.55</v>
      </c>
      <c r="AT8" s="229">
        <f t="shared" si="8"/>
        <v>435.35</v>
      </c>
      <c r="AU8" s="229">
        <f t="shared" si="9"/>
        <v>0</v>
      </c>
      <c r="AV8" s="229">
        <f t="shared" si="10"/>
        <v>0</v>
      </c>
      <c r="AW8" s="229">
        <f t="shared" si="11"/>
        <v>1404.9</v>
      </c>
      <c r="AX8" s="238">
        <f t="shared" si="12"/>
        <v>1404.9</v>
      </c>
      <c r="AY8" s="238"/>
      <c r="AZ8" s="238">
        <f t="shared" si="13"/>
        <v>0</v>
      </c>
      <c r="BA8" s="238"/>
      <c r="BB8" s="239">
        <v>80</v>
      </c>
      <c r="BC8" s="238">
        <f t="shared" si="14"/>
        <v>1484.9</v>
      </c>
      <c r="BD8" s="240"/>
      <c r="BE8" s="260"/>
      <c r="BF8" s="260"/>
      <c r="BG8" s="260"/>
      <c r="BH8" s="260"/>
    </row>
    <row r="9" s="270" customFormat="1" ht="18" customHeight="1" spans="1:60">
      <c r="A9" s="271" t="s">
        <v>148</v>
      </c>
      <c r="B9" s="272" t="s">
        <v>136</v>
      </c>
      <c r="C9" s="145" t="s">
        <v>145</v>
      </c>
      <c r="D9" s="273" t="s">
        <v>138</v>
      </c>
      <c r="E9" s="272" t="s">
        <v>146</v>
      </c>
      <c r="F9" s="274" t="s">
        <v>89</v>
      </c>
      <c r="G9" s="389" t="s">
        <v>90</v>
      </c>
      <c r="H9" s="273" t="s">
        <v>140</v>
      </c>
      <c r="I9" s="273" t="s">
        <v>147</v>
      </c>
      <c r="J9" s="273" t="s">
        <v>149</v>
      </c>
      <c r="K9" s="273" t="s">
        <v>147</v>
      </c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1"/>
      <c r="AB9" s="271"/>
      <c r="AC9" s="271"/>
      <c r="AD9" s="276">
        <f t="shared" ref="AD9:AD11" si="16">3803-3000</f>
        <v>803</v>
      </c>
      <c r="AE9" s="276">
        <v>0.0016</v>
      </c>
      <c r="AF9" s="276">
        <f t="shared" si="6"/>
        <v>1.28</v>
      </c>
      <c r="AG9" s="271"/>
      <c r="AH9" s="271"/>
      <c r="AI9" s="271"/>
      <c r="AJ9" s="271"/>
      <c r="AK9" s="271"/>
      <c r="AL9" s="277"/>
      <c r="AM9" s="271"/>
      <c r="AN9" s="271"/>
      <c r="AO9" s="271"/>
      <c r="AP9" s="272"/>
      <c r="AQ9" s="278"/>
      <c r="AR9" s="271"/>
      <c r="AS9" s="279">
        <f t="shared" si="7"/>
        <v>1.28</v>
      </c>
      <c r="AT9" s="279">
        <f t="shared" si="8"/>
        <v>0</v>
      </c>
      <c r="AU9" s="279">
        <f t="shared" si="9"/>
        <v>0</v>
      </c>
      <c r="AV9" s="279">
        <f t="shared" si="10"/>
        <v>0</v>
      </c>
      <c r="AW9" s="279">
        <f t="shared" si="11"/>
        <v>1.28</v>
      </c>
      <c r="AX9" s="280">
        <f t="shared" si="12"/>
        <v>1.28</v>
      </c>
      <c r="AY9" s="280"/>
      <c r="AZ9" s="280"/>
      <c r="BA9" s="280"/>
      <c r="BB9" s="281"/>
      <c r="BC9" s="280">
        <f t="shared" si="14"/>
        <v>1.28</v>
      </c>
      <c r="BD9" s="282" t="s">
        <v>150</v>
      </c>
      <c r="BE9" s="283"/>
      <c r="BF9" s="283"/>
      <c r="BG9" s="283"/>
      <c r="BH9" s="283"/>
    </row>
    <row r="10" s="270" customFormat="1" ht="18" customHeight="1" spans="1:60">
      <c r="A10" s="271" t="s">
        <v>148</v>
      </c>
      <c r="B10" s="272" t="s">
        <v>136</v>
      </c>
      <c r="C10" s="145" t="s">
        <v>145</v>
      </c>
      <c r="D10" s="273" t="s">
        <v>138</v>
      </c>
      <c r="E10" s="272" t="s">
        <v>146</v>
      </c>
      <c r="F10" s="274" t="s">
        <v>89</v>
      </c>
      <c r="G10" s="389" t="s">
        <v>90</v>
      </c>
      <c r="H10" s="273" t="s">
        <v>140</v>
      </c>
      <c r="I10" s="273" t="s">
        <v>147</v>
      </c>
      <c r="J10" s="273" t="s">
        <v>151</v>
      </c>
      <c r="K10" s="273" t="s">
        <v>147</v>
      </c>
      <c r="L10" s="271"/>
      <c r="M10" s="271"/>
      <c r="N10" s="271"/>
      <c r="O10" s="271"/>
      <c r="P10" s="271"/>
      <c r="Q10" s="271"/>
      <c r="R10" s="271"/>
      <c r="S10" s="271"/>
      <c r="T10" s="271"/>
      <c r="U10" s="271"/>
      <c r="V10" s="271"/>
      <c r="W10" s="271"/>
      <c r="X10" s="271"/>
      <c r="Y10" s="271"/>
      <c r="Z10" s="271"/>
      <c r="AA10" s="271"/>
      <c r="AB10" s="271"/>
      <c r="AC10" s="271"/>
      <c r="AD10" s="276">
        <f t="shared" si="16"/>
        <v>803</v>
      </c>
      <c r="AE10" s="276">
        <v>0.0016</v>
      </c>
      <c r="AF10" s="276">
        <f t="shared" si="6"/>
        <v>1.28</v>
      </c>
      <c r="AG10" s="271"/>
      <c r="AH10" s="271"/>
      <c r="AI10" s="271"/>
      <c r="AJ10" s="271"/>
      <c r="AK10" s="271"/>
      <c r="AL10" s="277"/>
      <c r="AM10" s="271"/>
      <c r="AN10" s="271"/>
      <c r="AO10" s="271"/>
      <c r="AP10" s="272"/>
      <c r="AQ10" s="278"/>
      <c r="AR10" s="271"/>
      <c r="AS10" s="279">
        <f t="shared" si="7"/>
        <v>1.28</v>
      </c>
      <c r="AT10" s="279">
        <f t="shared" si="8"/>
        <v>0</v>
      </c>
      <c r="AU10" s="279">
        <f t="shared" si="9"/>
        <v>0</v>
      </c>
      <c r="AV10" s="279">
        <f t="shared" si="10"/>
        <v>0</v>
      </c>
      <c r="AW10" s="279">
        <f t="shared" si="11"/>
        <v>1.28</v>
      </c>
      <c r="AX10" s="280">
        <f t="shared" si="12"/>
        <v>1.28</v>
      </c>
      <c r="AY10" s="280"/>
      <c r="AZ10" s="280"/>
      <c r="BA10" s="280"/>
      <c r="BB10" s="281"/>
      <c r="BC10" s="280">
        <f t="shared" si="14"/>
        <v>1.28</v>
      </c>
      <c r="BD10" s="282" t="s">
        <v>150</v>
      </c>
      <c r="BE10" s="283"/>
      <c r="BF10" s="283"/>
      <c r="BG10" s="283"/>
      <c r="BH10" s="283"/>
    </row>
    <row r="11" s="270" customFormat="1" ht="18" customHeight="1" spans="1:60">
      <c r="A11" s="271" t="s">
        <v>148</v>
      </c>
      <c r="B11" s="272" t="s">
        <v>136</v>
      </c>
      <c r="C11" s="145" t="s">
        <v>145</v>
      </c>
      <c r="D11" s="273" t="s">
        <v>138</v>
      </c>
      <c r="E11" s="272" t="s">
        <v>146</v>
      </c>
      <c r="F11" s="274" t="s">
        <v>89</v>
      </c>
      <c r="G11" s="389" t="s">
        <v>90</v>
      </c>
      <c r="H11" s="273" t="s">
        <v>140</v>
      </c>
      <c r="I11" s="273" t="s">
        <v>147</v>
      </c>
      <c r="J11" s="273" t="s">
        <v>152</v>
      </c>
      <c r="K11" s="273" t="s">
        <v>147</v>
      </c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1"/>
      <c r="W11" s="271"/>
      <c r="X11" s="271"/>
      <c r="Y11" s="271"/>
      <c r="Z11" s="271"/>
      <c r="AA11" s="271"/>
      <c r="AB11" s="271"/>
      <c r="AC11" s="271"/>
      <c r="AD11" s="276">
        <f t="shared" si="16"/>
        <v>803</v>
      </c>
      <c r="AE11" s="276">
        <v>0.0016</v>
      </c>
      <c r="AF11" s="276">
        <f t="shared" si="6"/>
        <v>1.28</v>
      </c>
      <c r="AG11" s="271"/>
      <c r="AH11" s="271"/>
      <c r="AI11" s="271"/>
      <c r="AJ11" s="271"/>
      <c r="AK11" s="271"/>
      <c r="AL11" s="277"/>
      <c r="AM11" s="271"/>
      <c r="AN11" s="271"/>
      <c r="AO11" s="271"/>
      <c r="AP11" s="272"/>
      <c r="AQ11" s="278"/>
      <c r="AR11" s="271"/>
      <c r="AS11" s="279">
        <f t="shared" si="7"/>
        <v>1.28</v>
      </c>
      <c r="AT11" s="279">
        <f t="shared" si="8"/>
        <v>0</v>
      </c>
      <c r="AU11" s="279">
        <f t="shared" si="9"/>
        <v>0</v>
      </c>
      <c r="AV11" s="279">
        <f t="shared" si="10"/>
        <v>0</v>
      </c>
      <c r="AW11" s="279">
        <f t="shared" si="11"/>
        <v>1.28</v>
      </c>
      <c r="AX11" s="280">
        <f t="shared" si="12"/>
        <v>1.28</v>
      </c>
      <c r="AY11" s="280"/>
      <c r="AZ11" s="280"/>
      <c r="BA11" s="280"/>
      <c r="BB11" s="281"/>
      <c r="BC11" s="280">
        <f t="shared" si="14"/>
        <v>1.28</v>
      </c>
      <c r="BD11" s="282" t="s">
        <v>150</v>
      </c>
      <c r="BE11" s="283"/>
      <c r="BF11" s="283"/>
      <c r="BG11" s="283"/>
      <c r="BH11" s="283"/>
    </row>
    <row r="12" s="180" customFormat="1" ht="18" customHeight="1" spans="1:60">
      <c r="A12" s="191">
        <v>3</v>
      </c>
      <c r="B12" s="161" t="s">
        <v>136</v>
      </c>
      <c r="C12" s="150" t="s">
        <v>153</v>
      </c>
      <c r="D12" s="160" t="s">
        <v>138</v>
      </c>
      <c r="E12" s="161" t="s">
        <v>146</v>
      </c>
      <c r="F12" s="162" t="s">
        <v>154</v>
      </c>
      <c r="G12" s="163" t="s">
        <v>155</v>
      </c>
      <c r="H12" s="160" t="s">
        <v>156</v>
      </c>
      <c r="I12" s="160" t="s">
        <v>156</v>
      </c>
      <c r="J12" s="160" t="s">
        <v>143</v>
      </c>
      <c r="K12" s="160" t="s">
        <v>143</v>
      </c>
      <c r="L12" s="191">
        <v>3053.05</v>
      </c>
      <c r="M12" s="191">
        <v>0.16</v>
      </c>
      <c r="N12" s="191">
        <f t="shared" ref="N12:N15" si="17">ROUND(L12*M12,2)</f>
        <v>488.49</v>
      </c>
      <c r="O12" s="191">
        <v>0.08</v>
      </c>
      <c r="P12" s="191">
        <f t="shared" ref="P12:P15" si="18">ROUND(L12*O12,2)</f>
        <v>244.24</v>
      </c>
      <c r="Q12" s="191">
        <v>3053.05</v>
      </c>
      <c r="R12" s="191">
        <v>0.06</v>
      </c>
      <c r="S12" s="191">
        <f t="shared" ref="S12:S15" si="19">ROUND(Q12*R12,2)</f>
        <v>183.18</v>
      </c>
      <c r="T12" s="191">
        <v>0.02</v>
      </c>
      <c r="U12" s="191">
        <f t="shared" ref="U12:U15" si="20">ROUND(Q12*T12,2)</f>
        <v>61.06</v>
      </c>
      <c r="V12" s="191">
        <v>3053.05</v>
      </c>
      <c r="W12" s="191">
        <v>0.007</v>
      </c>
      <c r="X12" s="191">
        <f t="shared" ref="X12:X15" si="21">ROUND(V12*W12,2)</f>
        <v>21.37</v>
      </c>
      <c r="Y12" s="191">
        <v>0.003</v>
      </c>
      <c r="Z12" s="191">
        <f t="shared" ref="Z12:Z15" si="22">ROUND(V12*Y12,2)</f>
        <v>9.16</v>
      </c>
      <c r="AA12" s="191">
        <v>3053.05</v>
      </c>
      <c r="AB12" s="191">
        <v>0.007</v>
      </c>
      <c r="AC12" s="191">
        <f t="shared" ref="AC12:AC15" si="23">ROUND(AA12*AB12,2)</f>
        <v>21.37</v>
      </c>
      <c r="AD12" s="191">
        <v>3053.05</v>
      </c>
      <c r="AE12" s="191">
        <v>0.002</v>
      </c>
      <c r="AF12" s="191">
        <f t="shared" si="6"/>
        <v>6.11</v>
      </c>
      <c r="AG12" s="191" t="s">
        <v>157</v>
      </c>
      <c r="AH12" s="191">
        <v>0.05</v>
      </c>
      <c r="AI12" s="191">
        <f t="shared" ref="AI12:AI15" si="24">ROUND(AG12*AH12,2)</f>
        <v>79</v>
      </c>
      <c r="AJ12" s="191">
        <v>0.05</v>
      </c>
      <c r="AK12" s="191">
        <f t="shared" ref="AK12:AK15" si="25">ROUND(AG12*AJ12,2)</f>
        <v>79</v>
      </c>
      <c r="AL12" s="223"/>
      <c r="AM12" s="191"/>
      <c r="AN12" s="191"/>
      <c r="AO12" s="191"/>
      <c r="AP12" s="161"/>
      <c r="AQ12" s="228"/>
      <c r="AR12" s="191">
        <v>96</v>
      </c>
      <c r="AS12" s="229">
        <f t="shared" si="7"/>
        <v>720.52</v>
      </c>
      <c r="AT12" s="229">
        <f t="shared" si="8"/>
        <v>314.46</v>
      </c>
      <c r="AU12" s="229">
        <f t="shared" si="9"/>
        <v>79</v>
      </c>
      <c r="AV12" s="229">
        <f t="shared" si="10"/>
        <v>79</v>
      </c>
      <c r="AW12" s="229">
        <f t="shared" si="11"/>
        <v>1192.98</v>
      </c>
      <c r="AX12" s="238">
        <f t="shared" si="12"/>
        <v>1034.98</v>
      </c>
      <c r="AY12" s="238"/>
      <c r="AZ12" s="238">
        <f t="shared" ref="AZ12:AZ15" si="26">AU12+AV12</f>
        <v>158</v>
      </c>
      <c r="BA12" s="238"/>
      <c r="BB12" s="239">
        <v>80</v>
      </c>
      <c r="BC12" s="238">
        <f t="shared" si="14"/>
        <v>1272.98</v>
      </c>
      <c r="BD12" s="240"/>
      <c r="BE12" s="260"/>
      <c r="BF12" s="260"/>
      <c r="BG12" s="260"/>
      <c r="BH12" s="260"/>
    </row>
    <row r="13" s="180" customFormat="1" ht="18" customHeight="1" spans="1:60">
      <c r="A13" s="191"/>
      <c r="B13" s="161" t="s">
        <v>136</v>
      </c>
      <c r="C13" s="150" t="s">
        <v>153</v>
      </c>
      <c r="D13" s="160" t="s">
        <v>138</v>
      </c>
      <c r="E13" s="161" t="s">
        <v>146</v>
      </c>
      <c r="F13" s="162" t="s">
        <v>154</v>
      </c>
      <c r="G13" s="163" t="s">
        <v>155</v>
      </c>
      <c r="H13" s="160" t="s">
        <v>156</v>
      </c>
      <c r="I13" s="160" t="s">
        <v>156</v>
      </c>
      <c r="J13" s="160" t="s">
        <v>144</v>
      </c>
      <c r="K13" s="160" t="s">
        <v>144</v>
      </c>
      <c r="L13" s="191">
        <v>3053.05</v>
      </c>
      <c r="M13" s="191">
        <v>0.16</v>
      </c>
      <c r="N13" s="191">
        <f t="shared" si="17"/>
        <v>488.49</v>
      </c>
      <c r="O13" s="191">
        <v>0.08</v>
      </c>
      <c r="P13" s="191">
        <f t="shared" si="18"/>
        <v>244.24</v>
      </c>
      <c r="Q13" s="191">
        <v>3053.05</v>
      </c>
      <c r="R13" s="191">
        <v>0.06</v>
      </c>
      <c r="S13" s="191">
        <f t="shared" si="19"/>
        <v>183.18</v>
      </c>
      <c r="T13" s="191">
        <v>0.02</v>
      </c>
      <c r="U13" s="191">
        <f t="shared" si="20"/>
        <v>61.06</v>
      </c>
      <c r="V13" s="191">
        <v>3053.05</v>
      </c>
      <c r="W13" s="191">
        <v>0.007</v>
      </c>
      <c r="X13" s="191">
        <f t="shared" si="21"/>
        <v>21.37</v>
      </c>
      <c r="Y13" s="191">
        <v>0.003</v>
      </c>
      <c r="Z13" s="191">
        <f t="shared" si="22"/>
        <v>9.16</v>
      </c>
      <c r="AA13" s="191">
        <v>3053.05</v>
      </c>
      <c r="AB13" s="191">
        <v>0.007</v>
      </c>
      <c r="AC13" s="191">
        <f t="shared" si="23"/>
        <v>21.37</v>
      </c>
      <c r="AD13" s="191">
        <v>3053.05</v>
      </c>
      <c r="AE13" s="191">
        <v>0.002</v>
      </c>
      <c r="AF13" s="191">
        <f t="shared" si="6"/>
        <v>6.11</v>
      </c>
      <c r="AG13" s="191" t="s">
        <v>157</v>
      </c>
      <c r="AH13" s="191">
        <v>0.05</v>
      </c>
      <c r="AI13" s="191">
        <f t="shared" si="24"/>
        <v>79</v>
      </c>
      <c r="AJ13" s="191">
        <v>0.05</v>
      </c>
      <c r="AK13" s="191">
        <f t="shared" si="25"/>
        <v>79</v>
      </c>
      <c r="AL13" s="223"/>
      <c r="AM13" s="191"/>
      <c r="AN13" s="191"/>
      <c r="AO13" s="191"/>
      <c r="AP13" s="161"/>
      <c r="AQ13" s="228"/>
      <c r="AR13" s="228"/>
      <c r="AS13" s="229">
        <f t="shared" si="7"/>
        <v>720.52</v>
      </c>
      <c r="AT13" s="229">
        <f t="shared" si="8"/>
        <v>314.46</v>
      </c>
      <c r="AU13" s="229">
        <f t="shared" si="9"/>
        <v>79</v>
      </c>
      <c r="AV13" s="229">
        <f t="shared" si="10"/>
        <v>79</v>
      </c>
      <c r="AW13" s="229">
        <f t="shared" si="11"/>
        <v>1192.98</v>
      </c>
      <c r="AX13" s="238">
        <f t="shared" si="12"/>
        <v>1034.98</v>
      </c>
      <c r="AY13" s="238"/>
      <c r="AZ13" s="238">
        <f t="shared" si="26"/>
        <v>158</v>
      </c>
      <c r="BA13" s="238"/>
      <c r="BB13" s="239">
        <v>80</v>
      </c>
      <c r="BC13" s="238">
        <f t="shared" si="14"/>
        <v>1272.98</v>
      </c>
      <c r="BD13" s="240"/>
      <c r="BE13" s="260"/>
      <c r="BF13" s="260"/>
      <c r="BG13" s="260"/>
      <c r="BH13" s="260"/>
    </row>
    <row r="14" s="180" customFormat="1" ht="18" customHeight="1" spans="1:60">
      <c r="A14" s="191"/>
      <c r="B14" s="161" t="s">
        <v>136</v>
      </c>
      <c r="C14" s="150" t="s">
        <v>153</v>
      </c>
      <c r="D14" s="160" t="s">
        <v>138</v>
      </c>
      <c r="E14" s="161" t="s">
        <v>146</v>
      </c>
      <c r="F14" s="162" t="s">
        <v>154</v>
      </c>
      <c r="G14" s="163" t="s">
        <v>155</v>
      </c>
      <c r="H14" s="160" t="s">
        <v>156</v>
      </c>
      <c r="I14" s="160" t="s">
        <v>156</v>
      </c>
      <c r="J14" s="160" t="s">
        <v>158</v>
      </c>
      <c r="K14" s="160" t="s">
        <v>158</v>
      </c>
      <c r="L14" s="191">
        <v>3053.05</v>
      </c>
      <c r="M14" s="191">
        <v>0.16</v>
      </c>
      <c r="N14" s="191">
        <f t="shared" si="17"/>
        <v>488.49</v>
      </c>
      <c r="O14" s="191">
        <v>0.08</v>
      </c>
      <c r="P14" s="191">
        <f t="shared" si="18"/>
        <v>244.24</v>
      </c>
      <c r="Q14" s="191">
        <v>3053.05</v>
      </c>
      <c r="R14" s="191">
        <v>0.06</v>
      </c>
      <c r="S14" s="191">
        <f t="shared" si="19"/>
        <v>183.18</v>
      </c>
      <c r="T14" s="191">
        <v>0.02</v>
      </c>
      <c r="U14" s="191">
        <f t="shared" si="20"/>
        <v>61.06</v>
      </c>
      <c r="V14" s="191">
        <v>3053.05</v>
      </c>
      <c r="W14" s="191">
        <v>0.007</v>
      </c>
      <c r="X14" s="191">
        <f t="shared" si="21"/>
        <v>21.37</v>
      </c>
      <c r="Y14" s="191">
        <v>0.003</v>
      </c>
      <c r="Z14" s="191">
        <f t="shared" si="22"/>
        <v>9.16</v>
      </c>
      <c r="AA14" s="191">
        <v>3053.05</v>
      </c>
      <c r="AB14" s="191">
        <v>0.007</v>
      </c>
      <c r="AC14" s="191">
        <f t="shared" si="23"/>
        <v>21.37</v>
      </c>
      <c r="AD14" s="191">
        <v>3053.05</v>
      </c>
      <c r="AE14" s="191">
        <v>0.002</v>
      </c>
      <c r="AF14" s="191">
        <f t="shared" si="6"/>
        <v>6.11</v>
      </c>
      <c r="AG14" s="191" t="s">
        <v>157</v>
      </c>
      <c r="AH14" s="191">
        <v>0.05</v>
      </c>
      <c r="AI14" s="191">
        <f t="shared" si="24"/>
        <v>79</v>
      </c>
      <c r="AJ14" s="191">
        <v>0.05</v>
      </c>
      <c r="AK14" s="191">
        <f t="shared" si="25"/>
        <v>79</v>
      </c>
      <c r="AL14" s="223"/>
      <c r="AM14" s="191"/>
      <c r="AN14" s="191"/>
      <c r="AO14" s="191"/>
      <c r="AP14" s="161"/>
      <c r="AQ14" s="228"/>
      <c r="AR14" s="228"/>
      <c r="AS14" s="229">
        <f t="shared" si="7"/>
        <v>720.52</v>
      </c>
      <c r="AT14" s="229">
        <f t="shared" si="8"/>
        <v>314.46</v>
      </c>
      <c r="AU14" s="229">
        <f t="shared" si="9"/>
        <v>79</v>
      </c>
      <c r="AV14" s="229">
        <f t="shared" si="10"/>
        <v>79</v>
      </c>
      <c r="AW14" s="229">
        <f t="shared" si="11"/>
        <v>1192.98</v>
      </c>
      <c r="AX14" s="238">
        <f t="shared" si="12"/>
        <v>1034.98</v>
      </c>
      <c r="AY14" s="238"/>
      <c r="AZ14" s="238">
        <f t="shared" si="26"/>
        <v>158</v>
      </c>
      <c r="BA14" s="238"/>
      <c r="BB14" s="239">
        <v>80</v>
      </c>
      <c r="BC14" s="238">
        <f t="shared" si="14"/>
        <v>1272.98</v>
      </c>
      <c r="BD14" s="240"/>
      <c r="BE14" s="260"/>
      <c r="BF14" s="260"/>
      <c r="BG14" s="260"/>
      <c r="BH14" s="260"/>
    </row>
    <row r="15" s="270" customFormat="1" ht="18" customHeight="1" spans="1:60">
      <c r="A15" s="271" t="s">
        <v>148</v>
      </c>
      <c r="B15" s="272" t="s">
        <v>136</v>
      </c>
      <c r="C15" s="145" t="s">
        <v>153</v>
      </c>
      <c r="D15" s="273" t="s">
        <v>138</v>
      </c>
      <c r="E15" s="272" t="s">
        <v>146</v>
      </c>
      <c r="F15" s="274" t="s">
        <v>154</v>
      </c>
      <c r="G15" s="275" t="s">
        <v>155</v>
      </c>
      <c r="H15" s="273" t="s">
        <v>156</v>
      </c>
      <c r="I15" s="273" t="s">
        <v>156</v>
      </c>
      <c r="J15" s="273" t="s">
        <v>156</v>
      </c>
      <c r="K15" s="273" t="s">
        <v>156</v>
      </c>
      <c r="L15" s="271">
        <v>3053.05</v>
      </c>
      <c r="M15" s="271">
        <v>0.16</v>
      </c>
      <c r="N15" s="271">
        <f t="shared" si="17"/>
        <v>488.49</v>
      </c>
      <c r="O15" s="271">
        <v>0.08</v>
      </c>
      <c r="P15" s="271">
        <f t="shared" si="18"/>
        <v>244.24</v>
      </c>
      <c r="Q15" s="271">
        <v>3053.05</v>
      </c>
      <c r="R15" s="271">
        <v>0.06</v>
      </c>
      <c r="S15" s="271">
        <f t="shared" si="19"/>
        <v>183.18</v>
      </c>
      <c r="T15" s="271">
        <v>0.02</v>
      </c>
      <c r="U15" s="271">
        <f t="shared" si="20"/>
        <v>61.06</v>
      </c>
      <c r="V15" s="271">
        <v>3053.05</v>
      </c>
      <c r="W15" s="271">
        <v>0.007</v>
      </c>
      <c r="X15" s="271">
        <f t="shared" si="21"/>
        <v>21.37</v>
      </c>
      <c r="Y15" s="271">
        <v>0.003</v>
      </c>
      <c r="Z15" s="271">
        <f t="shared" si="22"/>
        <v>9.16</v>
      </c>
      <c r="AA15" s="271">
        <v>3053.05</v>
      </c>
      <c r="AB15" s="271">
        <v>0.007</v>
      </c>
      <c r="AC15" s="271">
        <f t="shared" si="23"/>
        <v>21.37</v>
      </c>
      <c r="AD15" s="271">
        <v>3053.05</v>
      </c>
      <c r="AE15" s="271">
        <v>0.002</v>
      </c>
      <c r="AF15" s="271">
        <f t="shared" si="6"/>
        <v>6.11</v>
      </c>
      <c r="AG15" s="271" t="s">
        <v>157</v>
      </c>
      <c r="AH15" s="271">
        <v>0.05</v>
      </c>
      <c r="AI15" s="271">
        <f t="shared" si="24"/>
        <v>79</v>
      </c>
      <c r="AJ15" s="271">
        <v>0.05</v>
      </c>
      <c r="AK15" s="271">
        <f t="shared" si="25"/>
        <v>79</v>
      </c>
      <c r="AL15" s="277"/>
      <c r="AM15" s="271"/>
      <c r="AN15" s="271"/>
      <c r="AO15" s="271"/>
      <c r="AP15" s="272"/>
      <c r="AQ15" s="278"/>
      <c r="AR15" s="278"/>
      <c r="AS15" s="279">
        <f t="shared" si="7"/>
        <v>720.52</v>
      </c>
      <c r="AT15" s="279">
        <f t="shared" si="8"/>
        <v>314.46</v>
      </c>
      <c r="AU15" s="279">
        <f t="shared" si="9"/>
        <v>79</v>
      </c>
      <c r="AV15" s="279">
        <f t="shared" si="10"/>
        <v>79</v>
      </c>
      <c r="AW15" s="279">
        <f t="shared" si="11"/>
        <v>1192.98</v>
      </c>
      <c r="AX15" s="280">
        <f t="shared" si="12"/>
        <v>1034.98</v>
      </c>
      <c r="AY15" s="280"/>
      <c r="AZ15" s="280">
        <f t="shared" si="26"/>
        <v>158</v>
      </c>
      <c r="BA15" s="280"/>
      <c r="BB15" s="281">
        <v>80</v>
      </c>
      <c r="BC15" s="280">
        <f t="shared" si="14"/>
        <v>1272.98</v>
      </c>
      <c r="BD15" s="282"/>
      <c r="BE15" s="283"/>
      <c r="BF15" s="283"/>
      <c r="BG15" s="283"/>
      <c r="BH15" s="283"/>
    </row>
    <row r="16" s="182" customFormat="1" ht="18" customHeight="1" spans="1:60">
      <c r="A16" s="198"/>
      <c r="B16" s="199"/>
      <c r="C16" s="200"/>
      <c r="D16" s="201"/>
      <c r="E16" s="202"/>
      <c r="F16" s="203"/>
      <c r="G16" s="204"/>
      <c r="H16" s="205"/>
      <c r="I16" s="201"/>
      <c r="J16" s="205"/>
      <c r="K16" s="205"/>
      <c r="L16" s="218"/>
      <c r="M16" s="218"/>
      <c r="N16" s="219"/>
      <c r="O16" s="218"/>
      <c r="P16" s="218"/>
      <c r="Q16" s="218"/>
      <c r="R16" s="218"/>
      <c r="S16" s="218"/>
      <c r="T16" s="218"/>
      <c r="U16" s="218"/>
      <c r="V16" s="221"/>
      <c r="W16" s="221"/>
      <c r="X16" s="222"/>
      <c r="Y16" s="221"/>
      <c r="Z16" s="218"/>
      <c r="AA16" s="218"/>
      <c r="AB16" s="218"/>
      <c r="AC16" s="218"/>
      <c r="AD16" s="218"/>
      <c r="AE16" s="218"/>
      <c r="AF16" s="219"/>
      <c r="AG16" s="218"/>
      <c r="AH16" s="218"/>
      <c r="AI16" s="218"/>
      <c r="AJ16" s="218"/>
      <c r="AK16" s="218"/>
      <c r="AL16" s="225"/>
      <c r="AM16" s="218"/>
      <c r="AN16" s="218"/>
      <c r="AO16" s="218"/>
      <c r="AP16" s="232"/>
      <c r="AQ16" s="233"/>
      <c r="AR16" s="218"/>
      <c r="AS16" s="234"/>
      <c r="AT16" s="234"/>
      <c r="AU16" s="234"/>
      <c r="AV16" s="234"/>
      <c r="AW16" s="234"/>
      <c r="AX16" s="246"/>
      <c r="AY16" s="247"/>
      <c r="AZ16" s="246"/>
      <c r="BA16" s="247"/>
      <c r="BB16" s="248"/>
      <c r="BC16" s="246"/>
      <c r="BD16" s="250"/>
      <c r="BE16" s="179"/>
      <c r="BF16" s="179"/>
      <c r="BG16" s="179"/>
      <c r="BH16" s="179"/>
    </row>
    <row r="17" s="179" customFormat="1" ht="14.25" spans="1:56">
      <c r="A17" s="206" t="s">
        <v>159</v>
      </c>
      <c r="B17" s="207"/>
      <c r="C17" s="208"/>
      <c r="D17" s="208"/>
      <c r="E17" s="209"/>
      <c r="F17" s="208"/>
      <c r="G17" s="208"/>
      <c r="H17" s="208"/>
      <c r="I17" s="208"/>
      <c r="J17" s="208"/>
      <c r="K17" s="208"/>
      <c r="L17" s="209">
        <f t="shared" ref="L17:BC17" si="27">SUM(L3:L15)</f>
        <v>33521.2</v>
      </c>
      <c r="M17" s="209">
        <f t="shared" si="27"/>
        <v>1.54</v>
      </c>
      <c r="N17" s="209">
        <f t="shared" si="27"/>
        <v>5135.22</v>
      </c>
      <c r="O17" s="209">
        <f t="shared" si="27"/>
        <v>0.8</v>
      </c>
      <c r="P17" s="209">
        <f t="shared" si="27"/>
        <v>2681.68</v>
      </c>
      <c r="Q17" s="209">
        <f t="shared" si="27"/>
        <v>40637.2</v>
      </c>
      <c r="R17" s="209">
        <f t="shared" si="27"/>
        <v>0.645</v>
      </c>
      <c r="S17" s="209">
        <f t="shared" si="27"/>
        <v>2543.61</v>
      </c>
      <c r="T17" s="209">
        <f t="shared" si="27"/>
        <v>0.2</v>
      </c>
      <c r="U17" s="209">
        <f t="shared" si="27"/>
        <v>812.74</v>
      </c>
      <c r="V17" s="209">
        <f t="shared" si="27"/>
        <v>33521.2</v>
      </c>
      <c r="W17" s="209">
        <f t="shared" si="27"/>
        <v>0.0586</v>
      </c>
      <c r="X17" s="209">
        <f t="shared" si="27"/>
        <v>191.29</v>
      </c>
      <c r="Y17" s="209">
        <f t="shared" si="27"/>
        <v>0.027</v>
      </c>
      <c r="Z17" s="209">
        <f t="shared" si="27"/>
        <v>89.17</v>
      </c>
      <c r="AA17" s="209">
        <f t="shared" si="27"/>
        <v>30737.2</v>
      </c>
      <c r="AB17" s="209">
        <f t="shared" si="27"/>
        <v>0.0535</v>
      </c>
      <c r="AC17" s="209">
        <f t="shared" si="27"/>
        <v>242.95</v>
      </c>
      <c r="AD17" s="209">
        <f t="shared" si="27"/>
        <v>35930.2</v>
      </c>
      <c r="AE17" s="209">
        <f t="shared" si="27"/>
        <v>0.0236</v>
      </c>
      <c r="AF17" s="209">
        <f t="shared" si="27"/>
        <v>66.32</v>
      </c>
      <c r="AG17" s="209">
        <f t="shared" si="27"/>
        <v>9000</v>
      </c>
      <c r="AH17" s="209">
        <f t="shared" si="27"/>
        <v>0.5</v>
      </c>
      <c r="AI17" s="209">
        <f t="shared" si="27"/>
        <v>1216</v>
      </c>
      <c r="AJ17" s="209">
        <f t="shared" si="27"/>
        <v>0.38</v>
      </c>
      <c r="AK17" s="209">
        <f t="shared" si="27"/>
        <v>856</v>
      </c>
      <c r="AL17" s="209">
        <f t="shared" si="27"/>
        <v>0</v>
      </c>
      <c r="AM17" s="209">
        <f t="shared" si="27"/>
        <v>0</v>
      </c>
      <c r="AN17" s="209">
        <f t="shared" si="27"/>
        <v>0</v>
      </c>
      <c r="AO17" s="209">
        <f t="shared" si="27"/>
        <v>0</v>
      </c>
      <c r="AP17" s="209">
        <f t="shared" si="27"/>
        <v>0</v>
      </c>
      <c r="AQ17" s="209">
        <f t="shared" si="27"/>
        <v>95.28</v>
      </c>
      <c r="AR17" s="209">
        <f t="shared" si="27"/>
        <v>96</v>
      </c>
      <c r="AS17" s="209">
        <f t="shared" si="27"/>
        <v>8274.67</v>
      </c>
      <c r="AT17" s="209">
        <f t="shared" si="27"/>
        <v>3583.59</v>
      </c>
      <c r="AU17" s="209">
        <f t="shared" si="27"/>
        <v>1216</v>
      </c>
      <c r="AV17" s="209">
        <f t="shared" si="27"/>
        <v>856</v>
      </c>
      <c r="AW17" s="209">
        <f t="shared" si="27"/>
        <v>13930.26</v>
      </c>
      <c r="AX17" s="209">
        <f t="shared" si="27"/>
        <v>11858.26</v>
      </c>
      <c r="AY17" s="209">
        <f t="shared" si="27"/>
        <v>0</v>
      </c>
      <c r="AZ17" s="209">
        <f t="shared" si="27"/>
        <v>2072</v>
      </c>
      <c r="BA17" s="209">
        <f t="shared" si="27"/>
        <v>0</v>
      </c>
      <c r="BB17" s="209">
        <f t="shared" si="27"/>
        <v>800</v>
      </c>
      <c r="BC17" s="209">
        <f t="shared" si="27"/>
        <v>14730.26</v>
      </c>
      <c r="BD17" s="251"/>
    </row>
    <row r="18" s="179" customFormat="1" ht="15" spans="1:56">
      <c r="A18" s="210" t="s">
        <v>93</v>
      </c>
      <c r="B18" s="211"/>
      <c r="C18" s="212"/>
      <c r="D18" s="212"/>
      <c r="E18" s="213"/>
      <c r="F18" s="213"/>
      <c r="G18" s="213"/>
      <c r="H18" s="213"/>
      <c r="I18" s="213"/>
      <c r="J18" s="213"/>
      <c r="K18" s="213"/>
      <c r="L18" s="220">
        <f t="shared" ref="L18:AX18" si="28">SUM(L17:L17)</f>
        <v>33521.2</v>
      </c>
      <c r="M18" s="220">
        <f t="shared" si="28"/>
        <v>1.54</v>
      </c>
      <c r="N18" s="220">
        <f t="shared" si="28"/>
        <v>5135.22</v>
      </c>
      <c r="O18" s="220">
        <f t="shared" si="28"/>
        <v>0.8</v>
      </c>
      <c r="P18" s="220">
        <f t="shared" si="28"/>
        <v>2681.68</v>
      </c>
      <c r="Q18" s="220">
        <f t="shared" si="28"/>
        <v>40637.2</v>
      </c>
      <c r="R18" s="220">
        <f t="shared" si="28"/>
        <v>0.645</v>
      </c>
      <c r="S18" s="220">
        <f t="shared" si="28"/>
        <v>2543.61</v>
      </c>
      <c r="T18" s="220">
        <f t="shared" si="28"/>
        <v>0.2</v>
      </c>
      <c r="U18" s="220">
        <f t="shared" si="28"/>
        <v>812.74</v>
      </c>
      <c r="V18" s="220">
        <f t="shared" si="28"/>
        <v>33521.2</v>
      </c>
      <c r="W18" s="220">
        <f t="shared" si="28"/>
        <v>0.0586</v>
      </c>
      <c r="X18" s="220">
        <f t="shared" si="28"/>
        <v>191.29</v>
      </c>
      <c r="Y18" s="220">
        <f t="shared" si="28"/>
        <v>0.027</v>
      </c>
      <c r="Z18" s="220">
        <f t="shared" si="28"/>
        <v>89.17</v>
      </c>
      <c r="AA18" s="220">
        <f t="shared" si="28"/>
        <v>30737.2</v>
      </c>
      <c r="AB18" s="220">
        <f t="shared" si="28"/>
        <v>0.0535</v>
      </c>
      <c r="AC18" s="220">
        <f t="shared" si="28"/>
        <v>242.95</v>
      </c>
      <c r="AD18" s="220">
        <f t="shared" si="28"/>
        <v>35930.2</v>
      </c>
      <c r="AE18" s="220">
        <f t="shared" si="28"/>
        <v>0.0236</v>
      </c>
      <c r="AF18" s="220">
        <f t="shared" si="28"/>
        <v>66.32</v>
      </c>
      <c r="AG18" s="220">
        <f t="shared" si="28"/>
        <v>9000</v>
      </c>
      <c r="AH18" s="220">
        <f t="shared" si="28"/>
        <v>0.5</v>
      </c>
      <c r="AI18" s="220">
        <f t="shared" si="28"/>
        <v>1216</v>
      </c>
      <c r="AJ18" s="220">
        <f t="shared" si="28"/>
        <v>0.38</v>
      </c>
      <c r="AK18" s="220">
        <f t="shared" si="28"/>
        <v>856</v>
      </c>
      <c r="AL18" s="220">
        <f t="shared" si="28"/>
        <v>0</v>
      </c>
      <c r="AM18" s="220">
        <f t="shared" si="28"/>
        <v>0</v>
      </c>
      <c r="AN18" s="220">
        <f t="shared" si="28"/>
        <v>0</v>
      </c>
      <c r="AO18" s="220">
        <f t="shared" si="28"/>
        <v>0</v>
      </c>
      <c r="AP18" s="220">
        <f t="shared" si="28"/>
        <v>0</v>
      </c>
      <c r="AQ18" s="220">
        <f t="shared" si="28"/>
        <v>95.28</v>
      </c>
      <c r="AR18" s="220">
        <f t="shared" si="28"/>
        <v>96</v>
      </c>
      <c r="AS18" s="235">
        <f t="shared" si="28"/>
        <v>8274.67</v>
      </c>
      <c r="AT18" s="235">
        <f t="shared" si="28"/>
        <v>3583.59</v>
      </c>
      <c r="AU18" s="235">
        <f t="shared" si="28"/>
        <v>1216</v>
      </c>
      <c r="AV18" s="235">
        <f t="shared" si="28"/>
        <v>856</v>
      </c>
      <c r="AW18" s="235">
        <f t="shared" si="28"/>
        <v>13930.26</v>
      </c>
      <c r="AX18" s="252">
        <f t="shared" si="28"/>
        <v>11858.26</v>
      </c>
      <c r="AY18" s="252"/>
      <c r="AZ18" s="252">
        <f t="shared" ref="AZ18:BC18" si="29">SUM(AZ17:AZ17)</f>
        <v>2072</v>
      </c>
      <c r="BA18" s="252"/>
      <c r="BB18" s="220">
        <f t="shared" si="29"/>
        <v>800</v>
      </c>
      <c r="BC18" s="220">
        <f t="shared" si="29"/>
        <v>14730.26</v>
      </c>
      <c r="BD18" s="253"/>
    </row>
    <row r="19" s="183" customFormat="1" spans="1:56">
      <c r="A19" s="214"/>
      <c r="B19" s="214"/>
      <c r="C19" s="214"/>
      <c r="D19" s="214"/>
      <c r="E19" s="214"/>
      <c r="F19" s="215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214"/>
      <c r="AH19" s="214"/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36"/>
      <c r="AT19" s="236"/>
      <c r="AU19" s="236"/>
      <c r="AV19" s="236"/>
      <c r="AW19" s="236"/>
      <c r="AX19" s="214"/>
      <c r="AY19" s="214"/>
      <c r="AZ19" s="214"/>
      <c r="BA19" s="214"/>
      <c r="BB19" s="214"/>
      <c r="BC19" s="214"/>
      <c r="BD19" s="254"/>
    </row>
    <row r="20" s="184" customFormat="1" spans="1:56">
      <c r="A20" s="179"/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214"/>
      <c r="AA20" s="214"/>
      <c r="AB20" s="214"/>
      <c r="AC20" s="214"/>
      <c r="AD20" s="214"/>
      <c r="AE20" s="214"/>
      <c r="AF20" s="214"/>
      <c r="AG20" s="214"/>
      <c r="AH20" s="214"/>
      <c r="AI20" s="214"/>
      <c r="AJ20" s="179"/>
      <c r="AK20" s="179"/>
      <c r="AL20" s="179"/>
      <c r="AM20" s="179"/>
      <c r="AN20" s="179"/>
      <c r="AO20" s="179"/>
      <c r="AP20" s="179"/>
      <c r="AQ20" s="179"/>
      <c r="AR20" s="179"/>
      <c r="AS20" s="185"/>
      <c r="AT20" s="185"/>
      <c r="AU20" s="185"/>
      <c r="AV20" s="185"/>
      <c r="AW20" s="185"/>
      <c r="AX20" s="179"/>
      <c r="AY20" s="179"/>
      <c r="AZ20" s="179"/>
      <c r="BA20" s="179"/>
      <c r="BB20" s="179"/>
      <c r="BC20" s="179"/>
      <c r="BD20" s="186"/>
    </row>
    <row r="21" s="179" customFormat="1" spans="45:56">
      <c r="AS21" s="185"/>
      <c r="AT21" s="185"/>
      <c r="AU21" s="185"/>
      <c r="AV21" s="185"/>
      <c r="AW21" s="185"/>
      <c r="BD21" s="186"/>
    </row>
    <row r="22" spans="50:55">
      <c r="AX22" s="255"/>
      <c r="AY22" s="255"/>
      <c r="BC22" s="256"/>
    </row>
    <row r="23" s="179" customFormat="1" spans="45:56">
      <c r="AS23" s="185"/>
      <c r="AT23" s="185"/>
      <c r="AU23" s="185"/>
      <c r="AV23" s="185"/>
      <c r="AW23" s="185"/>
      <c r="BD23" s="186"/>
    </row>
  </sheetData>
  <mergeCells count="54">
    <mergeCell ref="L1:P1"/>
    <mergeCell ref="Q1:U1"/>
    <mergeCell ref="V1:Z1"/>
    <mergeCell ref="AA1:AC1"/>
    <mergeCell ref="AD1:AF1"/>
    <mergeCell ref="AG1:AK1"/>
    <mergeCell ref="AL1:AP1"/>
    <mergeCell ref="AQ1:AR1"/>
    <mergeCell ref="AS1:AW1"/>
    <mergeCell ref="AX3:AY3"/>
    <mergeCell ref="AZ3:BA3"/>
    <mergeCell ref="AX4:AY4"/>
    <mergeCell ref="AZ4:BA4"/>
    <mergeCell ref="AX5:AY5"/>
    <mergeCell ref="AZ5:BA5"/>
    <mergeCell ref="AX6:AY6"/>
    <mergeCell ref="AZ6:BA6"/>
    <mergeCell ref="AX7:AY7"/>
    <mergeCell ref="AZ7:BA7"/>
    <mergeCell ref="AX8:AY8"/>
    <mergeCell ref="AZ8:BA8"/>
    <mergeCell ref="AX9:AY9"/>
    <mergeCell ref="AZ9:BA9"/>
    <mergeCell ref="AX10:AY10"/>
    <mergeCell ref="AZ10:BA10"/>
    <mergeCell ref="AX11:AY11"/>
    <mergeCell ref="AZ11:BA11"/>
    <mergeCell ref="AX12:AY12"/>
    <mergeCell ref="AZ12:BA12"/>
    <mergeCell ref="AX13:AY13"/>
    <mergeCell ref="AZ13:BA13"/>
    <mergeCell ref="AX14:AY14"/>
    <mergeCell ref="AZ14:BA14"/>
    <mergeCell ref="AX15:AY15"/>
    <mergeCell ref="AZ15:BA15"/>
    <mergeCell ref="AX18:AY18"/>
    <mergeCell ref="AZ18:BA18"/>
    <mergeCell ref="AX22:AY2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BB1:BB2"/>
    <mergeCell ref="BC1:BC2"/>
    <mergeCell ref="BD1:BD2"/>
    <mergeCell ref="AX1:AY2"/>
    <mergeCell ref="AZ1:BA2"/>
  </mergeCells>
  <conditionalFormatting sqref="H1:I1">
    <cfRule type="expression" dxfId="4" priority="1" stopIfTrue="1">
      <formula>AND(COUNTIF($J$1:$J$1,H1)&gt;1,NOT(ISBLANK(H1)))</formula>
    </cfRule>
  </conditionalFormatting>
  <conditionalFormatting sqref="J1">
    <cfRule type="duplicateValues" dxfId="4" priority="2" stopIfTrue="1"/>
  </conditionalFormatting>
  <conditionalFormatting sqref="K1:L1">
    <cfRule type="duplicateValues" dxfId="4" priority="3" stopIfTrue="1"/>
  </conditionalFormatting>
  <conditionalFormatting sqref="Q1">
    <cfRule type="duplicateValues" dxfId="4" priority="4" stopIfTrue="1"/>
  </conditionalFormatting>
  <conditionalFormatting sqref="V1">
    <cfRule type="duplicateValues" dxfId="4" priority="5" stopIfTrue="1"/>
  </conditionalFormatting>
  <conditionalFormatting sqref="AG1">
    <cfRule type="duplicateValues" dxfId="4" priority="6" stopIfTrue="1"/>
  </conditionalFormatting>
  <pageMargins left="0.75" right="0.75" top="1" bottom="1" header="0.5" footer="0.5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3"/>
  <sheetViews>
    <sheetView workbookViewId="0">
      <pane xSplit="6" ySplit="3" topLeftCell="AK4" activePane="bottomRight" state="frozen"/>
      <selection/>
      <selection pane="topRight"/>
      <selection pane="bottomLeft"/>
      <selection pane="bottomRight" activeCell="X5" sqref="X5"/>
    </sheetView>
  </sheetViews>
  <sheetFormatPr defaultColWidth="9" defaultRowHeight="13.5"/>
  <cols>
    <col min="1" max="1" width="4.5" style="34" customWidth="1"/>
    <col min="2" max="2" width="12.625" style="34" customWidth="1"/>
    <col min="3" max="3" width="10.5" style="34" customWidth="1"/>
    <col min="4" max="4" width="8.75" style="34" customWidth="1"/>
    <col min="5" max="5" width="19.5" style="35" customWidth="1"/>
    <col min="6" max="6" width="9" style="34"/>
    <col min="7" max="7" width="11.875" style="36" customWidth="1"/>
    <col min="8" max="8" width="4.625" style="34" hidden="1" customWidth="1"/>
    <col min="9" max="9" width="5.25" style="34" hidden="1" customWidth="1"/>
    <col min="10" max="10" width="11.75" style="37" customWidth="1"/>
    <col min="11" max="11" width="5.25" style="34" customWidth="1"/>
    <col min="12" max="12" width="11.75" style="34" customWidth="1"/>
    <col min="13" max="13" width="9.875" style="34" customWidth="1" outlineLevel="1"/>
    <col min="14" max="15" width="9" style="34" customWidth="1" outlineLevel="1"/>
    <col min="16" max="16" width="11.125" style="34" customWidth="1" outlineLevel="1"/>
    <col min="17" max="17" width="9.75" style="34" customWidth="1"/>
    <col min="18" max="18" width="9.5" style="34" customWidth="1"/>
    <col min="19" max="19" width="11.5" style="34" customWidth="1"/>
    <col min="20" max="21" width="12.25" style="34" customWidth="1"/>
    <col min="22" max="27" width="9" style="34" customWidth="1" outlineLevel="1"/>
    <col min="28" max="28" width="11.25" style="34" customWidth="1"/>
    <col min="29" max="29" width="8.5" style="34" customWidth="1"/>
    <col min="30" max="30" width="15.25" style="34" customWidth="1"/>
    <col min="31" max="31" width="14" style="34" customWidth="1"/>
    <col min="32" max="32" width="10.75" style="34" customWidth="1"/>
    <col min="33" max="33" width="12.25" style="34" customWidth="1"/>
    <col min="34" max="34" width="11.5" style="34" customWidth="1"/>
    <col min="35" max="35" width="7.875" style="38" customWidth="1"/>
    <col min="36" max="36" width="11.5" style="34" customWidth="1"/>
    <col min="37" max="37" width="9" style="34"/>
    <col min="38" max="38" width="11.5" style="34" customWidth="1"/>
    <col min="39" max="40" width="9" style="34" customWidth="1"/>
    <col min="41" max="41" width="19" style="34" customWidth="1"/>
    <col min="42" max="42" width="12.25" style="34" customWidth="1"/>
    <col min="43" max="43" width="9" style="34"/>
    <col min="44" max="44" width="7" style="34" customWidth="1"/>
    <col min="45" max="45" width="6.75" style="34" customWidth="1"/>
    <col min="46" max="46" width="6.125" style="34" customWidth="1"/>
    <col min="47" max="16384" width="9" style="34"/>
  </cols>
  <sheetData>
    <row r="1" s="29" customFormat="1" ht="29.25" customHeight="1" spans="1:45">
      <c r="A1" s="39" t="s">
        <v>36</v>
      </c>
      <c r="B1" s="40"/>
      <c r="C1" s="41"/>
      <c r="D1" s="42"/>
      <c r="E1" s="43"/>
      <c r="F1" s="43"/>
      <c r="G1" s="44"/>
      <c r="J1" s="79"/>
      <c r="L1" s="80"/>
      <c r="M1" s="81" t="s">
        <v>37</v>
      </c>
      <c r="N1" s="81"/>
      <c r="O1" s="81"/>
      <c r="P1" s="81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80"/>
      <c r="AE1" s="80"/>
      <c r="AF1" s="80"/>
      <c r="AG1" s="80"/>
      <c r="AH1" s="80"/>
      <c r="AI1" s="116"/>
      <c r="AJ1" s="80"/>
      <c r="AK1" s="80"/>
      <c r="AL1" s="80"/>
      <c r="AM1" s="43"/>
      <c r="AN1" s="43"/>
      <c r="AO1" s="126"/>
      <c r="AP1" s="43"/>
      <c r="AQ1" s="43"/>
      <c r="AR1" s="43"/>
      <c r="AS1" s="43"/>
    </row>
    <row r="2" s="30" customFormat="1" ht="20.1" customHeight="1" spans="1:46">
      <c r="A2" s="45" t="s">
        <v>18</v>
      </c>
      <c r="B2" s="46" t="s">
        <v>38</v>
      </c>
      <c r="C2" s="47" t="s">
        <v>39</v>
      </c>
      <c r="D2" s="47" t="s">
        <v>40</v>
      </c>
      <c r="E2" s="48" t="s">
        <v>41</v>
      </c>
      <c r="F2" s="49" t="s">
        <v>42</v>
      </c>
      <c r="G2" s="48" t="s">
        <v>43</v>
      </c>
      <c r="H2" s="48" t="s">
        <v>44</v>
      </c>
      <c r="I2" s="48" t="s">
        <v>45</v>
      </c>
      <c r="J2" s="82" t="s">
        <v>46</v>
      </c>
      <c r="K2" s="48" t="s">
        <v>47</v>
      </c>
      <c r="L2" s="48" t="s">
        <v>48</v>
      </c>
      <c r="M2" s="83" t="s">
        <v>49</v>
      </c>
      <c r="N2" s="84"/>
      <c r="O2" s="84"/>
      <c r="P2" s="85"/>
      <c r="Q2" s="49" t="s">
        <v>50</v>
      </c>
      <c r="R2" s="48" t="s">
        <v>51</v>
      </c>
      <c r="S2" s="49" t="s">
        <v>52</v>
      </c>
      <c r="T2" s="103" t="s">
        <v>53</v>
      </c>
      <c r="U2" s="49" t="s">
        <v>54</v>
      </c>
      <c r="V2" s="104" t="s">
        <v>55</v>
      </c>
      <c r="W2" s="105"/>
      <c r="X2" s="105"/>
      <c r="Y2" s="105"/>
      <c r="Z2" s="105"/>
      <c r="AA2" s="111"/>
      <c r="AB2" s="49" t="s">
        <v>56</v>
      </c>
      <c r="AC2" s="49" t="s">
        <v>57</v>
      </c>
      <c r="AD2" s="103" t="s">
        <v>58</v>
      </c>
      <c r="AE2" s="103" t="s">
        <v>59</v>
      </c>
      <c r="AF2" s="103" t="s">
        <v>60</v>
      </c>
      <c r="AG2" s="103" t="s">
        <v>61</v>
      </c>
      <c r="AH2" s="117" t="s">
        <v>62</v>
      </c>
      <c r="AI2" s="118" t="s">
        <v>63</v>
      </c>
      <c r="AJ2" s="117" t="s">
        <v>64</v>
      </c>
      <c r="AK2" s="47" t="s">
        <v>65</v>
      </c>
      <c r="AL2" s="117" t="s">
        <v>66</v>
      </c>
      <c r="AM2" s="48" t="s">
        <v>67</v>
      </c>
      <c r="AN2" s="48" t="s">
        <v>68</v>
      </c>
      <c r="AO2" s="127" t="s">
        <v>69</v>
      </c>
      <c r="AP2" s="48" t="s">
        <v>70</v>
      </c>
      <c r="AQ2" s="48" t="s">
        <v>71</v>
      </c>
      <c r="AR2" s="49" t="s">
        <v>72</v>
      </c>
      <c r="AS2" s="49" t="s">
        <v>73</v>
      </c>
      <c r="AT2" s="49" t="s">
        <v>74</v>
      </c>
    </row>
    <row r="3" s="30" customFormat="1" ht="27" customHeight="1" spans="1:46">
      <c r="A3" s="50"/>
      <c r="B3" s="51"/>
      <c r="C3" s="52"/>
      <c r="D3" s="52"/>
      <c r="E3" s="53"/>
      <c r="F3" s="54"/>
      <c r="G3" s="53"/>
      <c r="H3" s="53"/>
      <c r="I3" s="53"/>
      <c r="J3" s="86"/>
      <c r="K3" s="53"/>
      <c r="L3" s="53"/>
      <c r="M3" s="87" t="s">
        <v>75</v>
      </c>
      <c r="N3" s="87" t="s">
        <v>76</v>
      </c>
      <c r="O3" s="87" t="s">
        <v>77</v>
      </c>
      <c r="P3" s="87" t="s">
        <v>78</v>
      </c>
      <c r="Q3" s="54"/>
      <c r="R3" s="53"/>
      <c r="S3" s="54"/>
      <c r="T3" s="106"/>
      <c r="U3" s="54"/>
      <c r="V3" s="107" t="s">
        <v>79</v>
      </c>
      <c r="W3" s="107" t="s">
        <v>80</v>
      </c>
      <c r="X3" s="107" t="s">
        <v>81</v>
      </c>
      <c r="Y3" s="107" t="s">
        <v>82</v>
      </c>
      <c r="Z3" s="107" t="s">
        <v>83</v>
      </c>
      <c r="AA3" s="107" t="s">
        <v>84</v>
      </c>
      <c r="AB3" s="54"/>
      <c r="AC3" s="54"/>
      <c r="AD3" s="106"/>
      <c r="AE3" s="106"/>
      <c r="AF3" s="106"/>
      <c r="AG3" s="106"/>
      <c r="AH3" s="119"/>
      <c r="AI3" s="120"/>
      <c r="AJ3" s="119"/>
      <c r="AK3" s="52"/>
      <c r="AL3" s="119"/>
      <c r="AM3" s="53"/>
      <c r="AN3" s="53"/>
      <c r="AO3" s="128"/>
      <c r="AP3" s="53"/>
      <c r="AQ3" s="53"/>
      <c r="AR3" s="54"/>
      <c r="AS3" s="54"/>
      <c r="AT3" s="54"/>
    </row>
    <row r="4" s="31" customFormat="1" ht="18" customHeight="1" spans="1:46">
      <c r="A4" s="55">
        <v>1</v>
      </c>
      <c r="B4" s="56" t="s">
        <v>85</v>
      </c>
      <c r="C4" s="262" t="s">
        <v>86</v>
      </c>
      <c r="D4" s="56" t="s">
        <v>87</v>
      </c>
      <c r="E4" s="263" t="s">
        <v>88</v>
      </c>
      <c r="F4" s="57" t="str">
        <f>IF(MOD(MID(E4,17,1),2)=1,"男","女")</f>
        <v>男</v>
      </c>
      <c r="G4" s="264">
        <v>18035163638</v>
      </c>
      <c r="H4" s="265"/>
      <c r="I4" s="265"/>
      <c r="J4" s="267"/>
      <c r="K4" s="265"/>
      <c r="L4" s="268">
        <v>7700</v>
      </c>
      <c r="M4" s="268">
        <v>264</v>
      </c>
      <c r="N4" s="268">
        <v>66</v>
      </c>
      <c r="O4" s="268">
        <v>9.9</v>
      </c>
      <c r="P4" s="268">
        <v>180</v>
      </c>
      <c r="Q4" s="108">
        <f>ROUND(SUM(M4:P4),2)</f>
        <v>519.9</v>
      </c>
      <c r="R4" s="89">
        <v>0</v>
      </c>
      <c r="S4" s="109">
        <f>L4+IFERROR(VLOOKUP($E:$E,'（居民）工资表-3月'!$E:$S,15,0),0)</f>
        <v>33170</v>
      </c>
      <c r="T4" s="110">
        <f>5000+IFERROR(VLOOKUP($E:$E,'（居民）工资表-3月'!$E:$T,16,0),0)</f>
        <v>20000</v>
      </c>
      <c r="U4" s="110">
        <f>Q4+IFERROR(VLOOKUP($E:$E,'（居民）工资表-3月'!$E:$U,17,0),0)</f>
        <v>2079.6</v>
      </c>
      <c r="V4" s="89"/>
      <c r="W4" s="89"/>
      <c r="X4" s="89">
        <v>4000</v>
      </c>
      <c r="Y4" s="89"/>
      <c r="Z4" s="89"/>
      <c r="AA4" s="89"/>
      <c r="AB4" s="109">
        <f>ROUND(SUM(V4:AA4),2)</f>
        <v>4000</v>
      </c>
      <c r="AC4" s="109">
        <f>R4+IFERROR(VLOOKUP($E:$E,'（居民）工资表-3月'!$E:$AC,25,0),0)</f>
        <v>0</v>
      </c>
      <c r="AD4" s="112">
        <f>ROUND(S4-T4-U4-AB4-AC4,2)</f>
        <v>7090.4</v>
      </c>
      <c r="AE4" s="113">
        <f>ROUND(MAX((AD4)*{0.03;0.1;0.2;0.25;0.3;0.35;0.45}-{0;2520;16920;31920;52920;85920;181920},0),2)</f>
        <v>212.71</v>
      </c>
      <c r="AF4" s="114">
        <f>IFERROR(VLOOKUP(E:E,'（居民）工资表-3月'!E:AF,28,0)+VLOOKUP(E:E,'（居民）工资表-3月'!E:AG,29,0),0)</f>
        <v>177.31</v>
      </c>
      <c r="AG4" s="114">
        <f>IF((AE4-AF4)&lt;0,0,AE4-AF4)</f>
        <v>35.4</v>
      </c>
      <c r="AH4" s="121">
        <f>ROUND(IF((L4-Q4-AG4)&lt;0,0,(L4-Q4-AG4)),2)</f>
        <v>7144.7</v>
      </c>
      <c r="AI4" s="122"/>
      <c r="AJ4" s="121">
        <f>AH4+AI4</f>
        <v>7144.7</v>
      </c>
      <c r="AK4" s="123"/>
      <c r="AL4" s="121">
        <f>AJ4+AG4+AK4</f>
        <v>7180.1</v>
      </c>
      <c r="AM4" s="123"/>
      <c r="AN4" s="123"/>
      <c r="AO4" s="123"/>
      <c r="AP4" s="123"/>
      <c r="AQ4" s="123"/>
      <c r="AR4" s="129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29" t="str">
        <f>IF(SUMPRODUCT(N(E$1:E$6=E4))&gt;1,"重复","不")</f>
        <v>不</v>
      </c>
      <c r="AT4" s="129" t="str">
        <f>IF(SUMPRODUCT(N(AO$1:AO$6=AO4))&gt;1,"重复","不")</f>
        <v>重复</v>
      </c>
    </row>
    <row r="5" s="31" customFormat="1" ht="18" customHeight="1" spans="1:46">
      <c r="A5" s="55">
        <v>2</v>
      </c>
      <c r="B5" s="56" t="s">
        <v>85</v>
      </c>
      <c r="C5" s="266" t="s">
        <v>89</v>
      </c>
      <c r="D5" s="56" t="s">
        <v>87</v>
      </c>
      <c r="E5" s="387" t="s">
        <v>90</v>
      </c>
      <c r="F5" s="57" t="str">
        <f>IF(MOD(MID(E5,17,1),2)=1,"男","女")</f>
        <v>女</v>
      </c>
      <c r="G5" s="264">
        <v>13926009696</v>
      </c>
      <c r="H5" s="265"/>
      <c r="I5" s="265"/>
      <c r="J5" s="267"/>
      <c r="K5" s="265"/>
      <c r="L5" s="268">
        <v>5800</v>
      </c>
      <c r="M5" s="268">
        <v>304.24</v>
      </c>
      <c r="N5" s="268">
        <v>123.5</v>
      </c>
      <c r="O5" s="268">
        <v>7.61</v>
      </c>
      <c r="P5" s="268">
        <v>0</v>
      </c>
      <c r="Q5" s="108">
        <f>ROUND(SUM(M5:P5),2)</f>
        <v>435.35</v>
      </c>
      <c r="R5" s="89">
        <v>0</v>
      </c>
      <c r="S5" s="109">
        <f>L5+IFERROR(VLOOKUP($E:$E,'（居民）工资表-3月'!$E:$S,15,0),0)</f>
        <v>11600</v>
      </c>
      <c r="T5" s="110">
        <f>5000+IFERROR(VLOOKUP($E:$E,'（居民）工资表-3月'!$E:$T,16,0),0)</f>
        <v>10000</v>
      </c>
      <c r="U5" s="110">
        <f>Q5+IFERROR(VLOOKUP($E:$E,'（居民）工资表-3月'!$E:$U,17,0),0)</f>
        <v>870.7</v>
      </c>
      <c r="V5" s="89"/>
      <c r="W5" s="89"/>
      <c r="X5" s="89"/>
      <c r="Y5" s="89"/>
      <c r="Z5" s="89"/>
      <c r="AA5" s="89"/>
      <c r="AB5" s="109">
        <f>ROUND(SUM(V5:AA5),2)</f>
        <v>0</v>
      </c>
      <c r="AC5" s="109">
        <f>R5+IFERROR(VLOOKUP($E:$E,'（居民）工资表-3月'!$E:$AC,25,0),0)</f>
        <v>0</v>
      </c>
      <c r="AD5" s="112">
        <f>ROUND(S5-T5-U5-AB5-AC5,2)</f>
        <v>729.3</v>
      </c>
      <c r="AE5" s="113">
        <f>ROUND(MAX((AD5)*{0.03;0.1;0.2;0.25;0.3;0.35;0.45}-{0;2520;16920;31920;52920;85920;181920},0),2)</f>
        <v>21.88</v>
      </c>
      <c r="AF5" s="114">
        <f>IFERROR(VLOOKUP(E:E,'（居民）工资表-3月'!E:AF,28,0)+VLOOKUP(E:E,'（居民）工资表-3月'!E:AG,29,0),0)</f>
        <v>10.94</v>
      </c>
      <c r="AG5" s="114">
        <f>IF((AE5-AF5)&lt;0,0,AE5-AF5)</f>
        <v>10.94</v>
      </c>
      <c r="AH5" s="121">
        <f>ROUND(IF((L5-Q5-AG5)&lt;0,0,(L5-Q5-AG5)),2)</f>
        <v>5353.71</v>
      </c>
      <c r="AI5" s="122"/>
      <c r="AJ5" s="121">
        <f>AH5+AI5</f>
        <v>5353.71</v>
      </c>
      <c r="AK5" s="123"/>
      <c r="AL5" s="121">
        <f>AJ5+AG5+AK5</f>
        <v>5364.65</v>
      </c>
      <c r="AM5" s="123"/>
      <c r="AN5" s="123"/>
      <c r="AO5" s="123"/>
      <c r="AP5" s="123"/>
      <c r="AQ5" s="123"/>
      <c r="AR5" s="129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29" t="str">
        <f>IF(SUMPRODUCT(N(E$1:E$6=E5))&gt;1,"重复","不")</f>
        <v>不</v>
      </c>
      <c r="AT5" s="129" t="str">
        <f>IF(SUMPRODUCT(N(AO$1:AO$6=AO5))&gt;1,"重复","不")</f>
        <v>重复</v>
      </c>
    </row>
    <row r="6" s="31" customFormat="1" ht="18" customHeight="1" spans="1:46">
      <c r="A6" s="55">
        <v>3</v>
      </c>
      <c r="B6" s="56" t="s">
        <v>85</v>
      </c>
      <c r="C6" s="56" t="s">
        <v>154</v>
      </c>
      <c r="D6" s="56" t="s">
        <v>87</v>
      </c>
      <c r="E6" s="56" t="s">
        <v>155</v>
      </c>
      <c r="F6" s="57" t="str">
        <f>IF(MOD(MID(E6,17,1),2)=1,"男","女")</f>
        <v>男</v>
      </c>
      <c r="G6" s="58">
        <v>13944441728</v>
      </c>
      <c r="H6" s="59"/>
      <c r="I6" s="59"/>
      <c r="J6" s="88"/>
      <c r="K6" s="59"/>
      <c r="L6" s="89">
        <v>4900</v>
      </c>
      <c r="M6" s="90"/>
      <c r="N6" s="90"/>
      <c r="O6" s="90"/>
      <c r="P6" s="90"/>
      <c r="Q6" s="108">
        <f>ROUND(SUM(M6:P6),2)</f>
        <v>0</v>
      </c>
      <c r="R6" s="89">
        <v>0</v>
      </c>
      <c r="S6" s="109">
        <f>L6+IFERROR(VLOOKUP($E:$E,'（居民）工资表-3月'!$E:$S,15,0),0)</f>
        <v>4900</v>
      </c>
      <c r="T6" s="110">
        <f>5000+IFERROR(VLOOKUP($E:$E,'（居民）工资表-3月'!$E:$T,16,0),0)</f>
        <v>5000</v>
      </c>
      <c r="U6" s="110">
        <f>Q6+IFERROR(VLOOKUP($E:$E,'（居民）工资表-3月'!$E:$U,17,0),0)</f>
        <v>0</v>
      </c>
      <c r="V6" s="89"/>
      <c r="W6" s="89"/>
      <c r="X6" s="89"/>
      <c r="Y6" s="89"/>
      <c r="Z6" s="89"/>
      <c r="AA6" s="89"/>
      <c r="AB6" s="109">
        <f>ROUND(SUM(V6:AA6),2)</f>
        <v>0</v>
      </c>
      <c r="AC6" s="109">
        <f>R6+IFERROR(VLOOKUP($E:$E,'（居民）工资表-3月'!$E:$AC,25,0),0)</f>
        <v>0</v>
      </c>
      <c r="AD6" s="112">
        <f>ROUND(S6-T6-U6-AB6-AC6,2)</f>
        <v>-100</v>
      </c>
      <c r="AE6" s="113">
        <f>ROUND(MAX((AD6)*{0.03;0.1;0.2;0.25;0.3;0.35;0.45}-{0;2520;16920;31920;52920;85920;181920},0),2)</f>
        <v>0</v>
      </c>
      <c r="AF6" s="114">
        <f>IFERROR(VLOOKUP(E:E,'（居民）工资表-3月'!E:AF,28,0)+VLOOKUP(E:E,'（居民）工资表-3月'!E:AG,29,0),0)</f>
        <v>0</v>
      </c>
      <c r="AG6" s="114">
        <f>IF((AE6-AF6)&lt;0,0,AE6-AF6)</f>
        <v>0</v>
      </c>
      <c r="AH6" s="121">
        <f>ROUND(IF((L6-Q6-AG6)&lt;0,0,(L6-Q6-AG6)),2)</f>
        <v>4900</v>
      </c>
      <c r="AI6" s="122"/>
      <c r="AJ6" s="121">
        <f>AH6+AI6</f>
        <v>4900</v>
      </c>
      <c r="AK6" s="123"/>
      <c r="AL6" s="121">
        <f>AJ6+AG6+AK6</f>
        <v>4900</v>
      </c>
      <c r="AM6" s="123"/>
      <c r="AN6" s="123"/>
      <c r="AO6" s="123"/>
      <c r="AP6" s="123"/>
      <c r="AQ6" s="123"/>
      <c r="AR6" s="129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29" t="str">
        <f>IF(SUMPRODUCT(N(E$1:E$6=E6))&gt;1,"重复","不")</f>
        <v>不</v>
      </c>
      <c r="AT6" s="129" t="str">
        <f>IF(SUMPRODUCT(N(AO$1:AO$6=AO6))&gt;1,"重复","不")</f>
        <v>重复</v>
      </c>
    </row>
    <row r="7" s="32" customFormat="1" ht="18" customHeight="1" spans="1:46">
      <c r="A7" s="60"/>
      <c r="B7" s="61" t="s">
        <v>91</v>
      </c>
      <c r="C7" s="61"/>
      <c r="D7" s="62"/>
      <c r="E7" s="63"/>
      <c r="F7" s="64"/>
      <c r="G7" s="65"/>
      <c r="H7" s="64"/>
      <c r="I7" s="91"/>
      <c r="J7" s="92"/>
      <c r="K7" s="91"/>
      <c r="L7" s="93">
        <f t="shared" ref="L7:AL7" si="0">SUM(L4:L6)</f>
        <v>18400</v>
      </c>
      <c r="M7" s="93">
        <f t="shared" si="0"/>
        <v>568.24</v>
      </c>
      <c r="N7" s="93">
        <f t="shared" si="0"/>
        <v>189.5</v>
      </c>
      <c r="O7" s="93">
        <f t="shared" si="0"/>
        <v>17.51</v>
      </c>
      <c r="P7" s="93">
        <f t="shared" si="0"/>
        <v>180</v>
      </c>
      <c r="Q7" s="93">
        <f t="shared" si="0"/>
        <v>955.25</v>
      </c>
      <c r="R7" s="93">
        <f t="shared" si="0"/>
        <v>0</v>
      </c>
      <c r="S7" s="93">
        <f t="shared" si="0"/>
        <v>49670</v>
      </c>
      <c r="T7" s="93">
        <f t="shared" si="0"/>
        <v>35000</v>
      </c>
      <c r="U7" s="93">
        <f t="shared" si="0"/>
        <v>2950.3</v>
      </c>
      <c r="V7" s="93">
        <f t="shared" si="0"/>
        <v>0</v>
      </c>
      <c r="W7" s="93">
        <f t="shared" si="0"/>
        <v>0</v>
      </c>
      <c r="X7" s="93">
        <f t="shared" si="0"/>
        <v>4000</v>
      </c>
      <c r="Y7" s="93">
        <f t="shared" si="0"/>
        <v>0</v>
      </c>
      <c r="Z7" s="93">
        <f t="shared" si="0"/>
        <v>0</v>
      </c>
      <c r="AA7" s="93">
        <f t="shared" si="0"/>
        <v>0</v>
      </c>
      <c r="AB7" s="93">
        <f t="shared" si="0"/>
        <v>4000</v>
      </c>
      <c r="AC7" s="93">
        <f t="shared" si="0"/>
        <v>0</v>
      </c>
      <c r="AD7" s="93">
        <f t="shared" si="0"/>
        <v>7719.7</v>
      </c>
      <c r="AE7" s="93">
        <f t="shared" si="0"/>
        <v>234.59</v>
      </c>
      <c r="AF7" s="93">
        <f t="shared" si="0"/>
        <v>188.25</v>
      </c>
      <c r="AG7" s="93">
        <f t="shared" si="0"/>
        <v>46.34</v>
      </c>
      <c r="AH7" s="93">
        <f t="shared" si="0"/>
        <v>17398.41</v>
      </c>
      <c r="AI7" s="131">
        <f t="shared" si="0"/>
        <v>0</v>
      </c>
      <c r="AJ7" s="93">
        <f t="shared" si="0"/>
        <v>17398.41</v>
      </c>
      <c r="AK7" s="93">
        <f t="shared" si="0"/>
        <v>0</v>
      </c>
      <c r="AL7" s="93">
        <f t="shared" si="0"/>
        <v>17444.75</v>
      </c>
      <c r="AM7" s="124"/>
      <c r="AN7" s="124"/>
      <c r="AO7" s="124"/>
      <c r="AP7" s="124"/>
      <c r="AQ7" s="124"/>
      <c r="AR7" s="64"/>
      <c r="AS7" s="64"/>
      <c r="AT7" s="130"/>
    </row>
    <row r="10" spans="30:30">
      <c r="AD10" s="115"/>
    </row>
    <row r="11" ht="18.75" customHeight="1" spans="2:33">
      <c r="B11" s="66" t="s">
        <v>64</v>
      </c>
      <c r="C11" s="66" t="s">
        <v>92</v>
      </c>
      <c r="D11" s="66" t="s">
        <v>65</v>
      </c>
      <c r="E11" s="66" t="s">
        <v>93</v>
      </c>
      <c r="AD11" s="29"/>
      <c r="AG11" s="269"/>
    </row>
    <row r="12" ht="18.75" customHeight="1" spans="2:5">
      <c r="B12" s="67">
        <f>AJ7</f>
        <v>17398.41</v>
      </c>
      <c r="C12" s="67">
        <f>AG7</f>
        <v>46.34</v>
      </c>
      <c r="D12" s="67">
        <f>AK7</f>
        <v>0</v>
      </c>
      <c r="E12" s="67">
        <f>B12+C12+D12</f>
        <v>17444.75</v>
      </c>
    </row>
    <row r="13" spans="2:5">
      <c r="B13" s="68"/>
      <c r="C13" s="68"/>
      <c r="D13" s="68"/>
      <c r="E13" s="68">
        <f>社保!BC18</f>
        <v>14730.26</v>
      </c>
    </row>
    <row r="14" s="33" customFormat="1" spans="1:35">
      <c r="A14" s="69" t="s">
        <v>94</v>
      </c>
      <c r="B14" s="70" t="s">
        <v>95</v>
      </c>
      <c r="C14" s="71"/>
      <c r="D14" s="71"/>
      <c r="E14" s="71"/>
      <c r="G14" s="72"/>
      <c r="J14" s="94"/>
      <c r="M14" s="95"/>
      <c r="AI14" s="125"/>
    </row>
    <row r="15" s="33" customFormat="1" spans="1:35">
      <c r="A15" s="73"/>
      <c r="B15" s="74" t="s">
        <v>96</v>
      </c>
      <c r="C15" s="71"/>
      <c r="D15" s="71"/>
      <c r="E15" s="71"/>
      <c r="G15" s="72"/>
      <c r="J15" s="94"/>
      <c r="M15" s="95"/>
      <c r="AI15" s="125"/>
    </row>
    <row r="16" s="33" customFormat="1" spans="1:35">
      <c r="A16" s="70"/>
      <c r="B16" s="74" t="s">
        <v>97</v>
      </c>
      <c r="C16" s="75"/>
      <c r="D16" s="75"/>
      <c r="E16" s="75"/>
      <c r="F16" s="75"/>
      <c r="G16" s="75"/>
      <c r="H16" s="75"/>
      <c r="I16" s="75"/>
      <c r="J16" s="96"/>
      <c r="K16" s="75"/>
      <c r="L16" s="75"/>
      <c r="M16" s="97"/>
      <c r="N16" s="75"/>
      <c r="O16" s="75"/>
      <c r="P16" s="75"/>
      <c r="AI16" s="125"/>
    </row>
    <row r="17" s="33" customFormat="1" customHeight="1" spans="1:35">
      <c r="A17" s="74"/>
      <c r="B17" s="74" t="s">
        <v>98</v>
      </c>
      <c r="C17" s="76"/>
      <c r="D17" s="76"/>
      <c r="E17" s="76"/>
      <c r="F17" s="76"/>
      <c r="G17" s="76"/>
      <c r="H17" s="76"/>
      <c r="I17" s="98"/>
      <c r="J17" s="99"/>
      <c r="K17" s="98"/>
      <c r="L17" s="98"/>
      <c r="M17" s="100"/>
      <c r="N17" s="98"/>
      <c r="O17" s="98"/>
      <c r="P17" s="98"/>
      <c r="AI17" s="125"/>
    </row>
    <row r="18" s="33" customFormat="1" customHeight="1" spans="1:35">
      <c r="A18" s="74"/>
      <c r="B18" s="74" t="s">
        <v>99</v>
      </c>
      <c r="C18" s="76"/>
      <c r="D18" s="76"/>
      <c r="E18" s="76"/>
      <c r="F18" s="76"/>
      <c r="G18" s="76"/>
      <c r="H18" s="76"/>
      <c r="I18" s="76"/>
      <c r="J18" s="101"/>
      <c r="K18" s="76"/>
      <c r="L18" s="98"/>
      <c r="M18" s="100"/>
      <c r="N18" s="98"/>
      <c r="O18" s="98"/>
      <c r="P18" s="98"/>
      <c r="AI18" s="125"/>
    </row>
    <row r="19" s="33" customFormat="1" customHeight="1" spans="1:35">
      <c r="A19" s="74"/>
      <c r="B19" s="74" t="s">
        <v>100</v>
      </c>
      <c r="C19" s="76"/>
      <c r="D19" s="76"/>
      <c r="E19" s="76"/>
      <c r="F19" s="76"/>
      <c r="G19" s="76"/>
      <c r="H19" s="76"/>
      <c r="I19" s="98"/>
      <c r="J19" s="99"/>
      <c r="K19" s="98"/>
      <c r="L19" s="98"/>
      <c r="M19" s="100"/>
      <c r="N19" s="98"/>
      <c r="O19" s="98"/>
      <c r="P19" s="98"/>
      <c r="AI19" s="125"/>
    </row>
    <row r="21" ht="11.25" customHeight="1" spans="2:2">
      <c r="B21" s="77" t="s">
        <v>101</v>
      </c>
    </row>
    <row r="22" spans="2:2">
      <c r="B22" s="78" t="s">
        <v>102</v>
      </c>
    </row>
    <row r="23" spans="2:2">
      <c r="B23" s="78" t="s">
        <v>103</v>
      </c>
    </row>
  </sheetData>
  <autoFilter ref="A3:AT7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9">
    <cfRule type="duplicateValues" dxfId="2" priority="2" stopIfTrue="1"/>
  </conditionalFormatting>
  <conditionalFormatting sqref="B14:B18">
    <cfRule type="duplicateValues" dxfId="2" priority="3" stopIfTrue="1"/>
  </conditionalFormatting>
  <conditionalFormatting sqref="B22:B23">
    <cfRule type="duplicateValues" dxfId="2" priority="1" stopIfTrue="1"/>
  </conditionalFormatting>
  <conditionalFormatting sqref="C11:C13">
    <cfRule type="duplicateValues" dxfId="2" priority="4" stopIfTrue="1"/>
    <cfRule type="expression" dxfId="3" priority="5" stopIfTrue="1">
      <formula>AND(COUNTIF($B$7:$B$65443,C11)+COUNTIF($B$1:$B$3,C11)&gt;1,NOT(ISBLANK(C11)))</formula>
    </cfRule>
    <cfRule type="expression" dxfId="3" priority="6" stopIfTrue="1">
      <formula>AND(COUNTIF($B$18:$B$65394,C11)+COUNTIF($B$1:$B$17,C11)&gt;1,NOT(ISBLANK(C11)))</formula>
    </cfRule>
    <cfRule type="expression" dxfId="3" priority="7" stopIfTrue="1">
      <formula>AND(COUNTIF($B$7:$B$65432,C11)+COUNTIF($B$1:$B$3,C11)&gt;1,NOT(ISBLANK(C11)))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N19" sqref="N19"/>
    </sheetView>
  </sheetViews>
  <sheetFormatPr defaultColWidth="9" defaultRowHeight="13.5"/>
  <cols>
    <col min="1" max="1" width="4.5" style="34" customWidth="1"/>
    <col min="2" max="2" width="12.625" style="34" customWidth="1"/>
    <col min="3" max="3" width="10.5" style="34" customWidth="1"/>
    <col min="4" max="4" width="8.75" style="34" customWidth="1"/>
    <col min="5" max="5" width="19.5" style="35" customWidth="1"/>
    <col min="6" max="6" width="9" style="34"/>
    <col min="7" max="7" width="11.875" style="36" customWidth="1"/>
    <col min="8" max="8" width="4.625" style="34" hidden="1" customWidth="1"/>
    <col min="9" max="9" width="5.25" style="34" hidden="1" customWidth="1"/>
    <col min="10" max="10" width="11.75" style="37" customWidth="1"/>
    <col min="11" max="11" width="5.25" style="34" customWidth="1"/>
    <col min="12" max="12" width="11.75" style="34" customWidth="1"/>
    <col min="13" max="13" width="9.75" style="34" customWidth="1" outlineLevel="1"/>
    <col min="14" max="15" width="9" style="34" customWidth="1" outlineLevel="1"/>
    <col min="16" max="16" width="11.125" style="34" customWidth="1" outlineLevel="1"/>
    <col min="17" max="17" width="9.75" style="34" customWidth="1"/>
    <col min="18" max="18" width="9.5" style="34" customWidth="1"/>
    <col min="19" max="19" width="14.125" style="34" customWidth="1"/>
    <col min="20" max="21" width="12.25" style="34" customWidth="1"/>
    <col min="22" max="27" width="9" style="34" customWidth="1" outlineLevel="1"/>
    <col min="28" max="28" width="11.25" style="34" customWidth="1"/>
    <col min="29" max="29" width="8.5" style="34" customWidth="1"/>
    <col min="30" max="30" width="15.25" style="34" customWidth="1"/>
    <col min="31" max="31" width="14" style="34" customWidth="1"/>
    <col min="32" max="32" width="10.75" style="34" customWidth="1"/>
    <col min="33" max="33" width="12.25" style="34" customWidth="1"/>
    <col min="34" max="34" width="11.5" style="34" customWidth="1"/>
    <col min="35" max="35" width="7.875" style="38" customWidth="1"/>
    <col min="36" max="36" width="11.5" style="34" customWidth="1"/>
    <col min="37" max="37" width="9" style="34"/>
    <col min="38" max="38" width="11.5" style="34" customWidth="1"/>
    <col min="39" max="40" width="9" style="34" customWidth="1"/>
    <col min="41" max="41" width="19" style="34" customWidth="1"/>
    <col min="42" max="42" width="12.25" style="34" customWidth="1"/>
    <col min="43" max="43" width="9" style="34"/>
    <col min="44" max="44" width="7" style="34" customWidth="1"/>
    <col min="45" max="45" width="6.75" style="34" customWidth="1"/>
    <col min="46" max="46" width="6.125" style="34" customWidth="1"/>
    <col min="47" max="16384" width="9" style="34"/>
  </cols>
  <sheetData>
    <row r="1" s="29" customFormat="1" ht="29.25" customHeight="1" spans="1:45">
      <c r="A1" s="39" t="s">
        <v>36</v>
      </c>
      <c r="B1" s="40"/>
      <c r="C1" s="41"/>
      <c r="D1" s="42"/>
      <c r="E1" s="43"/>
      <c r="F1" s="43"/>
      <c r="G1" s="44"/>
      <c r="J1" s="79"/>
      <c r="L1" s="80"/>
      <c r="M1" s="81" t="s">
        <v>37</v>
      </c>
      <c r="N1" s="81"/>
      <c r="O1" s="81"/>
      <c r="P1" s="81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80"/>
      <c r="AE1" s="80"/>
      <c r="AF1" s="80"/>
      <c r="AG1" s="80"/>
      <c r="AH1" s="80"/>
      <c r="AI1" s="116"/>
      <c r="AJ1" s="80"/>
      <c r="AK1" s="80"/>
      <c r="AL1" s="80"/>
      <c r="AM1" s="43"/>
      <c r="AN1" s="43"/>
      <c r="AO1" s="126"/>
      <c r="AP1" s="43"/>
      <c r="AQ1" s="43"/>
      <c r="AR1" s="43"/>
      <c r="AS1" s="43"/>
    </row>
    <row r="2" s="30" customFormat="1" ht="20.1" customHeight="1" spans="1:46">
      <c r="A2" s="45" t="s">
        <v>18</v>
      </c>
      <c r="B2" s="46" t="s">
        <v>38</v>
      </c>
      <c r="C2" s="47" t="s">
        <v>39</v>
      </c>
      <c r="D2" s="47" t="s">
        <v>40</v>
      </c>
      <c r="E2" s="48" t="s">
        <v>41</v>
      </c>
      <c r="F2" s="49" t="s">
        <v>42</v>
      </c>
      <c r="G2" s="48" t="s">
        <v>43</v>
      </c>
      <c r="H2" s="48" t="s">
        <v>44</v>
      </c>
      <c r="I2" s="48" t="s">
        <v>45</v>
      </c>
      <c r="J2" s="82" t="s">
        <v>46</v>
      </c>
      <c r="K2" s="48" t="s">
        <v>47</v>
      </c>
      <c r="L2" s="48" t="s">
        <v>48</v>
      </c>
      <c r="M2" s="83" t="s">
        <v>49</v>
      </c>
      <c r="N2" s="84"/>
      <c r="O2" s="84"/>
      <c r="P2" s="85"/>
      <c r="Q2" s="49" t="s">
        <v>50</v>
      </c>
      <c r="R2" s="48" t="s">
        <v>51</v>
      </c>
      <c r="S2" s="49" t="s">
        <v>52</v>
      </c>
      <c r="T2" s="103" t="s">
        <v>53</v>
      </c>
      <c r="U2" s="49" t="s">
        <v>54</v>
      </c>
      <c r="V2" s="104" t="s">
        <v>55</v>
      </c>
      <c r="W2" s="105"/>
      <c r="X2" s="105"/>
      <c r="Y2" s="105"/>
      <c r="Z2" s="105"/>
      <c r="AA2" s="111"/>
      <c r="AB2" s="49" t="s">
        <v>56</v>
      </c>
      <c r="AC2" s="49" t="s">
        <v>57</v>
      </c>
      <c r="AD2" s="103" t="s">
        <v>58</v>
      </c>
      <c r="AE2" s="103" t="s">
        <v>59</v>
      </c>
      <c r="AF2" s="103" t="s">
        <v>60</v>
      </c>
      <c r="AG2" s="103" t="s">
        <v>61</v>
      </c>
      <c r="AH2" s="117" t="s">
        <v>62</v>
      </c>
      <c r="AI2" s="118" t="s">
        <v>63</v>
      </c>
      <c r="AJ2" s="117" t="s">
        <v>64</v>
      </c>
      <c r="AK2" s="47" t="s">
        <v>65</v>
      </c>
      <c r="AL2" s="117" t="s">
        <v>66</v>
      </c>
      <c r="AM2" s="48" t="s">
        <v>67</v>
      </c>
      <c r="AN2" s="48" t="s">
        <v>68</v>
      </c>
      <c r="AO2" s="127" t="s">
        <v>69</v>
      </c>
      <c r="AP2" s="48" t="s">
        <v>70</v>
      </c>
      <c r="AQ2" s="48" t="s">
        <v>71</v>
      </c>
      <c r="AR2" s="49" t="s">
        <v>72</v>
      </c>
      <c r="AS2" s="49" t="s">
        <v>73</v>
      </c>
      <c r="AT2" s="49" t="s">
        <v>74</v>
      </c>
    </row>
    <row r="3" s="30" customFormat="1" ht="27" customHeight="1" spans="1:46">
      <c r="A3" s="50"/>
      <c r="B3" s="51"/>
      <c r="C3" s="52"/>
      <c r="D3" s="52"/>
      <c r="E3" s="53"/>
      <c r="F3" s="54"/>
      <c r="G3" s="53"/>
      <c r="H3" s="53"/>
      <c r="I3" s="53"/>
      <c r="J3" s="86"/>
      <c r="K3" s="53"/>
      <c r="L3" s="53"/>
      <c r="M3" s="87" t="s">
        <v>75</v>
      </c>
      <c r="N3" s="87" t="s">
        <v>76</v>
      </c>
      <c r="O3" s="87" t="s">
        <v>77</v>
      </c>
      <c r="P3" s="87" t="s">
        <v>78</v>
      </c>
      <c r="Q3" s="54"/>
      <c r="R3" s="53"/>
      <c r="S3" s="54"/>
      <c r="T3" s="106"/>
      <c r="U3" s="54"/>
      <c r="V3" s="107" t="s">
        <v>79</v>
      </c>
      <c r="W3" s="107" t="s">
        <v>80</v>
      </c>
      <c r="X3" s="107" t="s">
        <v>81</v>
      </c>
      <c r="Y3" s="107" t="s">
        <v>82</v>
      </c>
      <c r="Z3" s="107" t="s">
        <v>83</v>
      </c>
      <c r="AA3" s="107" t="s">
        <v>84</v>
      </c>
      <c r="AB3" s="54"/>
      <c r="AC3" s="54"/>
      <c r="AD3" s="106"/>
      <c r="AE3" s="106"/>
      <c r="AF3" s="106"/>
      <c r="AG3" s="106"/>
      <c r="AH3" s="119"/>
      <c r="AI3" s="120"/>
      <c r="AJ3" s="119"/>
      <c r="AK3" s="52"/>
      <c r="AL3" s="119"/>
      <c r="AM3" s="53"/>
      <c r="AN3" s="53"/>
      <c r="AO3" s="128"/>
      <c r="AP3" s="53"/>
      <c r="AQ3" s="53"/>
      <c r="AR3" s="54"/>
      <c r="AS3" s="54"/>
      <c r="AT3" s="54"/>
    </row>
    <row r="4" s="31" customFormat="1" ht="18" customHeight="1" spans="1:46">
      <c r="A4" s="55">
        <v>1</v>
      </c>
      <c r="B4" s="56" t="s">
        <v>85</v>
      </c>
      <c r="C4" s="262" t="s">
        <v>86</v>
      </c>
      <c r="D4" s="56" t="s">
        <v>87</v>
      </c>
      <c r="E4" s="263" t="s">
        <v>88</v>
      </c>
      <c r="F4" s="57" t="str">
        <f t="shared" ref="F4:F7" si="0">IF(MOD(MID(E4,17,1),2)=1,"男","女")</f>
        <v>男</v>
      </c>
      <c r="G4" s="264">
        <v>18035163638</v>
      </c>
      <c r="H4" s="265"/>
      <c r="I4" s="265"/>
      <c r="J4" s="267"/>
      <c r="K4" s="265"/>
      <c r="L4" s="268">
        <v>7700</v>
      </c>
      <c r="M4" s="268">
        <v>264</v>
      </c>
      <c r="N4" s="268">
        <v>66</v>
      </c>
      <c r="O4" s="268">
        <v>9.9</v>
      </c>
      <c r="P4" s="268">
        <v>180</v>
      </c>
      <c r="Q4" s="108">
        <f t="shared" ref="Q4:Q7" si="1">ROUND(SUM(M4:P4),2)</f>
        <v>519.9</v>
      </c>
      <c r="R4" s="89">
        <v>0</v>
      </c>
      <c r="S4" s="109">
        <f>L4+IFERROR(VLOOKUP($E:$E,'（居民）工资表-4月'!$E:$S,15,0),0)</f>
        <v>40870</v>
      </c>
      <c r="T4" s="110">
        <f>5000+IFERROR(VLOOKUP($E:$E,'（居民）工资表-4月'!$E:$T,16,0),0)</f>
        <v>25000</v>
      </c>
      <c r="U4" s="110">
        <f>Q4+IFERROR(VLOOKUP($E:$E,'（居民）工资表-4月'!$E:$U,17,0),0)</f>
        <v>2599.5</v>
      </c>
      <c r="V4" s="89"/>
      <c r="W4" s="89"/>
      <c r="X4" s="89">
        <v>5000</v>
      </c>
      <c r="Y4" s="89"/>
      <c r="Z4" s="89"/>
      <c r="AA4" s="89"/>
      <c r="AB4" s="109">
        <f t="shared" ref="AB4:AB7" si="2">ROUND(SUM(V4:AA4),2)</f>
        <v>5000</v>
      </c>
      <c r="AC4" s="109">
        <f>R4+IFERROR(VLOOKUP($E:$E,'（居民）工资表-4月'!$E:$AC,25,0),0)</f>
        <v>0</v>
      </c>
      <c r="AD4" s="112">
        <f t="shared" ref="AD4:AD7" si="3">ROUND(S4-T4-U4-AB4-AC4,2)</f>
        <v>8270.5</v>
      </c>
      <c r="AE4" s="113">
        <f>ROUND(MAX((AD4)*{0.03;0.1;0.2;0.25;0.3;0.35;0.45}-{0;2520;16920;31920;52920;85920;181920},0),2)</f>
        <v>248.12</v>
      </c>
      <c r="AF4" s="114">
        <f>IFERROR(VLOOKUP(E:E,'（居民）工资表-4月'!E:AF,28,0)+VLOOKUP(E:E,'（居民）工资表-4月'!E:AG,29,0),0)</f>
        <v>212.71</v>
      </c>
      <c r="AG4" s="114">
        <f t="shared" ref="AG4:AG7" si="4">IF((AE4-AF4)&lt;0,0,AE4-AF4)</f>
        <v>35.41</v>
      </c>
      <c r="AH4" s="121">
        <f t="shared" ref="AH4:AH7" si="5">ROUND(IF((L4-Q4-AG4)&lt;0,0,(L4-Q4-AG4)),2)</f>
        <v>7144.69</v>
      </c>
      <c r="AI4" s="122"/>
      <c r="AJ4" s="121">
        <f t="shared" ref="AJ4:AJ7" si="6">AH4+AI4</f>
        <v>7144.69</v>
      </c>
      <c r="AK4" s="123"/>
      <c r="AL4" s="121">
        <f t="shared" ref="AL4:AL7" si="7">AJ4+AG4+AK4</f>
        <v>7180.1</v>
      </c>
      <c r="AM4" s="123"/>
      <c r="AN4" s="123"/>
      <c r="AO4" s="123"/>
      <c r="AP4" s="123"/>
      <c r="AQ4" s="123"/>
      <c r="AR4" s="129" t="str">
        <f t="shared" ref="AR4:AR7" si="8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29" t="str">
        <f>IF(SUMPRODUCT(N(E$1:E$7=E4))&gt;1,"重复","不")</f>
        <v>不</v>
      </c>
      <c r="AT4" s="129" t="str">
        <f>IF(SUMPRODUCT(N(AO$1:AO$7=AO4))&gt;1,"重复","不")</f>
        <v>重复</v>
      </c>
    </row>
    <row r="5" s="31" customFormat="1" ht="18" customHeight="1" spans="1:46">
      <c r="A5" s="55">
        <v>2</v>
      </c>
      <c r="B5" s="56" t="s">
        <v>85</v>
      </c>
      <c r="C5" s="266" t="s">
        <v>89</v>
      </c>
      <c r="D5" s="56" t="s">
        <v>87</v>
      </c>
      <c r="E5" s="387" t="s">
        <v>90</v>
      </c>
      <c r="F5" s="57" t="str">
        <f t="shared" si="0"/>
        <v>女</v>
      </c>
      <c r="G5" s="264">
        <v>13926009696</v>
      </c>
      <c r="H5" s="265"/>
      <c r="I5" s="265"/>
      <c r="J5" s="267"/>
      <c r="K5" s="265"/>
      <c r="L5" s="268">
        <v>5800</v>
      </c>
      <c r="M5" s="268">
        <v>304.24</v>
      </c>
      <c r="N5" s="268">
        <v>123.5</v>
      </c>
      <c r="O5" s="268">
        <v>7.61</v>
      </c>
      <c r="P5" s="268">
        <v>0</v>
      </c>
      <c r="Q5" s="108">
        <f t="shared" si="1"/>
        <v>435.35</v>
      </c>
      <c r="R5" s="89">
        <v>0</v>
      </c>
      <c r="S5" s="109">
        <f>L5+IFERROR(VLOOKUP($E:$E,'（居民）工资表-4月'!$E:$S,15,0),0)</f>
        <v>17400</v>
      </c>
      <c r="T5" s="110">
        <f>5000+IFERROR(VLOOKUP($E:$E,'（居民）工资表-4月'!$E:$T,16,0),0)</f>
        <v>15000</v>
      </c>
      <c r="U5" s="110">
        <f>Q5+IFERROR(VLOOKUP($E:$E,'（居民）工资表-4月'!$E:$U,17,0),0)</f>
        <v>1306.05</v>
      </c>
      <c r="V5" s="89"/>
      <c r="W5" s="89"/>
      <c r="X5" s="89"/>
      <c r="Y5" s="89"/>
      <c r="Z5" s="89"/>
      <c r="AA5" s="89"/>
      <c r="AB5" s="109">
        <f t="shared" si="2"/>
        <v>0</v>
      </c>
      <c r="AC5" s="109">
        <f>R5+IFERROR(VLOOKUP($E:$E,'（居民）工资表-4月'!$E:$AC,25,0),0)</f>
        <v>0</v>
      </c>
      <c r="AD5" s="112">
        <f t="shared" si="3"/>
        <v>1093.95</v>
      </c>
      <c r="AE5" s="113">
        <f>ROUND(MAX((AD5)*{0.03;0.1;0.2;0.25;0.3;0.35;0.45}-{0;2520;16920;31920;52920;85920;181920},0),2)</f>
        <v>32.82</v>
      </c>
      <c r="AF5" s="114">
        <f>IFERROR(VLOOKUP(E:E,'（居民）工资表-4月'!E:AF,28,0)+VLOOKUP(E:E,'（居民）工资表-4月'!E:AG,29,0),0)</f>
        <v>21.88</v>
      </c>
      <c r="AG5" s="114">
        <f t="shared" si="4"/>
        <v>10.94</v>
      </c>
      <c r="AH5" s="121">
        <f t="shared" si="5"/>
        <v>5353.71</v>
      </c>
      <c r="AI5" s="122"/>
      <c r="AJ5" s="121">
        <f t="shared" si="6"/>
        <v>5353.71</v>
      </c>
      <c r="AK5" s="123"/>
      <c r="AL5" s="121">
        <f t="shared" si="7"/>
        <v>5364.65</v>
      </c>
      <c r="AM5" s="123"/>
      <c r="AN5" s="123"/>
      <c r="AO5" s="123"/>
      <c r="AP5" s="123"/>
      <c r="AQ5" s="123"/>
      <c r="AR5" s="129" t="str">
        <f t="shared" si="8"/>
        <v>正确</v>
      </c>
      <c r="AS5" s="129" t="str">
        <f>IF(SUMPRODUCT(N(E$1:E$7=E5))&gt;1,"重复","不")</f>
        <v>不</v>
      </c>
      <c r="AT5" s="129" t="str">
        <f>IF(SUMPRODUCT(N(AO$1:AO$7=AO5))&gt;1,"重复","不")</f>
        <v>重复</v>
      </c>
    </row>
    <row r="6" s="31" customFormat="1" ht="18" customHeight="1" spans="1:46">
      <c r="A6" s="55">
        <v>3</v>
      </c>
      <c r="B6" s="56" t="s">
        <v>85</v>
      </c>
      <c r="C6" s="56" t="s">
        <v>154</v>
      </c>
      <c r="D6" s="56" t="s">
        <v>87</v>
      </c>
      <c r="E6" s="56" t="s">
        <v>155</v>
      </c>
      <c r="F6" s="57" t="str">
        <f t="shared" si="0"/>
        <v>男</v>
      </c>
      <c r="G6" s="58">
        <v>13944441728</v>
      </c>
      <c r="H6" s="59"/>
      <c r="I6" s="59"/>
      <c r="J6" s="88"/>
      <c r="K6" s="59"/>
      <c r="L6" s="89">
        <v>8120</v>
      </c>
      <c r="M6" s="90">
        <f>244.24*2</f>
        <v>488.48</v>
      </c>
      <c r="N6" s="90">
        <f>61.06*2</f>
        <v>122.12</v>
      </c>
      <c r="O6" s="90">
        <f>9.16*2</f>
        <v>18.32</v>
      </c>
      <c r="P6" s="90">
        <f>79*2</f>
        <v>158</v>
      </c>
      <c r="Q6" s="108">
        <f t="shared" si="1"/>
        <v>786.92</v>
      </c>
      <c r="R6" s="89">
        <v>0</v>
      </c>
      <c r="S6" s="109">
        <f>L6+IFERROR(VLOOKUP($E:$E,'（居民）工资表-4月'!$E:$S,15,0),0)</f>
        <v>13020</v>
      </c>
      <c r="T6" s="110">
        <f>5000+IFERROR(VLOOKUP($E:$E,'（居民）工资表-4月'!$E:$T,16,0),0)</f>
        <v>10000</v>
      </c>
      <c r="U6" s="110">
        <f>Q6+IFERROR(VLOOKUP($E:$E,'（居民）工资表-4月'!$E:$U,17,0),0)</f>
        <v>786.92</v>
      </c>
      <c r="V6" s="89"/>
      <c r="W6" s="89"/>
      <c r="X6" s="89"/>
      <c r="Y6" s="89"/>
      <c r="Z6" s="89"/>
      <c r="AA6" s="89"/>
      <c r="AB6" s="109">
        <f t="shared" si="2"/>
        <v>0</v>
      </c>
      <c r="AC6" s="109">
        <f>R6+IFERROR(VLOOKUP($E:$E,'（居民）工资表-4月'!$E:$AC,25,0),0)</f>
        <v>0</v>
      </c>
      <c r="AD6" s="112">
        <f t="shared" si="3"/>
        <v>2233.08</v>
      </c>
      <c r="AE6" s="113">
        <f>ROUND(MAX((AD6)*{0.03;0.1;0.2;0.25;0.3;0.35;0.45}-{0;2520;16920;31920;52920;85920;181920},0),2)</f>
        <v>66.99</v>
      </c>
      <c r="AF6" s="114">
        <f>IFERROR(VLOOKUP(E:E,'（居民）工资表-4月'!E:AF,28,0)+VLOOKUP(E:E,'（居民）工资表-4月'!E:AG,29,0),0)</f>
        <v>0</v>
      </c>
      <c r="AG6" s="114">
        <f t="shared" si="4"/>
        <v>66.99</v>
      </c>
      <c r="AH6" s="121">
        <f t="shared" si="5"/>
        <v>7266.09</v>
      </c>
      <c r="AI6" s="122"/>
      <c r="AJ6" s="121">
        <f t="shared" si="6"/>
        <v>7266.09</v>
      </c>
      <c r="AK6" s="123"/>
      <c r="AL6" s="121">
        <f t="shared" si="7"/>
        <v>7333.08</v>
      </c>
      <c r="AM6" s="123"/>
      <c r="AN6" s="123"/>
      <c r="AO6" s="123"/>
      <c r="AP6" s="123"/>
      <c r="AQ6" s="123"/>
      <c r="AR6" s="129" t="str">
        <f t="shared" si="8"/>
        <v>正确</v>
      </c>
      <c r="AS6" s="129" t="str">
        <f>IF(SUMPRODUCT(N(E$1:E$7=E6))&gt;1,"重复","不")</f>
        <v>不</v>
      </c>
      <c r="AT6" s="129" t="str">
        <f>IF(SUMPRODUCT(N(AO$1:AO$7=AO6))&gt;1,"重复","不")</f>
        <v>重复</v>
      </c>
    </row>
    <row r="7" s="31" customFormat="1" ht="18" customHeight="1" spans="1:46">
      <c r="A7" s="55">
        <v>4</v>
      </c>
      <c r="B7" s="56" t="s">
        <v>85</v>
      </c>
      <c r="C7" s="56" t="s">
        <v>160</v>
      </c>
      <c r="D7" s="56" t="s">
        <v>87</v>
      </c>
      <c r="E7" s="390" t="s">
        <v>161</v>
      </c>
      <c r="F7" s="57" t="str">
        <f t="shared" si="0"/>
        <v>男</v>
      </c>
      <c r="G7" s="58"/>
      <c r="H7" s="59"/>
      <c r="I7" s="59"/>
      <c r="J7" s="88"/>
      <c r="K7" s="59"/>
      <c r="L7" s="89">
        <v>11904.76</v>
      </c>
      <c r="M7" s="90"/>
      <c r="N7" s="90"/>
      <c r="O7" s="90"/>
      <c r="P7" s="90"/>
      <c r="Q7" s="108">
        <f t="shared" si="1"/>
        <v>0</v>
      </c>
      <c r="R7" s="89">
        <v>0</v>
      </c>
      <c r="S7" s="109">
        <f>L7+IFERROR(VLOOKUP($E:$E,'（居民）工资表-4月'!$E:$S,15,0),0)</f>
        <v>11904.76</v>
      </c>
      <c r="T7" s="110">
        <f>5000+IFERROR(VLOOKUP($E:$E,'（居民）工资表-4月'!$E:$T,16,0),0)</f>
        <v>5000</v>
      </c>
      <c r="U7" s="110">
        <f>Q7+IFERROR(VLOOKUP($E:$E,'（居民）工资表-4月'!$E:$U,17,0),0)</f>
        <v>0</v>
      </c>
      <c r="V7" s="89"/>
      <c r="W7" s="89"/>
      <c r="X7" s="89"/>
      <c r="Y7" s="89"/>
      <c r="Z7" s="89"/>
      <c r="AA7" s="89"/>
      <c r="AB7" s="109">
        <f t="shared" si="2"/>
        <v>0</v>
      </c>
      <c r="AC7" s="109">
        <f>R7+IFERROR(VLOOKUP($E:$E,'（居民）工资表-4月'!$E:$AC,25,0),0)</f>
        <v>0</v>
      </c>
      <c r="AD7" s="112">
        <f t="shared" si="3"/>
        <v>6904.76</v>
      </c>
      <c r="AE7" s="113">
        <f>ROUND(MAX((AD7)*{0.03;0.1;0.2;0.25;0.3;0.35;0.45}-{0;2520;16920;31920;52920;85920;181920},0),2)</f>
        <v>207.14</v>
      </c>
      <c r="AF7" s="114">
        <f>IFERROR(VLOOKUP(E:E,'（居民）工资表-4月'!E:AF,28,0)+VLOOKUP(E:E,'（居民）工资表-4月'!E:AG,29,0),0)</f>
        <v>0</v>
      </c>
      <c r="AG7" s="114">
        <f t="shared" si="4"/>
        <v>207.14</v>
      </c>
      <c r="AH7" s="121">
        <f t="shared" si="5"/>
        <v>11697.62</v>
      </c>
      <c r="AI7" s="122"/>
      <c r="AJ7" s="121">
        <f t="shared" si="6"/>
        <v>11697.62</v>
      </c>
      <c r="AK7" s="123"/>
      <c r="AL7" s="121">
        <f t="shared" si="7"/>
        <v>11904.76</v>
      </c>
      <c r="AM7" s="123"/>
      <c r="AN7" s="123"/>
      <c r="AO7" s="123"/>
      <c r="AP7" s="123"/>
      <c r="AQ7" s="123"/>
      <c r="AR7" s="129" t="str">
        <f t="shared" si="8"/>
        <v>正确</v>
      </c>
      <c r="AS7" s="129" t="str">
        <f>IF(SUMPRODUCT(N(E$1:E$7=E7))&gt;1,"重复","不")</f>
        <v>不</v>
      </c>
      <c r="AT7" s="129" t="str">
        <f>IF(SUMPRODUCT(N(AO$1:AO$7=AO7))&gt;1,"重复","不")</f>
        <v>重复</v>
      </c>
    </row>
    <row r="8" s="32" customFormat="1" ht="18" customHeight="1" spans="1:46">
      <c r="A8" s="60"/>
      <c r="B8" s="61" t="s">
        <v>91</v>
      </c>
      <c r="C8" s="61"/>
      <c r="D8" s="62"/>
      <c r="E8" s="63"/>
      <c r="F8" s="64"/>
      <c r="G8" s="65"/>
      <c r="H8" s="64"/>
      <c r="I8" s="91"/>
      <c r="J8" s="92"/>
      <c r="K8" s="91"/>
      <c r="L8" s="93">
        <f t="shared" ref="L8:AL8" si="9">SUM(L4:L7)</f>
        <v>33524.76</v>
      </c>
      <c r="M8" s="93">
        <f t="shared" si="9"/>
        <v>1056.72</v>
      </c>
      <c r="N8" s="93">
        <f t="shared" si="9"/>
        <v>311.62</v>
      </c>
      <c r="O8" s="93">
        <f t="shared" si="9"/>
        <v>35.83</v>
      </c>
      <c r="P8" s="93">
        <f t="shared" si="9"/>
        <v>338</v>
      </c>
      <c r="Q8" s="93">
        <f t="shared" si="9"/>
        <v>1742.17</v>
      </c>
      <c r="R8" s="93">
        <f t="shared" si="9"/>
        <v>0</v>
      </c>
      <c r="S8" s="93">
        <f t="shared" si="9"/>
        <v>83194.76</v>
      </c>
      <c r="T8" s="93">
        <f t="shared" si="9"/>
        <v>55000</v>
      </c>
      <c r="U8" s="93">
        <f t="shared" si="9"/>
        <v>4692.47</v>
      </c>
      <c r="V8" s="93">
        <f t="shared" si="9"/>
        <v>0</v>
      </c>
      <c r="W8" s="93">
        <f t="shared" si="9"/>
        <v>0</v>
      </c>
      <c r="X8" s="93">
        <f t="shared" si="9"/>
        <v>5000</v>
      </c>
      <c r="Y8" s="93">
        <f t="shared" si="9"/>
        <v>0</v>
      </c>
      <c r="Z8" s="93">
        <f t="shared" si="9"/>
        <v>0</v>
      </c>
      <c r="AA8" s="93">
        <f t="shared" si="9"/>
        <v>0</v>
      </c>
      <c r="AB8" s="93">
        <f t="shared" si="9"/>
        <v>5000</v>
      </c>
      <c r="AC8" s="93">
        <f t="shared" si="9"/>
        <v>0</v>
      </c>
      <c r="AD8" s="93">
        <f t="shared" si="9"/>
        <v>18502.29</v>
      </c>
      <c r="AE8" s="93">
        <f t="shared" si="9"/>
        <v>555.07</v>
      </c>
      <c r="AF8" s="93">
        <f t="shared" si="9"/>
        <v>234.59</v>
      </c>
      <c r="AG8" s="93">
        <f t="shared" si="9"/>
        <v>320.48</v>
      </c>
      <c r="AH8" s="93">
        <f t="shared" si="9"/>
        <v>31462.11</v>
      </c>
      <c r="AI8" s="131">
        <f t="shared" si="9"/>
        <v>0</v>
      </c>
      <c r="AJ8" s="93">
        <f t="shared" si="9"/>
        <v>31462.11</v>
      </c>
      <c r="AK8" s="93">
        <f t="shared" si="9"/>
        <v>0</v>
      </c>
      <c r="AL8" s="93">
        <f t="shared" si="9"/>
        <v>31782.59</v>
      </c>
      <c r="AM8" s="124"/>
      <c r="AN8" s="124"/>
      <c r="AO8" s="124"/>
      <c r="AP8" s="124"/>
      <c r="AQ8" s="124"/>
      <c r="AR8" s="64"/>
      <c r="AS8" s="64"/>
      <c r="AT8" s="130"/>
    </row>
    <row r="11" spans="30:30">
      <c r="AD11" s="115"/>
    </row>
    <row r="12" ht="18.75" customHeight="1" spans="2:33">
      <c r="B12" s="66" t="s">
        <v>64</v>
      </c>
      <c r="C12" s="66" t="s">
        <v>92</v>
      </c>
      <c r="D12" s="66" t="s">
        <v>65</v>
      </c>
      <c r="E12" s="66" t="s">
        <v>93</v>
      </c>
      <c r="AD12" s="29"/>
      <c r="AG12" s="38"/>
    </row>
    <row r="13" ht="18.75" customHeight="1" spans="2:5">
      <c r="B13" s="67">
        <f>AJ8</f>
        <v>31462.11</v>
      </c>
      <c r="C13" s="67">
        <f>AG8</f>
        <v>320.48</v>
      </c>
      <c r="D13" s="67">
        <f>AK8</f>
        <v>0</v>
      </c>
      <c r="E13" s="67">
        <f>B13+C13+D13</f>
        <v>31782.59</v>
      </c>
    </row>
    <row r="14" spans="2:5">
      <c r="B14" s="68"/>
      <c r="C14" s="68"/>
      <c r="D14" s="68"/>
      <c r="E14" s="68"/>
    </row>
    <row r="15" s="33" customFormat="1" spans="1:35">
      <c r="A15" s="69" t="s">
        <v>94</v>
      </c>
      <c r="B15" s="70" t="s">
        <v>95</v>
      </c>
      <c r="C15" s="71"/>
      <c r="D15" s="71"/>
      <c r="E15" s="71"/>
      <c r="G15" s="72"/>
      <c r="J15" s="94"/>
      <c r="M15" s="95"/>
      <c r="AI15" s="125"/>
    </row>
    <row r="16" s="33" customFormat="1" spans="1:35">
      <c r="A16" s="73"/>
      <c r="B16" s="74" t="s">
        <v>96</v>
      </c>
      <c r="C16" s="71"/>
      <c r="D16" s="71"/>
      <c r="E16" s="71"/>
      <c r="G16" s="72"/>
      <c r="J16" s="94"/>
      <c r="M16" s="95"/>
      <c r="AI16" s="125"/>
    </row>
    <row r="17" s="33" customFormat="1" spans="1:35">
      <c r="A17" s="70"/>
      <c r="B17" s="74" t="s">
        <v>97</v>
      </c>
      <c r="C17" s="75"/>
      <c r="D17" s="75"/>
      <c r="E17" s="75"/>
      <c r="F17" s="75"/>
      <c r="G17" s="75"/>
      <c r="H17" s="75"/>
      <c r="I17" s="75"/>
      <c r="J17" s="96"/>
      <c r="K17" s="75"/>
      <c r="L17" s="75"/>
      <c r="M17" s="97"/>
      <c r="N17" s="75"/>
      <c r="O17" s="75"/>
      <c r="P17" s="75"/>
      <c r="AI17" s="125"/>
    </row>
    <row r="18" s="33" customFormat="1" customHeight="1" spans="1:35">
      <c r="A18" s="74"/>
      <c r="B18" s="74" t="s">
        <v>98</v>
      </c>
      <c r="C18" s="76"/>
      <c r="D18" s="76"/>
      <c r="E18" s="76"/>
      <c r="F18" s="76"/>
      <c r="G18" s="76"/>
      <c r="H18" s="76"/>
      <c r="I18" s="98"/>
      <c r="J18" s="99"/>
      <c r="K18" s="98"/>
      <c r="L18" s="98"/>
      <c r="M18" s="100"/>
      <c r="N18" s="98"/>
      <c r="O18" s="98"/>
      <c r="P18" s="98"/>
      <c r="AI18" s="125"/>
    </row>
    <row r="19" s="33" customFormat="1" customHeight="1" spans="1:35">
      <c r="A19" s="74"/>
      <c r="B19" s="74" t="s">
        <v>99</v>
      </c>
      <c r="C19" s="76"/>
      <c r="D19" s="76"/>
      <c r="E19" s="76"/>
      <c r="F19" s="76"/>
      <c r="G19" s="76"/>
      <c r="H19" s="76"/>
      <c r="I19" s="76"/>
      <c r="J19" s="101"/>
      <c r="K19" s="76"/>
      <c r="L19" s="98"/>
      <c r="M19" s="100"/>
      <c r="N19" s="98"/>
      <c r="O19" s="98"/>
      <c r="P19" s="98"/>
      <c r="AI19" s="125"/>
    </row>
    <row r="20" s="33" customFormat="1" customHeight="1" spans="1:35">
      <c r="A20" s="74"/>
      <c r="B20" s="74" t="s">
        <v>100</v>
      </c>
      <c r="C20" s="76"/>
      <c r="D20" s="76"/>
      <c r="E20" s="76"/>
      <c r="F20" s="76"/>
      <c r="G20" s="76"/>
      <c r="H20" s="76"/>
      <c r="I20" s="98"/>
      <c r="J20" s="99"/>
      <c r="K20" s="98"/>
      <c r="L20" s="98"/>
      <c r="M20" s="100"/>
      <c r="N20" s="98"/>
      <c r="O20" s="98"/>
      <c r="P20" s="98"/>
      <c r="AI20" s="125"/>
    </row>
    <row r="22" ht="11.25" customHeight="1" spans="2:2">
      <c r="B22" s="77" t="s">
        <v>101</v>
      </c>
    </row>
    <row r="23" spans="2:2">
      <c r="B23" s="78" t="s">
        <v>102</v>
      </c>
    </row>
    <row r="24" spans="2:2">
      <c r="B24" s="78" t="s">
        <v>103</v>
      </c>
    </row>
  </sheetData>
  <autoFilter ref="A3:AT8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0">
    <cfRule type="duplicateValues" dxfId="2" priority="2" stopIfTrue="1"/>
  </conditionalFormatting>
  <conditionalFormatting sqref="B15:B19">
    <cfRule type="duplicateValues" dxfId="2" priority="3" stopIfTrue="1"/>
  </conditionalFormatting>
  <conditionalFormatting sqref="B23:B24">
    <cfRule type="duplicateValues" dxfId="2" priority="1" stopIfTrue="1"/>
  </conditionalFormatting>
  <conditionalFormatting sqref="C12:C14">
    <cfRule type="duplicateValues" dxfId="2" priority="4" stopIfTrue="1"/>
    <cfRule type="expression" dxfId="3" priority="5" stopIfTrue="1">
      <formula>AND(COUNTIF($B$8:$B$65444,C12)+COUNTIF($B$1:$B$3,C12)&gt;1,NOT(ISBLANK(C12)))</formula>
    </cfRule>
    <cfRule type="expression" dxfId="3" priority="6" stopIfTrue="1">
      <formula>AND(COUNTIF($B$19:$B$65395,C12)+COUNTIF($B$1:$B$18,C12)&gt;1,NOT(ISBLANK(C12)))</formula>
    </cfRule>
    <cfRule type="expression" dxfId="3" priority="7" stopIfTrue="1">
      <formula>AND(COUNTIF($B$8:$B$65433,C12)+COUNTIF($B$1:$B$3,C12)&gt;1,NOT(ISBLANK(C12)))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36"/>
  <sheetViews>
    <sheetView workbookViewId="0">
      <pane xSplit="11" ySplit="2" topLeftCell="L3" activePane="bottomRight" state="frozen"/>
      <selection/>
      <selection pane="topRight"/>
      <selection pane="bottomLeft"/>
      <selection pane="bottomRight" activeCell="BC32" sqref="BC31:BC32"/>
    </sheetView>
  </sheetViews>
  <sheetFormatPr defaultColWidth="9" defaultRowHeight="16.5"/>
  <cols>
    <col min="1" max="1" width="3.25" style="179" customWidth="1"/>
    <col min="2" max="2" width="19.25" style="179" customWidth="1"/>
    <col min="3" max="3" width="6" style="179" customWidth="1"/>
    <col min="4" max="4" width="8.5" style="179" hidden="1" customWidth="1"/>
    <col min="5" max="5" width="8.25" style="179" hidden="1" customWidth="1"/>
    <col min="6" max="6" width="11.875" style="179" customWidth="1"/>
    <col min="7" max="7" width="16.375" style="179" customWidth="1"/>
    <col min="8" max="11" width="8.5" style="179" customWidth="1"/>
    <col min="12" max="12" width="9.125" style="179" customWidth="1"/>
    <col min="13" max="14" width="9.25" style="179" customWidth="1"/>
    <col min="15" max="15" width="7.5" style="179" customWidth="1"/>
    <col min="16" max="16" width="11.25" style="179" customWidth="1"/>
    <col min="17" max="17" width="9.125" style="179" customWidth="1"/>
    <col min="18" max="21" width="9.25" style="179" customWidth="1"/>
    <col min="22" max="22" width="9.125" style="179" customWidth="1"/>
    <col min="23" max="26" width="9.25" style="179" customWidth="1"/>
    <col min="27" max="28" width="9.125" style="179" customWidth="1"/>
    <col min="29" max="29" width="9" style="179" customWidth="1"/>
    <col min="30" max="30" width="9.125" style="179" customWidth="1"/>
    <col min="31" max="31" width="9.25" style="179" customWidth="1"/>
    <col min="32" max="32" width="8.875" style="179" customWidth="1"/>
    <col min="33" max="33" width="9.125" style="179" customWidth="1"/>
    <col min="34" max="34" width="9.25" style="179" customWidth="1"/>
    <col min="35" max="35" width="11.125" style="179" customWidth="1"/>
    <col min="36" max="36" width="9.25" style="179" customWidth="1"/>
    <col min="37" max="37" width="8.25" style="179" customWidth="1"/>
    <col min="38" max="38" width="9.125" style="179" hidden="1" customWidth="1"/>
    <col min="39" max="39" width="9.25" style="179" hidden="1" customWidth="1"/>
    <col min="40" max="40" width="9.25" style="179" customWidth="1"/>
    <col min="41" max="42" width="9.25" style="179" hidden="1" customWidth="1"/>
    <col min="43" max="43" width="9.875" style="179" customWidth="1"/>
    <col min="44" max="44" width="9.375" style="179" customWidth="1"/>
    <col min="45" max="45" width="10.25" style="185" customWidth="1"/>
    <col min="46" max="46" width="10" style="185" customWidth="1"/>
    <col min="47" max="49" width="9.25" style="185" customWidth="1"/>
    <col min="50" max="50" width="9.25" style="179" customWidth="1"/>
    <col min="51" max="51" width="5.875" style="179" customWidth="1"/>
    <col min="52" max="52" width="8.375" style="179" customWidth="1"/>
    <col min="53" max="53" width="5.875" style="179" customWidth="1"/>
    <col min="54" max="54" width="8.875" style="179" customWidth="1"/>
    <col min="55" max="55" width="10.875" style="179" customWidth="1"/>
    <col min="56" max="56" width="40.25" style="186" customWidth="1"/>
    <col min="57" max="57" width="10.625" style="179" customWidth="1"/>
    <col min="58" max="16384" width="9" style="179"/>
  </cols>
  <sheetData>
    <row r="1" s="178" customFormat="1" ht="22.5" customHeight="1" spans="1:56">
      <c r="A1" s="187" t="s">
        <v>18</v>
      </c>
      <c r="B1" s="188" t="s">
        <v>104</v>
      </c>
      <c r="C1" s="188" t="s">
        <v>105</v>
      </c>
      <c r="D1" s="187" t="s">
        <v>106</v>
      </c>
      <c r="E1" s="188" t="s">
        <v>107</v>
      </c>
      <c r="F1" s="188" t="s">
        <v>108</v>
      </c>
      <c r="G1" s="188" t="s">
        <v>109</v>
      </c>
      <c r="H1" s="188" t="s">
        <v>110</v>
      </c>
      <c r="I1" s="188" t="s">
        <v>111</v>
      </c>
      <c r="J1" s="188" t="s">
        <v>112</v>
      </c>
      <c r="K1" s="188" t="s">
        <v>113</v>
      </c>
      <c r="L1" s="216" t="s">
        <v>114</v>
      </c>
      <c r="M1" s="216"/>
      <c r="N1" s="216"/>
      <c r="O1" s="216"/>
      <c r="P1" s="216"/>
      <c r="Q1" s="216" t="s">
        <v>115</v>
      </c>
      <c r="R1" s="216"/>
      <c r="S1" s="216"/>
      <c r="T1" s="216"/>
      <c r="U1" s="216"/>
      <c r="V1" s="216" t="s">
        <v>116</v>
      </c>
      <c r="W1" s="216"/>
      <c r="X1" s="216"/>
      <c r="Y1" s="216"/>
      <c r="Z1" s="216"/>
      <c r="AA1" s="187" t="s">
        <v>117</v>
      </c>
      <c r="AB1" s="187"/>
      <c r="AC1" s="187"/>
      <c r="AD1" s="187" t="s">
        <v>118</v>
      </c>
      <c r="AE1" s="187"/>
      <c r="AF1" s="187"/>
      <c r="AG1" s="216" t="s">
        <v>119</v>
      </c>
      <c r="AH1" s="216"/>
      <c r="AI1" s="216"/>
      <c r="AJ1" s="216"/>
      <c r="AK1" s="216"/>
      <c r="AL1" s="187" t="s">
        <v>120</v>
      </c>
      <c r="AM1" s="187"/>
      <c r="AN1" s="187"/>
      <c r="AO1" s="187"/>
      <c r="AP1" s="187"/>
      <c r="AQ1" s="187" t="s">
        <v>121</v>
      </c>
      <c r="AR1" s="187"/>
      <c r="AS1" s="226" t="s">
        <v>122</v>
      </c>
      <c r="AT1" s="226"/>
      <c r="AU1" s="226"/>
      <c r="AV1" s="226"/>
      <c r="AW1" s="226"/>
      <c r="AX1" s="187" t="s">
        <v>123</v>
      </c>
      <c r="AY1" s="187"/>
      <c r="AZ1" s="187" t="s">
        <v>124</v>
      </c>
      <c r="BA1" s="187"/>
      <c r="BB1" s="187" t="s">
        <v>65</v>
      </c>
      <c r="BC1" s="187" t="s">
        <v>93</v>
      </c>
      <c r="BD1" s="237" t="s">
        <v>23</v>
      </c>
    </row>
    <row r="2" s="179" customFormat="1" ht="22.5" customHeight="1" spans="1:56">
      <c r="A2" s="187"/>
      <c r="B2" s="189"/>
      <c r="C2" s="188"/>
      <c r="D2" s="187"/>
      <c r="E2" s="188"/>
      <c r="F2" s="190"/>
      <c r="G2" s="190"/>
      <c r="H2" s="188"/>
      <c r="I2" s="188"/>
      <c r="J2" s="188"/>
      <c r="K2" s="188"/>
      <c r="L2" s="217" t="s">
        <v>125</v>
      </c>
      <c r="M2" s="217" t="s">
        <v>126</v>
      </c>
      <c r="N2" s="217" t="s">
        <v>127</v>
      </c>
      <c r="O2" s="217" t="s">
        <v>128</v>
      </c>
      <c r="P2" s="217" t="s">
        <v>129</v>
      </c>
      <c r="Q2" s="217" t="s">
        <v>125</v>
      </c>
      <c r="R2" s="217" t="s">
        <v>126</v>
      </c>
      <c r="S2" s="217" t="s">
        <v>127</v>
      </c>
      <c r="T2" s="217" t="s">
        <v>128</v>
      </c>
      <c r="U2" s="217" t="s">
        <v>129</v>
      </c>
      <c r="V2" s="217" t="s">
        <v>125</v>
      </c>
      <c r="W2" s="217" t="s">
        <v>126</v>
      </c>
      <c r="X2" s="217" t="s">
        <v>127</v>
      </c>
      <c r="Y2" s="217" t="s">
        <v>128</v>
      </c>
      <c r="Z2" s="217" t="s">
        <v>129</v>
      </c>
      <c r="AA2" s="217" t="s">
        <v>125</v>
      </c>
      <c r="AB2" s="217" t="s">
        <v>130</v>
      </c>
      <c r="AC2" s="217" t="s">
        <v>22</v>
      </c>
      <c r="AD2" s="217" t="s">
        <v>125</v>
      </c>
      <c r="AE2" s="217" t="s">
        <v>130</v>
      </c>
      <c r="AF2" s="217" t="s">
        <v>22</v>
      </c>
      <c r="AG2" s="217" t="s">
        <v>125</v>
      </c>
      <c r="AH2" s="217" t="s">
        <v>126</v>
      </c>
      <c r="AI2" s="217" t="s">
        <v>127</v>
      </c>
      <c r="AJ2" s="217" t="s">
        <v>128</v>
      </c>
      <c r="AK2" s="217" t="s">
        <v>129</v>
      </c>
      <c r="AL2" s="217" t="s">
        <v>125</v>
      </c>
      <c r="AM2" s="217" t="s">
        <v>126</v>
      </c>
      <c r="AN2" s="217" t="s">
        <v>127</v>
      </c>
      <c r="AO2" s="217" t="s">
        <v>128</v>
      </c>
      <c r="AP2" s="217" t="s">
        <v>129</v>
      </c>
      <c r="AQ2" s="217" t="s">
        <v>131</v>
      </c>
      <c r="AR2" s="217" t="s">
        <v>132</v>
      </c>
      <c r="AS2" s="227" t="s">
        <v>133</v>
      </c>
      <c r="AT2" s="227" t="s">
        <v>134</v>
      </c>
      <c r="AU2" s="227" t="s">
        <v>135</v>
      </c>
      <c r="AV2" s="227" t="s">
        <v>78</v>
      </c>
      <c r="AW2" s="227" t="s">
        <v>30</v>
      </c>
      <c r="AX2" s="187"/>
      <c r="AY2" s="187"/>
      <c r="AZ2" s="187"/>
      <c r="BA2" s="187"/>
      <c r="BB2" s="187"/>
      <c r="BC2" s="187"/>
      <c r="BD2" s="237"/>
    </row>
    <row r="3" s="180" customFormat="1" ht="18" customHeight="1" spans="1:60">
      <c r="A3" s="191">
        <v>1</v>
      </c>
      <c r="B3" s="161" t="s">
        <v>136</v>
      </c>
      <c r="C3" s="150" t="s">
        <v>137</v>
      </c>
      <c r="D3" s="160" t="s">
        <v>138</v>
      </c>
      <c r="E3" s="161" t="s">
        <v>139</v>
      </c>
      <c r="F3" s="162" t="s">
        <v>86</v>
      </c>
      <c r="G3" s="163" t="s">
        <v>88</v>
      </c>
      <c r="H3" s="160" t="s">
        <v>140</v>
      </c>
      <c r="I3" s="160" t="s">
        <v>140</v>
      </c>
      <c r="J3" s="160" t="s">
        <v>162</v>
      </c>
      <c r="K3" s="160" t="s">
        <v>162</v>
      </c>
      <c r="L3" s="191">
        <v>3300</v>
      </c>
      <c r="M3" s="191">
        <v>0.16</v>
      </c>
      <c r="N3" s="191">
        <f t="shared" ref="N3:N13" si="0">ROUND(L3*M3,2)</f>
        <v>528</v>
      </c>
      <c r="O3" s="191">
        <v>0.08</v>
      </c>
      <c r="P3" s="191">
        <f t="shared" ref="P3:P13" si="1">ROUND(L3*O3,2)</f>
        <v>264</v>
      </c>
      <c r="Q3" s="191">
        <v>3300</v>
      </c>
      <c r="R3" s="191">
        <v>0.08</v>
      </c>
      <c r="S3" s="191">
        <f t="shared" ref="S3:S13" si="2">ROUND(Q3*R3,2)</f>
        <v>264</v>
      </c>
      <c r="T3" s="191">
        <v>0.02</v>
      </c>
      <c r="U3" s="191">
        <f t="shared" ref="U3:U13" si="3">ROUND(Q3*T3,2)</f>
        <v>66</v>
      </c>
      <c r="V3" s="191">
        <v>3300</v>
      </c>
      <c r="W3" s="191">
        <v>0.007</v>
      </c>
      <c r="X3" s="191">
        <f t="shared" ref="X3:X13" si="4">ROUND(V3*W3,2)</f>
        <v>23.1</v>
      </c>
      <c r="Y3" s="191">
        <v>0.003</v>
      </c>
      <c r="Z3" s="191">
        <f t="shared" ref="Z3:Z13" si="5">ROUND(V3*Y3,2)</f>
        <v>9.9</v>
      </c>
      <c r="AA3" s="191"/>
      <c r="AB3" s="191"/>
      <c r="AC3" s="191"/>
      <c r="AD3" s="191">
        <v>3300</v>
      </c>
      <c r="AE3" s="191">
        <v>0.004</v>
      </c>
      <c r="AF3" s="191">
        <f t="shared" ref="AF3:AF13" si="6">ROUND(AD3*AE3,2)</f>
        <v>13.2</v>
      </c>
      <c r="AG3" s="191">
        <v>3000</v>
      </c>
      <c r="AH3" s="191">
        <v>0.1</v>
      </c>
      <c r="AI3" s="191">
        <f t="shared" ref="AI3:AI13" si="7">ROUND(AG3*AH3,2)</f>
        <v>300</v>
      </c>
      <c r="AJ3" s="191">
        <v>0.06</v>
      </c>
      <c r="AK3" s="191">
        <f t="shared" ref="AK3:AK13" si="8">ROUND(AG3*AJ3,2)</f>
        <v>180</v>
      </c>
      <c r="AL3" s="223"/>
      <c r="AM3" s="191"/>
      <c r="AN3" s="191"/>
      <c r="AO3" s="191"/>
      <c r="AP3" s="161" t="s">
        <v>142</v>
      </c>
      <c r="AQ3" s="228">
        <v>9</v>
      </c>
      <c r="AR3" s="191"/>
      <c r="AS3" s="229">
        <f t="shared" ref="AS3:AS13" si="9">N3+S3+X3+AC3+AF3+AN3+AQ3</f>
        <v>837.3</v>
      </c>
      <c r="AT3" s="229">
        <f t="shared" ref="AT3:AT13" si="10">P3+U3+Z3</f>
        <v>339.9</v>
      </c>
      <c r="AU3" s="229">
        <f t="shared" ref="AU3:AU13" si="11">AI3</f>
        <v>300</v>
      </c>
      <c r="AV3" s="229">
        <f t="shared" ref="AV3:AV13" si="12">AK3</f>
        <v>180</v>
      </c>
      <c r="AW3" s="229">
        <f t="shared" ref="AW3:AW13" si="13">AV3+AS3+AT3+AU3</f>
        <v>1657.2</v>
      </c>
      <c r="AX3" s="238">
        <f t="shared" ref="AX3:AX13" si="14">AS3+AT3</f>
        <v>1177.2</v>
      </c>
      <c r="AY3" s="238"/>
      <c r="AZ3" s="238">
        <f t="shared" ref="AZ3:AZ13" si="15">AU3+AV3</f>
        <v>480</v>
      </c>
      <c r="BA3" s="238"/>
      <c r="BB3" s="239">
        <v>80</v>
      </c>
      <c r="BC3" s="238">
        <f t="shared" ref="BC3:BC13" si="16">AX3+AZ3+BB3</f>
        <v>1737.2</v>
      </c>
      <c r="BD3" s="240"/>
      <c r="BE3" s="257"/>
      <c r="BF3" s="258"/>
      <c r="BG3" s="258"/>
      <c r="BH3" s="259" t="s">
        <v>142</v>
      </c>
    </row>
    <row r="4" s="180" customFormat="1" ht="18" customHeight="1" spans="1:60">
      <c r="A4" s="191">
        <v>2</v>
      </c>
      <c r="B4" s="161" t="s">
        <v>136</v>
      </c>
      <c r="C4" s="150" t="s">
        <v>153</v>
      </c>
      <c r="D4" s="160" t="s">
        <v>138</v>
      </c>
      <c r="E4" s="161" t="s">
        <v>146</v>
      </c>
      <c r="F4" s="162" t="s">
        <v>154</v>
      </c>
      <c r="G4" s="163" t="s">
        <v>155</v>
      </c>
      <c r="H4" s="160" t="s">
        <v>156</v>
      </c>
      <c r="I4" s="160" t="s">
        <v>156</v>
      </c>
      <c r="J4" s="160" t="s">
        <v>163</v>
      </c>
      <c r="K4" s="160" t="s">
        <v>163</v>
      </c>
      <c r="L4" s="191">
        <v>3360.15</v>
      </c>
      <c r="M4" s="191">
        <v>0.16</v>
      </c>
      <c r="N4" s="191">
        <f t="shared" si="0"/>
        <v>537.62</v>
      </c>
      <c r="O4" s="191">
        <v>0.08</v>
      </c>
      <c r="P4" s="191">
        <f t="shared" si="1"/>
        <v>268.81</v>
      </c>
      <c r="Q4" s="191">
        <v>3053.05</v>
      </c>
      <c r="R4" s="191">
        <v>0.06</v>
      </c>
      <c r="S4" s="191">
        <f t="shared" si="2"/>
        <v>183.18</v>
      </c>
      <c r="T4" s="191">
        <v>0.02</v>
      </c>
      <c r="U4" s="191">
        <f t="shared" si="3"/>
        <v>61.06</v>
      </c>
      <c r="V4" s="191">
        <v>3360.15</v>
      </c>
      <c r="W4" s="191">
        <v>0.007</v>
      </c>
      <c r="X4" s="191">
        <f t="shared" si="4"/>
        <v>23.52</v>
      </c>
      <c r="Y4" s="191">
        <v>0.003</v>
      </c>
      <c r="Z4" s="191">
        <f t="shared" si="5"/>
        <v>10.08</v>
      </c>
      <c r="AA4" s="191">
        <v>3053.05</v>
      </c>
      <c r="AB4" s="191">
        <v>0.007</v>
      </c>
      <c r="AC4" s="191">
        <f>ROUND(AA4*AB4,2)</f>
        <v>21.37</v>
      </c>
      <c r="AD4" s="191">
        <v>3053.05</v>
      </c>
      <c r="AE4" s="191">
        <v>0.002</v>
      </c>
      <c r="AF4" s="191">
        <f t="shared" si="6"/>
        <v>6.11</v>
      </c>
      <c r="AG4" s="191" t="s">
        <v>157</v>
      </c>
      <c r="AH4" s="191">
        <v>0.05</v>
      </c>
      <c r="AI4" s="191">
        <f t="shared" si="7"/>
        <v>79</v>
      </c>
      <c r="AJ4" s="191">
        <v>0.05</v>
      </c>
      <c r="AK4" s="191">
        <f t="shared" si="8"/>
        <v>79</v>
      </c>
      <c r="AL4" s="223"/>
      <c r="AM4" s="191"/>
      <c r="AN4" s="191"/>
      <c r="AO4" s="191"/>
      <c r="AP4" s="161"/>
      <c r="AQ4" s="228"/>
      <c r="AR4" s="191"/>
      <c r="AS4" s="229">
        <f t="shared" si="9"/>
        <v>771.8</v>
      </c>
      <c r="AT4" s="229">
        <f t="shared" si="10"/>
        <v>339.95</v>
      </c>
      <c r="AU4" s="229">
        <f t="shared" si="11"/>
        <v>79</v>
      </c>
      <c r="AV4" s="229">
        <f t="shared" si="12"/>
        <v>79</v>
      </c>
      <c r="AW4" s="229">
        <f t="shared" si="13"/>
        <v>1269.75</v>
      </c>
      <c r="AX4" s="238">
        <f t="shared" si="14"/>
        <v>1111.75</v>
      </c>
      <c r="AY4" s="238"/>
      <c r="AZ4" s="238">
        <f t="shared" si="15"/>
        <v>158</v>
      </c>
      <c r="BA4" s="238"/>
      <c r="BB4" s="239">
        <v>80</v>
      </c>
      <c r="BC4" s="238">
        <f t="shared" si="16"/>
        <v>1349.75</v>
      </c>
      <c r="BD4" s="240"/>
      <c r="BE4" s="260"/>
      <c r="BF4" s="260"/>
      <c r="BG4" s="260"/>
      <c r="BH4" s="260"/>
    </row>
    <row r="5" s="180" customFormat="1" ht="18" customHeight="1" spans="1:60">
      <c r="A5" s="191">
        <v>3</v>
      </c>
      <c r="B5" s="161" t="s">
        <v>136</v>
      </c>
      <c r="C5" s="150" t="s">
        <v>164</v>
      </c>
      <c r="D5" s="160" t="s">
        <v>138</v>
      </c>
      <c r="E5" s="161" t="s">
        <v>146</v>
      </c>
      <c r="F5" s="162" t="s">
        <v>160</v>
      </c>
      <c r="G5" s="163" t="s">
        <v>161</v>
      </c>
      <c r="H5" s="160" t="s">
        <v>165</v>
      </c>
      <c r="I5" s="160" t="s">
        <v>165</v>
      </c>
      <c r="J5" s="160" t="s">
        <v>162</v>
      </c>
      <c r="K5" s="160" t="s">
        <v>162</v>
      </c>
      <c r="L5" s="191">
        <v>4000</v>
      </c>
      <c r="M5" s="191">
        <v>0.16</v>
      </c>
      <c r="N5" s="191">
        <f t="shared" si="0"/>
        <v>640</v>
      </c>
      <c r="O5" s="191">
        <v>0.08</v>
      </c>
      <c r="P5" s="191">
        <f t="shared" si="1"/>
        <v>320</v>
      </c>
      <c r="Q5" s="191">
        <v>4000</v>
      </c>
      <c r="R5" s="191">
        <v>0.087</v>
      </c>
      <c r="S5" s="191">
        <f t="shared" si="2"/>
        <v>348</v>
      </c>
      <c r="T5" s="191">
        <v>0.02</v>
      </c>
      <c r="U5" s="191">
        <f t="shared" si="3"/>
        <v>80</v>
      </c>
      <c r="V5" s="191">
        <v>4000</v>
      </c>
      <c r="W5" s="191">
        <v>0.007</v>
      </c>
      <c r="X5" s="191">
        <f t="shared" si="4"/>
        <v>28</v>
      </c>
      <c r="Y5" s="191">
        <v>0.003</v>
      </c>
      <c r="Z5" s="191">
        <f t="shared" si="5"/>
        <v>12</v>
      </c>
      <c r="AA5" s="191"/>
      <c r="AB5" s="191"/>
      <c r="AC5" s="191"/>
      <c r="AD5" s="191">
        <v>4000</v>
      </c>
      <c r="AE5" s="191">
        <v>0.0056</v>
      </c>
      <c r="AF5" s="191">
        <f t="shared" si="6"/>
        <v>22.4</v>
      </c>
      <c r="AG5" s="191">
        <v>4000</v>
      </c>
      <c r="AH5" s="191">
        <v>0.05</v>
      </c>
      <c r="AI5" s="191">
        <f t="shared" si="7"/>
        <v>200</v>
      </c>
      <c r="AJ5" s="191">
        <v>0.05</v>
      </c>
      <c r="AK5" s="191">
        <f t="shared" si="8"/>
        <v>200</v>
      </c>
      <c r="AL5" s="223"/>
      <c r="AM5" s="191"/>
      <c r="AN5" s="191"/>
      <c r="AO5" s="191"/>
      <c r="AP5" s="161"/>
      <c r="AQ5" s="228"/>
      <c r="AR5" s="228"/>
      <c r="AS5" s="229">
        <f t="shared" si="9"/>
        <v>1038.4</v>
      </c>
      <c r="AT5" s="229">
        <f t="shared" si="10"/>
        <v>412</v>
      </c>
      <c r="AU5" s="229">
        <f t="shared" si="11"/>
        <v>200</v>
      </c>
      <c r="AV5" s="229">
        <f t="shared" si="12"/>
        <v>200</v>
      </c>
      <c r="AW5" s="229">
        <f t="shared" si="13"/>
        <v>1850.4</v>
      </c>
      <c r="AX5" s="238">
        <f t="shared" si="14"/>
        <v>1450.4</v>
      </c>
      <c r="AY5" s="238"/>
      <c r="AZ5" s="238">
        <f t="shared" si="15"/>
        <v>400</v>
      </c>
      <c r="BA5" s="238"/>
      <c r="BB5" s="239">
        <v>80</v>
      </c>
      <c r="BC5" s="238">
        <f t="shared" si="16"/>
        <v>1930.4</v>
      </c>
      <c r="BD5" s="240"/>
      <c r="BE5" s="260"/>
      <c r="BF5" s="260"/>
      <c r="BG5" s="260"/>
      <c r="BH5" s="260"/>
    </row>
    <row r="6" s="180" customFormat="1" ht="18" customHeight="1" spans="1:60">
      <c r="A6" s="191">
        <v>4</v>
      </c>
      <c r="B6" s="161" t="s">
        <v>136</v>
      </c>
      <c r="C6" s="150" t="s">
        <v>164</v>
      </c>
      <c r="D6" s="160" t="s">
        <v>138</v>
      </c>
      <c r="E6" s="161" t="s">
        <v>146</v>
      </c>
      <c r="F6" s="162" t="s">
        <v>166</v>
      </c>
      <c r="G6" s="163" t="s">
        <v>167</v>
      </c>
      <c r="H6" s="160" t="s">
        <v>168</v>
      </c>
      <c r="I6" s="160" t="s">
        <v>168</v>
      </c>
      <c r="J6" s="160" t="s">
        <v>162</v>
      </c>
      <c r="K6" s="160" t="s">
        <v>162</v>
      </c>
      <c r="L6" s="191">
        <v>3276</v>
      </c>
      <c r="M6" s="191">
        <v>0.16</v>
      </c>
      <c r="N6" s="191">
        <f t="shared" si="0"/>
        <v>524.16</v>
      </c>
      <c r="O6" s="191">
        <v>0.08</v>
      </c>
      <c r="P6" s="191">
        <f t="shared" si="1"/>
        <v>262.08</v>
      </c>
      <c r="Q6" s="191">
        <v>3276</v>
      </c>
      <c r="R6" s="191">
        <v>0.087</v>
      </c>
      <c r="S6" s="191">
        <f t="shared" si="2"/>
        <v>285.01</v>
      </c>
      <c r="T6" s="191">
        <v>0.02</v>
      </c>
      <c r="U6" s="191">
        <f t="shared" si="3"/>
        <v>65.52</v>
      </c>
      <c r="V6" s="191">
        <v>3276</v>
      </c>
      <c r="W6" s="191">
        <v>0.007</v>
      </c>
      <c r="X6" s="191">
        <f t="shared" si="4"/>
        <v>22.93</v>
      </c>
      <c r="Y6" s="191">
        <v>0.003</v>
      </c>
      <c r="Z6" s="191">
        <f t="shared" si="5"/>
        <v>9.83</v>
      </c>
      <c r="AA6" s="191"/>
      <c r="AB6" s="191"/>
      <c r="AC6" s="191"/>
      <c r="AD6" s="191">
        <v>3033</v>
      </c>
      <c r="AE6" s="191">
        <v>0.0056</v>
      </c>
      <c r="AF6" s="191">
        <f t="shared" si="6"/>
        <v>16.98</v>
      </c>
      <c r="AG6" s="191">
        <v>1700</v>
      </c>
      <c r="AH6" s="191">
        <v>0.05</v>
      </c>
      <c r="AI6" s="191">
        <f t="shared" si="7"/>
        <v>85</v>
      </c>
      <c r="AJ6" s="191">
        <v>0.05</v>
      </c>
      <c r="AK6" s="191">
        <f t="shared" si="8"/>
        <v>85</v>
      </c>
      <c r="AL6" s="223"/>
      <c r="AM6" s="191"/>
      <c r="AN6" s="191"/>
      <c r="AO6" s="191"/>
      <c r="AP6" s="161"/>
      <c r="AQ6" s="228"/>
      <c r="AR6" s="228"/>
      <c r="AS6" s="229">
        <f t="shared" si="9"/>
        <v>849.08</v>
      </c>
      <c r="AT6" s="229">
        <f t="shared" si="10"/>
        <v>337.43</v>
      </c>
      <c r="AU6" s="229">
        <f t="shared" si="11"/>
        <v>85</v>
      </c>
      <c r="AV6" s="229">
        <f t="shared" si="12"/>
        <v>85</v>
      </c>
      <c r="AW6" s="229">
        <f t="shared" si="13"/>
        <v>1356.51</v>
      </c>
      <c r="AX6" s="238">
        <f t="shared" si="14"/>
        <v>1186.51</v>
      </c>
      <c r="AY6" s="238"/>
      <c r="AZ6" s="238">
        <f t="shared" si="15"/>
        <v>170</v>
      </c>
      <c r="BA6" s="238"/>
      <c r="BB6" s="239">
        <v>80</v>
      </c>
      <c r="BC6" s="238">
        <f t="shared" si="16"/>
        <v>1436.51</v>
      </c>
      <c r="BD6" s="240" t="s">
        <v>169</v>
      </c>
      <c r="BE6" s="260"/>
      <c r="BF6" s="260"/>
      <c r="BG6" s="260"/>
      <c r="BH6" s="260"/>
    </row>
    <row r="7" s="180" customFormat="1" ht="18" customHeight="1" spans="1:60">
      <c r="A7" s="191">
        <v>5</v>
      </c>
      <c r="B7" s="161" t="s">
        <v>136</v>
      </c>
      <c r="C7" s="150" t="s">
        <v>145</v>
      </c>
      <c r="D7" s="160" t="s">
        <v>138</v>
      </c>
      <c r="E7" s="161" t="s">
        <v>146</v>
      </c>
      <c r="F7" s="162" t="s">
        <v>170</v>
      </c>
      <c r="G7" s="163" t="s">
        <v>171</v>
      </c>
      <c r="H7" s="160" t="s">
        <v>168</v>
      </c>
      <c r="I7" s="160" t="s">
        <v>168</v>
      </c>
      <c r="J7" s="160" t="s">
        <v>162</v>
      </c>
      <c r="K7" s="160" t="s">
        <v>162</v>
      </c>
      <c r="L7" s="191">
        <v>4588</v>
      </c>
      <c r="M7" s="191">
        <v>0.15</v>
      </c>
      <c r="N7" s="191">
        <f t="shared" si="0"/>
        <v>688.2</v>
      </c>
      <c r="O7" s="191">
        <v>0.08</v>
      </c>
      <c r="P7" s="191">
        <f t="shared" si="1"/>
        <v>367.04</v>
      </c>
      <c r="Q7" s="191">
        <v>6757</v>
      </c>
      <c r="R7" s="191">
        <v>0.0545</v>
      </c>
      <c r="S7" s="191">
        <f t="shared" si="2"/>
        <v>368.26</v>
      </c>
      <c r="T7" s="191">
        <v>0.02</v>
      </c>
      <c r="U7" s="191">
        <f t="shared" si="3"/>
        <v>135.14</v>
      </c>
      <c r="V7" s="191">
        <v>2300</v>
      </c>
      <c r="W7" s="191">
        <v>0.0048</v>
      </c>
      <c r="X7" s="191">
        <f t="shared" si="4"/>
        <v>11.04</v>
      </c>
      <c r="Y7" s="191">
        <v>0.002</v>
      </c>
      <c r="Z7" s="191">
        <f t="shared" si="5"/>
        <v>4.6</v>
      </c>
      <c r="AA7" s="191"/>
      <c r="AB7" s="191"/>
      <c r="AC7" s="191"/>
      <c r="AD7" s="191">
        <v>2300</v>
      </c>
      <c r="AE7" s="191">
        <v>0.0016</v>
      </c>
      <c r="AF7" s="191">
        <f t="shared" si="6"/>
        <v>3.68</v>
      </c>
      <c r="AG7" s="191">
        <v>2300</v>
      </c>
      <c r="AH7" s="191">
        <v>0.05</v>
      </c>
      <c r="AI7" s="191">
        <f t="shared" si="7"/>
        <v>115</v>
      </c>
      <c r="AJ7" s="191">
        <v>0.05</v>
      </c>
      <c r="AK7" s="191">
        <f t="shared" si="8"/>
        <v>115</v>
      </c>
      <c r="AL7" s="223"/>
      <c r="AM7" s="191"/>
      <c r="AN7" s="191"/>
      <c r="AO7" s="191"/>
      <c r="AP7" s="161"/>
      <c r="AQ7" s="228">
        <v>29.28</v>
      </c>
      <c r="AR7" s="228"/>
      <c r="AS7" s="229">
        <f t="shared" si="9"/>
        <v>1100.46</v>
      </c>
      <c r="AT7" s="229">
        <f t="shared" si="10"/>
        <v>506.78</v>
      </c>
      <c r="AU7" s="229">
        <f t="shared" si="11"/>
        <v>115</v>
      </c>
      <c r="AV7" s="229">
        <f t="shared" si="12"/>
        <v>115</v>
      </c>
      <c r="AW7" s="229">
        <f t="shared" si="13"/>
        <v>1837.24</v>
      </c>
      <c r="AX7" s="238">
        <f t="shared" si="14"/>
        <v>1607.24</v>
      </c>
      <c r="AY7" s="238"/>
      <c r="AZ7" s="238">
        <f t="shared" si="15"/>
        <v>230</v>
      </c>
      <c r="BA7" s="238"/>
      <c r="BB7" s="239">
        <v>80</v>
      </c>
      <c r="BC7" s="238">
        <f t="shared" si="16"/>
        <v>1917.24</v>
      </c>
      <c r="BD7" s="241" t="s">
        <v>172</v>
      </c>
      <c r="BE7" s="260"/>
      <c r="BF7" s="260"/>
      <c r="BG7" s="260"/>
      <c r="BH7" s="260"/>
    </row>
    <row r="8" s="180" customFormat="1" ht="18" customHeight="1" spans="1:60">
      <c r="A8" s="191">
        <v>6</v>
      </c>
      <c r="B8" s="161" t="s">
        <v>136</v>
      </c>
      <c r="C8" s="150" t="s">
        <v>173</v>
      </c>
      <c r="D8" s="160" t="s">
        <v>138</v>
      </c>
      <c r="E8" s="161" t="s">
        <v>146</v>
      </c>
      <c r="F8" s="162" t="s">
        <v>174</v>
      </c>
      <c r="G8" s="163" t="s">
        <v>175</v>
      </c>
      <c r="H8" s="160" t="s">
        <v>176</v>
      </c>
      <c r="I8" s="160" t="s">
        <v>176</v>
      </c>
      <c r="J8" s="160" t="s">
        <v>163</v>
      </c>
      <c r="K8" s="160" t="s">
        <v>163</v>
      </c>
      <c r="L8" s="191">
        <v>3179</v>
      </c>
      <c r="M8" s="191">
        <v>0.16</v>
      </c>
      <c r="N8" s="191">
        <f t="shared" si="0"/>
        <v>508.64</v>
      </c>
      <c r="O8" s="191">
        <v>0.08</v>
      </c>
      <c r="P8" s="191">
        <f t="shared" si="1"/>
        <v>254.32</v>
      </c>
      <c r="Q8" s="191">
        <v>3179</v>
      </c>
      <c r="R8" s="191">
        <v>0.08</v>
      </c>
      <c r="S8" s="191">
        <f t="shared" si="2"/>
        <v>254.32</v>
      </c>
      <c r="T8" s="191">
        <v>0.02</v>
      </c>
      <c r="U8" s="191">
        <f t="shared" si="3"/>
        <v>63.58</v>
      </c>
      <c r="V8" s="191">
        <v>3179</v>
      </c>
      <c r="W8" s="191">
        <v>0.007</v>
      </c>
      <c r="X8" s="191">
        <f t="shared" si="4"/>
        <v>22.25</v>
      </c>
      <c r="Y8" s="191">
        <v>0.003</v>
      </c>
      <c r="Z8" s="191">
        <f t="shared" si="5"/>
        <v>9.54</v>
      </c>
      <c r="AA8" s="191">
        <v>3179</v>
      </c>
      <c r="AB8" s="191">
        <v>0.01</v>
      </c>
      <c r="AC8" s="191">
        <f>ROUND(AA8*AB8,2)</f>
        <v>31.79</v>
      </c>
      <c r="AD8" s="191">
        <v>3179</v>
      </c>
      <c r="AE8" s="191">
        <v>0.0035</v>
      </c>
      <c r="AF8" s="191">
        <f t="shared" si="6"/>
        <v>11.13</v>
      </c>
      <c r="AG8" s="191">
        <v>3179</v>
      </c>
      <c r="AH8" s="191">
        <v>0.08</v>
      </c>
      <c r="AI8" s="191">
        <f t="shared" si="7"/>
        <v>254.32</v>
      </c>
      <c r="AJ8" s="191">
        <v>0.08</v>
      </c>
      <c r="AK8" s="191">
        <f t="shared" si="8"/>
        <v>254.32</v>
      </c>
      <c r="AL8" s="223"/>
      <c r="AM8" s="191"/>
      <c r="AN8" s="191"/>
      <c r="AO8" s="191"/>
      <c r="AP8" s="161"/>
      <c r="AQ8" s="228"/>
      <c r="AR8" s="228"/>
      <c r="AS8" s="229">
        <f t="shared" si="9"/>
        <v>828.13</v>
      </c>
      <c r="AT8" s="229">
        <f t="shared" si="10"/>
        <v>327.44</v>
      </c>
      <c r="AU8" s="229">
        <f t="shared" si="11"/>
        <v>254.32</v>
      </c>
      <c r="AV8" s="229">
        <f t="shared" si="12"/>
        <v>254.32</v>
      </c>
      <c r="AW8" s="229">
        <f t="shared" si="13"/>
        <v>1664.21</v>
      </c>
      <c r="AX8" s="238">
        <f t="shared" si="14"/>
        <v>1155.57</v>
      </c>
      <c r="AY8" s="238"/>
      <c r="AZ8" s="238">
        <f t="shared" si="15"/>
        <v>508.64</v>
      </c>
      <c r="BA8" s="238"/>
      <c r="BB8" s="239">
        <v>80</v>
      </c>
      <c r="BC8" s="238">
        <f t="shared" si="16"/>
        <v>1744.21</v>
      </c>
      <c r="BD8" s="240" t="s">
        <v>177</v>
      </c>
      <c r="BE8" s="260"/>
      <c r="BF8" s="260"/>
      <c r="BG8" s="260"/>
      <c r="BH8" s="260"/>
    </row>
    <row r="9" s="180" customFormat="1" ht="18" customHeight="1" spans="1:60">
      <c r="A9" s="191">
        <v>7</v>
      </c>
      <c r="B9" s="161" t="s">
        <v>136</v>
      </c>
      <c r="C9" s="150" t="s">
        <v>173</v>
      </c>
      <c r="D9" s="160" t="s">
        <v>138</v>
      </c>
      <c r="E9" s="161" t="s">
        <v>146</v>
      </c>
      <c r="F9" s="162" t="s">
        <v>178</v>
      </c>
      <c r="G9" s="163" t="s">
        <v>179</v>
      </c>
      <c r="H9" s="160" t="s">
        <v>176</v>
      </c>
      <c r="I9" s="160" t="s">
        <v>176</v>
      </c>
      <c r="J9" s="160" t="s">
        <v>163</v>
      </c>
      <c r="K9" s="160" t="s">
        <v>163</v>
      </c>
      <c r="L9" s="191">
        <v>3179</v>
      </c>
      <c r="M9" s="191">
        <v>0.16</v>
      </c>
      <c r="N9" s="191">
        <f t="shared" si="0"/>
        <v>508.64</v>
      </c>
      <c r="O9" s="191">
        <v>0.08</v>
      </c>
      <c r="P9" s="191">
        <f t="shared" si="1"/>
        <v>254.32</v>
      </c>
      <c r="Q9" s="191">
        <v>3179</v>
      </c>
      <c r="R9" s="191">
        <v>0.08</v>
      </c>
      <c r="S9" s="191">
        <f t="shared" si="2"/>
        <v>254.32</v>
      </c>
      <c r="T9" s="191">
        <v>0.02</v>
      </c>
      <c r="U9" s="191">
        <f t="shared" si="3"/>
        <v>63.58</v>
      </c>
      <c r="V9" s="191">
        <v>3179</v>
      </c>
      <c r="W9" s="191">
        <v>0.007</v>
      </c>
      <c r="X9" s="191">
        <f t="shared" si="4"/>
        <v>22.25</v>
      </c>
      <c r="Y9" s="191">
        <v>0.003</v>
      </c>
      <c r="Z9" s="191">
        <f t="shared" si="5"/>
        <v>9.54</v>
      </c>
      <c r="AA9" s="191">
        <v>3179</v>
      </c>
      <c r="AB9" s="191">
        <v>0.01</v>
      </c>
      <c r="AC9" s="191">
        <f>ROUND(AA9*AB9,2)</f>
        <v>31.79</v>
      </c>
      <c r="AD9" s="191">
        <v>3179</v>
      </c>
      <c r="AE9" s="191">
        <v>0.0035</v>
      </c>
      <c r="AF9" s="191">
        <f t="shared" si="6"/>
        <v>11.13</v>
      </c>
      <c r="AG9" s="191">
        <v>3179</v>
      </c>
      <c r="AH9" s="191">
        <v>0.08</v>
      </c>
      <c r="AI9" s="191">
        <f t="shared" si="7"/>
        <v>254.32</v>
      </c>
      <c r="AJ9" s="191">
        <v>0.08</v>
      </c>
      <c r="AK9" s="191">
        <f t="shared" si="8"/>
        <v>254.32</v>
      </c>
      <c r="AL9" s="223"/>
      <c r="AM9" s="191"/>
      <c r="AN9" s="191"/>
      <c r="AO9" s="191"/>
      <c r="AP9" s="161"/>
      <c r="AQ9" s="228"/>
      <c r="AR9" s="228"/>
      <c r="AS9" s="229">
        <f t="shared" si="9"/>
        <v>828.13</v>
      </c>
      <c r="AT9" s="229">
        <f t="shared" si="10"/>
        <v>327.44</v>
      </c>
      <c r="AU9" s="229">
        <f t="shared" si="11"/>
        <v>254.32</v>
      </c>
      <c r="AV9" s="229">
        <f t="shared" si="12"/>
        <v>254.32</v>
      </c>
      <c r="AW9" s="229">
        <f t="shared" si="13"/>
        <v>1664.21</v>
      </c>
      <c r="AX9" s="238">
        <f t="shared" si="14"/>
        <v>1155.57</v>
      </c>
      <c r="AY9" s="238"/>
      <c r="AZ9" s="238">
        <f t="shared" si="15"/>
        <v>508.64</v>
      </c>
      <c r="BA9" s="238"/>
      <c r="BB9" s="239">
        <v>80</v>
      </c>
      <c r="BC9" s="238">
        <f t="shared" si="16"/>
        <v>1744.21</v>
      </c>
      <c r="BD9" s="240" t="s">
        <v>177</v>
      </c>
      <c r="BE9" s="260"/>
      <c r="BF9" s="260"/>
      <c r="BG9" s="260"/>
      <c r="BH9" s="260"/>
    </row>
    <row r="10" s="180" customFormat="1" ht="18" customHeight="1" spans="1:60">
      <c r="A10" s="191">
        <v>8</v>
      </c>
      <c r="B10" s="161" t="s">
        <v>136</v>
      </c>
      <c r="C10" s="150" t="s">
        <v>173</v>
      </c>
      <c r="D10" s="160" t="s">
        <v>138</v>
      </c>
      <c r="E10" s="161" t="s">
        <v>146</v>
      </c>
      <c r="F10" s="162" t="s">
        <v>180</v>
      </c>
      <c r="G10" s="163" t="s">
        <v>181</v>
      </c>
      <c r="H10" s="160">
        <v>202202</v>
      </c>
      <c r="I10" s="160">
        <v>202202</v>
      </c>
      <c r="J10" s="160" t="s">
        <v>163</v>
      </c>
      <c r="K10" s="160" t="s">
        <v>163</v>
      </c>
      <c r="L10" s="191">
        <v>3179</v>
      </c>
      <c r="M10" s="191">
        <v>0.16</v>
      </c>
      <c r="N10" s="191">
        <f t="shared" si="0"/>
        <v>508.64</v>
      </c>
      <c r="O10" s="191">
        <v>0.08</v>
      </c>
      <c r="P10" s="191">
        <f t="shared" si="1"/>
        <v>254.32</v>
      </c>
      <c r="Q10" s="191">
        <v>3179</v>
      </c>
      <c r="R10" s="191">
        <v>0.08</v>
      </c>
      <c r="S10" s="191">
        <f t="shared" si="2"/>
        <v>254.32</v>
      </c>
      <c r="T10" s="191">
        <v>0.02</v>
      </c>
      <c r="U10" s="191">
        <f t="shared" si="3"/>
        <v>63.58</v>
      </c>
      <c r="V10" s="191">
        <v>3179</v>
      </c>
      <c r="W10" s="191">
        <v>0.007</v>
      </c>
      <c r="X10" s="191">
        <f t="shared" si="4"/>
        <v>22.25</v>
      </c>
      <c r="Y10" s="191">
        <v>0.003</v>
      </c>
      <c r="Z10" s="191">
        <f t="shared" si="5"/>
        <v>9.54</v>
      </c>
      <c r="AA10" s="191">
        <v>3179</v>
      </c>
      <c r="AB10" s="191">
        <v>0.01</v>
      </c>
      <c r="AC10" s="191">
        <f>ROUND(AA10*AB10,2)</f>
        <v>31.79</v>
      </c>
      <c r="AD10" s="191">
        <v>3179</v>
      </c>
      <c r="AE10" s="191">
        <v>0.0035</v>
      </c>
      <c r="AF10" s="191">
        <f t="shared" si="6"/>
        <v>11.13</v>
      </c>
      <c r="AG10" s="191">
        <v>3179</v>
      </c>
      <c r="AH10" s="191">
        <v>0.08</v>
      </c>
      <c r="AI10" s="191">
        <f t="shared" si="7"/>
        <v>254.32</v>
      </c>
      <c r="AJ10" s="191">
        <v>0.08</v>
      </c>
      <c r="AK10" s="191">
        <f t="shared" si="8"/>
        <v>254.32</v>
      </c>
      <c r="AL10" s="223"/>
      <c r="AM10" s="191"/>
      <c r="AN10" s="191"/>
      <c r="AO10" s="191"/>
      <c r="AP10" s="161"/>
      <c r="AQ10" s="228"/>
      <c r="AR10" s="228"/>
      <c r="AS10" s="229">
        <f t="shared" si="9"/>
        <v>828.13</v>
      </c>
      <c r="AT10" s="229">
        <f t="shared" si="10"/>
        <v>327.44</v>
      </c>
      <c r="AU10" s="229">
        <f t="shared" si="11"/>
        <v>254.32</v>
      </c>
      <c r="AV10" s="229">
        <f t="shared" si="12"/>
        <v>254.32</v>
      </c>
      <c r="AW10" s="229">
        <f t="shared" si="13"/>
        <v>1664.21</v>
      </c>
      <c r="AX10" s="238">
        <f t="shared" si="14"/>
        <v>1155.57</v>
      </c>
      <c r="AY10" s="238"/>
      <c r="AZ10" s="238">
        <f t="shared" si="15"/>
        <v>508.64</v>
      </c>
      <c r="BA10" s="238"/>
      <c r="BB10" s="239">
        <v>80</v>
      </c>
      <c r="BC10" s="238">
        <f t="shared" si="16"/>
        <v>1744.21</v>
      </c>
      <c r="BD10" s="240" t="s">
        <v>177</v>
      </c>
      <c r="BE10" s="260"/>
      <c r="BF10" s="260"/>
      <c r="BG10" s="260"/>
      <c r="BH10" s="260"/>
    </row>
    <row r="11" s="180" customFormat="1" ht="18" customHeight="1" spans="1:60">
      <c r="A11" s="191">
        <v>9</v>
      </c>
      <c r="B11" s="161" t="s">
        <v>136</v>
      </c>
      <c r="C11" s="150" t="s">
        <v>173</v>
      </c>
      <c r="D11" s="160" t="s">
        <v>138</v>
      </c>
      <c r="E11" s="161" t="s">
        <v>146</v>
      </c>
      <c r="F11" s="162" t="s">
        <v>182</v>
      </c>
      <c r="G11" s="388" t="s">
        <v>183</v>
      </c>
      <c r="H11" s="160">
        <v>202202</v>
      </c>
      <c r="I11" s="160">
        <v>202202</v>
      </c>
      <c r="J11" s="160" t="s">
        <v>163</v>
      </c>
      <c r="K11" s="160" t="s">
        <v>163</v>
      </c>
      <c r="L11" s="191">
        <v>3179</v>
      </c>
      <c r="M11" s="191">
        <v>0.16</v>
      </c>
      <c r="N11" s="191">
        <f t="shared" si="0"/>
        <v>508.64</v>
      </c>
      <c r="O11" s="191">
        <v>0.08</v>
      </c>
      <c r="P11" s="191">
        <f t="shared" si="1"/>
        <v>254.32</v>
      </c>
      <c r="Q11" s="191">
        <v>3179</v>
      </c>
      <c r="R11" s="191">
        <v>0.08</v>
      </c>
      <c r="S11" s="191">
        <f t="shared" si="2"/>
        <v>254.32</v>
      </c>
      <c r="T11" s="191">
        <v>0.02</v>
      </c>
      <c r="U11" s="191">
        <f t="shared" si="3"/>
        <v>63.58</v>
      </c>
      <c r="V11" s="191">
        <v>3179</v>
      </c>
      <c r="W11" s="191">
        <v>0.007</v>
      </c>
      <c r="X11" s="191">
        <f t="shared" si="4"/>
        <v>22.25</v>
      </c>
      <c r="Y11" s="191">
        <v>0.003</v>
      </c>
      <c r="Z11" s="191">
        <f t="shared" si="5"/>
        <v>9.54</v>
      </c>
      <c r="AA11" s="191">
        <v>3179</v>
      </c>
      <c r="AB11" s="191">
        <v>0.01</v>
      </c>
      <c r="AC11" s="191">
        <f>ROUND(AA11*AB11,2)</f>
        <v>31.79</v>
      </c>
      <c r="AD11" s="191">
        <v>3179</v>
      </c>
      <c r="AE11" s="191">
        <v>0.0035</v>
      </c>
      <c r="AF11" s="191">
        <f t="shared" si="6"/>
        <v>11.13</v>
      </c>
      <c r="AG11" s="191">
        <v>3179</v>
      </c>
      <c r="AH11" s="191">
        <v>0.08</v>
      </c>
      <c r="AI11" s="191">
        <f t="shared" si="7"/>
        <v>254.32</v>
      </c>
      <c r="AJ11" s="191">
        <v>0.08</v>
      </c>
      <c r="AK11" s="191">
        <f t="shared" si="8"/>
        <v>254.32</v>
      </c>
      <c r="AL11" s="223"/>
      <c r="AM11" s="191"/>
      <c r="AN11" s="191"/>
      <c r="AO11" s="191"/>
      <c r="AP11" s="161"/>
      <c r="AQ11" s="228"/>
      <c r="AR11" s="228"/>
      <c r="AS11" s="229">
        <f t="shared" si="9"/>
        <v>828.13</v>
      </c>
      <c r="AT11" s="229">
        <f t="shared" si="10"/>
        <v>327.44</v>
      </c>
      <c r="AU11" s="229">
        <f t="shared" si="11"/>
        <v>254.32</v>
      </c>
      <c r="AV11" s="229">
        <f t="shared" si="12"/>
        <v>254.32</v>
      </c>
      <c r="AW11" s="229">
        <f t="shared" si="13"/>
        <v>1664.21</v>
      </c>
      <c r="AX11" s="238">
        <f t="shared" si="14"/>
        <v>1155.57</v>
      </c>
      <c r="AY11" s="238"/>
      <c r="AZ11" s="238">
        <f t="shared" si="15"/>
        <v>508.64</v>
      </c>
      <c r="BA11" s="238"/>
      <c r="BB11" s="239">
        <v>80</v>
      </c>
      <c r="BC11" s="238">
        <f t="shared" si="16"/>
        <v>1744.21</v>
      </c>
      <c r="BD11" s="240" t="s">
        <v>177</v>
      </c>
      <c r="BE11" s="260"/>
      <c r="BF11" s="260"/>
      <c r="BG11" s="260"/>
      <c r="BH11" s="260"/>
    </row>
    <row r="12" s="181" customFormat="1" ht="18" customHeight="1" spans="1:60">
      <c r="A12" s="192" t="s">
        <v>148</v>
      </c>
      <c r="B12" s="193" t="s">
        <v>136</v>
      </c>
      <c r="C12" s="194" t="s">
        <v>184</v>
      </c>
      <c r="D12" s="195" t="s">
        <v>138</v>
      </c>
      <c r="E12" s="193" t="s">
        <v>146</v>
      </c>
      <c r="F12" s="196" t="s">
        <v>185</v>
      </c>
      <c r="G12" s="197" t="s">
        <v>186</v>
      </c>
      <c r="H12" s="195">
        <v>202202</v>
      </c>
      <c r="I12" s="195">
        <v>202202</v>
      </c>
      <c r="J12" s="195" t="s">
        <v>162</v>
      </c>
      <c r="K12" s="195" t="s">
        <v>162</v>
      </c>
      <c r="L12" s="192">
        <v>2075</v>
      </c>
      <c r="M12" s="192">
        <v>0.16</v>
      </c>
      <c r="N12" s="192">
        <f t="shared" ref="N12:N22" si="17">ROUND(L12*M12,2)</f>
        <v>332</v>
      </c>
      <c r="O12" s="192">
        <v>0.08</v>
      </c>
      <c r="P12" s="192">
        <f t="shared" ref="P12:P22" si="18">ROUND(L12*O12,2)</f>
        <v>166</v>
      </c>
      <c r="Q12" s="192">
        <v>3676</v>
      </c>
      <c r="R12" s="192">
        <v>0.08</v>
      </c>
      <c r="S12" s="192">
        <f t="shared" ref="S12:S22" si="19">ROUND(Q12*R12,2)</f>
        <v>294.08</v>
      </c>
      <c r="T12" s="192">
        <v>0.02</v>
      </c>
      <c r="U12" s="192">
        <f t="shared" ref="U12:U22" si="20">ROUND(Q12*T12,2)</f>
        <v>73.52</v>
      </c>
      <c r="V12" s="192">
        <v>2075</v>
      </c>
      <c r="W12" s="192">
        <v>0.005</v>
      </c>
      <c r="X12" s="192">
        <f t="shared" ref="X12:X22" si="21">ROUND(V12*W12,2)</f>
        <v>10.38</v>
      </c>
      <c r="Y12" s="192">
        <v>0.005</v>
      </c>
      <c r="Z12" s="192">
        <f t="shared" ref="Z12:Z22" si="22">ROUND(V12*Y12,2)</f>
        <v>10.38</v>
      </c>
      <c r="AA12" s="192">
        <v>3676</v>
      </c>
      <c r="AB12" s="192">
        <v>0.007</v>
      </c>
      <c r="AC12" s="192">
        <f>ROUND(AA12*AB12,2)</f>
        <v>25.73</v>
      </c>
      <c r="AD12" s="192">
        <v>3488.4</v>
      </c>
      <c r="AE12" s="192">
        <v>0.0035</v>
      </c>
      <c r="AF12" s="192">
        <f t="shared" ref="AF12:AF21" si="23">ROUND(AD12*AE12,2)</f>
        <v>12.21</v>
      </c>
      <c r="AG12" s="192">
        <v>1720</v>
      </c>
      <c r="AH12" s="192">
        <v>0.05</v>
      </c>
      <c r="AI12" s="192">
        <f t="shared" ref="AI12:AI21" si="24">ROUND(AG12*AH12,2)</f>
        <v>86</v>
      </c>
      <c r="AJ12" s="192">
        <v>0.05</v>
      </c>
      <c r="AK12" s="192">
        <f t="shared" ref="AK12:AK21" si="25">ROUND(AG12*AJ12,2)</f>
        <v>86</v>
      </c>
      <c r="AL12" s="224"/>
      <c r="AM12" s="192"/>
      <c r="AN12" s="192"/>
      <c r="AO12" s="192"/>
      <c r="AP12" s="193"/>
      <c r="AQ12" s="230"/>
      <c r="AR12" s="230"/>
      <c r="AS12" s="231">
        <f t="shared" ref="AS12:AS22" si="26">N12+S12+X12+AC12+AF12+AN12+AQ12</f>
        <v>674.4</v>
      </c>
      <c r="AT12" s="231">
        <f t="shared" ref="AT12:AT22" si="27">P12+U12+Z12</f>
        <v>249.9</v>
      </c>
      <c r="AU12" s="231">
        <f t="shared" ref="AU12:AU22" si="28">AI12</f>
        <v>86</v>
      </c>
      <c r="AV12" s="231">
        <f t="shared" ref="AV12:AV22" si="29">AK12</f>
        <v>86</v>
      </c>
      <c r="AW12" s="231">
        <f t="shared" ref="AW12:AW22" si="30">AV12+AS12+AT12+AU12</f>
        <v>1096.3</v>
      </c>
      <c r="AX12" s="242">
        <f t="shared" ref="AX12:AX22" si="31">AS12+AT12</f>
        <v>924.3</v>
      </c>
      <c r="AY12" s="242"/>
      <c r="AZ12" s="242">
        <f t="shared" ref="AZ12:AZ22" si="32">AU12+AV12</f>
        <v>172</v>
      </c>
      <c r="BA12" s="242"/>
      <c r="BB12" s="243">
        <v>80</v>
      </c>
      <c r="BC12" s="242">
        <f t="shared" ref="BC12:BC22" si="33">AX12+AZ12+BB12</f>
        <v>1176.3</v>
      </c>
      <c r="BD12" s="244"/>
      <c r="BE12" s="261"/>
      <c r="BF12" s="261"/>
      <c r="BG12" s="261"/>
      <c r="BH12" s="261"/>
    </row>
    <row r="13" s="181" customFormat="1" ht="18" customHeight="1" spans="1:60">
      <c r="A13" s="192" t="s">
        <v>148</v>
      </c>
      <c r="B13" s="193" t="s">
        <v>136</v>
      </c>
      <c r="C13" s="194" t="s">
        <v>187</v>
      </c>
      <c r="D13" s="195" t="s">
        <v>138</v>
      </c>
      <c r="E13" s="193" t="s">
        <v>146</v>
      </c>
      <c r="F13" s="196" t="s">
        <v>188</v>
      </c>
      <c r="G13" s="197" t="s">
        <v>189</v>
      </c>
      <c r="H13" s="195">
        <v>202202</v>
      </c>
      <c r="I13" s="195">
        <v>202202</v>
      </c>
      <c r="J13" s="195" t="s">
        <v>162</v>
      </c>
      <c r="K13" s="195" t="s">
        <v>162</v>
      </c>
      <c r="L13" s="192">
        <v>3430</v>
      </c>
      <c r="M13" s="192">
        <v>0.16</v>
      </c>
      <c r="N13" s="192">
        <f t="shared" si="17"/>
        <v>548.8</v>
      </c>
      <c r="O13" s="192">
        <v>0.08</v>
      </c>
      <c r="P13" s="192">
        <f t="shared" si="18"/>
        <v>274.4</v>
      </c>
      <c r="Q13" s="192">
        <v>3430</v>
      </c>
      <c r="R13" s="192">
        <v>0.064</v>
      </c>
      <c r="S13" s="192">
        <f t="shared" si="19"/>
        <v>219.52</v>
      </c>
      <c r="T13" s="192">
        <v>0.02</v>
      </c>
      <c r="U13" s="192">
        <f t="shared" si="20"/>
        <v>68.6</v>
      </c>
      <c r="V13" s="192">
        <v>3430</v>
      </c>
      <c r="W13" s="192">
        <v>0.005</v>
      </c>
      <c r="X13" s="192">
        <f t="shared" si="21"/>
        <v>17.15</v>
      </c>
      <c r="Y13" s="192">
        <v>0.005</v>
      </c>
      <c r="Z13" s="192">
        <f t="shared" si="22"/>
        <v>17.15</v>
      </c>
      <c r="AA13" s="192"/>
      <c r="AB13" s="192"/>
      <c r="AC13" s="192"/>
      <c r="AD13" s="192">
        <v>3430</v>
      </c>
      <c r="AE13" s="192">
        <v>0.002</v>
      </c>
      <c r="AF13" s="192">
        <f t="shared" si="23"/>
        <v>6.86</v>
      </c>
      <c r="AG13" s="192">
        <v>1650</v>
      </c>
      <c r="AH13" s="192">
        <v>0.05</v>
      </c>
      <c r="AI13" s="192">
        <f t="shared" si="24"/>
        <v>82.5</v>
      </c>
      <c r="AJ13" s="192">
        <v>0.05</v>
      </c>
      <c r="AK13" s="192">
        <f t="shared" si="25"/>
        <v>82.5</v>
      </c>
      <c r="AL13" s="224"/>
      <c r="AM13" s="192"/>
      <c r="AN13" s="192"/>
      <c r="AO13" s="192"/>
      <c r="AP13" s="193"/>
      <c r="AQ13" s="230">
        <v>15</v>
      </c>
      <c r="AR13" s="230"/>
      <c r="AS13" s="231">
        <f t="shared" si="26"/>
        <v>807.33</v>
      </c>
      <c r="AT13" s="231">
        <f t="shared" si="27"/>
        <v>360.15</v>
      </c>
      <c r="AU13" s="231">
        <f t="shared" si="28"/>
        <v>82.5</v>
      </c>
      <c r="AV13" s="231">
        <f t="shared" si="29"/>
        <v>82.5</v>
      </c>
      <c r="AW13" s="231">
        <f t="shared" si="30"/>
        <v>1332.48</v>
      </c>
      <c r="AX13" s="242">
        <f t="shared" si="31"/>
        <v>1167.48</v>
      </c>
      <c r="AY13" s="242"/>
      <c r="AZ13" s="242">
        <f t="shared" si="32"/>
        <v>165</v>
      </c>
      <c r="BA13" s="242"/>
      <c r="BB13" s="243">
        <v>80</v>
      </c>
      <c r="BC13" s="242">
        <f t="shared" si="33"/>
        <v>1412.48</v>
      </c>
      <c r="BD13" s="244"/>
      <c r="BE13" s="261"/>
      <c r="BF13" s="261"/>
      <c r="BG13" s="261"/>
      <c r="BH13" s="261"/>
    </row>
    <row r="14" s="181" customFormat="1" ht="18" customHeight="1" spans="1:60">
      <c r="A14" s="192" t="s">
        <v>148</v>
      </c>
      <c r="B14" s="193" t="s">
        <v>136</v>
      </c>
      <c r="C14" s="194" t="s">
        <v>187</v>
      </c>
      <c r="D14" s="195" t="s">
        <v>138</v>
      </c>
      <c r="E14" s="193" t="s">
        <v>146</v>
      </c>
      <c r="F14" s="196" t="s">
        <v>190</v>
      </c>
      <c r="G14" s="197" t="s">
        <v>191</v>
      </c>
      <c r="H14" s="195">
        <v>202202</v>
      </c>
      <c r="I14" s="195">
        <v>202202</v>
      </c>
      <c r="J14" s="195" t="s">
        <v>162</v>
      </c>
      <c r="K14" s="195" t="s">
        <v>162</v>
      </c>
      <c r="L14" s="192">
        <v>3430</v>
      </c>
      <c r="M14" s="192">
        <v>0.16</v>
      </c>
      <c r="N14" s="192">
        <f t="shared" si="17"/>
        <v>548.8</v>
      </c>
      <c r="O14" s="192">
        <v>0.08</v>
      </c>
      <c r="P14" s="192">
        <f t="shared" si="18"/>
        <v>274.4</v>
      </c>
      <c r="Q14" s="192">
        <v>3430</v>
      </c>
      <c r="R14" s="192">
        <v>0.064</v>
      </c>
      <c r="S14" s="192">
        <f t="shared" si="19"/>
        <v>219.52</v>
      </c>
      <c r="T14" s="192">
        <v>0.02</v>
      </c>
      <c r="U14" s="192">
        <f t="shared" si="20"/>
        <v>68.6</v>
      </c>
      <c r="V14" s="192">
        <v>3430</v>
      </c>
      <c r="W14" s="192">
        <v>0.005</v>
      </c>
      <c r="X14" s="192">
        <f t="shared" si="21"/>
        <v>17.15</v>
      </c>
      <c r="Y14" s="192">
        <v>0.005</v>
      </c>
      <c r="Z14" s="192">
        <f t="shared" si="22"/>
        <v>17.15</v>
      </c>
      <c r="AA14" s="192"/>
      <c r="AB14" s="192"/>
      <c r="AC14" s="192"/>
      <c r="AD14" s="192">
        <v>3430</v>
      </c>
      <c r="AE14" s="192">
        <v>0.002</v>
      </c>
      <c r="AF14" s="192">
        <f t="shared" si="23"/>
        <v>6.86</v>
      </c>
      <c r="AG14" s="192">
        <v>1650</v>
      </c>
      <c r="AH14" s="192">
        <v>0.05</v>
      </c>
      <c r="AI14" s="192">
        <f t="shared" si="24"/>
        <v>82.5</v>
      </c>
      <c r="AJ14" s="192">
        <v>0.05</v>
      </c>
      <c r="AK14" s="192">
        <f t="shared" si="25"/>
        <v>82.5</v>
      </c>
      <c r="AL14" s="224"/>
      <c r="AM14" s="192"/>
      <c r="AN14" s="192"/>
      <c r="AO14" s="192"/>
      <c r="AP14" s="193"/>
      <c r="AQ14" s="230">
        <v>15</v>
      </c>
      <c r="AR14" s="230"/>
      <c r="AS14" s="231">
        <f t="shared" si="26"/>
        <v>807.33</v>
      </c>
      <c r="AT14" s="231">
        <f t="shared" si="27"/>
        <v>360.15</v>
      </c>
      <c r="AU14" s="231">
        <f t="shared" si="28"/>
        <v>82.5</v>
      </c>
      <c r="AV14" s="231">
        <f t="shared" si="29"/>
        <v>82.5</v>
      </c>
      <c r="AW14" s="231">
        <f t="shared" si="30"/>
        <v>1332.48</v>
      </c>
      <c r="AX14" s="242">
        <f t="shared" si="31"/>
        <v>1167.48</v>
      </c>
      <c r="AY14" s="242"/>
      <c r="AZ14" s="242">
        <f t="shared" si="32"/>
        <v>165</v>
      </c>
      <c r="BA14" s="242"/>
      <c r="BB14" s="243">
        <v>80</v>
      </c>
      <c r="BC14" s="242">
        <f t="shared" si="33"/>
        <v>1412.48</v>
      </c>
      <c r="BD14" s="244"/>
      <c r="BE14" s="261"/>
      <c r="BF14" s="261"/>
      <c r="BG14" s="261"/>
      <c r="BH14" s="261"/>
    </row>
    <row r="15" s="181" customFormat="1" ht="18" customHeight="1" spans="1:60">
      <c r="A15" s="192" t="s">
        <v>148</v>
      </c>
      <c r="B15" s="193" t="s">
        <v>136</v>
      </c>
      <c r="C15" s="194" t="s">
        <v>187</v>
      </c>
      <c r="D15" s="195" t="s">
        <v>138</v>
      </c>
      <c r="E15" s="193" t="s">
        <v>146</v>
      </c>
      <c r="F15" s="196" t="s">
        <v>192</v>
      </c>
      <c r="G15" s="197" t="s">
        <v>193</v>
      </c>
      <c r="H15" s="195">
        <v>202202</v>
      </c>
      <c r="I15" s="195">
        <v>202202</v>
      </c>
      <c r="J15" s="195" t="s">
        <v>162</v>
      </c>
      <c r="K15" s="195" t="s">
        <v>162</v>
      </c>
      <c r="L15" s="192">
        <v>3430</v>
      </c>
      <c r="M15" s="192">
        <v>0.16</v>
      </c>
      <c r="N15" s="192">
        <f t="shared" si="17"/>
        <v>548.8</v>
      </c>
      <c r="O15" s="192">
        <v>0.08</v>
      </c>
      <c r="P15" s="192">
        <f t="shared" si="18"/>
        <v>274.4</v>
      </c>
      <c r="Q15" s="192">
        <v>3430</v>
      </c>
      <c r="R15" s="192">
        <v>0.064</v>
      </c>
      <c r="S15" s="192">
        <f t="shared" si="19"/>
        <v>219.52</v>
      </c>
      <c r="T15" s="192">
        <v>0.02</v>
      </c>
      <c r="U15" s="192">
        <f t="shared" si="20"/>
        <v>68.6</v>
      </c>
      <c r="V15" s="192">
        <v>3430</v>
      </c>
      <c r="W15" s="192">
        <v>0.005</v>
      </c>
      <c r="X15" s="192">
        <f t="shared" si="21"/>
        <v>17.15</v>
      </c>
      <c r="Y15" s="192">
        <v>0.005</v>
      </c>
      <c r="Z15" s="192">
        <f t="shared" si="22"/>
        <v>17.15</v>
      </c>
      <c r="AA15" s="192"/>
      <c r="AB15" s="192"/>
      <c r="AC15" s="192"/>
      <c r="AD15" s="192">
        <v>3430</v>
      </c>
      <c r="AE15" s="192">
        <v>0.002</v>
      </c>
      <c r="AF15" s="192">
        <f t="shared" si="23"/>
        <v>6.86</v>
      </c>
      <c r="AG15" s="192">
        <v>1650</v>
      </c>
      <c r="AH15" s="192">
        <v>0.05</v>
      </c>
      <c r="AI15" s="192">
        <f t="shared" si="24"/>
        <v>82.5</v>
      </c>
      <c r="AJ15" s="192">
        <v>0.05</v>
      </c>
      <c r="AK15" s="192">
        <f t="shared" si="25"/>
        <v>82.5</v>
      </c>
      <c r="AL15" s="224"/>
      <c r="AM15" s="192"/>
      <c r="AN15" s="192"/>
      <c r="AO15" s="192"/>
      <c r="AP15" s="193"/>
      <c r="AQ15" s="230">
        <v>15</v>
      </c>
      <c r="AR15" s="230"/>
      <c r="AS15" s="231">
        <f t="shared" si="26"/>
        <v>807.33</v>
      </c>
      <c r="AT15" s="231">
        <f t="shared" si="27"/>
        <v>360.15</v>
      </c>
      <c r="AU15" s="231">
        <f t="shared" si="28"/>
        <v>82.5</v>
      </c>
      <c r="AV15" s="231">
        <f t="shared" si="29"/>
        <v>82.5</v>
      </c>
      <c r="AW15" s="231">
        <f t="shared" si="30"/>
        <v>1332.48</v>
      </c>
      <c r="AX15" s="242">
        <f t="shared" si="31"/>
        <v>1167.48</v>
      </c>
      <c r="AY15" s="242"/>
      <c r="AZ15" s="242">
        <f t="shared" si="32"/>
        <v>165</v>
      </c>
      <c r="BA15" s="242"/>
      <c r="BB15" s="243">
        <v>80</v>
      </c>
      <c r="BC15" s="242">
        <f t="shared" si="33"/>
        <v>1412.48</v>
      </c>
      <c r="BD15" s="244"/>
      <c r="BE15" s="261"/>
      <c r="BF15" s="261"/>
      <c r="BG15" s="261"/>
      <c r="BH15" s="261"/>
    </row>
    <row r="16" s="181" customFormat="1" ht="18" customHeight="1" spans="1:60">
      <c r="A16" s="192" t="s">
        <v>148</v>
      </c>
      <c r="B16" s="193" t="s">
        <v>136</v>
      </c>
      <c r="C16" s="194" t="s">
        <v>187</v>
      </c>
      <c r="D16" s="195" t="s">
        <v>138</v>
      </c>
      <c r="E16" s="193" t="s">
        <v>146</v>
      </c>
      <c r="F16" s="196" t="s">
        <v>194</v>
      </c>
      <c r="G16" s="197" t="s">
        <v>195</v>
      </c>
      <c r="H16" s="195">
        <v>202202</v>
      </c>
      <c r="I16" s="195">
        <v>202202</v>
      </c>
      <c r="J16" s="195" t="s">
        <v>162</v>
      </c>
      <c r="K16" s="195" t="s">
        <v>162</v>
      </c>
      <c r="L16" s="192">
        <v>3430</v>
      </c>
      <c r="M16" s="192">
        <v>0.16</v>
      </c>
      <c r="N16" s="192">
        <f t="shared" si="17"/>
        <v>548.8</v>
      </c>
      <c r="O16" s="192">
        <v>0.08</v>
      </c>
      <c r="P16" s="192">
        <f t="shared" si="18"/>
        <v>274.4</v>
      </c>
      <c r="Q16" s="192">
        <v>3430</v>
      </c>
      <c r="R16" s="192">
        <v>0.064</v>
      </c>
      <c r="S16" s="192">
        <f t="shared" si="19"/>
        <v>219.52</v>
      </c>
      <c r="T16" s="192">
        <v>0.02</v>
      </c>
      <c r="U16" s="192">
        <f t="shared" si="20"/>
        <v>68.6</v>
      </c>
      <c r="V16" s="192">
        <v>3430</v>
      </c>
      <c r="W16" s="192">
        <v>0.005</v>
      </c>
      <c r="X16" s="192">
        <f t="shared" si="21"/>
        <v>17.15</v>
      </c>
      <c r="Y16" s="192">
        <v>0.005</v>
      </c>
      <c r="Z16" s="192">
        <f t="shared" si="22"/>
        <v>17.15</v>
      </c>
      <c r="AA16" s="192"/>
      <c r="AB16" s="192"/>
      <c r="AC16" s="192"/>
      <c r="AD16" s="192">
        <v>3430</v>
      </c>
      <c r="AE16" s="192">
        <v>0.002</v>
      </c>
      <c r="AF16" s="192">
        <f t="shared" si="23"/>
        <v>6.86</v>
      </c>
      <c r="AG16" s="192">
        <v>1650</v>
      </c>
      <c r="AH16" s="192">
        <v>0.05</v>
      </c>
      <c r="AI16" s="192">
        <f t="shared" si="24"/>
        <v>82.5</v>
      </c>
      <c r="AJ16" s="192">
        <v>0.05</v>
      </c>
      <c r="AK16" s="192">
        <f t="shared" si="25"/>
        <v>82.5</v>
      </c>
      <c r="AL16" s="224"/>
      <c r="AM16" s="192"/>
      <c r="AN16" s="192"/>
      <c r="AO16" s="192"/>
      <c r="AP16" s="193"/>
      <c r="AQ16" s="230">
        <v>15</v>
      </c>
      <c r="AR16" s="230"/>
      <c r="AS16" s="231">
        <f t="shared" si="26"/>
        <v>807.33</v>
      </c>
      <c r="AT16" s="231">
        <f t="shared" si="27"/>
        <v>360.15</v>
      </c>
      <c r="AU16" s="231">
        <f t="shared" si="28"/>
        <v>82.5</v>
      </c>
      <c r="AV16" s="231">
        <f t="shared" si="29"/>
        <v>82.5</v>
      </c>
      <c r="AW16" s="231">
        <f t="shared" si="30"/>
        <v>1332.48</v>
      </c>
      <c r="AX16" s="242">
        <f t="shared" si="31"/>
        <v>1167.48</v>
      </c>
      <c r="AY16" s="242"/>
      <c r="AZ16" s="242">
        <f t="shared" si="32"/>
        <v>165</v>
      </c>
      <c r="BA16" s="242"/>
      <c r="BB16" s="243">
        <v>80</v>
      </c>
      <c r="BC16" s="242">
        <f t="shared" si="33"/>
        <v>1412.48</v>
      </c>
      <c r="BD16" s="244"/>
      <c r="BE16" s="261"/>
      <c r="BF16" s="261"/>
      <c r="BG16" s="261"/>
      <c r="BH16" s="261"/>
    </row>
    <row r="17" s="181" customFormat="1" ht="18" customHeight="1" spans="1:60">
      <c r="A17" s="192" t="s">
        <v>148</v>
      </c>
      <c r="B17" s="193" t="s">
        <v>136</v>
      </c>
      <c r="C17" s="194" t="s">
        <v>187</v>
      </c>
      <c r="D17" s="195" t="s">
        <v>138</v>
      </c>
      <c r="E17" s="193" t="s">
        <v>146</v>
      </c>
      <c r="F17" s="196" t="s">
        <v>196</v>
      </c>
      <c r="G17" s="197" t="s">
        <v>197</v>
      </c>
      <c r="H17" s="195">
        <v>202202</v>
      </c>
      <c r="I17" s="195">
        <v>202202</v>
      </c>
      <c r="J17" s="195" t="s">
        <v>162</v>
      </c>
      <c r="K17" s="195" t="s">
        <v>162</v>
      </c>
      <c r="L17" s="192">
        <v>3430</v>
      </c>
      <c r="M17" s="192">
        <v>0.16</v>
      </c>
      <c r="N17" s="192">
        <f t="shared" si="17"/>
        <v>548.8</v>
      </c>
      <c r="O17" s="192">
        <v>0.08</v>
      </c>
      <c r="P17" s="192">
        <f t="shared" si="18"/>
        <v>274.4</v>
      </c>
      <c r="Q17" s="192">
        <v>3430</v>
      </c>
      <c r="R17" s="192">
        <v>0.064</v>
      </c>
      <c r="S17" s="192">
        <f t="shared" si="19"/>
        <v>219.52</v>
      </c>
      <c r="T17" s="192">
        <v>0.02</v>
      </c>
      <c r="U17" s="192">
        <f t="shared" si="20"/>
        <v>68.6</v>
      </c>
      <c r="V17" s="192">
        <v>3430</v>
      </c>
      <c r="W17" s="192">
        <v>0.005</v>
      </c>
      <c r="X17" s="192">
        <f t="shared" si="21"/>
        <v>17.15</v>
      </c>
      <c r="Y17" s="192">
        <v>0.005</v>
      </c>
      <c r="Z17" s="192">
        <f t="shared" si="22"/>
        <v>17.15</v>
      </c>
      <c r="AA17" s="192"/>
      <c r="AB17" s="192"/>
      <c r="AC17" s="192"/>
      <c r="AD17" s="192">
        <v>3430</v>
      </c>
      <c r="AE17" s="192">
        <v>0.002</v>
      </c>
      <c r="AF17" s="192">
        <f t="shared" si="23"/>
        <v>6.86</v>
      </c>
      <c r="AG17" s="192">
        <v>1650</v>
      </c>
      <c r="AH17" s="192">
        <v>0.05</v>
      </c>
      <c r="AI17" s="192">
        <f t="shared" si="24"/>
        <v>82.5</v>
      </c>
      <c r="AJ17" s="192">
        <v>0.05</v>
      </c>
      <c r="AK17" s="192">
        <f t="shared" si="25"/>
        <v>82.5</v>
      </c>
      <c r="AL17" s="224"/>
      <c r="AM17" s="192"/>
      <c r="AN17" s="192"/>
      <c r="AO17" s="192"/>
      <c r="AP17" s="193"/>
      <c r="AQ17" s="230">
        <v>15</v>
      </c>
      <c r="AR17" s="230"/>
      <c r="AS17" s="231">
        <f t="shared" si="26"/>
        <v>807.33</v>
      </c>
      <c r="AT17" s="231">
        <f t="shared" si="27"/>
        <v>360.15</v>
      </c>
      <c r="AU17" s="231">
        <f t="shared" si="28"/>
        <v>82.5</v>
      </c>
      <c r="AV17" s="231">
        <f t="shared" si="29"/>
        <v>82.5</v>
      </c>
      <c r="AW17" s="231">
        <f t="shared" si="30"/>
        <v>1332.48</v>
      </c>
      <c r="AX17" s="242">
        <f t="shared" si="31"/>
        <v>1167.48</v>
      </c>
      <c r="AY17" s="242"/>
      <c r="AZ17" s="242">
        <f t="shared" si="32"/>
        <v>165</v>
      </c>
      <c r="BA17" s="242"/>
      <c r="BB17" s="243">
        <v>80</v>
      </c>
      <c r="BC17" s="242">
        <f t="shared" si="33"/>
        <v>1412.48</v>
      </c>
      <c r="BD17" s="244"/>
      <c r="BE17" s="261"/>
      <c r="BF17" s="261"/>
      <c r="BG17" s="261"/>
      <c r="BH17" s="261"/>
    </row>
    <row r="18" s="181" customFormat="1" ht="18" customHeight="1" spans="1:60">
      <c r="A18" s="192" t="s">
        <v>148</v>
      </c>
      <c r="B18" s="193" t="s">
        <v>136</v>
      </c>
      <c r="C18" s="194" t="s">
        <v>187</v>
      </c>
      <c r="D18" s="195" t="s">
        <v>138</v>
      </c>
      <c r="E18" s="193" t="s">
        <v>146</v>
      </c>
      <c r="F18" s="196" t="s">
        <v>198</v>
      </c>
      <c r="G18" s="197" t="s">
        <v>199</v>
      </c>
      <c r="H18" s="195">
        <v>202202</v>
      </c>
      <c r="I18" s="195">
        <v>202202</v>
      </c>
      <c r="J18" s="195" t="s">
        <v>162</v>
      </c>
      <c r="K18" s="195" t="s">
        <v>162</v>
      </c>
      <c r="L18" s="192">
        <v>3430</v>
      </c>
      <c r="M18" s="192">
        <v>0.16</v>
      </c>
      <c r="N18" s="192">
        <f t="shared" si="17"/>
        <v>548.8</v>
      </c>
      <c r="O18" s="192">
        <v>0.08</v>
      </c>
      <c r="P18" s="192">
        <f t="shared" si="18"/>
        <v>274.4</v>
      </c>
      <c r="Q18" s="192">
        <v>3430</v>
      </c>
      <c r="R18" s="192">
        <v>0.064</v>
      </c>
      <c r="S18" s="192">
        <f t="shared" si="19"/>
        <v>219.52</v>
      </c>
      <c r="T18" s="192">
        <v>0.02</v>
      </c>
      <c r="U18" s="192">
        <f t="shared" si="20"/>
        <v>68.6</v>
      </c>
      <c r="V18" s="192">
        <v>3430</v>
      </c>
      <c r="W18" s="192">
        <v>0.005</v>
      </c>
      <c r="X18" s="192">
        <f t="shared" si="21"/>
        <v>17.15</v>
      </c>
      <c r="Y18" s="192">
        <v>0.005</v>
      </c>
      <c r="Z18" s="192">
        <f t="shared" si="22"/>
        <v>17.15</v>
      </c>
      <c r="AA18" s="192"/>
      <c r="AB18" s="192"/>
      <c r="AC18" s="192"/>
      <c r="AD18" s="192">
        <v>3430</v>
      </c>
      <c r="AE18" s="192">
        <v>0.002</v>
      </c>
      <c r="AF18" s="192">
        <f t="shared" si="23"/>
        <v>6.86</v>
      </c>
      <c r="AG18" s="192">
        <v>11000</v>
      </c>
      <c r="AH18" s="192">
        <v>0.12</v>
      </c>
      <c r="AI18" s="192">
        <f t="shared" si="24"/>
        <v>1320</v>
      </c>
      <c r="AJ18" s="192">
        <v>0.12</v>
      </c>
      <c r="AK18" s="192">
        <f t="shared" si="25"/>
        <v>1320</v>
      </c>
      <c r="AL18" s="224"/>
      <c r="AM18" s="192"/>
      <c r="AN18" s="192"/>
      <c r="AO18" s="192"/>
      <c r="AP18" s="193"/>
      <c r="AQ18" s="230">
        <v>15</v>
      </c>
      <c r="AR18" s="230"/>
      <c r="AS18" s="231">
        <f t="shared" si="26"/>
        <v>807.33</v>
      </c>
      <c r="AT18" s="231">
        <f t="shared" si="27"/>
        <v>360.15</v>
      </c>
      <c r="AU18" s="231">
        <f t="shared" si="28"/>
        <v>1320</v>
      </c>
      <c r="AV18" s="231">
        <f t="shared" si="29"/>
        <v>1320</v>
      </c>
      <c r="AW18" s="231">
        <f t="shared" si="30"/>
        <v>3807.48</v>
      </c>
      <c r="AX18" s="242">
        <f t="shared" si="31"/>
        <v>1167.48</v>
      </c>
      <c r="AY18" s="242"/>
      <c r="AZ18" s="242">
        <f t="shared" si="32"/>
        <v>2640</v>
      </c>
      <c r="BA18" s="242"/>
      <c r="BB18" s="243">
        <v>80</v>
      </c>
      <c r="BC18" s="242">
        <f t="shared" si="33"/>
        <v>3887.48</v>
      </c>
      <c r="BD18" s="244"/>
      <c r="BE18" s="261"/>
      <c r="BF18" s="261"/>
      <c r="BG18" s="261"/>
      <c r="BH18" s="261"/>
    </row>
    <row r="19" s="181" customFormat="1" ht="18" customHeight="1" spans="1:60">
      <c r="A19" s="192" t="s">
        <v>148</v>
      </c>
      <c r="B19" s="193" t="s">
        <v>136</v>
      </c>
      <c r="C19" s="194" t="s">
        <v>187</v>
      </c>
      <c r="D19" s="195" t="s">
        <v>138</v>
      </c>
      <c r="E19" s="193" t="s">
        <v>146</v>
      </c>
      <c r="F19" s="196" t="s">
        <v>200</v>
      </c>
      <c r="G19" s="197" t="s">
        <v>201</v>
      </c>
      <c r="H19" s="195">
        <v>202202</v>
      </c>
      <c r="I19" s="195">
        <v>202202</v>
      </c>
      <c r="J19" s="195" t="s">
        <v>162</v>
      </c>
      <c r="K19" s="195" t="s">
        <v>162</v>
      </c>
      <c r="L19" s="192">
        <v>3430</v>
      </c>
      <c r="M19" s="192">
        <v>0.16</v>
      </c>
      <c r="N19" s="192">
        <f t="shared" si="17"/>
        <v>548.8</v>
      </c>
      <c r="O19" s="192">
        <v>0.08</v>
      </c>
      <c r="P19" s="192">
        <f t="shared" si="18"/>
        <v>274.4</v>
      </c>
      <c r="Q19" s="192">
        <v>3430</v>
      </c>
      <c r="R19" s="192">
        <v>0.064</v>
      </c>
      <c r="S19" s="192">
        <f t="shared" si="19"/>
        <v>219.52</v>
      </c>
      <c r="T19" s="192">
        <v>0.02</v>
      </c>
      <c r="U19" s="192">
        <f t="shared" si="20"/>
        <v>68.6</v>
      </c>
      <c r="V19" s="192">
        <v>3430</v>
      </c>
      <c r="W19" s="192">
        <v>0.005</v>
      </c>
      <c r="X19" s="192">
        <f t="shared" si="21"/>
        <v>17.15</v>
      </c>
      <c r="Y19" s="192">
        <v>0.005</v>
      </c>
      <c r="Z19" s="192">
        <f t="shared" si="22"/>
        <v>17.15</v>
      </c>
      <c r="AA19" s="192"/>
      <c r="AB19" s="192"/>
      <c r="AC19" s="192"/>
      <c r="AD19" s="192">
        <v>3430</v>
      </c>
      <c r="AE19" s="192">
        <v>0.002</v>
      </c>
      <c r="AF19" s="192">
        <f t="shared" si="23"/>
        <v>6.86</v>
      </c>
      <c r="AG19" s="192">
        <v>1650</v>
      </c>
      <c r="AH19" s="192">
        <v>0.05</v>
      </c>
      <c r="AI19" s="192">
        <f t="shared" si="24"/>
        <v>82.5</v>
      </c>
      <c r="AJ19" s="192">
        <v>0.05</v>
      </c>
      <c r="AK19" s="192">
        <f t="shared" si="25"/>
        <v>82.5</v>
      </c>
      <c r="AL19" s="224"/>
      <c r="AM19" s="192"/>
      <c r="AN19" s="192"/>
      <c r="AO19" s="192"/>
      <c r="AP19" s="193"/>
      <c r="AQ19" s="230">
        <v>15</v>
      </c>
      <c r="AR19" s="230"/>
      <c r="AS19" s="231">
        <f t="shared" si="26"/>
        <v>807.33</v>
      </c>
      <c r="AT19" s="231">
        <f t="shared" si="27"/>
        <v>360.15</v>
      </c>
      <c r="AU19" s="231">
        <f t="shared" si="28"/>
        <v>82.5</v>
      </c>
      <c r="AV19" s="231">
        <f t="shared" si="29"/>
        <v>82.5</v>
      </c>
      <c r="AW19" s="231">
        <f t="shared" si="30"/>
        <v>1332.48</v>
      </c>
      <c r="AX19" s="242">
        <f t="shared" si="31"/>
        <v>1167.48</v>
      </c>
      <c r="AY19" s="242"/>
      <c r="AZ19" s="242">
        <f t="shared" si="32"/>
        <v>165</v>
      </c>
      <c r="BA19" s="242"/>
      <c r="BB19" s="243">
        <v>80</v>
      </c>
      <c r="BC19" s="242">
        <f t="shared" si="33"/>
        <v>1412.48</v>
      </c>
      <c r="BD19" s="244"/>
      <c r="BE19" s="261"/>
      <c r="BF19" s="261"/>
      <c r="BG19" s="261"/>
      <c r="BH19" s="261"/>
    </row>
    <row r="20" s="181" customFormat="1" ht="18" customHeight="1" spans="1:60">
      <c r="A20" s="192" t="s">
        <v>148</v>
      </c>
      <c r="B20" s="193" t="s">
        <v>136</v>
      </c>
      <c r="C20" s="194" t="s">
        <v>187</v>
      </c>
      <c r="D20" s="195" t="s">
        <v>138</v>
      </c>
      <c r="E20" s="193" t="s">
        <v>146</v>
      </c>
      <c r="F20" s="196" t="s">
        <v>202</v>
      </c>
      <c r="G20" s="197" t="s">
        <v>203</v>
      </c>
      <c r="H20" s="195">
        <v>202202</v>
      </c>
      <c r="I20" s="195">
        <v>202202</v>
      </c>
      <c r="J20" s="195" t="s">
        <v>162</v>
      </c>
      <c r="K20" s="195" t="s">
        <v>162</v>
      </c>
      <c r="L20" s="192">
        <v>3430</v>
      </c>
      <c r="M20" s="192">
        <v>0.16</v>
      </c>
      <c r="N20" s="192">
        <f t="shared" si="17"/>
        <v>548.8</v>
      </c>
      <c r="O20" s="192">
        <v>0.08</v>
      </c>
      <c r="P20" s="192">
        <f t="shared" si="18"/>
        <v>274.4</v>
      </c>
      <c r="Q20" s="192">
        <v>3430</v>
      </c>
      <c r="R20" s="192">
        <v>0.064</v>
      </c>
      <c r="S20" s="192">
        <f t="shared" si="19"/>
        <v>219.52</v>
      </c>
      <c r="T20" s="192">
        <v>0.02</v>
      </c>
      <c r="U20" s="192">
        <f t="shared" si="20"/>
        <v>68.6</v>
      </c>
      <c r="V20" s="192">
        <v>3430</v>
      </c>
      <c r="W20" s="192">
        <v>0.005</v>
      </c>
      <c r="X20" s="192">
        <f t="shared" si="21"/>
        <v>17.15</v>
      </c>
      <c r="Y20" s="192">
        <v>0.005</v>
      </c>
      <c r="Z20" s="192">
        <f t="shared" si="22"/>
        <v>17.15</v>
      </c>
      <c r="AA20" s="192"/>
      <c r="AB20" s="192"/>
      <c r="AC20" s="192"/>
      <c r="AD20" s="192">
        <v>3430</v>
      </c>
      <c r="AE20" s="192">
        <v>0.002</v>
      </c>
      <c r="AF20" s="192">
        <f t="shared" si="23"/>
        <v>6.86</v>
      </c>
      <c r="AG20" s="192">
        <v>1650</v>
      </c>
      <c r="AH20" s="192">
        <v>0.05</v>
      </c>
      <c r="AI20" s="192">
        <f t="shared" si="24"/>
        <v>82.5</v>
      </c>
      <c r="AJ20" s="192">
        <v>0.05</v>
      </c>
      <c r="AK20" s="192">
        <f t="shared" si="25"/>
        <v>82.5</v>
      </c>
      <c r="AL20" s="224"/>
      <c r="AM20" s="192"/>
      <c r="AN20" s="192"/>
      <c r="AO20" s="192"/>
      <c r="AP20" s="193"/>
      <c r="AQ20" s="230">
        <v>15</v>
      </c>
      <c r="AR20" s="230"/>
      <c r="AS20" s="231">
        <f t="shared" si="26"/>
        <v>807.33</v>
      </c>
      <c r="AT20" s="231">
        <f t="shared" si="27"/>
        <v>360.15</v>
      </c>
      <c r="AU20" s="231">
        <f t="shared" si="28"/>
        <v>82.5</v>
      </c>
      <c r="AV20" s="231">
        <f t="shared" si="29"/>
        <v>82.5</v>
      </c>
      <c r="AW20" s="231">
        <f t="shared" si="30"/>
        <v>1332.48</v>
      </c>
      <c r="AX20" s="242">
        <f t="shared" si="31"/>
        <v>1167.48</v>
      </c>
      <c r="AY20" s="242"/>
      <c r="AZ20" s="242">
        <f t="shared" si="32"/>
        <v>165</v>
      </c>
      <c r="BA20" s="242"/>
      <c r="BB20" s="243">
        <v>80</v>
      </c>
      <c r="BC20" s="242">
        <f t="shared" si="33"/>
        <v>1412.48</v>
      </c>
      <c r="BD20" s="244"/>
      <c r="BE20" s="261"/>
      <c r="BF20" s="261"/>
      <c r="BG20" s="261"/>
      <c r="BH20" s="261"/>
    </row>
    <row r="21" s="181" customFormat="1" ht="18" customHeight="1" spans="1:60">
      <c r="A21" s="192" t="s">
        <v>148</v>
      </c>
      <c r="B21" s="193" t="s">
        <v>136</v>
      </c>
      <c r="C21" s="194" t="s">
        <v>187</v>
      </c>
      <c r="D21" s="195" t="s">
        <v>138</v>
      </c>
      <c r="E21" s="193" t="s">
        <v>146</v>
      </c>
      <c r="F21" s="196" t="s">
        <v>204</v>
      </c>
      <c r="G21" s="197" t="s">
        <v>205</v>
      </c>
      <c r="H21" s="195">
        <v>202202</v>
      </c>
      <c r="I21" s="195">
        <v>202202</v>
      </c>
      <c r="J21" s="195" t="s">
        <v>162</v>
      </c>
      <c r="K21" s="195" t="s">
        <v>162</v>
      </c>
      <c r="L21" s="192">
        <v>3430</v>
      </c>
      <c r="M21" s="192">
        <v>0.16</v>
      </c>
      <c r="N21" s="192">
        <f t="shared" si="17"/>
        <v>548.8</v>
      </c>
      <c r="O21" s="192">
        <v>0.08</v>
      </c>
      <c r="P21" s="192">
        <f t="shared" si="18"/>
        <v>274.4</v>
      </c>
      <c r="Q21" s="192">
        <v>3430</v>
      </c>
      <c r="R21" s="192">
        <v>0.064</v>
      </c>
      <c r="S21" s="192">
        <f t="shared" si="19"/>
        <v>219.52</v>
      </c>
      <c r="T21" s="192">
        <v>0.02</v>
      </c>
      <c r="U21" s="192">
        <f t="shared" si="20"/>
        <v>68.6</v>
      </c>
      <c r="V21" s="192">
        <v>3430</v>
      </c>
      <c r="W21" s="192">
        <v>0.005</v>
      </c>
      <c r="X21" s="192">
        <f t="shared" si="21"/>
        <v>17.15</v>
      </c>
      <c r="Y21" s="192">
        <v>0.005</v>
      </c>
      <c r="Z21" s="192">
        <f t="shared" si="22"/>
        <v>17.15</v>
      </c>
      <c r="AA21" s="192"/>
      <c r="AB21" s="192"/>
      <c r="AC21" s="192"/>
      <c r="AD21" s="192">
        <v>3430</v>
      </c>
      <c r="AE21" s="192">
        <v>0.002</v>
      </c>
      <c r="AF21" s="192">
        <f t="shared" si="23"/>
        <v>6.86</v>
      </c>
      <c r="AG21" s="192">
        <v>1650</v>
      </c>
      <c r="AH21" s="192">
        <v>0.05</v>
      </c>
      <c r="AI21" s="192">
        <f t="shared" si="24"/>
        <v>82.5</v>
      </c>
      <c r="AJ21" s="192">
        <v>0.05</v>
      </c>
      <c r="AK21" s="192">
        <f t="shared" si="25"/>
        <v>82.5</v>
      </c>
      <c r="AL21" s="224"/>
      <c r="AM21" s="192"/>
      <c r="AN21" s="192"/>
      <c r="AO21" s="192"/>
      <c r="AP21" s="193"/>
      <c r="AQ21" s="230">
        <v>15</v>
      </c>
      <c r="AR21" s="230"/>
      <c r="AS21" s="231">
        <f t="shared" si="26"/>
        <v>807.33</v>
      </c>
      <c r="AT21" s="231">
        <f t="shared" si="27"/>
        <v>360.15</v>
      </c>
      <c r="AU21" s="231">
        <f t="shared" si="28"/>
        <v>82.5</v>
      </c>
      <c r="AV21" s="231">
        <f t="shared" si="29"/>
        <v>82.5</v>
      </c>
      <c r="AW21" s="231">
        <f t="shared" si="30"/>
        <v>1332.48</v>
      </c>
      <c r="AX21" s="242">
        <f t="shared" si="31"/>
        <v>1167.48</v>
      </c>
      <c r="AY21" s="242"/>
      <c r="AZ21" s="242">
        <f t="shared" si="32"/>
        <v>165</v>
      </c>
      <c r="BA21" s="242"/>
      <c r="BB21" s="243">
        <v>80</v>
      </c>
      <c r="BC21" s="242">
        <f t="shared" si="33"/>
        <v>1412.48</v>
      </c>
      <c r="BD21" s="244"/>
      <c r="BE21" s="261"/>
      <c r="BF21" s="261"/>
      <c r="BG21" s="261"/>
      <c r="BH21" s="261"/>
    </row>
    <row r="22" s="181" customFormat="1" ht="18" customHeight="1" spans="1:60">
      <c r="A22" s="192" t="s">
        <v>148</v>
      </c>
      <c r="B22" s="193" t="s">
        <v>136</v>
      </c>
      <c r="C22" s="194" t="s">
        <v>164</v>
      </c>
      <c r="D22" s="195" t="s">
        <v>138</v>
      </c>
      <c r="E22" s="193" t="s">
        <v>146</v>
      </c>
      <c r="F22" s="196" t="s">
        <v>166</v>
      </c>
      <c r="G22" s="197" t="s">
        <v>167</v>
      </c>
      <c r="H22" s="195" t="s">
        <v>168</v>
      </c>
      <c r="I22" s="195" t="s">
        <v>168</v>
      </c>
      <c r="J22" s="195" t="s">
        <v>168</v>
      </c>
      <c r="K22" s="195"/>
      <c r="L22" s="192">
        <f>3276-3263</f>
        <v>13</v>
      </c>
      <c r="M22" s="192">
        <v>0.16</v>
      </c>
      <c r="N22" s="192">
        <f t="shared" si="17"/>
        <v>2.08</v>
      </c>
      <c r="O22" s="192">
        <v>0.08</v>
      </c>
      <c r="P22" s="192">
        <f t="shared" si="18"/>
        <v>1.04</v>
      </c>
      <c r="Q22" s="192">
        <f>3276-2859</f>
        <v>417</v>
      </c>
      <c r="R22" s="192">
        <v>0.087</v>
      </c>
      <c r="S22" s="192">
        <f t="shared" si="19"/>
        <v>36.28</v>
      </c>
      <c r="T22" s="192">
        <v>0.02</v>
      </c>
      <c r="U22" s="192">
        <f t="shared" si="20"/>
        <v>8.34</v>
      </c>
      <c r="V22" s="192">
        <f>3276-3033</f>
        <v>243</v>
      </c>
      <c r="W22" s="192">
        <v>0.007</v>
      </c>
      <c r="X22" s="192">
        <f t="shared" si="21"/>
        <v>1.7</v>
      </c>
      <c r="Y22" s="192">
        <v>0.003</v>
      </c>
      <c r="Z22" s="192">
        <f t="shared" si="22"/>
        <v>0.73</v>
      </c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224"/>
      <c r="AM22" s="192"/>
      <c r="AN22" s="192"/>
      <c r="AO22" s="192"/>
      <c r="AP22" s="193"/>
      <c r="AQ22" s="230"/>
      <c r="AR22" s="230"/>
      <c r="AS22" s="231">
        <f t="shared" si="26"/>
        <v>40.06</v>
      </c>
      <c r="AT22" s="231">
        <f t="shared" si="27"/>
        <v>10.11</v>
      </c>
      <c r="AU22" s="231">
        <f t="shared" si="28"/>
        <v>0</v>
      </c>
      <c r="AV22" s="231">
        <f t="shared" si="29"/>
        <v>0</v>
      </c>
      <c r="AW22" s="231">
        <f t="shared" si="30"/>
        <v>50.17</v>
      </c>
      <c r="AX22" s="242">
        <f t="shared" si="31"/>
        <v>50.17</v>
      </c>
      <c r="AY22" s="242"/>
      <c r="AZ22" s="242">
        <f t="shared" si="32"/>
        <v>0</v>
      </c>
      <c r="BA22" s="242"/>
      <c r="BB22" s="243"/>
      <c r="BC22" s="242">
        <f t="shared" si="33"/>
        <v>50.17</v>
      </c>
      <c r="BD22" s="244" t="s">
        <v>206</v>
      </c>
      <c r="BE22" s="261"/>
      <c r="BF22" s="261"/>
      <c r="BG22" s="261"/>
      <c r="BH22" s="261"/>
    </row>
    <row r="23" s="181" customFormat="1" ht="18" customHeight="1" spans="1:60">
      <c r="A23" s="192" t="s">
        <v>148</v>
      </c>
      <c r="B23" s="193" t="s">
        <v>136</v>
      </c>
      <c r="C23" s="194" t="s">
        <v>164</v>
      </c>
      <c r="D23" s="195" t="s">
        <v>138</v>
      </c>
      <c r="E23" s="193" t="s">
        <v>146</v>
      </c>
      <c r="F23" s="196" t="s">
        <v>166</v>
      </c>
      <c r="G23" s="197" t="s">
        <v>167</v>
      </c>
      <c r="H23" s="195" t="s">
        <v>168</v>
      </c>
      <c r="I23" s="195" t="s">
        <v>168</v>
      </c>
      <c r="J23" s="195" t="s">
        <v>207</v>
      </c>
      <c r="K23" s="195"/>
      <c r="L23" s="192">
        <f>3276-3263</f>
        <v>13</v>
      </c>
      <c r="M23" s="192">
        <v>0.16</v>
      </c>
      <c r="N23" s="192">
        <f t="shared" ref="N23:N28" si="34">ROUND(L23*M23,2)</f>
        <v>2.08</v>
      </c>
      <c r="O23" s="192">
        <v>0.08</v>
      </c>
      <c r="P23" s="192">
        <f t="shared" ref="P23:P26" si="35">ROUND(L23*O23,2)</f>
        <v>1.04</v>
      </c>
      <c r="Q23" s="192">
        <f>3276-2859</f>
        <v>417</v>
      </c>
      <c r="R23" s="192">
        <v>0.087</v>
      </c>
      <c r="S23" s="192">
        <f t="shared" ref="S23:S28" si="36">ROUND(Q23*R23,2)</f>
        <v>36.28</v>
      </c>
      <c r="T23" s="192">
        <v>0.02</v>
      </c>
      <c r="U23" s="192">
        <f t="shared" ref="U23:U28" si="37">ROUND(Q23*T23,2)</f>
        <v>8.34</v>
      </c>
      <c r="V23" s="192">
        <f>3276-3033</f>
        <v>243</v>
      </c>
      <c r="W23" s="192">
        <v>0.007</v>
      </c>
      <c r="X23" s="192">
        <f t="shared" ref="X23:X26" si="38">ROUND(V23*W23,2)</f>
        <v>1.7</v>
      </c>
      <c r="Y23" s="192">
        <v>0.003</v>
      </c>
      <c r="Z23" s="192">
        <f t="shared" ref="Z23:Z26" si="39">ROUND(V23*Y23,2)</f>
        <v>0.73</v>
      </c>
      <c r="AA23" s="192"/>
      <c r="AB23" s="192"/>
      <c r="AC23" s="192"/>
      <c r="AD23" s="192"/>
      <c r="AE23" s="192"/>
      <c r="AF23" s="192"/>
      <c r="AG23" s="192"/>
      <c r="AH23" s="192"/>
      <c r="AI23" s="192"/>
      <c r="AJ23" s="192"/>
      <c r="AK23" s="192"/>
      <c r="AL23" s="224"/>
      <c r="AM23" s="192"/>
      <c r="AN23" s="192"/>
      <c r="AO23" s="192"/>
      <c r="AP23" s="193"/>
      <c r="AQ23" s="230"/>
      <c r="AR23" s="230"/>
      <c r="AS23" s="231">
        <f t="shared" ref="AS23:AS28" si="40">N23+S23+X23+AC23+AF23+AN23+AQ23</f>
        <v>40.06</v>
      </c>
      <c r="AT23" s="231">
        <f t="shared" ref="AT23:AT28" si="41">P23+U23+Z23</f>
        <v>10.11</v>
      </c>
      <c r="AU23" s="231">
        <f t="shared" ref="AU23:AU28" si="42">AI23</f>
        <v>0</v>
      </c>
      <c r="AV23" s="231">
        <f t="shared" ref="AV23:AV28" si="43">AK23</f>
        <v>0</v>
      </c>
      <c r="AW23" s="231">
        <f t="shared" ref="AW23:AW28" si="44">AV23+AS23+AT23+AU23</f>
        <v>50.17</v>
      </c>
      <c r="AX23" s="242">
        <f t="shared" ref="AX23:AX28" si="45">AS23+AT23</f>
        <v>50.17</v>
      </c>
      <c r="AY23" s="242"/>
      <c r="AZ23" s="242">
        <f t="shared" ref="AZ23:AZ28" si="46">AU23+AV23</f>
        <v>0</v>
      </c>
      <c r="BA23" s="242"/>
      <c r="BB23" s="243"/>
      <c r="BC23" s="242">
        <f t="shared" ref="BC23:BC28" si="47">AX23+AZ23+BB23</f>
        <v>50.17</v>
      </c>
      <c r="BD23" s="244" t="s">
        <v>206</v>
      </c>
      <c r="BE23" s="261"/>
      <c r="BF23" s="261"/>
      <c r="BG23" s="261"/>
      <c r="BH23" s="261"/>
    </row>
    <row r="24" s="181" customFormat="1" ht="18" customHeight="1" spans="1:60">
      <c r="A24" s="192" t="s">
        <v>148</v>
      </c>
      <c r="B24" s="193" t="s">
        <v>136</v>
      </c>
      <c r="C24" s="194" t="s">
        <v>164</v>
      </c>
      <c r="D24" s="195" t="s">
        <v>138</v>
      </c>
      <c r="E24" s="193" t="s">
        <v>146</v>
      </c>
      <c r="F24" s="196" t="s">
        <v>166</v>
      </c>
      <c r="G24" s="197" t="s">
        <v>167</v>
      </c>
      <c r="H24" s="195" t="s">
        <v>168</v>
      </c>
      <c r="I24" s="195" t="s">
        <v>168</v>
      </c>
      <c r="J24" s="195" t="s">
        <v>208</v>
      </c>
      <c r="K24" s="195"/>
      <c r="L24" s="192">
        <f>3276-3263</f>
        <v>13</v>
      </c>
      <c r="M24" s="192">
        <v>0.16</v>
      </c>
      <c r="N24" s="192">
        <f t="shared" si="34"/>
        <v>2.08</v>
      </c>
      <c r="O24" s="192">
        <v>0.08</v>
      </c>
      <c r="P24" s="192">
        <f t="shared" si="35"/>
        <v>1.04</v>
      </c>
      <c r="Q24" s="192">
        <f>3276-2859</f>
        <v>417</v>
      </c>
      <c r="R24" s="192">
        <v>0.087</v>
      </c>
      <c r="S24" s="192">
        <f t="shared" si="36"/>
        <v>36.28</v>
      </c>
      <c r="T24" s="192">
        <v>0.02</v>
      </c>
      <c r="U24" s="192">
        <f t="shared" si="37"/>
        <v>8.34</v>
      </c>
      <c r="V24" s="192">
        <f>3276-3033</f>
        <v>243</v>
      </c>
      <c r="W24" s="192">
        <v>0.007</v>
      </c>
      <c r="X24" s="192">
        <f t="shared" si="38"/>
        <v>1.7</v>
      </c>
      <c r="Y24" s="192">
        <v>0.003</v>
      </c>
      <c r="Z24" s="192">
        <f t="shared" si="39"/>
        <v>0.73</v>
      </c>
      <c r="AA24" s="192"/>
      <c r="AB24" s="192"/>
      <c r="AC24" s="192"/>
      <c r="AD24" s="192"/>
      <c r="AE24" s="192"/>
      <c r="AF24" s="192"/>
      <c r="AG24" s="192"/>
      <c r="AH24" s="192"/>
      <c r="AI24" s="192"/>
      <c r="AJ24" s="192"/>
      <c r="AK24" s="192"/>
      <c r="AL24" s="224"/>
      <c r="AM24" s="192"/>
      <c r="AN24" s="192"/>
      <c r="AO24" s="192"/>
      <c r="AP24" s="193"/>
      <c r="AQ24" s="230"/>
      <c r="AR24" s="230"/>
      <c r="AS24" s="231">
        <f t="shared" si="40"/>
        <v>40.06</v>
      </c>
      <c r="AT24" s="231">
        <f t="shared" si="41"/>
        <v>10.11</v>
      </c>
      <c r="AU24" s="231">
        <f t="shared" si="42"/>
        <v>0</v>
      </c>
      <c r="AV24" s="231">
        <f t="shared" si="43"/>
        <v>0</v>
      </c>
      <c r="AW24" s="231">
        <f t="shared" si="44"/>
        <v>50.17</v>
      </c>
      <c r="AX24" s="242">
        <f t="shared" si="45"/>
        <v>50.17</v>
      </c>
      <c r="AY24" s="242"/>
      <c r="AZ24" s="242">
        <f t="shared" si="46"/>
        <v>0</v>
      </c>
      <c r="BA24" s="242"/>
      <c r="BB24" s="243"/>
      <c r="BC24" s="242">
        <f t="shared" si="47"/>
        <v>50.17</v>
      </c>
      <c r="BD24" s="244" t="s">
        <v>206</v>
      </c>
      <c r="BE24" s="261"/>
      <c r="BF24" s="261"/>
      <c r="BG24" s="261"/>
      <c r="BH24" s="261"/>
    </row>
    <row r="25" s="181" customFormat="1" ht="18" customHeight="1" spans="1:60">
      <c r="A25" s="192" t="s">
        <v>148</v>
      </c>
      <c r="B25" s="193" t="s">
        <v>136</v>
      </c>
      <c r="C25" s="194" t="s">
        <v>164</v>
      </c>
      <c r="D25" s="195" t="s">
        <v>138</v>
      </c>
      <c r="E25" s="193" t="s">
        <v>146</v>
      </c>
      <c r="F25" s="196" t="s">
        <v>166</v>
      </c>
      <c r="G25" s="197" t="s">
        <v>167</v>
      </c>
      <c r="H25" s="195" t="s">
        <v>168</v>
      </c>
      <c r="I25" s="195" t="s">
        <v>168</v>
      </c>
      <c r="J25" s="195" t="s">
        <v>176</v>
      </c>
      <c r="K25" s="195"/>
      <c r="L25" s="192">
        <f>3276-3263</f>
        <v>13</v>
      </c>
      <c r="M25" s="192">
        <v>0.16</v>
      </c>
      <c r="N25" s="192">
        <f t="shared" si="34"/>
        <v>2.08</v>
      </c>
      <c r="O25" s="192">
        <v>0.08</v>
      </c>
      <c r="P25" s="192">
        <f t="shared" si="35"/>
        <v>1.04</v>
      </c>
      <c r="Q25" s="192">
        <f>3276-2859</f>
        <v>417</v>
      </c>
      <c r="R25" s="192">
        <v>0.087</v>
      </c>
      <c r="S25" s="192">
        <f t="shared" si="36"/>
        <v>36.28</v>
      </c>
      <c r="T25" s="192">
        <v>0.02</v>
      </c>
      <c r="U25" s="192">
        <f t="shared" si="37"/>
        <v>8.34</v>
      </c>
      <c r="V25" s="192">
        <f>3276-3033</f>
        <v>243</v>
      </c>
      <c r="W25" s="192">
        <v>0.007</v>
      </c>
      <c r="X25" s="192">
        <f t="shared" si="38"/>
        <v>1.7</v>
      </c>
      <c r="Y25" s="192">
        <v>0.003</v>
      </c>
      <c r="Z25" s="192">
        <f t="shared" si="39"/>
        <v>0.73</v>
      </c>
      <c r="AA25" s="192"/>
      <c r="AB25" s="192"/>
      <c r="AC25" s="192"/>
      <c r="AD25" s="192"/>
      <c r="AE25" s="192"/>
      <c r="AF25" s="192"/>
      <c r="AG25" s="192"/>
      <c r="AH25" s="192"/>
      <c r="AI25" s="192"/>
      <c r="AJ25" s="192"/>
      <c r="AK25" s="192"/>
      <c r="AL25" s="224"/>
      <c r="AM25" s="192"/>
      <c r="AN25" s="192"/>
      <c r="AO25" s="192"/>
      <c r="AP25" s="193"/>
      <c r="AQ25" s="230"/>
      <c r="AR25" s="230"/>
      <c r="AS25" s="231">
        <f t="shared" si="40"/>
        <v>40.06</v>
      </c>
      <c r="AT25" s="231">
        <f t="shared" si="41"/>
        <v>10.11</v>
      </c>
      <c r="AU25" s="231">
        <f t="shared" si="42"/>
        <v>0</v>
      </c>
      <c r="AV25" s="231">
        <f t="shared" si="43"/>
        <v>0</v>
      </c>
      <c r="AW25" s="231">
        <f t="shared" si="44"/>
        <v>50.17</v>
      </c>
      <c r="AX25" s="242">
        <f t="shared" si="45"/>
        <v>50.17</v>
      </c>
      <c r="AY25" s="242"/>
      <c r="AZ25" s="242">
        <f t="shared" si="46"/>
        <v>0</v>
      </c>
      <c r="BA25" s="242"/>
      <c r="BB25" s="243"/>
      <c r="BC25" s="242">
        <f t="shared" si="47"/>
        <v>50.17</v>
      </c>
      <c r="BD25" s="244" t="s">
        <v>206</v>
      </c>
      <c r="BE25" s="261"/>
      <c r="BF25" s="261"/>
      <c r="BG25" s="261"/>
      <c r="BH25" s="261"/>
    </row>
    <row r="26" s="181" customFormat="1" ht="18" customHeight="1" spans="1:60">
      <c r="A26" s="192" t="s">
        <v>148</v>
      </c>
      <c r="B26" s="193" t="s">
        <v>136</v>
      </c>
      <c r="C26" s="194" t="s">
        <v>145</v>
      </c>
      <c r="D26" s="195" t="s">
        <v>138</v>
      </c>
      <c r="E26" s="193" t="s">
        <v>146</v>
      </c>
      <c r="F26" s="196" t="s">
        <v>170</v>
      </c>
      <c r="G26" s="197" t="s">
        <v>171</v>
      </c>
      <c r="H26" s="195" t="s">
        <v>168</v>
      </c>
      <c r="I26" s="195" t="s">
        <v>168</v>
      </c>
      <c r="J26" s="195" t="s">
        <v>176</v>
      </c>
      <c r="K26" s="195"/>
      <c r="L26" s="192">
        <v>4588</v>
      </c>
      <c r="M26" s="192">
        <f>0.15-0.14</f>
        <v>0.00999999999999998</v>
      </c>
      <c r="N26" s="192">
        <f t="shared" si="34"/>
        <v>45.88</v>
      </c>
      <c r="O26" s="192"/>
      <c r="P26" s="192"/>
      <c r="Q26" s="192">
        <f>6757-6175</f>
        <v>582</v>
      </c>
      <c r="R26" s="192">
        <v>0.0545</v>
      </c>
      <c r="S26" s="192">
        <f t="shared" si="36"/>
        <v>31.72</v>
      </c>
      <c r="T26" s="192">
        <v>0.02</v>
      </c>
      <c r="U26" s="192">
        <f t="shared" si="37"/>
        <v>11.64</v>
      </c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224"/>
      <c r="AM26" s="192"/>
      <c r="AN26" s="192"/>
      <c r="AO26" s="192"/>
      <c r="AP26" s="193"/>
      <c r="AQ26" s="230"/>
      <c r="AR26" s="230"/>
      <c r="AS26" s="231">
        <f t="shared" si="40"/>
        <v>77.6</v>
      </c>
      <c r="AT26" s="231">
        <f t="shared" si="41"/>
        <v>11.64</v>
      </c>
      <c r="AU26" s="231">
        <f t="shared" si="42"/>
        <v>0</v>
      </c>
      <c r="AV26" s="231">
        <f t="shared" si="43"/>
        <v>0</v>
      </c>
      <c r="AW26" s="231">
        <f t="shared" si="44"/>
        <v>89.24</v>
      </c>
      <c r="AX26" s="242">
        <f t="shared" si="45"/>
        <v>89.24</v>
      </c>
      <c r="AY26" s="242"/>
      <c r="AZ26" s="242">
        <f t="shared" si="46"/>
        <v>0</v>
      </c>
      <c r="BA26" s="242"/>
      <c r="BB26" s="243"/>
      <c r="BC26" s="242">
        <f t="shared" si="47"/>
        <v>89.24</v>
      </c>
      <c r="BD26" s="245" t="s">
        <v>206</v>
      </c>
      <c r="BE26" s="261"/>
      <c r="BF26" s="261"/>
      <c r="BG26" s="261"/>
      <c r="BH26" s="261"/>
    </row>
    <row r="27" s="181" customFormat="1" ht="18" customHeight="1" spans="1:60">
      <c r="A27" s="192" t="s">
        <v>148</v>
      </c>
      <c r="B27" s="193" t="s">
        <v>136</v>
      </c>
      <c r="C27" s="194" t="s">
        <v>173</v>
      </c>
      <c r="D27" s="195" t="s">
        <v>138</v>
      </c>
      <c r="E27" s="193" t="s">
        <v>146</v>
      </c>
      <c r="F27" s="196" t="s">
        <v>174</v>
      </c>
      <c r="G27" s="197" t="s">
        <v>175</v>
      </c>
      <c r="H27" s="195" t="s">
        <v>176</v>
      </c>
      <c r="I27" s="195" t="s">
        <v>176</v>
      </c>
      <c r="J27" s="195" t="s">
        <v>208</v>
      </c>
      <c r="K27" s="195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>
        <v>3179</v>
      </c>
      <c r="AE27" s="192">
        <v>0.0035</v>
      </c>
      <c r="AF27" s="192">
        <f>ROUND(AD27*AE27,2)</f>
        <v>11.13</v>
      </c>
      <c r="AG27" s="192"/>
      <c r="AH27" s="192"/>
      <c r="AI27" s="192"/>
      <c r="AJ27" s="192"/>
      <c r="AK27" s="192"/>
      <c r="AL27" s="224"/>
      <c r="AM27" s="192"/>
      <c r="AN27" s="192"/>
      <c r="AO27" s="192"/>
      <c r="AP27" s="193"/>
      <c r="AQ27" s="230"/>
      <c r="AR27" s="230"/>
      <c r="AS27" s="231">
        <f t="shared" si="40"/>
        <v>11.13</v>
      </c>
      <c r="AT27" s="231">
        <f t="shared" si="41"/>
        <v>0</v>
      </c>
      <c r="AU27" s="231">
        <f t="shared" si="42"/>
        <v>0</v>
      </c>
      <c r="AV27" s="231">
        <f t="shared" si="43"/>
        <v>0</v>
      </c>
      <c r="AW27" s="231">
        <f t="shared" si="44"/>
        <v>11.13</v>
      </c>
      <c r="AX27" s="242">
        <f t="shared" si="45"/>
        <v>11.13</v>
      </c>
      <c r="AY27" s="242"/>
      <c r="AZ27" s="242">
        <f t="shared" si="46"/>
        <v>0</v>
      </c>
      <c r="BA27" s="242"/>
      <c r="BB27" s="243"/>
      <c r="BC27" s="242">
        <f t="shared" si="47"/>
        <v>11.13</v>
      </c>
      <c r="BD27" s="244" t="s">
        <v>209</v>
      </c>
      <c r="BE27" s="261"/>
      <c r="BF27" s="261"/>
      <c r="BG27" s="261"/>
      <c r="BH27" s="261"/>
    </row>
    <row r="28" s="181" customFormat="1" ht="18" customHeight="1" spans="1:60">
      <c r="A28" s="192" t="s">
        <v>148</v>
      </c>
      <c r="B28" s="193" t="s">
        <v>136</v>
      </c>
      <c r="C28" s="194" t="s">
        <v>173</v>
      </c>
      <c r="D28" s="195" t="s">
        <v>138</v>
      </c>
      <c r="E28" s="193" t="s">
        <v>146</v>
      </c>
      <c r="F28" s="196" t="s">
        <v>178</v>
      </c>
      <c r="G28" s="197" t="s">
        <v>179</v>
      </c>
      <c r="H28" s="195" t="s">
        <v>176</v>
      </c>
      <c r="I28" s="195" t="s">
        <v>176</v>
      </c>
      <c r="J28" s="195" t="s">
        <v>208</v>
      </c>
      <c r="K28" s="195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>
        <v>3179</v>
      </c>
      <c r="AE28" s="192">
        <v>0.0035</v>
      </c>
      <c r="AF28" s="192">
        <f>ROUND(AD28*AE28,2)</f>
        <v>11.13</v>
      </c>
      <c r="AG28" s="192"/>
      <c r="AH28" s="192"/>
      <c r="AI28" s="192"/>
      <c r="AJ28" s="192"/>
      <c r="AK28" s="192"/>
      <c r="AL28" s="224"/>
      <c r="AM28" s="192"/>
      <c r="AN28" s="192"/>
      <c r="AO28" s="192"/>
      <c r="AP28" s="193"/>
      <c r="AQ28" s="230"/>
      <c r="AR28" s="230"/>
      <c r="AS28" s="231">
        <f t="shared" si="40"/>
        <v>11.13</v>
      </c>
      <c r="AT28" s="231">
        <f t="shared" si="41"/>
        <v>0</v>
      </c>
      <c r="AU28" s="231">
        <f t="shared" si="42"/>
        <v>0</v>
      </c>
      <c r="AV28" s="231">
        <f t="shared" si="43"/>
        <v>0</v>
      </c>
      <c r="AW28" s="231">
        <f t="shared" si="44"/>
        <v>11.13</v>
      </c>
      <c r="AX28" s="242">
        <f t="shared" si="45"/>
        <v>11.13</v>
      </c>
      <c r="AY28" s="242"/>
      <c r="AZ28" s="242">
        <f t="shared" si="46"/>
        <v>0</v>
      </c>
      <c r="BA28" s="242"/>
      <c r="BB28" s="243"/>
      <c r="BC28" s="242">
        <f t="shared" si="47"/>
        <v>11.13</v>
      </c>
      <c r="BD28" s="244" t="s">
        <v>209</v>
      </c>
      <c r="BE28" s="261"/>
      <c r="BF28" s="261"/>
      <c r="BG28" s="261"/>
      <c r="BH28" s="261"/>
    </row>
    <row r="29" s="182" customFormat="1" ht="18" customHeight="1" spans="1:60">
      <c r="A29" s="198"/>
      <c r="B29" s="199"/>
      <c r="C29" s="200"/>
      <c r="D29" s="201"/>
      <c r="E29" s="202"/>
      <c r="F29" s="203"/>
      <c r="G29" s="204"/>
      <c r="H29" s="205"/>
      <c r="I29" s="201"/>
      <c r="J29" s="205"/>
      <c r="K29" s="205"/>
      <c r="L29" s="218"/>
      <c r="M29" s="218"/>
      <c r="N29" s="219"/>
      <c r="O29" s="218"/>
      <c r="P29" s="218"/>
      <c r="Q29" s="218"/>
      <c r="R29" s="218"/>
      <c r="S29" s="218"/>
      <c r="T29" s="218"/>
      <c r="U29" s="218"/>
      <c r="V29" s="221"/>
      <c r="W29" s="221"/>
      <c r="X29" s="222"/>
      <c r="Y29" s="221"/>
      <c r="Z29" s="218"/>
      <c r="AA29" s="218"/>
      <c r="AB29" s="218"/>
      <c r="AC29" s="218"/>
      <c r="AD29" s="218"/>
      <c r="AE29" s="218"/>
      <c r="AF29" s="219"/>
      <c r="AG29" s="218"/>
      <c r="AH29" s="218"/>
      <c r="AI29" s="218"/>
      <c r="AJ29" s="218"/>
      <c r="AK29" s="218"/>
      <c r="AL29" s="225"/>
      <c r="AM29" s="218"/>
      <c r="AN29" s="218"/>
      <c r="AO29" s="218"/>
      <c r="AP29" s="232"/>
      <c r="AQ29" s="233"/>
      <c r="AR29" s="218"/>
      <c r="AS29" s="234"/>
      <c r="AT29" s="234"/>
      <c r="AU29" s="234"/>
      <c r="AV29" s="234"/>
      <c r="AW29" s="234"/>
      <c r="AX29" s="246"/>
      <c r="AY29" s="247"/>
      <c r="AZ29" s="246"/>
      <c r="BA29" s="247"/>
      <c r="BB29" s="248"/>
      <c r="BC29" s="249"/>
      <c r="BD29" s="250"/>
      <c r="BE29" s="179"/>
      <c r="BF29" s="179"/>
      <c r="BG29" s="179"/>
      <c r="BH29" s="179"/>
    </row>
    <row r="30" s="179" customFormat="1" ht="14.25" spans="1:56">
      <c r="A30" s="206" t="s">
        <v>159</v>
      </c>
      <c r="B30" s="207"/>
      <c r="C30" s="208"/>
      <c r="D30" s="208"/>
      <c r="E30" s="209"/>
      <c r="F30" s="208"/>
      <c r="G30" s="208"/>
      <c r="H30" s="208"/>
      <c r="I30" s="208"/>
      <c r="J30" s="208"/>
      <c r="K30" s="208"/>
      <c r="L30" s="209">
        <f t="shared" ref="L30:BC30" si="48">SUM(L3:L29)</f>
        <v>68825.15</v>
      </c>
      <c r="M30" s="209">
        <f t="shared" si="48"/>
        <v>3.68</v>
      </c>
      <c r="N30" s="209">
        <f t="shared" si="48"/>
        <v>10277.94</v>
      </c>
      <c r="O30" s="209">
        <f t="shared" si="48"/>
        <v>1.84</v>
      </c>
      <c r="P30" s="209">
        <f t="shared" si="48"/>
        <v>5138.97</v>
      </c>
      <c r="Q30" s="209">
        <f t="shared" si="48"/>
        <v>69898.05</v>
      </c>
      <c r="R30" s="209">
        <f t="shared" si="48"/>
        <v>1.747</v>
      </c>
      <c r="S30" s="209">
        <f t="shared" si="48"/>
        <v>4912.33</v>
      </c>
      <c r="T30" s="209">
        <f t="shared" si="48"/>
        <v>0.48</v>
      </c>
      <c r="U30" s="209">
        <f t="shared" si="48"/>
        <v>1397.96</v>
      </c>
      <c r="V30" s="209">
        <f t="shared" si="48"/>
        <v>62869.15</v>
      </c>
      <c r="W30" s="209">
        <f t="shared" si="48"/>
        <v>0.1388</v>
      </c>
      <c r="X30" s="209">
        <f t="shared" si="48"/>
        <v>369.12</v>
      </c>
      <c r="Y30" s="209">
        <f t="shared" si="48"/>
        <v>0.088</v>
      </c>
      <c r="Z30" s="209">
        <f t="shared" si="48"/>
        <v>252.22</v>
      </c>
      <c r="AA30" s="209">
        <f t="shared" si="48"/>
        <v>19445.05</v>
      </c>
      <c r="AB30" s="209">
        <f t="shared" si="48"/>
        <v>0.054</v>
      </c>
      <c r="AC30" s="209">
        <f t="shared" si="48"/>
        <v>174.26</v>
      </c>
      <c r="AD30" s="209">
        <f t="shared" si="48"/>
        <v>69118.45</v>
      </c>
      <c r="AE30" s="209">
        <f t="shared" si="48"/>
        <v>0.0613</v>
      </c>
      <c r="AF30" s="209">
        <f t="shared" si="48"/>
        <v>203.1</v>
      </c>
      <c r="AG30" s="209">
        <f t="shared" si="48"/>
        <v>49636</v>
      </c>
      <c r="AH30" s="209">
        <f t="shared" si="48"/>
        <v>1.19</v>
      </c>
      <c r="AI30" s="209">
        <f t="shared" si="48"/>
        <v>3862.28</v>
      </c>
      <c r="AJ30" s="209">
        <f t="shared" si="48"/>
        <v>1.15</v>
      </c>
      <c r="AK30" s="209">
        <f t="shared" si="48"/>
        <v>3742.28</v>
      </c>
      <c r="AL30" s="209">
        <f t="shared" si="48"/>
        <v>0</v>
      </c>
      <c r="AM30" s="209">
        <f t="shared" si="48"/>
        <v>0</v>
      </c>
      <c r="AN30" s="209">
        <f t="shared" si="48"/>
        <v>0</v>
      </c>
      <c r="AO30" s="209">
        <f t="shared" si="48"/>
        <v>0</v>
      </c>
      <c r="AP30" s="209">
        <f t="shared" si="48"/>
        <v>0</v>
      </c>
      <c r="AQ30" s="209">
        <f t="shared" si="48"/>
        <v>173.28</v>
      </c>
      <c r="AR30" s="209">
        <f t="shared" si="48"/>
        <v>0</v>
      </c>
      <c r="AS30" s="209">
        <f t="shared" si="48"/>
        <v>16110.03</v>
      </c>
      <c r="AT30" s="209">
        <f t="shared" si="48"/>
        <v>6789.15</v>
      </c>
      <c r="AU30" s="209">
        <f t="shared" si="48"/>
        <v>3862.28</v>
      </c>
      <c r="AV30" s="209">
        <f t="shared" si="48"/>
        <v>3742.28</v>
      </c>
      <c r="AW30" s="209">
        <f t="shared" si="48"/>
        <v>30503.74</v>
      </c>
      <c r="AX30" s="209">
        <f t="shared" si="48"/>
        <v>22899.18</v>
      </c>
      <c r="AY30" s="209">
        <f t="shared" si="48"/>
        <v>0</v>
      </c>
      <c r="AZ30" s="209">
        <f t="shared" si="48"/>
        <v>7604.56</v>
      </c>
      <c r="BA30" s="209">
        <f t="shared" si="48"/>
        <v>0</v>
      </c>
      <c r="BB30" s="209">
        <f t="shared" si="48"/>
        <v>1520</v>
      </c>
      <c r="BC30" s="209">
        <f t="shared" si="48"/>
        <v>32023.74</v>
      </c>
      <c r="BD30" s="251"/>
    </row>
    <row r="31" s="179" customFormat="1" ht="15" spans="1:56">
      <c r="A31" s="210" t="s">
        <v>93</v>
      </c>
      <c r="B31" s="211"/>
      <c r="C31" s="212"/>
      <c r="D31" s="212"/>
      <c r="E31" s="213"/>
      <c r="F31" s="213"/>
      <c r="G31" s="213"/>
      <c r="H31" s="213"/>
      <c r="I31" s="213"/>
      <c r="J31" s="213"/>
      <c r="K31" s="213"/>
      <c r="L31" s="220">
        <f t="shared" ref="L31:AX31" si="49">SUM(L30:L30)</f>
        <v>68825.15</v>
      </c>
      <c r="M31" s="220">
        <f t="shared" si="49"/>
        <v>3.68</v>
      </c>
      <c r="N31" s="220">
        <f t="shared" si="49"/>
        <v>10277.94</v>
      </c>
      <c r="O31" s="220">
        <f t="shared" si="49"/>
        <v>1.84</v>
      </c>
      <c r="P31" s="220">
        <f t="shared" si="49"/>
        <v>5138.97</v>
      </c>
      <c r="Q31" s="220">
        <f t="shared" si="49"/>
        <v>69898.05</v>
      </c>
      <c r="R31" s="220">
        <f t="shared" si="49"/>
        <v>1.747</v>
      </c>
      <c r="S31" s="220">
        <f t="shared" si="49"/>
        <v>4912.33</v>
      </c>
      <c r="T31" s="220">
        <f t="shared" si="49"/>
        <v>0.48</v>
      </c>
      <c r="U31" s="220">
        <f t="shared" si="49"/>
        <v>1397.96</v>
      </c>
      <c r="V31" s="220">
        <f t="shared" si="49"/>
        <v>62869.15</v>
      </c>
      <c r="W31" s="220">
        <f t="shared" si="49"/>
        <v>0.1388</v>
      </c>
      <c r="X31" s="220">
        <f t="shared" si="49"/>
        <v>369.12</v>
      </c>
      <c r="Y31" s="220">
        <f t="shared" si="49"/>
        <v>0.088</v>
      </c>
      <c r="Z31" s="220">
        <f t="shared" si="49"/>
        <v>252.22</v>
      </c>
      <c r="AA31" s="220">
        <f t="shared" si="49"/>
        <v>19445.05</v>
      </c>
      <c r="AB31" s="220">
        <f t="shared" si="49"/>
        <v>0.054</v>
      </c>
      <c r="AC31" s="220">
        <f t="shared" si="49"/>
        <v>174.26</v>
      </c>
      <c r="AD31" s="220">
        <f t="shared" si="49"/>
        <v>69118.45</v>
      </c>
      <c r="AE31" s="220">
        <f t="shared" si="49"/>
        <v>0.0613</v>
      </c>
      <c r="AF31" s="220">
        <f t="shared" si="49"/>
        <v>203.1</v>
      </c>
      <c r="AG31" s="220">
        <f t="shared" si="49"/>
        <v>49636</v>
      </c>
      <c r="AH31" s="220">
        <f t="shared" si="49"/>
        <v>1.19</v>
      </c>
      <c r="AI31" s="220">
        <f t="shared" si="49"/>
        <v>3862.28</v>
      </c>
      <c r="AJ31" s="220">
        <f t="shared" si="49"/>
        <v>1.15</v>
      </c>
      <c r="AK31" s="220">
        <f t="shared" si="49"/>
        <v>3742.28</v>
      </c>
      <c r="AL31" s="220">
        <f t="shared" si="49"/>
        <v>0</v>
      </c>
      <c r="AM31" s="220">
        <f t="shared" si="49"/>
        <v>0</v>
      </c>
      <c r="AN31" s="220">
        <f t="shared" si="49"/>
        <v>0</v>
      </c>
      <c r="AO31" s="220">
        <f t="shared" si="49"/>
        <v>0</v>
      </c>
      <c r="AP31" s="220">
        <f t="shared" si="49"/>
        <v>0</v>
      </c>
      <c r="AQ31" s="220">
        <f t="shared" si="49"/>
        <v>173.28</v>
      </c>
      <c r="AR31" s="220">
        <f t="shared" si="49"/>
        <v>0</v>
      </c>
      <c r="AS31" s="235">
        <f t="shared" si="49"/>
        <v>16110.03</v>
      </c>
      <c r="AT31" s="235">
        <f t="shared" si="49"/>
        <v>6789.15</v>
      </c>
      <c r="AU31" s="235">
        <f t="shared" si="49"/>
        <v>3862.28</v>
      </c>
      <c r="AV31" s="235">
        <f t="shared" si="49"/>
        <v>3742.28</v>
      </c>
      <c r="AW31" s="235">
        <f t="shared" si="49"/>
        <v>30503.74</v>
      </c>
      <c r="AX31" s="252">
        <f t="shared" si="49"/>
        <v>22899.18</v>
      </c>
      <c r="AY31" s="252"/>
      <c r="AZ31" s="252">
        <f t="shared" ref="AZ31:BC31" si="50">SUM(AZ30:AZ30)</f>
        <v>7604.56</v>
      </c>
      <c r="BA31" s="252"/>
      <c r="BB31" s="220">
        <f t="shared" si="50"/>
        <v>1520</v>
      </c>
      <c r="BC31" s="220">
        <f t="shared" si="50"/>
        <v>32023.74</v>
      </c>
      <c r="BD31" s="253"/>
    </row>
    <row r="32" s="183" customFormat="1" spans="1:56">
      <c r="A32" s="214"/>
      <c r="B32" s="214"/>
      <c r="C32" s="214"/>
      <c r="D32" s="214"/>
      <c r="E32" s="214"/>
      <c r="F32" s="215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  <c r="T32" s="214"/>
      <c r="U32" s="214"/>
      <c r="V32" s="214"/>
      <c r="W32" s="214"/>
      <c r="X32" s="214"/>
      <c r="Y32" s="214"/>
      <c r="Z32" s="214"/>
      <c r="AA32" s="214"/>
      <c r="AB32" s="214"/>
      <c r="AC32" s="214"/>
      <c r="AD32" s="214"/>
      <c r="AE32" s="214"/>
      <c r="AF32" s="214"/>
      <c r="AG32" s="214"/>
      <c r="AH32" s="214"/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36"/>
      <c r="AT32" s="236"/>
      <c r="AU32" s="236"/>
      <c r="AV32" s="236"/>
      <c r="AW32" s="236"/>
      <c r="AX32" s="214"/>
      <c r="AY32" s="214"/>
      <c r="AZ32" s="214"/>
      <c r="BA32" s="214"/>
      <c r="BB32" s="214"/>
      <c r="BC32" s="214">
        <f>'（居民）工资表-2月'!E18</f>
        <v>124775.78</v>
      </c>
      <c r="BD32" s="254"/>
    </row>
    <row r="33" s="184" customFormat="1" spans="1:56">
      <c r="A33" s="179"/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179"/>
      <c r="AK33" s="179"/>
      <c r="AL33" s="179"/>
      <c r="AM33" s="179"/>
      <c r="AN33" s="179"/>
      <c r="AO33" s="179"/>
      <c r="AP33" s="179"/>
      <c r="AQ33" s="179"/>
      <c r="AR33" s="179"/>
      <c r="AS33" s="185"/>
      <c r="AT33" s="185"/>
      <c r="AU33" s="185"/>
      <c r="AV33" s="185"/>
      <c r="AW33" s="185"/>
      <c r="AX33" s="179"/>
      <c r="AY33" s="179"/>
      <c r="AZ33" s="179"/>
      <c r="BA33" s="179"/>
      <c r="BB33" s="179"/>
      <c r="BC33" s="179"/>
      <c r="BD33" s="186"/>
    </row>
    <row r="34" s="179" customFormat="1" spans="45:56">
      <c r="AS34" s="185"/>
      <c r="AT34" s="185"/>
      <c r="AU34" s="185"/>
      <c r="AV34" s="185"/>
      <c r="AW34" s="185"/>
      <c r="BD34" s="186"/>
    </row>
    <row r="35" s="179" customFormat="1" spans="45:56">
      <c r="AS35" s="185"/>
      <c r="AT35" s="185"/>
      <c r="AU35" s="185"/>
      <c r="AV35" s="185"/>
      <c r="AW35" s="185"/>
      <c r="AX35" s="255"/>
      <c r="AY35" s="255"/>
      <c r="BC35" s="256"/>
      <c r="BD35" s="186"/>
    </row>
    <row r="36" s="179" customFormat="1" spans="45:56">
      <c r="AS36" s="185"/>
      <c r="AT36" s="185"/>
      <c r="AU36" s="185"/>
      <c r="AV36" s="185"/>
      <c r="AW36" s="185"/>
      <c r="BD36" s="186"/>
    </row>
  </sheetData>
  <mergeCells count="80">
    <mergeCell ref="L1:P1"/>
    <mergeCell ref="Q1:U1"/>
    <mergeCell ref="V1:Z1"/>
    <mergeCell ref="AA1:AC1"/>
    <mergeCell ref="AD1:AF1"/>
    <mergeCell ref="AG1:AK1"/>
    <mergeCell ref="AL1:AP1"/>
    <mergeCell ref="AQ1:AR1"/>
    <mergeCell ref="AS1:AW1"/>
    <mergeCell ref="AX3:AY3"/>
    <mergeCell ref="AZ3:BA3"/>
    <mergeCell ref="AX4:AY4"/>
    <mergeCell ref="AZ4:BA4"/>
    <mergeCell ref="AX5:AY5"/>
    <mergeCell ref="AZ5:BA5"/>
    <mergeCell ref="AX6:AY6"/>
    <mergeCell ref="AZ6:BA6"/>
    <mergeCell ref="AX7:AY7"/>
    <mergeCell ref="AZ7:BA7"/>
    <mergeCell ref="AX8:AY8"/>
    <mergeCell ref="AZ8:BA8"/>
    <mergeCell ref="AX9:AY9"/>
    <mergeCell ref="AZ9:BA9"/>
    <mergeCell ref="AX10:AY10"/>
    <mergeCell ref="AZ10:BA10"/>
    <mergeCell ref="AX11:AY11"/>
    <mergeCell ref="AZ11:BA11"/>
    <mergeCell ref="AX12:AY12"/>
    <mergeCell ref="AZ12:BA12"/>
    <mergeCell ref="AX13:AY13"/>
    <mergeCell ref="AZ13:BA13"/>
    <mergeCell ref="AX14:AY14"/>
    <mergeCell ref="AZ14:BA14"/>
    <mergeCell ref="AX15:AY15"/>
    <mergeCell ref="AZ15:BA15"/>
    <mergeCell ref="AX16:AY16"/>
    <mergeCell ref="AZ16:BA16"/>
    <mergeCell ref="AX17:AY17"/>
    <mergeCell ref="AZ17:BA17"/>
    <mergeCell ref="AX18:AY18"/>
    <mergeCell ref="AZ18:BA18"/>
    <mergeCell ref="AX19:AY19"/>
    <mergeCell ref="AZ19:BA19"/>
    <mergeCell ref="AX20:AY20"/>
    <mergeCell ref="AZ20:BA20"/>
    <mergeCell ref="AX21:AY21"/>
    <mergeCell ref="AZ21:BA21"/>
    <mergeCell ref="AX22:AY22"/>
    <mergeCell ref="AZ22:BA22"/>
    <mergeCell ref="AX23:AY23"/>
    <mergeCell ref="AZ23:BA23"/>
    <mergeCell ref="AX24:AY24"/>
    <mergeCell ref="AZ24:BA24"/>
    <mergeCell ref="AX25:AY25"/>
    <mergeCell ref="AZ25:BA25"/>
    <mergeCell ref="AX26:AY26"/>
    <mergeCell ref="AZ26:BA26"/>
    <mergeCell ref="AX27:AY27"/>
    <mergeCell ref="AZ27:BA27"/>
    <mergeCell ref="AX28:AY28"/>
    <mergeCell ref="AZ28:BA28"/>
    <mergeCell ref="AX31:AY31"/>
    <mergeCell ref="AZ31:BA31"/>
    <mergeCell ref="AX35:AY35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BB1:BB2"/>
    <mergeCell ref="BC1:BC2"/>
    <mergeCell ref="BD1:BD2"/>
    <mergeCell ref="AX1:AY2"/>
    <mergeCell ref="AZ1:BA2"/>
  </mergeCells>
  <conditionalFormatting sqref="H1:I1">
    <cfRule type="expression" dxfId="4" priority="1" stopIfTrue="1">
      <formula>AND(COUNTIF($J$1:$J$1,H1)&gt;1,NOT(ISBLANK(H1)))</formula>
    </cfRule>
  </conditionalFormatting>
  <conditionalFormatting sqref="J1">
    <cfRule type="duplicateValues" dxfId="4" priority="2" stopIfTrue="1"/>
  </conditionalFormatting>
  <conditionalFormatting sqref="K1:L1">
    <cfRule type="duplicateValues" dxfId="4" priority="3" stopIfTrue="1"/>
  </conditionalFormatting>
  <conditionalFormatting sqref="Q1">
    <cfRule type="duplicateValues" dxfId="4" priority="4" stopIfTrue="1"/>
  </conditionalFormatting>
  <conditionalFormatting sqref="V1">
    <cfRule type="duplicateValues" dxfId="4" priority="5" stopIfTrue="1"/>
  </conditionalFormatting>
  <conditionalFormatting sqref="AG1">
    <cfRule type="duplicateValues" dxfId="4" priority="6" stopIfTrue="1"/>
  </conditionalFormatting>
  <pageMargins left="0.75" right="0.75" top="1" bottom="1" header="0.5" footer="0.5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4"/>
  <sheetViews>
    <sheetView workbookViewId="0">
      <pane xSplit="6" ySplit="3" topLeftCell="T4" activePane="bottomRight" state="frozen"/>
      <selection/>
      <selection pane="topRight"/>
      <selection pane="bottomLeft"/>
      <selection pane="bottomRight" activeCell="M7" sqref="M7"/>
    </sheetView>
  </sheetViews>
  <sheetFormatPr defaultColWidth="9" defaultRowHeight="13.5"/>
  <cols>
    <col min="1" max="1" width="4.5" style="34" customWidth="1"/>
    <col min="2" max="2" width="12.625" style="34" customWidth="1"/>
    <col min="3" max="3" width="10.5" style="34" customWidth="1"/>
    <col min="4" max="4" width="8.75" style="34" customWidth="1"/>
    <col min="5" max="5" width="19.5" style="35" customWidth="1"/>
    <col min="6" max="6" width="9" style="34"/>
    <col min="7" max="7" width="11.875" style="36" customWidth="1"/>
    <col min="8" max="8" width="4.625" style="34" hidden="1" customWidth="1"/>
    <col min="9" max="9" width="5.25" style="34" hidden="1" customWidth="1"/>
    <col min="10" max="10" width="11.75" style="37" customWidth="1"/>
    <col min="11" max="11" width="5.25" style="34" customWidth="1"/>
    <col min="12" max="12" width="11.75" style="34" customWidth="1"/>
    <col min="13" max="13" width="12.5" style="34" customWidth="1" outlineLevel="1"/>
    <col min="14" max="15" width="9" style="34" customWidth="1" outlineLevel="1"/>
    <col min="16" max="16" width="11.125" style="34" customWidth="1" outlineLevel="1"/>
    <col min="17" max="17" width="9.75" style="34" customWidth="1"/>
    <col min="18" max="18" width="9.5" style="34" customWidth="1"/>
    <col min="19" max="19" width="13.375" style="34" customWidth="1"/>
    <col min="20" max="21" width="12.25" style="34" customWidth="1"/>
    <col min="22" max="27" width="9" style="34" customWidth="1" outlineLevel="1"/>
    <col min="28" max="28" width="11.25" style="34" customWidth="1"/>
    <col min="29" max="29" width="8.5" style="34" customWidth="1"/>
    <col min="30" max="30" width="15.25" style="34" customWidth="1"/>
    <col min="31" max="31" width="14" style="34" customWidth="1"/>
    <col min="32" max="32" width="10.75" style="34" customWidth="1"/>
    <col min="33" max="33" width="12.25" style="34" customWidth="1"/>
    <col min="34" max="34" width="11.5" style="34" customWidth="1"/>
    <col min="35" max="35" width="7.875" style="38" customWidth="1"/>
    <col min="36" max="36" width="11.5" style="34" customWidth="1"/>
    <col min="37" max="37" width="9" style="34"/>
    <col min="38" max="38" width="11.5" style="34" customWidth="1"/>
    <col min="39" max="40" width="9" style="34" customWidth="1"/>
    <col min="41" max="41" width="19" style="34" customWidth="1"/>
    <col min="42" max="42" width="12.25" style="34" customWidth="1"/>
    <col min="43" max="43" width="9" style="34"/>
    <col min="44" max="44" width="7" style="34" customWidth="1"/>
    <col min="45" max="45" width="6.75" style="34" customWidth="1"/>
    <col min="46" max="46" width="6.125" style="34" customWidth="1"/>
    <col min="47" max="16384" width="9" style="34"/>
  </cols>
  <sheetData>
    <row r="1" s="29" customFormat="1" ht="29.25" customHeight="1" spans="1:45">
      <c r="A1" s="39" t="s">
        <v>36</v>
      </c>
      <c r="B1" s="40"/>
      <c r="C1" s="41"/>
      <c r="D1" s="42"/>
      <c r="E1" s="43"/>
      <c r="F1" s="43"/>
      <c r="G1" s="44"/>
      <c r="J1" s="79"/>
      <c r="L1" s="80"/>
      <c r="M1" s="81" t="s">
        <v>37</v>
      </c>
      <c r="N1" s="81"/>
      <c r="O1" s="81"/>
      <c r="P1" s="81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80"/>
      <c r="AE1" s="80"/>
      <c r="AF1" s="80"/>
      <c r="AG1" s="80"/>
      <c r="AH1" s="80"/>
      <c r="AI1" s="116"/>
      <c r="AJ1" s="80"/>
      <c r="AK1" s="80"/>
      <c r="AL1" s="80"/>
      <c r="AM1" s="43"/>
      <c r="AN1" s="43"/>
      <c r="AO1" s="126"/>
      <c r="AP1" s="43"/>
      <c r="AQ1" s="43"/>
      <c r="AR1" s="43"/>
      <c r="AS1" s="43"/>
    </row>
    <row r="2" s="30" customFormat="1" ht="20.1" customHeight="1" spans="1:46">
      <c r="A2" s="45" t="s">
        <v>18</v>
      </c>
      <c r="B2" s="46" t="s">
        <v>38</v>
      </c>
      <c r="C2" s="47" t="s">
        <v>39</v>
      </c>
      <c r="D2" s="47" t="s">
        <v>40</v>
      </c>
      <c r="E2" s="48" t="s">
        <v>41</v>
      </c>
      <c r="F2" s="49" t="s">
        <v>42</v>
      </c>
      <c r="G2" s="48" t="s">
        <v>43</v>
      </c>
      <c r="H2" s="48" t="s">
        <v>44</v>
      </c>
      <c r="I2" s="48" t="s">
        <v>45</v>
      </c>
      <c r="J2" s="82" t="s">
        <v>46</v>
      </c>
      <c r="K2" s="48" t="s">
        <v>47</v>
      </c>
      <c r="L2" s="48" t="s">
        <v>48</v>
      </c>
      <c r="M2" s="83" t="s">
        <v>49</v>
      </c>
      <c r="N2" s="84"/>
      <c r="O2" s="84"/>
      <c r="P2" s="85"/>
      <c r="Q2" s="49" t="s">
        <v>50</v>
      </c>
      <c r="R2" s="48" t="s">
        <v>51</v>
      </c>
      <c r="S2" s="49" t="s">
        <v>52</v>
      </c>
      <c r="T2" s="103" t="s">
        <v>53</v>
      </c>
      <c r="U2" s="49" t="s">
        <v>54</v>
      </c>
      <c r="V2" s="104" t="s">
        <v>55</v>
      </c>
      <c r="W2" s="105"/>
      <c r="X2" s="105"/>
      <c r="Y2" s="105"/>
      <c r="Z2" s="105"/>
      <c r="AA2" s="111"/>
      <c r="AB2" s="49" t="s">
        <v>56</v>
      </c>
      <c r="AC2" s="49" t="s">
        <v>57</v>
      </c>
      <c r="AD2" s="103" t="s">
        <v>58</v>
      </c>
      <c r="AE2" s="103" t="s">
        <v>59</v>
      </c>
      <c r="AF2" s="103" t="s">
        <v>60</v>
      </c>
      <c r="AG2" s="103" t="s">
        <v>61</v>
      </c>
      <c r="AH2" s="117" t="s">
        <v>62</v>
      </c>
      <c r="AI2" s="118" t="s">
        <v>63</v>
      </c>
      <c r="AJ2" s="117" t="s">
        <v>64</v>
      </c>
      <c r="AK2" s="47" t="s">
        <v>65</v>
      </c>
      <c r="AL2" s="117" t="s">
        <v>66</v>
      </c>
      <c r="AM2" s="48" t="s">
        <v>67</v>
      </c>
      <c r="AN2" s="48" t="s">
        <v>68</v>
      </c>
      <c r="AO2" s="127" t="s">
        <v>69</v>
      </c>
      <c r="AP2" s="48" t="s">
        <v>70</v>
      </c>
      <c r="AQ2" s="48" t="s">
        <v>71</v>
      </c>
      <c r="AR2" s="49" t="s">
        <v>72</v>
      </c>
      <c r="AS2" s="49" t="s">
        <v>73</v>
      </c>
      <c r="AT2" s="49" t="s">
        <v>74</v>
      </c>
    </row>
    <row r="3" s="30" customFormat="1" ht="27" customHeight="1" spans="1:46">
      <c r="A3" s="50"/>
      <c r="B3" s="51"/>
      <c r="C3" s="52"/>
      <c r="D3" s="52"/>
      <c r="E3" s="53"/>
      <c r="F3" s="54"/>
      <c r="G3" s="53"/>
      <c r="H3" s="53"/>
      <c r="I3" s="53"/>
      <c r="J3" s="86"/>
      <c r="K3" s="53"/>
      <c r="L3" s="53"/>
      <c r="M3" s="87" t="s">
        <v>75</v>
      </c>
      <c r="N3" s="87" t="s">
        <v>76</v>
      </c>
      <c r="O3" s="87" t="s">
        <v>77</v>
      </c>
      <c r="P3" s="87" t="s">
        <v>78</v>
      </c>
      <c r="Q3" s="54"/>
      <c r="R3" s="53"/>
      <c r="S3" s="54"/>
      <c r="T3" s="106"/>
      <c r="U3" s="54"/>
      <c r="V3" s="107" t="s">
        <v>79</v>
      </c>
      <c r="W3" s="107" t="s">
        <v>80</v>
      </c>
      <c r="X3" s="107" t="s">
        <v>81</v>
      </c>
      <c r="Y3" s="107" t="s">
        <v>82</v>
      </c>
      <c r="Z3" s="107" t="s">
        <v>83</v>
      </c>
      <c r="AA3" s="107" t="s">
        <v>84</v>
      </c>
      <c r="AB3" s="54"/>
      <c r="AC3" s="54"/>
      <c r="AD3" s="106"/>
      <c r="AE3" s="106"/>
      <c r="AF3" s="106"/>
      <c r="AG3" s="106"/>
      <c r="AH3" s="119"/>
      <c r="AI3" s="120"/>
      <c r="AJ3" s="119"/>
      <c r="AK3" s="52"/>
      <c r="AL3" s="119"/>
      <c r="AM3" s="53"/>
      <c r="AN3" s="53"/>
      <c r="AO3" s="128"/>
      <c r="AP3" s="53"/>
      <c r="AQ3" s="53"/>
      <c r="AR3" s="54"/>
      <c r="AS3" s="54"/>
      <c r="AT3" s="54"/>
    </row>
    <row r="4" s="31" customFormat="1" ht="18" customHeight="1" spans="1:46">
      <c r="A4" s="55">
        <v>1</v>
      </c>
      <c r="B4" s="56" t="s">
        <v>85</v>
      </c>
      <c r="C4" s="56" t="s">
        <v>86</v>
      </c>
      <c r="D4" s="56" t="s">
        <v>87</v>
      </c>
      <c r="E4" s="56" t="s">
        <v>88</v>
      </c>
      <c r="F4" s="57" t="s">
        <v>210</v>
      </c>
      <c r="G4" s="58">
        <v>18035163638</v>
      </c>
      <c r="H4" s="59"/>
      <c r="I4" s="59"/>
      <c r="J4" s="88"/>
      <c r="K4" s="59"/>
      <c r="L4" s="89">
        <v>8980</v>
      </c>
      <c r="M4" s="90">
        <v>264</v>
      </c>
      <c r="N4" s="90">
        <v>66</v>
      </c>
      <c r="O4" s="90">
        <v>9.9</v>
      </c>
      <c r="P4" s="90">
        <v>180</v>
      </c>
      <c r="Q4" s="108">
        <f>ROUND(SUM(M4:P4),2)</f>
        <v>519.9</v>
      </c>
      <c r="R4" s="89">
        <v>0</v>
      </c>
      <c r="S4" s="109">
        <f>L4+IFERROR(VLOOKUP($E:$E,'（居民）工资表-5月'!$E:$S,15,0),0)</f>
        <v>49850</v>
      </c>
      <c r="T4" s="110">
        <f>5000+IFERROR(VLOOKUP($E:$E,'（居民）工资表-5月'!$E:$T,16,0),0)</f>
        <v>30000</v>
      </c>
      <c r="U4" s="110">
        <f>Q4+IFERROR(VLOOKUP($E:$E,'（居民）工资表-5月'!$E:$U,17,0),0)</f>
        <v>3119.4</v>
      </c>
      <c r="V4" s="89"/>
      <c r="W4" s="89"/>
      <c r="X4" s="89">
        <v>6000</v>
      </c>
      <c r="Y4" s="89"/>
      <c r="Z4" s="89"/>
      <c r="AA4" s="89"/>
      <c r="AB4" s="109">
        <f>ROUND(SUM(V4:AA4),2)</f>
        <v>6000</v>
      </c>
      <c r="AC4" s="109">
        <f>R4+IFERROR(VLOOKUP($E:$E,'（居民）工资表-5月'!$E:$AC,25,0),0)</f>
        <v>0</v>
      </c>
      <c r="AD4" s="112">
        <f>ROUND(S4-T4-U4-AB4-AC4,2)</f>
        <v>10730.6</v>
      </c>
      <c r="AE4" s="113">
        <f>ROUND(MAX((AD4)*{0.03;0.1;0.2;0.25;0.3;0.35;0.45}-{0;2520;16920;31920;52920;85920;181920},0),2)</f>
        <v>321.92</v>
      </c>
      <c r="AF4" s="114">
        <f>IFERROR(VLOOKUP(E:E,'（居民）工资表-5月'!E:AF,28,0)+VLOOKUP(E:E,'（居民）工资表-5月'!E:AG,29,0),0)</f>
        <v>248.12</v>
      </c>
      <c r="AG4" s="114">
        <f>IF((AE4-AF4)&lt;0,0,AE4-AF4)</f>
        <v>73.8</v>
      </c>
      <c r="AH4" s="121">
        <f>ROUND(IF((L4-Q4-AG4)&lt;0,0,(L4-Q4-AG4)),2)</f>
        <v>8386.3</v>
      </c>
      <c r="AI4" s="122"/>
      <c r="AJ4" s="121">
        <f>AH4+AI4</f>
        <v>8386.3</v>
      </c>
      <c r="AK4" s="123"/>
      <c r="AL4" s="121">
        <f>AJ4+AG4+AK4</f>
        <v>8460.1</v>
      </c>
      <c r="AM4" s="123"/>
      <c r="AN4" s="123"/>
      <c r="AO4" s="123"/>
      <c r="AP4" s="123"/>
      <c r="AQ4" s="123"/>
      <c r="AR4" s="129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29" t="str">
        <f>IF(SUMPRODUCT(N(E$1:E$7=E4))&gt;1,"重复","不")</f>
        <v>不</v>
      </c>
      <c r="AT4" s="129" t="str">
        <f>IF(SUMPRODUCT(N(AO$1:AO$7=AO4))&gt;1,"重复","不")</f>
        <v>重复</v>
      </c>
    </row>
    <row r="5" s="31" customFormat="1" ht="18" customHeight="1" spans="1:46">
      <c r="A5" s="55">
        <v>2</v>
      </c>
      <c r="B5" s="56" t="s">
        <v>85</v>
      </c>
      <c r="C5" s="56" t="s">
        <v>89</v>
      </c>
      <c r="D5" s="56" t="s">
        <v>87</v>
      </c>
      <c r="E5" s="390" t="s">
        <v>90</v>
      </c>
      <c r="F5" s="57" t="s">
        <v>211</v>
      </c>
      <c r="G5" s="58">
        <v>13926009696</v>
      </c>
      <c r="H5" s="59"/>
      <c r="I5" s="59"/>
      <c r="J5" s="88"/>
      <c r="K5" s="59"/>
      <c r="L5" s="89">
        <v>5800</v>
      </c>
      <c r="M5" s="90">
        <v>304.24</v>
      </c>
      <c r="N5" s="90">
        <v>123.5</v>
      </c>
      <c r="O5" s="90">
        <v>7.61</v>
      </c>
      <c r="P5" s="90">
        <v>0</v>
      </c>
      <c r="Q5" s="108">
        <f>ROUND(SUM(M5:P5),2)</f>
        <v>435.35</v>
      </c>
      <c r="R5" s="89">
        <v>0</v>
      </c>
      <c r="S5" s="109">
        <f>L5+IFERROR(VLOOKUP($E:$E,'（居民）工资表-5月'!$E:$S,15,0),0)</f>
        <v>23200</v>
      </c>
      <c r="T5" s="110">
        <f>5000+IFERROR(VLOOKUP($E:$E,'（居民）工资表-5月'!$E:$T,16,0),0)</f>
        <v>20000</v>
      </c>
      <c r="U5" s="110">
        <f>Q5+IFERROR(VLOOKUP($E:$E,'（居民）工资表-5月'!$E:$U,17,0),0)</f>
        <v>1741.4</v>
      </c>
      <c r="V5" s="89"/>
      <c r="W5" s="89"/>
      <c r="X5" s="89"/>
      <c r="Y5" s="89"/>
      <c r="Z5" s="89"/>
      <c r="AA5" s="89"/>
      <c r="AB5" s="109">
        <f>ROUND(SUM(V5:AA5),2)</f>
        <v>0</v>
      </c>
      <c r="AC5" s="109">
        <f>R5+IFERROR(VLOOKUP($E:$E,'（居民）工资表-5月'!$E:$AC,25,0),0)</f>
        <v>0</v>
      </c>
      <c r="AD5" s="112">
        <f>ROUND(S5-T5-U5-AB5-AC5,2)</f>
        <v>1458.6</v>
      </c>
      <c r="AE5" s="113">
        <f>ROUND(MAX((AD5)*{0.03;0.1;0.2;0.25;0.3;0.35;0.45}-{0;2520;16920;31920;52920;85920;181920},0),2)</f>
        <v>43.76</v>
      </c>
      <c r="AF5" s="114">
        <f>IFERROR(VLOOKUP(E:E,'（居民）工资表-5月'!E:AF,28,0)+VLOOKUP(E:E,'（居民）工资表-5月'!E:AG,29,0),0)</f>
        <v>32.82</v>
      </c>
      <c r="AG5" s="114">
        <f>IF((AE5-AF5)&lt;0,0,AE5-AF5)</f>
        <v>10.94</v>
      </c>
      <c r="AH5" s="121">
        <f>ROUND(IF((L5-Q5-AG5)&lt;0,0,(L5-Q5-AG5)),2)</f>
        <v>5353.71</v>
      </c>
      <c r="AI5" s="122"/>
      <c r="AJ5" s="121">
        <f>AH5+AI5</f>
        <v>5353.71</v>
      </c>
      <c r="AK5" s="123"/>
      <c r="AL5" s="121">
        <f>AJ5+AG5+AK5</f>
        <v>5364.65</v>
      </c>
      <c r="AM5" s="123"/>
      <c r="AN5" s="123"/>
      <c r="AO5" s="123"/>
      <c r="AP5" s="123"/>
      <c r="AQ5" s="123"/>
      <c r="AR5" s="129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29" t="str">
        <f>IF(SUMPRODUCT(N(E$1:E$7=E5))&gt;1,"重复","不")</f>
        <v>不</v>
      </c>
      <c r="AT5" s="129" t="str">
        <f>IF(SUMPRODUCT(N(AO$1:AO$7=AO5))&gt;1,"重复","不")</f>
        <v>重复</v>
      </c>
    </row>
    <row r="6" s="31" customFormat="1" ht="18" customHeight="1" spans="1:46">
      <c r="A6" s="55">
        <v>3</v>
      </c>
      <c r="B6" s="56" t="s">
        <v>85</v>
      </c>
      <c r="C6" s="56" t="s">
        <v>154</v>
      </c>
      <c r="D6" s="56" t="s">
        <v>87</v>
      </c>
      <c r="E6" s="56" t="s">
        <v>155</v>
      </c>
      <c r="F6" s="57" t="s">
        <v>210</v>
      </c>
      <c r="G6" s="58">
        <v>13944441728</v>
      </c>
      <c r="H6" s="59"/>
      <c r="I6" s="59"/>
      <c r="J6" s="88"/>
      <c r="K6" s="59"/>
      <c r="L6" s="89">
        <v>8120</v>
      </c>
      <c r="M6" s="90">
        <v>488.48</v>
      </c>
      <c r="N6" s="90">
        <v>122.12</v>
      </c>
      <c r="O6" s="90">
        <v>18.32</v>
      </c>
      <c r="P6" s="90">
        <v>158</v>
      </c>
      <c r="Q6" s="108">
        <f>ROUND(SUM(M6:P6),2)</f>
        <v>786.92</v>
      </c>
      <c r="R6" s="89">
        <v>0</v>
      </c>
      <c r="S6" s="109">
        <f>L6+IFERROR(VLOOKUP($E:$E,'（居民）工资表-5月'!$E:$S,15,0),0)</f>
        <v>21140</v>
      </c>
      <c r="T6" s="110">
        <f>5000+IFERROR(VLOOKUP($E:$E,'（居民）工资表-5月'!$E:$T,16,0),0)</f>
        <v>15000</v>
      </c>
      <c r="U6" s="110">
        <f>Q6+IFERROR(VLOOKUP($E:$E,'（居民）工资表-5月'!$E:$U,17,0),0)</f>
        <v>1573.84</v>
      </c>
      <c r="V6" s="89"/>
      <c r="W6" s="89"/>
      <c r="X6" s="89"/>
      <c r="Y6" s="89"/>
      <c r="Z6" s="89"/>
      <c r="AA6" s="89"/>
      <c r="AB6" s="109">
        <f>ROUND(SUM(V6:AA6),2)</f>
        <v>0</v>
      </c>
      <c r="AC6" s="109">
        <f>R6+IFERROR(VLOOKUP($E:$E,'（居民）工资表-5月'!$E:$AC,25,0),0)</f>
        <v>0</v>
      </c>
      <c r="AD6" s="112">
        <f>ROUND(S6-T6-U6-AB6-AC6,2)</f>
        <v>4566.16</v>
      </c>
      <c r="AE6" s="113">
        <f>ROUND(MAX((AD6)*{0.03;0.1;0.2;0.25;0.3;0.35;0.45}-{0;2520;16920;31920;52920;85920;181920},0),2)</f>
        <v>136.98</v>
      </c>
      <c r="AF6" s="114">
        <f>IFERROR(VLOOKUP(E:E,'（居民）工资表-5月'!E:AF,28,0)+VLOOKUP(E:E,'（居民）工资表-5月'!E:AG,29,0),0)</f>
        <v>66.99</v>
      </c>
      <c r="AG6" s="114">
        <f>IF((AE6-AF6)&lt;0,0,AE6-AF6)</f>
        <v>69.99</v>
      </c>
      <c r="AH6" s="121">
        <f>ROUND(IF((L6-Q6-AG6)&lt;0,0,(L6-Q6-AG6)),2)</f>
        <v>7263.09</v>
      </c>
      <c r="AI6" s="122"/>
      <c r="AJ6" s="121">
        <f>AH6+AI6</f>
        <v>7263.09</v>
      </c>
      <c r="AK6" s="123"/>
      <c r="AL6" s="121">
        <f>AJ6+AG6+AK6</f>
        <v>7333.08</v>
      </c>
      <c r="AM6" s="123"/>
      <c r="AN6" s="123"/>
      <c r="AO6" s="123"/>
      <c r="AP6" s="123"/>
      <c r="AQ6" s="123"/>
      <c r="AR6" s="129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29" t="str">
        <f>IF(SUMPRODUCT(N(E$1:E$7=E6))&gt;1,"重复","不")</f>
        <v>不</v>
      </c>
      <c r="AT6" s="129" t="str">
        <f>IF(SUMPRODUCT(N(AO$1:AO$7=AO6))&gt;1,"重复","不")</f>
        <v>重复</v>
      </c>
    </row>
    <row r="7" s="31" customFormat="1" ht="18" customHeight="1" spans="1:46">
      <c r="A7" s="55">
        <v>4</v>
      </c>
      <c r="B7" s="56" t="s">
        <v>85</v>
      </c>
      <c r="C7" s="56" t="s">
        <v>160</v>
      </c>
      <c r="D7" s="56" t="s">
        <v>87</v>
      </c>
      <c r="E7" s="390" t="s">
        <v>161</v>
      </c>
      <c r="F7" s="57" t="s">
        <v>210</v>
      </c>
      <c r="G7" s="58"/>
      <c r="H7" s="59"/>
      <c r="I7" s="59"/>
      <c r="J7" s="88"/>
      <c r="K7" s="59"/>
      <c r="L7" s="89">
        <v>25000</v>
      </c>
      <c r="M7" s="90">
        <f>320*2</f>
        <v>640</v>
      </c>
      <c r="N7" s="90">
        <f>80*2+86.67</f>
        <v>246.67</v>
      </c>
      <c r="O7" s="90">
        <f>12*2</f>
        <v>24</v>
      </c>
      <c r="P7" s="90">
        <v>400</v>
      </c>
      <c r="Q7" s="108">
        <f>ROUND(SUM(M7:P7),2)</f>
        <v>1310.67</v>
      </c>
      <c r="R7" s="89">
        <v>0</v>
      </c>
      <c r="S7" s="109">
        <f>L7+IFERROR(VLOOKUP($E:$E,'（居民）工资表-5月'!$E:$S,15,0),0)</f>
        <v>36904.76</v>
      </c>
      <c r="T7" s="110">
        <f>5000+IFERROR(VLOOKUP($E:$E,'（居民）工资表-5月'!$E:$T,16,0),0)</f>
        <v>10000</v>
      </c>
      <c r="U7" s="110">
        <f>Q7+IFERROR(VLOOKUP($E:$E,'（居民）工资表-5月'!$E:$U,17,0),0)</f>
        <v>1310.67</v>
      </c>
      <c r="V7" s="89"/>
      <c r="W7" s="89"/>
      <c r="X7" s="89"/>
      <c r="Y7" s="89"/>
      <c r="Z7" s="89"/>
      <c r="AA7" s="89"/>
      <c r="AB7" s="109">
        <f>ROUND(SUM(V7:AA7),2)</f>
        <v>0</v>
      </c>
      <c r="AC7" s="109">
        <f>R7+IFERROR(VLOOKUP($E:$E,'（居民）工资表-5月'!$E:$AC,25,0),0)</f>
        <v>0</v>
      </c>
      <c r="AD7" s="112">
        <f>ROUND(S7-T7-U7-AB7-AC7,2)</f>
        <v>25594.09</v>
      </c>
      <c r="AE7" s="113">
        <f>ROUND(MAX((AD7)*{0.03;0.1;0.2;0.25;0.3;0.35;0.45}-{0;2520;16920;31920;52920;85920;181920},0),2)</f>
        <v>767.82</v>
      </c>
      <c r="AF7" s="114">
        <f>IFERROR(VLOOKUP(E:E,'（居民）工资表-5月'!E:AF,28,0)+VLOOKUP(E:E,'（居民）工资表-5月'!E:AG,29,0),0)</f>
        <v>207.14</v>
      </c>
      <c r="AG7" s="114">
        <f>IF((AE7-AF7)&lt;0,0,AE7-AF7)</f>
        <v>560.68</v>
      </c>
      <c r="AH7" s="121">
        <f>ROUND(IF((L7-Q7-AG7)&lt;0,0,(L7-Q7-AG7)),2)</f>
        <v>23128.65</v>
      </c>
      <c r="AI7" s="122"/>
      <c r="AJ7" s="121">
        <f>AH7+AI7</f>
        <v>23128.65</v>
      </c>
      <c r="AK7" s="123"/>
      <c r="AL7" s="121">
        <f>AJ7+AG7+AK7</f>
        <v>23689.33</v>
      </c>
      <c r="AM7" s="123"/>
      <c r="AN7" s="123"/>
      <c r="AO7" s="123"/>
      <c r="AP7" s="123"/>
      <c r="AQ7" s="123"/>
      <c r="AR7" s="129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29" t="str">
        <f>IF(SUMPRODUCT(N(E$1:E$7=E7))&gt;1,"重复","不")</f>
        <v>不</v>
      </c>
      <c r="AT7" s="129" t="str">
        <f>IF(SUMPRODUCT(N(AO$1:AO$7=AO7))&gt;1,"重复","不")</f>
        <v>重复</v>
      </c>
    </row>
    <row r="8" s="32" customFormat="1" ht="18" customHeight="1" spans="1:46">
      <c r="A8" s="60"/>
      <c r="B8" s="61" t="s">
        <v>91</v>
      </c>
      <c r="C8" s="61"/>
      <c r="D8" s="62"/>
      <c r="E8" s="63"/>
      <c r="F8" s="64"/>
      <c r="G8" s="65"/>
      <c r="H8" s="64"/>
      <c r="I8" s="91"/>
      <c r="J8" s="92"/>
      <c r="K8" s="91"/>
      <c r="L8" s="93">
        <f t="shared" ref="L8:AL8" si="0">SUM(L4:L7)</f>
        <v>47900</v>
      </c>
      <c r="M8" s="93">
        <f t="shared" si="0"/>
        <v>1696.72</v>
      </c>
      <c r="N8" s="93">
        <f t="shared" si="0"/>
        <v>558.29</v>
      </c>
      <c r="O8" s="93">
        <f t="shared" si="0"/>
        <v>59.83</v>
      </c>
      <c r="P8" s="93">
        <f t="shared" si="0"/>
        <v>738</v>
      </c>
      <c r="Q8" s="93">
        <f t="shared" si="0"/>
        <v>3052.84</v>
      </c>
      <c r="R8" s="93">
        <f t="shared" si="0"/>
        <v>0</v>
      </c>
      <c r="S8" s="93">
        <f t="shared" si="0"/>
        <v>131094.76</v>
      </c>
      <c r="T8" s="93">
        <f t="shared" si="0"/>
        <v>75000</v>
      </c>
      <c r="U8" s="93">
        <f t="shared" si="0"/>
        <v>7745.31</v>
      </c>
      <c r="V8" s="93">
        <f t="shared" si="0"/>
        <v>0</v>
      </c>
      <c r="W8" s="93">
        <f t="shared" si="0"/>
        <v>0</v>
      </c>
      <c r="X8" s="93">
        <f t="shared" si="0"/>
        <v>6000</v>
      </c>
      <c r="Y8" s="93">
        <f t="shared" si="0"/>
        <v>0</v>
      </c>
      <c r="Z8" s="93">
        <f t="shared" si="0"/>
        <v>0</v>
      </c>
      <c r="AA8" s="93">
        <f t="shared" si="0"/>
        <v>0</v>
      </c>
      <c r="AB8" s="93">
        <f t="shared" si="0"/>
        <v>6000</v>
      </c>
      <c r="AC8" s="93">
        <f t="shared" si="0"/>
        <v>0</v>
      </c>
      <c r="AD8" s="93">
        <f t="shared" si="0"/>
        <v>42349.45</v>
      </c>
      <c r="AE8" s="93">
        <f t="shared" si="0"/>
        <v>1270.48</v>
      </c>
      <c r="AF8" s="93">
        <f t="shared" si="0"/>
        <v>555.07</v>
      </c>
      <c r="AG8" s="93">
        <f t="shared" si="0"/>
        <v>715.41</v>
      </c>
      <c r="AH8" s="93">
        <f t="shared" si="0"/>
        <v>44131.75</v>
      </c>
      <c r="AI8" s="131">
        <f t="shared" si="0"/>
        <v>0</v>
      </c>
      <c r="AJ8" s="93">
        <f t="shared" si="0"/>
        <v>44131.75</v>
      </c>
      <c r="AK8" s="93">
        <f t="shared" si="0"/>
        <v>0</v>
      </c>
      <c r="AL8" s="93">
        <f t="shared" si="0"/>
        <v>44847.16</v>
      </c>
      <c r="AM8" s="124"/>
      <c r="AN8" s="124"/>
      <c r="AO8" s="124"/>
      <c r="AP8" s="124"/>
      <c r="AQ8" s="124"/>
      <c r="AR8" s="64"/>
      <c r="AS8" s="64"/>
      <c r="AT8" s="130"/>
    </row>
    <row r="11" spans="30:30">
      <c r="AD11" s="115"/>
    </row>
    <row r="12" ht="18.75" customHeight="1" spans="2:30">
      <c r="B12" s="66" t="s">
        <v>64</v>
      </c>
      <c r="C12" s="66" t="s">
        <v>92</v>
      </c>
      <c r="D12" s="66" t="s">
        <v>65</v>
      </c>
      <c r="E12" s="66" t="s">
        <v>93</v>
      </c>
      <c r="AD12" s="29"/>
    </row>
    <row r="13" ht="18.75" customHeight="1" spans="2:5">
      <c r="B13" s="67">
        <f>AJ8</f>
        <v>44131.75</v>
      </c>
      <c r="C13" s="67">
        <f>AG8</f>
        <v>715.41</v>
      </c>
      <c r="D13" s="67">
        <f>AK8</f>
        <v>0</v>
      </c>
      <c r="E13" s="67">
        <f>B13+C13+D13</f>
        <v>44847.16</v>
      </c>
    </row>
    <row r="14" spans="2:5">
      <c r="B14" s="68"/>
      <c r="C14" s="68"/>
      <c r="D14" s="68"/>
      <c r="E14" s="68"/>
    </row>
    <row r="15" s="33" customFormat="1" spans="1:35">
      <c r="A15" s="69" t="s">
        <v>94</v>
      </c>
      <c r="B15" s="70" t="s">
        <v>95</v>
      </c>
      <c r="C15" s="71"/>
      <c r="D15" s="71"/>
      <c r="E15" s="71"/>
      <c r="G15" s="72"/>
      <c r="J15" s="94"/>
      <c r="M15" s="95"/>
      <c r="AI15" s="125"/>
    </row>
    <row r="16" s="33" customFormat="1" spans="1:35">
      <c r="A16" s="73"/>
      <c r="B16" s="74" t="s">
        <v>96</v>
      </c>
      <c r="C16" s="71"/>
      <c r="D16" s="71"/>
      <c r="E16" s="71"/>
      <c r="G16" s="72"/>
      <c r="J16" s="94"/>
      <c r="M16" s="95"/>
      <c r="AI16" s="125"/>
    </row>
    <row r="17" s="33" customFormat="1" spans="1:35">
      <c r="A17" s="70"/>
      <c r="B17" s="74" t="s">
        <v>97</v>
      </c>
      <c r="C17" s="75"/>
      <c r="D17" s="75"/>
      <c r="E17" s="75"/>
      <c r="F17" s="75"/>
      <c r="G17" s="75"/>
      <c r="H17" s="75"/>
      <c r="I17" s="75"/>
      <c r="J17" s="96"/>
      <c r="K17" s="75"/>
      <c r="L17" s="75"/>
      <c r="M17" s="97"/>
      <c r="N17" s="75"/>
      <c r="O17" s="75"/>
      <c r="P17" s="75"/>
      <c r="AI17" s="125"/>
    </row>
    <row r="18" s="33" customFormat="1" customHeight="1" spans="1:35">
      <c r="A18" s="74"/>
      <c r="B18" s="74" t="s">
        <v>98</v>
      </c>
      <c r="C18" s="76"/>
      <c r="D18" s="76"/>
      <c r="E18" s="76"/>
      <c r="F18" s="76"/>
      <c r="G18" s="76"/>
      <c r="H18" s="76"/>
      <c r="I18" s="98"/>
      <c r="J18" s="99"/>
      <c r="K18" s="98"/>
      <c r="L18" s="98"/>
      <c r="M18" s="100"/>
      <c r="N18" s="98"/>
      <c r="O18" s="98"/>
      <c r="P18" s="98"/>
      <c r="AI18" s="125"/>
    </row>
    <row r="19" s="33" customFormat="1" customHeight="1" spans="1:35">
      <c r="A19" s="74"/>
      <c r="B19" s="74" t="s">
        <v>99</v>
      </c>
      <c r="C19" s="76"/>
      <c r="D19" s="76"/>
      <c r="E19" s="76"/>
      <c r="F19" s="76"/>
      <c r="G19" s="76"/>
      <c r="H19" s="76"/>
      <c r="I19" s="76"/>
      <c r="J19" s="101"/>
      <c r="K19" s="76"/>
      <c r="L19" s="98"/>
      <c r="M19" s="100"/>
      <c r="N19" s="98"/>
      <c r="O19" s="98"/>
      <c r="P19" s="98"/>
      <c r="AI19" s="125"/>
    </row>
    <row r="20" s="33" customFormat="1" customHeight="1" spans="1:35">
      <c r="A20" s="74"/>
      <c r="B20" s="74" t="s">
        <v>100</v>
      </c>
      <c r="C20" s="76"/>
      <c r="D20" s="76"/>
      <c r="E20" s="76"/>
      <c r="F20" s="76"/>
      <c r="G20" s="76"/>
      <c r="H20" s="76"/>
      <c r="I20" s="98"/>
      <c r="J20" s="99"/>
      <c r="K20" s="98"/>
      <c r="L20" s="98"/>
      <c r="M20" s="100"/>
      <c r="N20" s="98"/>
      <c r="O20" s="98"/>
      <c r="P20" s="98"/>
      <c r="AI20" s="125"/>
    </row>
    <row r="22" ht="11.25" customHeight="1" spans="2:2">
      <c r="B22" s="77" t="s">
        <v>101</v>
      </c>
    </row>
    <row r="23" spans="2:2">
      <c r="B23" s="78" t="s">
        <v>102</v>
      </c>
    </row>
    <row r="24" spans="2:2">
      <c r="B24" s="78" t="s">
        <v>103</v>
      </c>
    </row>
  </sheetData>
  <autoFilter ref="A3:AT8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0">
    <cfRule type="duplicateValues" dxfId="2" priority="2" stopIfTrue="1"/>
  </conditionalFormatting>
  <conditionalFormatting sqref="B15:B19">
    <cfRule type="duplicateValues" dxfId="2" priority="3" stopIfTrue="1"/>
  </conditionalFormatting>
  <conditionalFormatting sqref="B23:B24">
    <cfRule type="duplicateValues" dxfId="2" priority="1" stopIfTrue="1"/>
  </conditionalFormatting>
  <conditionalFormatting sqref="C12:C14">
    <cfRule type="duplicateValues" dxfId="2" priority="4" stopIfTrue="1"/>
    <cfRule type="expression" dxfId="3" priority="5" stopIfTrue="1">
      <formula>AND(COUNTIF($B$8:$B$65444,C12)+COUNTIF($B$1:$B$3,C12)&gt;1,NOT(ISBLANK(C12)))</formula>
    </cfRule>
    <cfRule type="expression" dxfId="3" priority="6" stopIfTrue="1">
      <formula>AND(COUNTIF($B$19:$B$65395,C12)+COUNTIF($B$1:$B$18,C12)&gt;1,NOT(ISBLANK(C12)))</formula>
    </cfRule>
    <cfRule type="expression" dxfId="3" priority="7" stopIfTrue="1">
      <formula>AND(COUNTIF($B$8:$B$65433,C12)+COUNTIF($B$1:$B$3,C12)&gt;1,NOT(ISBLANK(C12)))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5"/>
  <sheetViews>
    <sheetView workbookViewId="0">
      <pane xSplit="6" ySplit="3" topLeftCell="S4" activePane="bottomRight" state="frozen"/>
      <selection/>
      <selection pane="topRight"/>
      <selection pane="bottomLeft"/>
      <selection pane="bottomRight" activeCell="B4" sqref="B4:P8"/>
    </sheetView>
  </sheetViews>
  <sheetFormatPr defaultColWidth="9" defaultRowHeight="13.5"/>
  <cols>
    <col min="1" max="1" width="4.5" style="34" customWidth="1"/>
    <col min="2" max="2" width="12.625" style="34" customWidth="1"/>
    <col min="3" max="3" width="10.5" style="34" customWidth="1"/>
    <col min="4" max="4" width="8.75" style="34" customWidth="1"/>
    <col min="5" max="5" width="19.5" style="35" customWidth="1"/>
    <col min="6" max="6" width="9" style="34"/>
    <col min="7" max="7" width="11.875" style="36" customWidth="1"/>
    <col min="8" max="8" width="4.625" style="34" hidden="1" customWidth="1"/>
    <col min="9" max="9" width="5.25" style="34" hidden="1" customWidth="1"/>
    <col min="10" max="10" width="11.75" style="37" customWidth="1"/>
    <col min="11" max="11" width="5.25" style="34" customWidth="1"/>
    <col min="12" max="12" width="11.75" style="34" customWidth="1"/>
    <col min="13" max="13" width="12.5" style="34" customWidth="1" outlineLevel="1"/>
    <col min="14" max="15" width="9" style="34" customWidth="1" outlineLevel="1"/>
    <col min="16" max="16" width="11.125" style="34" customWidth="1" outlineLevel="1"/>
    <col min="17" max="17" width="9.75" style="34" customWidth="1"/>
    <col min="18" max="18" width="9.5" style="34" customWidth="1"/>
    <col min="19" max="19" width="13.375" style="34" customWidth="1"/>
    <col min="20" max="21" width="12.25" style="34" customWidth="1"/>
    <col min="22" max="27" width="9" style="34" customWidth="1" outlineLevel="1"/>
    <col min="28" max="28" width="11.25" style="34" customWidth="1"/>
    <col min="29" max="29" width="8.5" style="34" customWidth="1"/>
    <col min="30" max="30" width="15.25" style="34" customWidth="1"/>
    <col min="31" max="31" width="14" style="34" customWidth="1"/>
    <col min="32" max="32" width="10.75" style="34" customWidth="1"/>
    <col min="33" max="33" width="12.25" style="34" customWidth="1"/>
    <col min="34" max="34" width="11.5" style="34" customWidth="1"/>
    <col min="35" max="35" width="7.875" style="38" customWidth="1"/>
    <col min="36" max="36" width="11.5" style="34" customWidth="1"/>
    <col min="37" max="37" width="9" style="34"/>
    <col min="38" max="38" width="11.5" style="34" customWidth="1"/>
    <col min="39" max="40" width="9" style="34" customWidth="1"/>
    <col min="41" max="41" width="19" style="34" customWidth="1"/>
    <col min="42" max="42" width="12.25" style="34" customWidth="1"/>
    <col min="43" max="43" width="9" style="34"/>
    <col min="44" max="44" width="7" style="34" customWidth="1"/>
    <col min="45" max="45" width="6.75" style="34" customWidth="1"/>
    <col min="46" max="46" width="6.125" style="34" customWidth="1"/>
    <col min="47" max="16384" width="9" style="34"/>
  </cols>
  <sheetData>
    <row r="1" s="29" customFormat="1" ht="29.25" customHeight="1" spans="1:45">
      <c r="A1" s="39" t="s">
        <v>36</v>
      </c>
      <c r="B1" s="40"/>
      <c r="C1" s="41"/>
      <c r="D1" s="42"/>
      <c r="E1" s="43"/>
      <c r="F1" s="43"/>
      <c r="G1" s="44"/>
      <c r="J1" s="79"/>
      <c r="L1" s="80"/>
      <c r="M1" s="81" t="s">
        <v>37</v>
      </c>
      <c r="N1" s="81"/>
      <c r="O1" s="81"/>
      <c r="P1" s="81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80"/>
      <c r="AE1" s="80"/>
      <c r="AF1" s="80"/>
      <c r="AG1" s="80"/>
      <c r="AH1" s="80"/>
      <c r="AI1" s="116"/>
      <c r="AJ1" s="80"/>
      <c r="AK1" s="80"/>
      <c r="AL1" s="80"/>
      <c r="AM1" s="43"/>
      <c r="AN1" s="43"/>
      <c r="AO1" s="126"/>
      <c r="AP1" s="43"/>
      <c r="AQ1" s="43"/>
      <c r="AR1" s="43"/>
      <c r="AS1" s="43"/>
    </row>
    <row r="2" s="30" customFormat="1" ht="20.1" customHeight="1" spans="1:46">
      <c r="A2" s="45" t="s">
        <v>18</v>
      </c>
      <c r="B2" s="46" t="s">
        <v>38</v>
      </c>
      <c r="C2" s="47" t="s">
        <v>39</v>
      </c>
      <c r="D2" s="47" t="s">
        <v>40</v>
      </c>
      <c r="E2" s="48" t="s">
        <v>41</v>
      </c>
      <c r="F2" s="49" t="s">
        <v>42</v>
      </c>
      <c r="G2" s="48" t="s">
        <v>43</v>
      </c>
      <c r="H2" s="48" t="s">
        <v>44</v>
      </c>
      <c r="I2" s="48" t="s">
        <v>45</v>
      </c>
      <c r="J2" s="82" t="s">
        <v>46</v>
      </c>
      <c r="K2" s="48" t="s">
        <v>47</v>
      </c>
      <c r="L2" s="48" t="s">
        <v>48</v>
      </c>
      <c r="M2" s="83" t="s">
        <v>49</v>
      </c>
      <c r="N2" s="84"/>
      <c r="O2" s="84"/>
      <c r="P2" s="85"/>
      <c r="Q2" s="49" t="s">
        <v>50</v>
      </c>
      <c r="R2" s="48" t="s">
        <v>51</v>
      </c>
      <c r="S2" s="49" t="s">
        <v>52</v>
      </c>
      <c r="T2" s="103" t="s">
        <v>53</v>
      </c>
      <c r="U2" s="49" t="s">
        <v>54</v>
      </c>
      <c r="V2" s="104" t="s">
        <v>55</v>
      </c>
      <c r="W2" s="105"/>
      <c r="X2" s="105"/>
      <c r="Y2" s="105"/>
      <c r="Z2" s="105"/>
      <c r="AA2" s="111"/>
      <c r="AB2" s="49" t="s">
        <v>56</v>
      </c>
      <c r="AC2" s="49" t="s">
        <v>57</v>
      </c>
      <c r="AD2" s="103" t="s">
        <v>58</v>
      </c>
      <c r="AE2" s="103" t="s">
        <v>59</v>
      </c>
      <c r="AF2" s="103" t="s">
        <v>60</v>
      </c>
      <c r="AG2" s="103" t="s">
        <v>61</v>
      </c>
      <c r="AH2" s="117" t="s">
        <v>62</v>
      </c>
      <c r="AI2" s="118" t="s">
        <v>63</v>
      </c>
      <c r="AJ2" s="117" t="s">
        <v>64</v>
      </c>
      <c r="AK2" s="47" t="s">
        <v>65</v>
      </c>
      <c r="AL2" s="117" t="s">
        <v>66</v>
      </c>
      <c r="AM2" s="48" t="s">
        <v>67</v>
      </c>
      <c r="AN2" s="48" t="s">
        <v>68</v>
      </c>
      <c r="AO2" s="127" t="s">
        <v>69</v>
      </c>
      <c r="AP2" s="48" t="s">
        <v>70</v>
      </c>
      <c r="AQ2" s="48" t="s">
        <v>71</v>
      </c>
      <c r="AR2" s="49" t="s">
        <v>72</v>
      </c>
      <c r="AS2" s="49" t="s">
        <v>73</v>
      </c>
      <c r="AT2" s="49" t="s">
        <v>74</v>
      </c>
    </row>
    <row r="3" s="30" customFormat="1" ht="27" customHeight="1" spans="1:46">
      <c r="A3" s="50"/>
      <c r="B3" s="51"/>
      <c r="C3" s="52"/>
      <c r="D3" s="52"/>
      <c r="E3" s="53"/>
      <c r="F3" s="54"/>
      <c r="G3" s="53"/>
      <c r="H3" s="53"/>
      <c r="I3" s="53"/>
      <c r="J3" s="86"/>
      <c r="K3" s="53"/>
      <c r="L3" s="53"/>
      <c r="M3" s="87" t="s">
        <v>75</v>
      </c>
      <c r="N3" s="87" t="s">
        <v>76</v>
      </c>
      <c r="O3" s="87" t="s">
        <v>77</v>
      </c>
      <c r="P3" s="87" t="s">
        <v>78</v>
      </c>
      <c r="Q3" s="54"/>
      <c r="R3" s="53"/>
      <c r="S3" s="54"/>
      <c r="T3" s="106"/>
      <c r="U3" s="54"/>
      <c r="V3" s="107" t="s">
        <v>79</v>
      </c>
      <c r="W3" s="107" t="s">
        <v>80</v>
      </c>
      <c r="X3" s="107" t="s">
        <v>81</v>
      </c>
      <c r="Y3" s="107" t="s">
        <v>82</v>
      </c>
      <c r="Z3" s="107" t="s">
        <v>83</v>
      </c>
      <c r="AA3" s="107" t="s">
        <v>84</v>
      </c>
      <c r="AB3" s="54"/>
      <c r="AC3" s="54"/>
      <c r="AD3" s="106"/>
      <c r="AE3" s="106"/>
      <c r="AF3" s="106"/>
      <c r="AG3" s="106"/>
      <c r="AH3" s="119"/>
      <c r="AI3" s="120"/>
      <c r="AJ3" s="119"/>
      <c r="AK3" s="52"/>
      <c r="AL3" s="119"/>
      <c r="AM3" s="53"/>
      <c r="AN3" s="53"/>
      <c r="AO3" s="128"/>
      <c r="AP3" s="53"/>
      <c r="AQ3" s="53"/>
      <c r="AR3" s="54"/>
      <c r="AS3" s="54"/>
      <c r="AT3" s="54"/>
    </row>
    <row r="4" s="31" customFormat="1" ht="18" customHeight="1" spans="1:46">
      <c r="A4" s="55">
        <v>1</v>
      </c>
      <c r="B4" s="56" t="s">
        <v>85</v>
      </c>
      <c r="C4" s="56" t="s">
        <v>86</v>
      </c>
      <c r="D4" s="56" t="s">
        <v>87</v>
      </c>
      <c r="E4" s="56" t="s">
        <v>88</v>
      </c>
      <c r="F4" s="57" t="s">
        <v>210</v>
      </c>
      <c r="G4" s="58">
        <v>18035163638</v>
      </c>
      <c r="H4" s="59"/>
      <c r="I4" s="59"/>
      <c r="J4" s="88"/>
      <c r="K4" s="59"/>
      <c r="L4" s="89">
        <v>7700</v>
      </c>
      <c r="M4" s="90">
        <v>264</v>
      </c>
      <c r="N4" s="90">
        <v>66</v>
      </c>
      <c r="O4" s="90">
        <v>9.9</v>
      </c>
      <c r="P4" s="90">
        <v>180</v>
      </c>
      <c r="Q4" s="108">
        <f>ROUND(SUM(M4:P4),2)</f>
        <v>519.9</v>
      </c>
      <c r="R4" s="89">
        <v>0</v>
      </c>
      <c r="S4" s="109">
        <f>L4+IFERROR(VLOOKUP($E:$E,'（居民）工资表-6月'!$E:$S,15,0),0)</f>
        <v>57550</v>
      </c>
      <c r="T4" s="110">
        <f>5000+IFERROR(VLOOKUP($E:$E,'（居民）工资表-6月'!$E:$T,16,0),0)</f>
        <v>35000</v>
      </c>
      <c r="U4" s="110">
        <f>Q4+IFERROR(VLOOKUP($E:$E,'（居民）工资表-6月'!$E:$U,17,0),0)</f>
        <v>3639.3</v>
      </c>
      <c r="V4" s="89"/>
      <c r="W4" s="89"/>
      <c r="X4" s="89">
        <v>7000</v>
      </c>
      <c r="Y4" s="89"/>
      <c r="Z4" s="89"/>
      <c r="AA4" s="89"/>
      <c r="AB4" s="109">
        <f>ROUND(SUM(V4:AA4),2)</f>
        <v>7000</v>
      </c>
      <c r="AC4" s="109">
        <f>R4+IFERROR(VLOOKUP($E:$E,'（居民）工资表-6月'!$E:$AC,25,0),0)</f>
        <v>0</v>
      </c>
      <c r="AD4" s="112">
        <f>ROUND(S4-T4-U4-AB4-AC4,2)</f>
        <v>11910.7</v>
      </c>
      <c r="AE4" s="113">
        <f>ROUND(MAX((AD4)*{0.03;0.1;0.2;0.25;0.3;0.35;0.45}-{0;2520;16920;31920;52920;85920;181920},0),2)</f>
        <v>357.32</v>
      </c>
      <c r="AF4" s="114">
        <f>IFERROR(VLOOKUP(E:E,'（居民）工资表-6月'!E:AF,28,0)+VLOOKUP(E:E,'（居民）工资表-6月'!E:AG,29,0),0)</f>
        <v>321.92</v>
      </c>
      <c r="AG4" s="114">
        <f>IF((AE4-AF4)&lt;0,0,AE4-AF4)</f>
        <v>35.4</v>
      </c>
      <c r="AH4" s="121">
        <f>ROUND(IF((L4-Q4-AG4)&lt;0,0,(L4-Q4-AG4)),2)</f>
        <v>7144.7</v>
      </c>
      <c r="AI4" s="122"/>
      <c r="AJ4" s="121">
        <f>AH4+AI4</f>
        <v>7144.7</v>
      </c>
      <c r="AK4" s="123"/>
      <c r="AL4" s="121">
        <f>AJ4+AG4+AK4</f>
        <v>7180.1</v>
      </c>
      <c r="AM4" s="123"/>
      <c r="AN4" s="123"/>
      <c r="AO4" s="123"/>
      <c r="AP4" s="123"/>
      <c r="AQ4" s="123"/>
      <c r="AR4" s="129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29" t="str">
        <f>IF(SUMPRODUCT(N(E$1:E$8=E4))&gt;1,"重复","不")</f>
        <v>不</v>
      </c>
      <c r="AT4" s="129" t="str">
        <f>IF(SUMPRODUCT(N(AO$1:AO$8=AO4))&gt;1,"重复","不")</f>
        <v>重复</v>
      </c>
    </row>
    <row r="5" s="31" customFormat="1" ht="18" customHeight="1" spans="1:46">
      <c r="A5" s="55">
        <v>2</v>
      </c>
      <c r="B5" s="56" t="s">
        <v>85</v>
      </c>
      <c r="C5" s="56" t="s">
        <v>89</v>
      </c>
      <c r="D5" s="56" t="s">
        <v>87</v>
      </c>
      <c r="E5" s="390" t="s">
        <v>90</v>
      </c>
      <c r="F5" s="57" t="s">
        <v>211</v>
      </c>
      <c r="G5" s="58">
        <v>13926009696</v>
      </c>
      <c r="H5" s="59"/>
      <c r="I5" s="59"/>
      <c r="J5" s="88"/>
      <c r="K5" s="59"/>
      <c r="L5" s="89">
        <v>4745.45454545455</v>
      </c>
      <c r="M5" s="90">
        <v>304.24</v>
      </c>
      <c r="N5" s="90">
        <v>123.5</v>
      </c>
      <c r="O5" s="90">
        <v>7.61</v>
      </c>
      <c r="P5" s="90">
        <v>0</v>
      </c>
      <c r="Q5" s="108">
        <f>ROUND(SUM(M5:P5),2)</f>
        <v>435.35</v>
      </c>
      <c r="R5" s="89">
        <v>0</v>
      </c>
      <c r="S5" s="109">
        <f>L5+IFERROR(VLOOKUP($E:$E,'（居民）工资表-6月'!$E:$S,15,0),0)</f>
        <v>27945.4545454546</v>
      </c>
      <c r="T5" s="110">
        <f>5000+IFERROR(VLOOKUP($E:$E,'（居民）工资表-6月'!$E:$T,16,0),0)</f>
        <v>25000</v>
      </c>
      <c r="U5" s="110">
        <f>Q5+IFERROR(VLOOKUP($E:$E,'（居民）工资表-6月'!$E:$U,17,0),0)</f>
        <v>2176.75</v>
      </c>
      <c r="V5" s="89"/>
      <c r="W5" s="89"/>
      <c r="X5" s="89"/>
      <c r="Y5" s="89"/>
      <c r="Z5" s="89"/>
      <c r="AA5" s="89"/>
      <c r="AB5" s="109">
        <f>ROUND(SUM(V5:AA5),2)</f>
        <v>0</v>
      </c>
      <c r="AC5" s="109">
        <f>R5+IFERROR(VLOOKUP($E:$E,'（居民）工资表-6月'!$E:$AC,25,0),0)</f>
        <v>0</v>
      </c>
      <c r="AD5" s="112">
        <f>ROUND(S5-T5-U5-AB5-AC5,2)</f>
        <v>768.7</v>
      </c>
      <c r="AE5" s="113">
        <f>ROUND(MAX((AD5)*{0.03;0.1;0.2;0.25;0.3;0.35;0.45}-{0;2520;16920;31920;52920;85920;181920},0),2)</f>
        <v>23.06</v>
      </c>
      <c r="AF5" s="114">
        <f>IFERROR(VLOOKUP(E:E,'（居民）工资表-6月'!E:AF,28,0)+VLOOKUP(E:E,'（居民）工资表-6月'!E:AG,29,0),0)</f>
        <v>43.76</v>
      </c>
      <c r="AG5" s="114">
        <f>IF((AE5-AF5)&lt;0,0,AE5-AF5)</f>
        <v>0</v>
      </c>
      <c r="AH5" s="121">
        <f>ROUND(IF((L5-Q5-AG5)&lt;0,0,(L5-Q5-AG5)),2)</f>
        <v>4310.1</v>
      </c>
      <c r="AI5" s="122"/>
      <c r="AJ5" s="121">
        <f>AH5+AI5</f>
        <v>4310.1</v>
      </c>
      <c r="AK5" s="123"/>
      <c r="AL5" s="121">
        <f>AJ5+AG5+AK5</f>
        <v>4310.1</v>
      </c>
      <c r="AM5" s="123"/>
      <c r="AN5" s="123"/>
      <c r="AO5" s="123"/>
      <c r="AP5" s="123"/>
      <c r="AQ5" s="123"/>
      <c r="AR5" s="129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29" t="str">
        <f>IF(SUMPRODUCT(N(E$1:E$8=E5))&gt;1,"重复","不")</f>
        <v>不</v>
      </c>
      <c r="AT5" s="129" t="str">
        <f>IF(SUMPRODUCT(N(AO$1:AO$8=AO5))&gt;1,"重复","不")</f>
        <v>重复</v>
      </c>
    </row>
    <row r="6" s="31" customFormat="1" ht="18" customHeight="1" spans="1:46">
      <c r="A6" s="55">
        <v>3</v>
      </c>
      <c r="B6" s="56" t="s">
        <v>85</v>
      </c>
      <c r="C6" s="56" t="s">
        <v>154</v>
      </c>
      <c r="D6" s="56" t="s">
        <v>87</v>
      </c>
      <c r="E6" s="56" t="s">
        <v>155</v>
      </c>
      <c r="F6" s="57" t="s">
        <v>210</v>
      </c>
      <c r="G6" s="58">
        <v>13944441728</v>
      </c>
      <c r="H6" s="59"/>
      <c r="I6" s="59"/>
      <c r="J6" s="88"/>
      <c r="K6" s="59"/>
      <c r="L6" s="89">
        <v>7000</v>
      </c>
      <c r="M6" s="90">
        <v>244.24</v>
      </c>
      <c r="N6" s="90">
        <v>61.06</v>
      </c>
      <c r="O6" s="90">
        <v>9.16</v>
      </c>
      <c r="P6" s="90">
        <v>79</v>
      </c>
      <c r="Q6" s="108">
        <f>ROUND(SUM(M6:P6),2)</f>
        <v>393.46</v>
      </c>
      <c r="R6" s="89">
        <v>0</v>
      </c>
      <c r="S6" s="109">
        <f>L6+IFERROR(VLOOKUP($E:$E,'（居民）工资表-6月'!$E:$S,15,0),0)</f>
        <v>28140</v>
      </c>
      <c r="T6" s="110">
        <f>5000+IFERROR(VLOOKUP($E:$E,'（居民）工资表-6月'!$E:$T,16,0),0)</f>
        <v>20000</v>
      </c>
      <c r="U6" s="110">
        <f>Q6+IFERROR(VLOOKUP($E:$E,'（居民）工资表-6月'!$E:$U,17,0),0)</f>
        <v>1967.3</v>
      </c>
      <c r="V6" s="89"/>
      <c r="W6" s="89"/>
      <c r="X6" s="89"/>
      <c r="Y6" s="89"/>
      <c r="Z6" s="89"/>
      <c r="AA6" s="89"/>
      <c r="AB6" s="109">
        <f>ROUND(SUM(V6:AA6),2)</f>
        <v>0</v>
      </c>
      <c r="AC6" s="109">
        <f>R6+IFERROR(VLOOKUP($E:$E,'（居民）工资表-6月'!$E:$AC,25,0),0)</f>
        <v>0</v>
      </c>
      <c r="AD6" s="112">
        <f>ROUND(S6-T6-U6-AB6-AC6,2)</f>
        <v>6172.7</v>
      </c>
      <c r="AE6" s="113">
        <f>ROUND(MAX((AD6)*{0.03;0.1;0.2;0.25;0.3;0.35;0.45}-{0;2520;16920;31920;52920;85920;181920},0),2)</f>
        <v>185.18</v>
      </c>
      <c r="AF6" s="114">
        <f>IFERROR(VLOOKUP(E:E,'（居民）工资表-6月'!E:AF,28,0)+VLOOKUP(E:E,'（居民）工资表-6月'!E:AG,29,0),0)</f>
        <v>136.98</v>
      </c>
      <c r="AG6" s="114">
        <f>IF((AE6-AF6)&lt;0,0,AE6-AF6)</f>
        <v>48.2</v>
      </c>
      <c r="AH6" s="121">
        <f>ROUND(IF((L6-Q6-AG6)&lt;0,0,(L6-Q6-AG6)),2)</f>
        <v>6558.34</v>
      </c>
      <c r="AI6" s="122"/>
      <c r="AJ6" s="121">
        <f>AH6+AI6</f>
        <v>6558.34</v>
      </c>
      <c r="AK6" s="123"/>
      <c r="AL6" s="121">
        <f>AJ6+AG6+AK6</f>
        <v>6606.54</v>
      </c>
      <c r="AM6" s="123"/>
      <c r="AN6" s="123"/>
      <c r="AO6" s="123"/>
      <c r="AP6" s="123"/>
      <c r="AQ6" s="123"/>
      <c r="AR6" s="129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29" t="str">
        <f>IF(SUMPRODUCT(N(E$1:E$8=E6))&gt;1,"重复","不")</f>
        <v>不</v>
      </c>
      <c r="AT6" s="129" t="str">
        <f>IF(SUMPRODUCT(N(AO$1:AO$8=AO6))&gt;1,"重复","不")</f>
        <v>重复</v>
      </c>
    </row>
    <row r="7" s="31" customFormat="1" ht="18" customHeight="1" spans="1:46">
      <c r="A7" s="55">
        <v>4</v>
      </c>
      <c r="B7" s="56" t="s">
        <v>85</v>
      </c>
      <c r="C7" s="56" t="s">
        <v>160</v>
      </c>
      <c r="D7" s="56" t="s">
        <v>87</v>
      </c>
      <c r="E7" s="390" t="s">
        <v>161</v>
      </c>
      <c r="F7" s="57" t="s">
        <v>210</v>
      </c>
      <c r="G7" s="58">
        <v>18607383005</v>
      </c>
      <c r="H7" s="59"/>
      <c r="I7" s="59"/>
      <c r="J7" s="88"/>
      <c r="K7" s="59"/>
      <c r="L7" s="89">
        <v>24800</v>
      </c>
      <c r="M7" s="90">
        <f>320</f>
        <v>320</v>
      </c>
      <c r="N7" s="90">
        <f>80</f>
        <v>80</v>
      </c>
      <c r="O7" s="90">
        <f>12</f>
        <v>12</v>
      </c>
      <c r="P7" s="90">
        <v>200</v>
      </c>
      <c r="Q7" s="108">
        <f>ROUND(SUM(M7:P7),2)</f>
        <v>612</v>
      </c>
      <c r="R7" s="89">
        <v>0</v>
      </c>
      <c r="S7" s="109">
        <f>L7+IFERROR(VLOOKUP($E:$E,'（居民）工资表-6月'!$E:$S,15,0),0)</f>
        <v>61704.76</v>
      </c>
      <c r="T7" s="110">
        <f>5000+IFERROR(VLOOKUP($E:$E,'（居民）工资表-6月'!$E:$T,16,0),0)</f>
        <v>15000</v>
      </c>
      <c r="U7" s="110">
        <f>Q7+IFERROR(VLOOKUP($E:$E,'（居民）工资表-6月'!$E:$U,17,0),0)</f>
        <v>1922.67</v>
      </c>
      <c r="V7" s="89"/>
      <c r="W7" s="89"/>
      <c r="X7" s="89"/>
      <c r="Y7" s="89"/>
      <c r="Z7" s="89"/>
      <c r="AA7" s="89"/>
      <c r="AB7" s="109">
        <f>ROUND(SUM(V7:AA7),2)</f>
        <v>0</v>
      </c>
      <c r="AC7" s="109">
        <f>R7+IFERROR(VLOOKUP($E:$E,'（居民）工资表-6月'!$E:$AC,25,0),0)</f>
        <v>0</v>
      </c>
      <c r="AD7" s="112">
        <f>ROUND(S7-T7-U7-AB7-AC7,2)</f>
        <v>44782.09</v>
      </c>
      <c r="AE7" s="113">
        <f>ROUND(MAX((AD7)*{0.03;0.1;0.2;0.25;0.3;0.35;0.45}-{0;2520;16920;31920;52920;85920;181920},0),2)</f>
        <v>1958.21</v>
      </c>
      <c r="AF7" s="114">
        <f>IFERROR(VLOOKUP(E:E,'（居民）工资表-6月'!E:AF,28,0)+VLOOKUP(E:E,'（居民）工资表-6月'!E:AG,29,0),0)</f>
        <v>767.82</v>
      </c>
      <c r="AG7" s="114">
        <f>IF((AE7-AF7)&lt;0,0,AE7-AF7)</f>
        <v>1190.39</v>
      </c>
      <c r="AH7" s="121">
        <f>ROUND(IF((L7-Q7-AG7)&lt;0,0,(L7-Q7-AG7)),2)</f>
        <v>22997.61</v>
      </c>
      <c r="AI7" s="122"/>
      <c r="AJ7" s="121">
        <f>AH7+AI7</f>
        <v>22997.61</v>
      </c>
      <c r="AK7" s="123"/>
      <c r="AL7" s="121">
        <f>AJ7+AG7+AK7</f>
        <v>24188</v>
      </c>
      <c r="AM7" s="123"/>
      <c r="AN7" s="123"/>
      <c r="AO7" s="123"/>
      <c r="AP7" s="123"/>
      <c r="AQ7" s="123"/>
      <c r="AR7" s="129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29" t="str">
        <f>IF(SUMPRODUCT(N(E$1:E$8=E7))&gt;1,"重复","不")</f>
        <v>不</v>
      </c>
      <c r="AT7" s="129" t="str">
        <f>IF(SUMPRODUCT(N(AO$1:AO$8=AO7))&gt;1,"重复","不")</f>
        <v>重复</v>
      </c>
    </row>
    <row r="8" s="31" customFormat="1" ht="18" customHeight="1" spans="1:46">
      <c r="A8" s="55">
        <v>5</v>
      </c>
      <c r="B8" s="56" t="s">
        <v>85</v>
      </c>
      <c r="C8" s="56" t="s">
        <v>170</v>
      </c>
      <c r="D8" s="56" t="s">
        <v>87</v>
      </c>
      <c r="E8" s="390" t="s">
        <v>171</v>
      </c>
      <c r="F8" s="57" t="str">
        <f>IF(MOD(MID(E8,17,1),2)=1,"男","女")</f>
        <v>女</v>
      </c>
      <c r="G8" s="58">
        <v>15360550807</v>
      </c>
      <c r="H8" s="59"/>
      <c r="I8" s="59"/>
      <c r="J8" s="88"/>
      <c r="K8" s="59"/>
      <c r="L8" s="89">
        <v>3523.63636363636</v>
      </c>
      <c r="M8" s="90"/>
      <c r="N8" s="90"/>
      <c r="O8" s="90"/>
      <c r="P8" s="90"/>
      <c r="Q8" s="108">
        <f>ROUND(SUM(M8:P8),2)</f>
        <v>0</v>
      </c>
      <c r="R8" s="89">
        <v>0</v>
      </c>
      <c r="S8" s="109">
        <f>L8+IFERROR(VLOOKUP($E:$E,'（居民）工资表-6月'!$E:$S,15,0),0)</f>
        <v>3523.63636363636</v>
      </c>
      <c r="T8" s="110">
        <f>5000+IFERROR(VLOOKUP($E:$E,'（居民）工资表-6月'!$E:$T,16,0),0)</f>
        <v>5000</v>
      </c>
      <c r="U8" s="110">
        <f>Q8+IFERROR(VLOOKUP($E:$E,'（居民）工资表-6月'!$E:$U,17,0),0)</f>
        <v>0</v>
      </c>
      <c r="V8" s="89"/>
      <c r="W8" s="89"/>
      <c r="X8" s="89"/>
      <c r="Y8" s="89"/>
      <c r="Z8" s="89"/>
      <c r="AA8" s="89"/>
      <c r="AB8" s="109">
        <f>ROUND(SUM(V8:AA8),2)</f>
        <v>0</v>
      </c>
      <c r="AC8" s="109">
        <f>R8+IFERROR(VLOOKUP($E:$E,'（居民）工资表-6月'!$E:$AC,25,0),0)</f>
        <v>0</v>
      </c>
      <c r="AD8" s="112">
        <f>ROUND(S8-T8-U8-AB8-AC8,2)</f>
        <v>-1476.36</v>
      </c>
      <c r="AE8" s="113">
        <f>ROUND(MAX((AD8)*{0.03;0.1;0.2;0.25;0.3;0.35;0.45}-{0;2520;16920;31920;52920;85920;181920},0),2)</f>
        <v>0</v>
      </c>
      <c r="AF8" s="114">
        <f>IFERROR(VLOOKUP(E:E,'（居民）工资表-6月'!E:AF,28,0)+VLOOKUP(E:E,'（居民）工资表-6月'!E:AG,29,0),0)</f>
        <v>0</v>
      </c>
      <c r="AG8" s="114">
        <f>IF((AE8-AF8)&lt;0,0,AE8-AF8)</f>
        <v>0</v>
      </c>
      <c r="AH8" s="121">
        <f>ROUND(IF((L8-Q8-AG8)&lt;0,0,(L8-Q8-AG8)),2)</f>
        <v>3523.64</v>
      </c>
      <c r="AI8" s="122"/>
      <c r="AJ8" s="121">
        <f>AH8+AI8</f>
        <v>3523.64</v>
      </c>
      <c r="AK8" s="123"/>
      <c r="AL8" s="121">
        <f>AJ8+AG8+AK8</f>
        <v>3523.64</v>
      </c>
      <c r="AM8" s="123"/>
      <c r="AN8" s="123"/>
      <c r="AO8" s="123"/>
      <c r="AP8" s="123"/>
      <c r="AQ8" s="123"/>
      <c r="AR8" s="129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29" t="str">
        <f>IF(SUMPRODUCT(N(E$1:E$8=E8))&gt;1,"重复","不")</f>
        <v>不</v>
      </c>
      <c r="AT8" s="129" t="str">
        <f>IF(SUMPRODUCT(N(AO$1:AO$8=AO8))&gt;1,"重复","不")</f>
        <v>重复</v>
      </c>
    </row>
    <row r="9" s="32" customFormat="1" ht="18" customHeight="1" spans="1:46">
      <c r="A9" s="60"/>
      <c r="B9" s="61" t="s">
        <v>91</v>
      </c>
      <c r="C9" s="61"/>
      <c r="D9" s="62"/>
      <c r="E9" s="63"/>
      <c r="F9" s="64"/>
      <c r="G9" s="65"/>
      <c r="H9" s="64"/>
      <c r="I9" s="91"/>
      <c r="J9" s="92"/>
      <c r="K9" s="91"/>
      <c r="L9" s="93">
        <f t="shared" ref="L9:AL9" si="0">SUM(L4:L8)</f>
        <v>47769.0909090909</v>
      </c>
      <c r="M9" s="93">
        <f t="shared" si="0"/>
        <v>1132.48</v>
      </c>
      <c r="N9" s="93">
        <f t="shared" si="0"/>
        <v>330.56</v>
      </c>
      <c r="O9" s="93">
        <f t="shared" si="0"/>
        <v>38.67</v>
      </c>
      <c r="P9" s="93">
        <f t="shared" si="0"/>
        <v>459</v>
      </c>
      <c r="Q9" s="93">
        <f t="shared" si="0"/>
        <v>1960.71</v>
      </c>
      <c r="R9" s="93">
        <f t="shared" si="0"/>
        <v>0</v>
      </c>
      <c r="S9" s="93">
        <f t="shared" si="0"/>
        <v>178863.850909091</v>
      </c>
      <c r="T9" s="93">
        <f t="shared" si="0"/>
        <v>100000</v>
      </c>
      <c r="U9" s="93">
        <f t="shared" si="0"/>
        <v>9706.02</v>
      </c>
      <c r="V9" s="93">
        <f t="shared" si="0"/>
        <v>0</v>
      </c>
      <c r="W9" s="93">
        <f t="shared" si="0"/>
        <v>0</v>
      </c>
      <c r="X9" s="93">
        <f t="shared" si="0"/>
        <v>7000</v>
      </c>
      <c r="Y9" s="93">
        <f t="shared" si="0"/>
        <v>0</v>
      </c>
      <c r="Z9" s="93">
        <f t="shared" si="0"/>
        <v>0</v>
      </c>
      <c r="AA9" s="93">
        <f t="shared" si="0"/>
        <v>0</v>
      </c>
      <c r="AB9" s="93">
        <f t="shared" si="0"/>
        <v>7000</v>
      </c>
      <c r="AC9" s="93">
        <f t="shared" si="0"/>
        <v>0</v>
      </c>
      <c r="AD9" s="93">
        <f t="shared" si="0"/>
        <v>62157.83</v>
      </c>
      <c r="AE9" s="93">
        <f t="shared" si="0"/>
        <v>2523.77</v>
      </c>
      <c r="AF9" s="93">
        <f t="shared" si="0"/>
        <v>1270.48</v>
      </c>
      <c r="AG9" s="93">
        <f t="shared" si="0"/>
        <v>1273.99</v>
      </c>
      <c r="AH9" s="93">
        <f t="shared" si="0"/>
        <v>44534.39</v>
      </c>
      <c r="AI9" s="131">
        <f t="shared" si="0"/>
        <v>0</v>
      </c>
      <c r="AJ9" s="93">
        <f t="shared" si="0"/>
        <v>44534.39</v>
      </c>
      <c r="AK9" s="93">
        <f t="shared" si="0"/>
        <v>0</v>
      </c>
      <c r="AL9" s="93">
        <f t="shared" si="0"/>
        <v>45808.38</v>
      </c>
      <c r="AM9" s="124"/>
      <c r="AN9" s="124"/>
      <c r="AO9" s="124"/>
      <c r="AP9" s="124"/>
      <c r="AQ9" s="124"/>
      <c r="AR9" s="64"/>
      <c r="AS9" s="64"/>
      <c r="AT9" s="130"/>
    </row>
    <row r="12" spans="30:30">
      <c r="AD12" s="115"/>
    </row>
    <row r="13" ht="18.75" customHeight="1" spans="2:30">
      <c r="B13" s="66" t="s">
        <v>64</v>
      </c>
      <c r="C13" s="66" t="s">
        <v>92</v>
      </c>
      <c r="D13" s="66" t="s">
        <v>65</v>
      </c>
      <c r="E13" s="66" t="s">
        <v>93</v>
      </c>
      <c r="AD13" s="29"/>
    </row>
    <row r="14" ht="18.75" customHeight="1" spans="2:5">
      <c r="B14" s="67">
        <f>AJ9</f>
        <v>44534.39</v>
      </c>
      <c r="C14" s="67">
        <f>AG9</f>
        <v>1273.99</v>
      </c>
      <c r="D14" s="67">
        <f>AK9</f>
        <v>0</v>
      </c>
      <c r="E14" s="67">
        <f>B14+C14+D14</f>
        <v>45808.38</v>
      </c>
    </row>
    <row r="15" spans="2:5">
      <c r="B15" s="68"/>
      <c r="C15" s="68"/>
      <c r="D15" s="68"/>
      <c r="E15" s="68">
        <f>社保1!BC31</f>
        <v>32023.74</v>
      </c>
    </row>
    <row r="16" s="33" customFormat="1" spans="1:35">
      <c r="A16" s="69" t="s">
        <v>94</v>
      </c>
      <c r="B16" s="70" t="s">
        <v>95</v>
      </c>
      <c r="C16" s="71"/>
      <c r="D16" s="71"/>
      <c r="E16" s="71"/>
      <c r="G16" s="72"/>
      <c r="J16" s="94"/>
      <c r="M16" s="95"/>
      <c r="AI16" s="125"/>
    </row>
    <row r="17" s="33" customFormat="1" spans="1:35">
      <c r="A17" s="73"/>
      <c r="B17" s="74" t="s">
        <v>96</v>
      </c>
      <c r="C17" s="71"/>
      <c r="D17" s="71"/>
      <c r="E17" s="71"/>
      <c r="G17" s="72"/>
      <c r="J17" s="94"/>
      <c r="M17" s="95"/>
      <c r="AI17" s="125"/>
    </row>
    <row r="18" s="33" customFormat="1" spans="1:35">
      <c r="A18" s="70"/>
      <c r="B18" s="74" t="s">
        <v>97</v>
      </c>
      <c r="C18" s="75"/>
      <c r="D18" s="75"/>
      <c r="E18" s="75"/>
      <c r="F18" s="75"/>
      <c r="G18" s="75"/>
      <c r="H18" s="75"/>
      <c r="I18" s="75"/>
      <c r="J18" s="96"/>
      <c r="K18" s="75"/>
      <c r="L18" s="75"/>
      <c r="M18" s="97"/>
      <c r="N18" s="75"/>
      <c r="O18" s="75"/>
      <c r="P18" s="75"/>
      <c r="AI18" s="125"/>
    </row>
    <row r="19" s="33" customFormat="1" customHeight="1" spans="1:35">
      <c r="A19" s="74"/>
      <c r="B19" s="74" t="s">
        <v>98</v>
      </c>
      <c r="C19" s="76"/>
      <c r="D19" s="76"/>
      <c r="E19" s="76"/>
      <c r="F19" s="76"/>
      <c r="G19" s="76"/>
      <c r="H19" s="76"/>
      <c r="I19" s="98"/>
      <c r="J19" s="99"/>
      <c r="K19" s="98"/>
      <c r="L19" s="98"/>
      <c r="M19" s="100"/>
      <c r="N19" s="98"/>
      <c r="O19" s="98"/>
      <c r="P19" s="98"/>
      <c r="AI19" s="125"/>
    </row>
    <row r="20" s="33" customFormat="1" customHeight="1" spans="1:35">
      <c r="A20" s="74"/>
      <c r="B20" s="74" t="s">
        <v>99</v>
      </c>
      <c r="C20" s="76"/>
      <c r="D20" s="76"/>
      <c r="E20" s="76"/>
      <c r="F20" s="76"/>
      <c r="G20" s="76"/>
      <c r="H20" s="76"/>
      <c r="I20" s="76"/>
      <c r="J20" s="101"/>
      <c r="K20" s="76"/>
      <c r="L20" s="98"/>
      <c r="M20" s="100"/>
      <c r="N20" s="98"/>
      <c r="O20" s="98"/>
      <c r="P20" s="98"/>
      <c r="AI20" s="125"/>
    </row>
    <row r="21" s="33" customFormat="1" customHeight="1" spans="1:35">
      <c r="A21" s="74"/>
      <c r="B21" s="74" t="s">
        <v>100</v>
      </c>
      <c r="C21" s="76"/>
      <c r="D21" s="76"/>
      <c r="E21" s="76"/>
      <c r="F21" s="76"/>
      <c r="G21" s="76"/>
      <c r="H21" s="76"/>
      <c r="I21" s="98"/>
      <c r="J21" s="99"/>
      <c r="K21" s="98"/>
      <c r="L21" s="98"/>
      <c r="M21" s="100"/>
      <c r="N21" s="98"/>
      <c r="O21" s="98"/>
      <c r="P21" s="98"/>
      <c r="AI21" s="125"/>
    </row>
    <row r="23" ht="11.25" customHeight="1" spans="2:2">
      <c r="B23" s="77" t="s">
        <v>101</v>
      </c>
    </row>
    <row r="24" spans="2:2">
      <c r="B24" s="78" t="s">
        <v>102</v>
      </c>
    </row>
    <row r="25" spans="2:2">
      <c r="B25" s="78" t="s">
        <v>103</v>
      </c>
    </row>
  </sheetData>
  <autoFilter ref="A3:AT9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1">
    <cfRule type="duplicateValues" dxfId="2" priority="2" stopIfTrue="1"/>
  </conditionalFormatting>
  <conditionalFormatting sqref="B16:B20">
    <cfRule type="duplicateValues" dxfId="2" priority="3" stopIfTrue="1"/>
  </conditionalFormatting>
  <conditionalFormatting sqref="B24:B25">
    <cfRule type="duplicateValues" dxfId="2" priority="1" stopIfTrue="1"/>
  </conditionalFormatting>
  <conditionalFormatting sqref="C13:C15">
    <cfRule type="duplicateValues" dxfId="2" priority="4" stopIfTrue="1"/>
    <cfRule type="expression" dxfId="3" priority="5" stopIfTrue="1">
      <formula>AND(COUNTIF($B$9:$B$65445,C13)+COUNTIF($B$1:$B$3,C13)&gt;1,NOT(ISBLANK(C13)))</formula>
    </cfRule>
    <cfRule type="expression" dxfId="3" priority="6" stopIfTrue="1">
      <formula>AND(COUNTIF($B$20:$B$65396,C13)+COUNTIF($B$1:$B$19,C13)&gt;1,NOT(ISBLANK(C13)))</formula>
    </cfRule>
    <cfRule type="expression" dxfId="3" priority="7" stopIfTrue="1">
      <formula>AND(COUNTIF($B$9:$B$65434,C13)+COUNTIF($B$1:$B$3,C13)&gt;1,NOT(ISBLANK(C13)))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4"/>
  <sheetViews>
    <sheetView topLeftCell="J1" workbookViewId="0">
      <selection activeCell="K37" sqref="K37"/>
    </sheetView>
  </sheetViews>
  <sheetFormatPr defaultColWidth="9" defaultRowHeight="12"/>
  <cols>
    <col min="1" max="1" width="5" style="137" hidden="1" customWidth="1"/>
    <col min="2" max="2" width="9.375" style="138" hidden="1" customWidth="1"/>
    <col min="3" max="3" width="9.625" style="138" hidden="1" customWidth="1"/>
    <col min="4" max="4" width="13.125" style="138" hidden="1" customWidth="1"/>
    <col min="5" max="5" width="25.75" style="137" hidden="1" customWidth="1"/>
    <col min="6" max="6" width="29.375" style="137" hidden="1" customWidth="1"/>
    <col min="7" max="7" width="10.25" style="139" hidden="1" customWidth="1"/>
    <col min="8" max="9" width="8.5" style="137" hidden="1" customWidth="1"/>
    <col min="10" max="10" width="8.5" style="137" customWidth="1"/>
    <col min="11" max="11" width="18" style="137" customWidth="1"/>
    <col min="12" max="12" width="11.25" style="137" customWidth="1"/>
    <col min="13" max="13" width="12.25" style="137" customWidth="1"/>
    <col min="14" max="14" width="8.5" style="137" customWidth="1"/>
    <col min="15" max="15" width="10.25" style="137" customWidth="1"/>
    <col min="16" max="16" width="8.5" style="137" customWidth="1"/>
    <col min="17" max="17" width="8.5" style="140" customWidth="1"/>
    <col min="18" max="18" width="10.25" style="138" customWidth="1"/>
    <col min="19" max="19" width="12.25" style="137" customWidth="1"/>
    <col min="20" max="23" width="12.5" style="137" customWidth="1"/>
    <col min="24" max="24" width="10.75" style="137" customWidth="1"/>
    <col min="25" max="25" width="12.5" style="137" customWidth="1"/>
    <col min="26" max="26" width="14.125" style="137" customWidth="1"/>
    <col min="27" max="27" width="12.5" style="137" customWidth="1"/>
    <col min="28" max="28" width="16.25" style="137" customWidth="1"/>
    <col min="29" max="29" width="12.5" style="137" customWidth="1"/>
    <col min="30" max="30" width="16.125" style="137" customWidth="1"/>
    <col min="31" max="31" width="12.25" style="137" customWidth="1"/>
    <col min="32" max="33" width="16.125" style="137" customWidth="1"/>
    <col min="34" max="34" width="20.5" style="137" customWidth="1"/>
    <col min="35" max="35" width="8.5" style="137" customWidth="1"/>
    <col min="36" max="36" width="5" style="137" customWidth="1"/>
    <col min="37" max="37" width="10.25" style="137" customWidth="1"/>
    <col min="38" max="38" width="14.25" style="141" customWidth="1"/>
    <col min="39" max="39" width="11.5" style="141" customWidth="1"/>
    <col min="40" max="40" width="13.875" style="141" customWidth="1"/>
    <col min="41" max="41" width="13.625" style="141" customWidth="1"/>
    <col min="42" max="16384" width="9" style="137"/>
  </cols>
  <sheetData>
    <row r="1" s="132" customFormat="1" ht="16.5" spans="1:41">
      <c r="A1" s="142" t="s">
        <v>18</v>
      </c>
      <c r="B1" s="143" t="s">
        <v>212</v>
      </c>
      <c r="C1" s="142" t="s">
        <v>107</v>
      </c>
      <c r="D1" s="142" t="s">
        <v>213</v>
      </c>
      <c r="E1" s="142" t="s">
        <v>214</v>
      </c>
      <c r="F1" s="143" t="s">
        <v>104</v>
      </c>
      <c r="G1" s="144" t="s">
        <v>215</v>
      </c>
      <c r="H1" s="142" t="s">
        <v>106</v>
      </c>
      <c r="I1" s="142" t="s">
        <v>216</v>
      </c>
      <c r="J1" s="143" t="s">
        <v>108</v>
      </c>
      <c r="K1" s="143" t="s">
        <v>217</v>
      </c>
      <c r="L1" s="143" t="s">
        <v>218</v>
      </c>
      <c r="M1" s="143" t="s">
        <v>219</v>
      </c>
      <c r="N1" s="143" t="s">
        <v>220</v>
      </c>
      <c r="O1" s="143" t="s">
        <v>221</v>
      </c>
      <c r="P1" s="143" t="s">
        <v>222</v>
      </c>
      <c r="Q1" s="165" t="s">
        <v>223</v>
      </c>
      <c r="R1" s="143" t="s">
        <v>224</v>
      </c>
      <c r="S1" s="166" t="s">
        <v>225</v>
      </c>
      <c r="T1" s="167" t="s">
        <v>226</v>
      </c>
      <c r="U1" s="167"/>
      <c r="V1" s="167"/>
      <c r="W1" s="167"/>
      <c r="X1" s="167"/>
      <c r="Y1" s="167"/>
      <c r="Z1" s="166" t="s">
        <v>227</v>
      </c>
      <c r="AA1" s="143" t="s">
        <v>228</v>
      </c>
      <c r="AB1" s="143"/>
      <c r="AC1" s="143"/>
      <c r="AD1" s="142" t="s">
        <v>229</v>
      </c>
      <c r="AE1" s="142" t="s">
        <v>230</v>
      </c>
      <c r="AF1" s="142" t="s">
        <v>231</v>
      </c>
      <c r="AG1" s="142" t="s">
        <v>232</v>
      </c>
      <c r="AH1" s="142" t="s">
        <v>233</v>
      </c>
      <c r="AI1" s="142" t="s">
        <v>234</v>
      </c>
      <c r="AJ1" s="142" t="s">
        <v>23</v>
      </c>
      <c r="AK1" s="174" t="s">
        <v>235</v>
      </c>
      <c r="AL1" s="175" t="s">
        <v>236</v>
      </c>
      <c r="AM1" s="175" t="s">
        <v>237</v>
      </c>
      <c r="AN1" s="176" t="s">
        <v>238</v>
      </c>
      <c r="AO1" s="176" t="s">
        <v>239</v>
      </c>
    </row>
    <row r="2" s="133" customFormat="1" ht="24" spans="1:41">
      <c r="A2" s="142"/>
      <c r="B2" s="143"/>
      <c r="C2" s="142"/>
      <c r="D2" s="142"/>
      <c r="E2" s="142"/>
      <c r="F2" s="143"/>
      <c r="G2" s="144"/>
      <c r="H2" s="142"/>
      <c r="I2" s="142"/>
      <c r="J2" s="143"/>
      <c r="K2" s="143"/>
      <c r="L2" s="143"/>
      <c r="M2" s="143"/>
      <c r="N2" s="143"/>
      <c r="O2" s="143"/>
      <c r="P2" s="143"/>
      <c r="Q2" s="165"/>
      <c r="R2" s="143"/>
      <c r="S2" s="166"/>
      <c r="T2" s="167" t="s">
        <v>240</v>
      </c>
      <c r="U2" s="167" t="s">
        <v>241</v>
      </c>
      <c r="V2" s="167" t="s">
        <v>242</v>
      </c>
      <c r="W2" s="167" t="s">
        <v>243</v>
      </c>
      <c r="X2" s="167" t="s">
        <v>244</v>
      </c>
      <c r="Y2" s="167" t="s">
        <v>245</v>
      </c>
      <c r="Z2" s="166"/>
      <c r="AA2" s="167" t="s">
        <v>246</v>
      </c>
      <c r="AB2" s="167" t="s">
        <v>247</v>
      </c>
      <c r="AC2" s="167" t="s">
        <v>248</v>
      </c>
      <c r="AD2" s="142"/>
      <c r="AE2" s="142"/>
      <c r="AF2" s="142"/>
      <c r="AG2" s="142"/>
      <c r="AH2" s="142"/>
      <c r="AI2" s="142"/>
      <c r="AJ2" s="142"/>
      <c r="AK2" s="174"/>
      <c r="AL2" s="175"/>
      <c r="AM2" s="175"/>
      <c r="AN2" s="176"/>
      <c r="AO2" s="177"/>
    </row>
    <row r="3" s="134" customFormat="1" ht="14.25" spans="1:37">
      <c r="A3" s="145">
        <v>1</v>
      </c>
      <c r="B3" s="146">
        <v>44306</v>
      </c>
      <c r="C3" s="147"/>
      <c r="D3" s="147" t="s">
        <v>249</v>
      </c>
      <c r="E3" s="145"/>
      <c r="F3" s="148" t="s">
        <v>136</v>
      </c>
      <c r="G3" s="148"/>
      <c r="H3" s="145" t="s">
        <v>138</v>
      </c>
      <c r="I3" s="145"/>
      <c r="J3" s="156" t="s">
        <v>160</v>
      </c>
      <c r="K3" s="391" t="s">
        <v>161</v>
      </c>
      <c r="L3" s="145">
        <v>18607383005</v>
      </c>
      <c r="M3" s="148"/>
      <c r="N3" s="145" t="s">
        <v>250</v>
      </c>
      <c r="O3" s="145" t="s">
        <v>164</v>
      </c>
      <c r="P3" s="145" t="s">
        <v>251</v>
      </c>
      <c r="Q3" s="146">
        <v>44296</v>
      </c>
      <c r="R3" s="145" t="s">
        <v>252</v>
      </c>
      <c r="S3" s="148" t="s">
        <v>253</v>
      </c>
      <c r="T3" s="168">
        <v>2021.05</v>
      </c>
      <c r="U3" s="145">
        <v>4000</v>
      </c>
      <c r="V3" s="145">
        <v>4000</v>
      </c>
      <c r="W3" s="145">
        <v>4000</v>
      </c>
      <c r="X3" s="145">
        <v>4000</v>
      </c>
      <c r="Y3" s="145">
        <v>4000</v>
      </c>
      <c r="Z3" s="148" t="s">
        <v>253</v>
      </c>
      <c r="AA3" s="171" t="s">
        <v>254</v>
      </c>
      <c r="AB3" s="171" t="s">
        <v>255</v>
      </c>
      <c r="AC3" s="171" t="s">
        <v>256</v>
      </c>
      <c r="AD3" s="145" t="s">
        <v>257</v>
      </c>
      <c r="AE3" s="145"/>
      <c r="AF3" s="145"/>
      <c r="AG3" s="145"/>
      <c r="AH3" s="145"/>
      <c r="AI3" s="145"/>
      <c r="AJ3" s="145"/>
      <c r="AK3" s="148" t="str">
        <f>IF(LEN(K3)=18,IF(RIGHT(K3,1)="X",IF(CHOOSE(MOD(SUM(LEFT(RIGHT(K3,18))*7+LEFT(RIGHT(K3,17))*9+LEFT(RIGHT(K3,16))*10+LEFT(RIGHT(K3,15))*5+LEFT(RIGHT(K3,14))*8+LEFT(RIGHT(K3,13))*4+LEFT(RIGHT(K3,12))*2+LEFT(RIGHT(K3,11))*1+LEFT(RIGHT(K3,10))*6+LEFT(RIGHT(K3,9))*3+LEFT(RIGHT(K3,8))*7+LEFT(RIGHT(K3,7))*9+LEFT(RIGHT(K3,6))*10+LEFT(RIGHT(K3,5))*5+LEFT(RIGHT(K3,4))*8+LEFT(RIGHT(K3,3))*4+LEFT(RIGHT(K3,2))*2),11)+1,1,0,"X",9,8,7,6,5,4,3,2)=LEFT(RIGHT(K3,1)),"正确","错误"),IF(CHOOSE(MOD(SUM(LEFT(RIGHT(K3,18))*7+LEFT(RIGHT(K3,17))*9+LEFT(RIGHT(K3,16))*10+LEFT(RIGHT(K3,15))*5+LEFT(RIGHT(K3,14))*8+LEFT(RIGHT(K3,13))*4+LEFT(RIGHT(K3,12))*2+LEFT(RIGHT(K3,11))*1+LEFT(RIGHT(K3,10))*6+LEFT(RIGHT(K3,9))*3+LEFT(RIGHT(K3,8))*7+LEFT(RIGHT(K3,7))*9+LEFT(RIGHT(K3,6))*10+LEFT(RIGHT(K3,5))*5+LEFT(RIGHT(K3,4))*8+LEFT(RIGHT(K3,3))*4+LEFT(RIGHT(K3,2))*2),11)+1,1,0,"X",9,8,7,6,5,4,3,2)=LEFT(RIGHT(K3,1))*1,"正确","错误")),IF(LEN(K3)=15,"老号，请注意！",IF(LEN(K3)=0,"未填写身份证号码","位数不对！")))</f>
        <v>正确</v>
      </c>
    </row>
    <row r="4" s="135" customFormat="1" spans="1:37">
      <c r="A4" s="145"/>
      <c r="B4" s="146"/>
      <c r="C4" s="149"/>
      <c r="D4" s="147"/>
      <c r="E4" s="150"/>
      <c r="F4" s="148"/>
      <c r="G4" s="151"/>
      <c r="H4" s="150"/>
      <c r="I4" s="150"/>
      <c r="J4" s="158"/>
      <c r="K4" s="158"/>
      <c r="L4" s="150"/>
      <c r="M4" s="151"/>
      <c r="N4" s="150"/>
      <c r="O4" s="150"/>
      <c r="P4" s="145"/>
      <c r="Q4" s="152"/>
      <c r="R4" s="145"/>
      <c r="S4" s="148"/>
      <c r="T4" s="169"/>
      <c r="U4" s="150"/>
      <c r="V4" s="150"/>
      <c r="W4" s="150"/>
      <c r="X4" s="150"/>
      <c r="Y4" s="150"/>
      <c r="Z4" s="148"/>
      <c r="AA4" s="172"/>
      <c r="AB4" s="172"/>
      <c r="AC4" s="172"/>
      <c r="AD4" s="150"/>
      <c r="AE4" s="150"/>
      <c r="AF4" s="150"/>
      <c r="AG4" s="150"/>
      <c r="AH4" s="150"/>
      <c r="AI4" s="150"/>
      <c r="AJ4" s="150"/>
      <c r="AK4" s="148" t="str">
        <f>IF(LEN(K4)=18,IF(RIGHT(K4,1)="X",IF(CHOOSE(MOD(SUM(LEFT(RIGHT(K4,18))*7+LEFT(RIGHT(K4,17))*9+LEFT(RIGHT(K4,16))*10+LEFT(RIGHT(K4,15))*5+LEFT(RIGHT(K4,14))*8+LEFT(RIGHT(K4,13))*4+LEFT(RIGHT(K4,12))*2+LEFT(RIGHT(K4,11))*1+LEFT(RIGHT(K4,10))*6+LEFT(RIGHT(K4,9))*3+LEFT(RIGHT(K4,8))*7+LEFT(RIGHT(K4,7))*9+LEFT(RIGHT(K4,6))*10+LEFT(RIGHT(K4,5))*5+LEFT(RIGHT(K4,4))*8+LEFT(RIGHT(K4,3))*4+LEFT(RIGHT(K4,2))*2),11)+1,1,0,"X",9,8,7,6,5,4,3,2)=LEFT(RIGHT(K4,1)),"正确","错误"),IF(CHOOSE(MOD(SUM(LEFT(RIGHT(K4,18))*7+LEFT(RIGHT(K4,17))*9+LEFT(RIGHT(K4,16))*10+LEFT(RIGHT(K4,15))*5+LEFT(RIGHT(K4,14))*8+LEFT(RIGHT(K4,13))*4+LEFT(RIGHT(K4,12))*2+LEFT(RIGHT(K4,11))*1+LEFT(RIGHT(K4,10))*6+LEFT(RIGHT(K4,9))*3+LEFT(RIGHT(K4,8))*7+LEFT(RIGHT(K4,7))*9+LEFT(RIGHT(K4,6))*10+LEFT(RIGHT(K4,5))*5+LEFT(RIGHT(K4,4))*8+LEFT(RIGHT(K4,3))*4+LEFT(RIGHT(K4,2))*2),11)+1,1,0,"X",9,8,7,6,5,4,3,2)=LEFT(RIGHT(K4,1))*1,"正确","错误")),IF(LEN(K4)=15,"老号，请注意！",IF(LEN(K4)=0,"未填写身份证号码","位数不对！")))</f>
        <v>未填写身份证号码</v>
      </c>
    </row>
    <row r="5" s="135" customFormat="1" spans="1:37">
      <c r="A5" s="150"/>
      <c r="B5" s="152"/>
      <c r="C5" s="149"/>
      <c r="D5" s="149"/>
      <c r="E5" s="150"/>
      <c r="F5" s="151"/>
      <c r="G5" s="151"/>
      <c r="H5" s="150"/>
      <c r="I5" s="150"/>
      <c r="J5" s="159"/>
      <c r="K5" s="159"/>
      <c r="L5" s="150"/>
      <c r="M5" s="151"/>
      <c r="N5" s="150"/>
      <c r="O5" s="150"/>
      <c r="P5" s="150"/>
      <c r="Q5" s="152"/>
      <c r="R5" s="150"/>
      <c r="S5" s="151"/>
      <c r="T5" s="150"/>
      <c r="U5" s="150"/>
      <c r="V5" s="150"/>
      <c r="W5" s="150"/>
      <c r="X5" s="150"/>
      <c r="Y5" s="150"/>
      <c r="Z5" s="151"/>
      <c r="AA5" s="172"/>
      <c r="AB5" s="172"/>
      <c r="AC5" s="172"/>
      <c r="AD5" s="150"/>
      <c r="AE5" s="150"/>
      <c r="AF5" s="150"/>
      <c r="AG5" s="150"/>
      <c r="AH5" s="150"/>
      <c r="AI5" s="150"/>
      <c r="AJ5" s="150"/>
      <c r="AK5" s="151"/>
    </row>
    <row r="6" s="135" customFormat="1" spans="1:37">
      <c r="A6" s="150"/>
      <c r="B6" s="152"/>
      <c r="C6" s="149"/>
      <c r="D6" s="149"/>
      <c r="E6" s="150"/>
      <c r="F6" s="151"/>
      <c r="G6" s="151"/>
      <c r="H6" s="150"/>
      <c r="I6" s="150"/>
      <c r="J6" s="159"/>
      <c r="K6" s="159"/>
      <c r="L6" s="150"/>
      <c r="M6" s="151"/>
      <c r="N6" s="150"/>
      <c r="O6" s="150"/>
      <c r="P6" s="150"/>
      <c r="Q6" s="152"/>
      <c r="R6" s="150"/>
      <c r="S6" s="151"/>
      <c r="T6" s="150"/>
      <c r="U6" s="150"/>
      <c r="V6" s="150"/>
      <c r="W6" s="150"/>
      <c r="X6" s="150"/>
      <c r="Y6" s="150"/>
      <c r="Z6" s="151"/>
      <c r="AA6" s="172"/>
      <c r="AB6" s="172"/>
      <c r="AC6" s="172"/>
      <c r="AD6" s="150"/>
      <c r="AE6" s="150"/>
      <c r="AF6" s="150"/>
      <c r="AG6" s="150"/>
      <c r="AH6" s="150"/>
      <c r="AI6" s="150"/>
      <c r="AJ6" s="150"/>
      <c r="AK6" s="151"/>
    </row>
    <row r="7" s="135" customFormat="1" spans="1:37">
      <c r="A7" s="150"/>
      <c r="B7" s="152"/>
      <c r="C7" s="149"/>
      <c r="D7" s="149"/>
      <c r="E7" s="150"/>
      <c r="F7" s="151"/>
      <c r="G7" s="151"/>
      <c r="H7" s="150"/>
      <c r="I7" s="150"/>
      <c r="J7" s="159"/>
      <c r="K7" s="159"/>
      <c r="L7" s="150"/>
      <c r="M7" s="151"/>
      <c r="N7" s="150"/>
      <c r="O7" s="150"/>
      <c r="P7" s="150"/>
      <c r="Q7" s="152"/>
      <c r="R7" s="150"/>
      <c r="S7" s="151"/>
      <c r="T7" s="150"/>
      <c r="U7" s="150"/>
      <c r="V7" s="150"/>
      <c r="W7" s="150"/>
      <c r="X7" s="150"/>
      <c r="Y7" s="150"/>
      <c r="Z7" s="151"/>
      <c r="AA7" s="172"/>
      <c r="AB7" s="172"/>
      <c r="AC7" s="172"/>
      <c r="AD7" s="150"/>
      <c r="AE7" s="150"/>
      <c r="AF7" s="150"/>
      <c r="AG7" s="150"/>
      <c r="AH7" s="150"/>
      <c r="AI7" s="150"/>
      <c r="AJ7" s="150"/>
      <c r="AK7" s="151"/>
    </row>
    <row r="8" s="135" customFormat="1" spans="1:37">
      <c r="A8" s="150"/>
      <c r="B8" s="152"/>
      <c r="C8" s="149"/>
      <c r="D8" s="149"/>
      <c r="E8" s="150"/>
      <c r="F8" s="151"/>
      <c r="G8" s="151"/>
      <c r="H8" s="150"/>
      <c r="I8" s="150"/>
      <c r="J8" s="159" t="s">
        <v>258</v>
      </c>
      <c r="K8" s="159"/>
      <c r="L8" s="150"/>
      <c r="M8" s="151"/>
      <c r="N8" s="150"/>
      <c r="O8" s="150"/>
      <c r="P8" s="150"/>
      <c r="Q8" s="152"/>
      <c r="R8" s="150"/>
      <c r="S8" s="151"/>
      <c r="T8" s="150"/>
      <c r="U8" s="150"/>
      <c r="V8" s="150"/>
      <c r="W8" s="150"/>
      <c r="X8" s="150"/>
      <c r="Y8" s="150"/>
      <c r="Z8" s="151"/>
      <c r="AA8" s="172"/>
      <c r="AB8" s="172"/>
      <c r="AC8" s="172"/>
      <c r="AD8" s="150"/>
      <c r="AE8" s="150"/>
      <c r="AF8" s="150"/>
      <c r="AG8" s="150"/>
      <c r="AH8" s="150"/>
      <c r="AI8" s="150"/>
      <c r="AJ8" s="150"/>
      <c r="AK8" s="151"/>
    </row>
    <row r="9" s="135" customFormat="1" ht="12.75" spans="1:37">
      <c r="A9" s="150"/>
      <c r="B9" s="152"/>
      <c r="C9" s="149"/>
      <c r="D9" s="149"/>
      <c r="E9" s="150"/>
      <c r="F9" s="151"/>
      <c r="G9" s="151"/>
      <c r="H9" s="150"/>
      <c r="I9" s="150"/>
      <c r="J9" s="150" t="s">
        <v>145</v>
      </c>
      <c r="K9" s="160" t="s">
        <v>138</v>
      </c>
      <c r="L9" s="161" t="s">
        <v>146</v>
      </c>
      <c r="M9" s="162" t="s">
        <v>89</v>
      </c>
      <c r="N9" s="388" t="s">
        <v>90</v>
      </c>
      <c r="O9" s="150"/>
      <c r="P9" s="150"/>
      <c r="Q9" s="170">
        <v>202106</v>
      </c>
      <c r="R9" s="150"/>
      <c r="S9" s="151"/>
      <c r="T9" s="150"/>
      <c r="U9" s="150"/>
      <c r="V9" s="150"/>
      <c r="W9" s="150"/>
      <c r="X9" s="150"/>
      <c r="Y9" s="150"/>
      <c r="Z9" s="151"/>
      <c r="AA9" s="172"/>
      <c r="AB9" s="172"/>
      <c r="AC9" s="172"/>
      <c r="AD9" s="150"/>
      <c r="AE9" s="150"/>
      <c r="AF9" s="150"/>
      <c r="AG9" s="150"/>
      <c r="AH9" s="150"/>
      <c r="AI9" s="150"/>
      <c r="AJ9" s="150"/>
      <c r="AK9" s="151"/>
    </row>
    <row r="10" s="135" customFormat="1" spans="1:37">
      <c r="A10" s="150"/>
      <c r="B10" s="152"/>
      <c r="C10" s="149"/>
      <c r="D10" s="149"/>
      <c r="E10" s="150"/>
      <c r="F10" s="151"/>
      <c r="G10" s="151"/>
      <c r="H10" s="150"/>
      <c r="I10" s="150"/>
      <c r="J10" s="159"/>
      <c r="K10" s="159"/>
      <c r="L10" s="150"/>
      <c r="M10" s="151"/>
      <c r="N10" s="150"/>
      <c r="O10" s="150"/>
      <c r="P10" s="150"/>
      <c r="Q10" s="152"/>
      <c r="R10" s="150"/>
      <c r="S10" s="151"/>
      <c r="T10" s="150"/>
      <c r="U10" s="150"/>
      <c r="V10" s="150"/>
      <c r="W10" s="150"/>
      <c r="X10" s="150"/>
      <c r="Y10" s="150"/>
      <c r="Z10" s="151"/>
      <c r="AA10" s="172"/>
      <c r="AB10" s="172"/>
      <c r="AC10" s="172"/>
      <c r="AD10" s="150"/>
      <c r="AE10" s="150"/>
      <c r="AF10" s="150"/>
      <c r="AG10" s="150"/>
      <c r="AH10" s="150"/>
      <c r="AI10" s="150"/>
      <c r="AJ10" s="150"/>
      <c r="AK10" s="151"/>
    </row>
    <row r="11" s="135" customFormat="1" spans="1:37">
      <c r="A11" s="150"/>
      <c r="B11" s="152"/>
      <c r="C11" s="149"/>
      <c r="D11" s="149"/>
      <c r="E11" s="150"/>
      <c r="F11" s="151"/>
      <c r="G11" s="151"/>
      <c r="H11" s="150"/>
      <c r="I11" s="150"/>
      <c r="J11" s="159"/>
      <c r="K11" s="159"/>
      <c r="L11" s="150"/>
      <c r="M11" s="151"/>
      <c r="N11" s="150"/>
      <c r="O11" s="150"/>
      <c r="P11" s="150"/>
      <c r="Q11" s="152"/>
      <c r="R11" s="150"/>
      <c r="S11" s="151"/>
      <c r="T11" s="150"/>
      <c r="U11" s="150"/>
      <c r="V11" s="150"/>
      <c r="W11" s="150"/>
      <c r="X11" s="150"/>
      <c r="Y11" s="150"/>
      <c r="Z11" s="151"/>
      <c r="AA11" s="172"/>
      <c r="AB11" s="172"/>
      <c r="AC11" s="172"/>
      <c r="AD11" s="150"/>
      <c r="AE11" s="150"/>
      <c r="AF11" s="150"/>
      <c r="AG11" s="150"/>
      <c r="AH11" s="150"/>
      <c r="AI11" s="150"/>
      <c r="AJ11" s="150"/>
      <c r="AK11" s="151"/>
    </row>
    <row r="12" s="136" customFormat="1" spans="1:41">
      <c r="A12" s="153"/>
      <c r="B12" s="154"/>
      <c r="C12" s="149"/>
      <c r="D12" s="149"/>
      <c r="E12" s="150"/>
      <c r="F12" s="151"/>
      <c r="G12" s="155"/>
      <c r="H12" s="153"/>
      <c r="I12" s="150"/>
      <c r="J12" s="159"/>
      <c r="K12" s="159"/>
      <c r="L12" s="150"/>
      <c r="M12" s="151"/>
      <c r="N12" s="153"/>
      <c r="O12" s="153"/>
      <c r="P12" s="153"/>
      <c r="Q12" s="153"/>
      <c r="R12" s="153"/>
      <c r="S12" s="151"/>
      <c r="T12" s="153"/>
      <c r="U12" s="153"/>
      <c r="V12" s="153"/>
      <c r="W12" s="153"/>
      <c r="X12" s="153"/>
      <c r="Y12" s="153"/>
      <c r="Z12" s="151"/>
      <c r="AA12" s="173"/>
      <c r="AB12" s="173"/>
      <c r="AC12" s="173"/>
      <c r="AD12" s="153"/>
      <c r="AE12" s="153"/>
      <c r="AF12" s="153"/>
      <c r="AG12" s="153"/>
      <c r="AH12" s="153"/>
      <c r="AI12" s="153"/>
      <c r="AJ12" s="153"/>
      <c r="AK12" s="151"/>
      <c r="AL12" s="135"/>
      <c r="AM12" s="135"/>
      <c r="AN12" s="135"/>
      <c r="AO12" s="135"/>
    </row>
    <row r="13" s="136" customFormat="1" spans="1:41">
      <c r="A13" s="153"/>
      <c r="B13" s="154"/>
      <c r="C13" s="149"/>
      <c r="D13" s="149"/>
      <c r="E13" s="150"/>
      <c r="F13" s="151"/>
      <c r="G13" s="155"/>
      <c r="H13" s="153"/>
      <c r="I13" s="153"/>
      <c r="J13" s="164"/>
      <c r="K13" s="164"/>
      <c r="L13" s="153"/>
      <c r="M13" s="151"/>
      <c r="N13" s="153"/>
      <c r="O13" s="153"/>
      <c r="P13" s="153"/>
      <c r="Q13" s="153"/>
      <c r="R13" s="153"/>
      <c r="S13" s="151"/>
      <c r="T13" s="153"/>
      <c r="U13" s="153"/>
      <c r="V13" s="153"/>
      <c r="W13" s="153"/>
      <c r="X13" s="153"/>
      <c r="Y13" s="153"/>
      <c r="Z13" s="151"/>
      <c r="AA13" s="173"/>
      <c r="AB13" s="173"/>
      <c r="AC13" s="173"/>
      <c r="AD13" s="153"/>
      <c r="AE13" s="153"/>
      <c r="AF13" s="153"/>
      <c r="AG13" s="153"/>
      <c r="AH13" s="153"/>
      <c r="AI13" s="153"/>
      <c r="AJ13" s="153"/>
      <c r="AK13" s="151"/>
      <c r="AL13" s="135"/>
      <c r="AM13" s="135"/>
      <c r="AN13" s="135"/>
      <c r="AO13" s="135"/>
    </row>
    <row r="14" s="136" customFormat="1" spans="1:41">
      <c r="A14" s="153"/>
      <c r="B14" s="154"/>
      <c r="C14" s="149"/>
      <c r="D14" s="149"/>
      <c r="E14" s="150"/>
      <c r="F14" s="151"/>
      <c r="G14" s="155"/>
      <c r="H14" s="153"/>
      <c r="I14" s="153"/>
      <c r="J14" s="164"/>
      <c r="K14" s="164"/>
      <c r="L14" s="153"/>
      <c r="M14" s="151"/>
      <c r="N14" s="153"/>
      <c r="O14" s="153"/>
      <c r="P14" s="153"/>
      <c r="Q14" s="153"/>
      <c r="R14" s="153"/>
      <c r="S14" s="151"/>
      <c r="T14" s="153"/>
      <c r="U14" s="153"/>
      <c r="V14" s="153"/>
      <c r="W14" s="153"/>
      <c r="X14" s="153"/>
      <c r="Y14" s="153"/>
      <c r="Z14" s="151"/>
      <c r="AA14" s="173"/>
      <c r="AB14" s="173"/>
      <c r="AC14" s="173"/>
      <c r="AD14" s="153"/>
      <c r="AE14" s="153"/>
      <c r="AF14" s="153"/>
      <c r="AG14" s="153"/>
      <c r="AH14" s="153"/>
      <c r="AI14" s="153"/>
      <c r="AJ14" s="153"/>
      <c r="AK14" s="151"/>
      <c r="AL14" s="135"/>
      <c r="AM14" s="135"/>
      <c r="AN14" s="135"/>
      <c r="AO14" s="135"/>
    </row>
  </sheetData>
  <mergeCells count="34">
    <mergeCell ref="T1:Y1"/>
    <mergeCell ref="AA1:AC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Z1:Z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</mergeCells>
  <conditionalFormatting sqref="J12:J14">
    <cfRule type="duplicateValues" dxfId="2" priority="3"/>
  </conditionalFormatting>
  <conditionalFormatting sqref="J5:J8 J10:J11">
    <cfRule type="duplicateValues" dxfId="2" priority="2"/>
    <cfRule type="duplicateValues" dxfId="2" priority="1"/>
  </conditionalFormatting>
  <dataValidations count="7">
    <dataValidation type="list" allowBlank="1" showInputMessage="1" showErrorMessage="1" sqref="C3:C14">
      <formula1>"华北销售部,华东销售部,微蜂事业部,外包一体化事业部"</formula1>
    </dataValidation>
    <dataValidation type="list" allowBlank="1" showInputMessage="1" showErrorMessage="1" sqref="H15:H64411">
      <formula1>#REF!</formula1>
    </dataValidation>
    <dataValidation type="list" allowBlank="1" showInputMessage="1" showErrorMessage="1" sqref="H3:H11">
      <formula1>"派遣,代理"</formula1>
    </dataValidation>
    <dataValidation type="list" allowBlank="1" showInputMessage="1" showErrorMessage="1" sqref="D3:D4 D5:D14">
      <formula1>"北京易才博普奥,上海易铭天,杭州易才凯捷,上海傲云,上海曙夕"</formula1>
    </dataValidation>
    <dataValidation type="list" allowBlank="1" showInputMessage="1" showErrorMessage="1" sqref="S3:S4 S5:S14 Z3:Z4 Z5:Z14">
      <formula1>"新参,调入"</formula1>
    </dataValidation>
    <dataValidation type="list" allowBlank="1" showInputMessage="1" showErrorMessage="1" sqref="M3:M8 M10:M14">
      <formula1>"是,否"</formula1>
    </dataValidation>
    <dataValidation type="list" allowBlank="1" showInputMessage="1" showErrorMessage="1" sqref="P3:P4 P5:P11">
      <formula1>"本地城镇,本地农村,外地城镇,外地农村"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付款通知</vt:lpstr>
      <vt:lpstr>（居民）工资表-3月</vt:lpstr>
      <vt:lpstr>社保</vt:lpstr>
      <vt:lpstr>（居民）工资表-4月</vt:lpstr>
      <vt:lpstr>（居民）工资表-5月</vt:lpstr>
      <vt:lpstr>社保1</vt:lpstr>
      <vt:lpstr>（居民）工资表-6月</vt:lpstr>
      <vt:lpstr>（居民）工资表-7月</vt:lpstr>
      <vt:lpstr>增减</vt:lpstr>
      <vt:lpstr>（居民）工资表-8月</vt:lpstr>
      <vt:lpstr>（居民）工资表-9月</vt:lpstr>
      <vt:lpstr>（居民）工资表-10月</vt:lpstr>
      <vt:lpstr>（居民）工资表-11月</vt:lpstr>
      <vt:lpstr>（居民）工资表-1月</vt:lpstr>
      <vt:lpstr>（居民）工资表-12月</vt:lpstr>
      <vt:lpstr>（居民）工资表-2月</vt:lpstr>
      <vt:lpstr>增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客服-苏光远</cp:lastModifiedBy>
  <dcterms:created xsi:type="dcterms:W3CDTF">2018-08-01T08:19:00Z</dcterms:created>
  <cp:lastPrinted>2019-02-02T09:30:00Z</cp:lastPrinted>
  <dcterms:modified xsi:type="dcterms:W3CDTF">2022-02-08T08:36:33Z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2052-11.1.0.11294</vt:lpwstr>
  </property>
  <property fmtid="{D5CDD505-2E9C-101B-9397-08002B2CF9AE}" pid="4" name="ICV">
    <vt:lpwstr>B7285D0D0A38435CAAB761B1757CCEF9</vt:lpwstr>
  </property>
  <property fmtid="{D5CDD505-2E9C-101B-9397-08002B2CF9AE}" pid="5" name="KSOReadingLayout">
    <vt:bool>true</vt:bool>
  </property>
</Properties>
</file>