
<file path=[Content_Types].xml><?xml version="1.0" encoding="utf-8"?>
<Types xmlns="http://schemas.openxmlformats.org/package/2006/content-types">
  <Default Extension="xml" ContentType="application/xml"/>
  <Default Extension="vml" ContentType="application/vnd.openxmlformats-officedocument.vmlDrawi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609" firstSheet="1" activeTab="10"/>
  </bookViews>
  <sheets>
    <sheet name="社保" sheetId="27" state="hidden" r:id="rId1"/>
    <sheet name="付款通知" sheetId="26" r:id="rId2"/>
    <sheet name="社保1" sheetId="28" r:id="rId3"/>
    <sheet name="（居民）工资表-6月" sheetId="19" state="hidden" r:id="rId4"/>
    <sheet name="（居民）工资表-7月" sheetId="20" state="hidden" r:id="rId5"/>
    <sheet name="（居民）工资表-8月" sheetId="21" state="hidden" r:id="rId6"/>
    <sheet name="（居民）工资表-9月" sheetId="22" state="hidden" r:id="rId7"/>
    <sheet name="（居民）工资表-10月" sheetId="23" state="hidden" r:id="rId8"/>
    <sheet name="（居民）工资表-11月" sheetId="24" r:id="rId9"/>
    <sheet name="（居民）工资表-1月" sheetId="1" state="hidden" r:id="rId10"/>
    <sheet name="（居民）工资表-12月" sheetId="25" r:id="rId11"/>
    <sheet name="增" sheetId="30" r:id="rId12"/>
    <sheet name="（居民）工资表-2月" sheetId="15" state="hidden" r:id="rId13"/>
    <sheet name="（居民）工资表-3月" sheetId="16" state="hidden" r:id="rId14"/>
    <sheet name="（居民）工资表-4月" sheetId="17" state="hidden" r:id="rId15"/>
    <sheet name="（居民）工资表-5月" sheetId="18" state="hidden" r:id="rId16"/>
    <sheet name="Sheet1" sheetId="14" state="hidden" r:id="rId17"/>
  </sheets>
  <definedNames>
    <definedName name="_xlnm._FilterDatabase" localSheetId="3" hidden="1">'（居民）工资表-6月'!$A$3:$AT$19</definedName>
    <definedName name="_xlnm._FilterDatabase" localSheetId="4" hidden="1">'（居民）工资表-7月'!$A$3:$AT$19</definedName>
    <definedName name="_xlnm._FilterDatabase" localSheetId="5" hidden="1">'（居民）工资表-8月'!$A$3:$AT$20</definedName>
    <definedName name="_xlnm._FilterDatabase" localSheetId="6" hidden="1">'（居民）工资表-9月'!$A$3:$AT$13</definedName>
    <definedName name="_xlnm._FilterDatabase" localSheetId="7" hidden="1">'（居民）工资表-10月'!$A$3:$AT$12</definedName>
    <definedName name="_xlnm._FilterDatabase" localSheetId="8" hidden="1">'（居民）工资表-11月'!$A$3:$AT$13</definedName>
    <definedName name="_xlnm._FilterDatabase" localSheetId="9" hidden="1">'（居民）工资表-1月'!$A$3:$AT$9</definedName>
    <definedName name="_xlnm._FilterDatabase" localSheetId="10" hidden="1">'（居民）工资表-12月'!$A$3:$AT$17</definedName>
    <definedName name="_xlnm._FilterDatabase" localSheetId="12" hidden="1">'（居民）工资表-2月'!$A$3:$AT$13</definedName>
    <definedName name="_xlnm._FilterDatabase" localSheetId="13" hidden="1">'（居民）工资表-3月'!$A$3:$AT$14</definedName>
    <definedName name="_xlnm._FilterDatabase" localSheetId="14" hidden="1">'（居民）工资表-4月'!$A$3:$AT$18</definedName>
    <definedName name="_xlnm._FilterDatabase" localSheetId="15" hidden="1">'（居民）工资表-5月'!$A$3:$AT$22</definedName>
    <definedName name="_xlnm._FilterDatabase" localSheetId="2" hidden="1">社保1!$A$2:$BH$14</definedName>
    <definedName name="_xlnm.Print_Area" localSheetId="7">'（居民）工资表-10月'!$A$1:$AT$18</definedName>
    <definedName name="_xlnm.Print_Area" localSheetId="8">'（居民）工资表-11月'!$A$1:$AT$19</definedName>
    <definedName name="_xlnm.Print_Area" localSheetId="10">'（居民）工资表-12月'!$A$1:$AT$23</definedName>
    <definedName name="_xlnm.Print_Area" localSheetId="9">'（居民）工资表-1月'!$A$1:$AT$15</definedName>
    <definedName name="_xlnm.Print_Area" localSheetId="12">'（居民）工资表-2月'!$A$1:$AT$19</definedName>
    <definedName name="_xlnm.Print_Area" localSheetId="13">'（居民）工资表-3月'!$A$1:$AT$20</definedName>
    <definedName name="_xlnm.Print_Area" localSheetId="14">'（居民）工资表-4月'!$A$1:$AT$24</definedName>
    <definedName name="_xlnm.Print_Area" localSheetId="15">'（居民）工资表-5月'!$A$1:$AT$28</definedName>
    <definedName name="_xlnm.Print_Area" localSheetId="3">'（居民）工资表-6月'!$A$1:$AT$25</definedName>
    <definedName name="_xlnm.Print_Area" localSheetId="4">'（居民）工资表-7月'!$A$1:$AT$25</definedName>
    <definedName name="_xlnm.Print_Area" localSheetId="5">'（居民）工资表-8月'!$A$1:$AT$26</definedName>
    <definedName name="_xlnm.Print_Area" localSheetId="6">'（居民）工资表-9月'!$A$1:$AT$19</definedName>
  </definedNames>
  <calcPr calcId="144525"/>
</workbook>
</file>

<file path=xl/comments1.xml><?xml version="1.0" encoding="utf-8"?>
<comments xmlns="http://schemas.openxmlformats.org/spreadsheetml/2006/main">
  <authors>
    <author>kk</author>
  </authors>
  <commentList>
    <comment ref="B1" authorId="0">
      <text>
        <r>
          <rPr>
            <sz val="9"/>
            <rFont val="宋体"/>
            <charset val="134"/>
          </rPr>
          <t>kk:
请填写客户全称</t>
        </r>
      </text>
    </comment>
    <comment ref="D1" authorId="0">
      <text>
        <r>
          <rPr>
            <sz val="9"/>
            <rFont val="宋体"/>
            <charset val="134"/>
          </rPr>
          <t>kk:
参照系统分类，以签署合同为准</t>
        </r>
      </text>
    </comment>
    <comment ref="F1" authorId="0">
      <text>
        <r>
          <rPr>
            <sz val="9"/>
            <rFont val="宋体"/>
            <charset val="134"/>
          </rPr>
          <t>kk:
以身份证为准，不要空格</t>
        </r>
      </text>
    </comment>
    <comment ref="G1" authorId="0">
      <text>
        <r>
          <rPr>
            <sz val="9"/>
            <rFont val="宋体"/>
            <charset val="134"/>
          </rPr>
          <t>kk:
18位身份证号码，不要空格</t>
        </r>
      </text>
    </comment>
    <comment ref="AS2" authorId="0">
      <text>
        <r>
          <rPr>
            <sz val="9"/>
            <rFont val="宋体"/>
            <charset val="134"/>
          </rPr>
          <t>kk:
养老保险公司汇缴+医疗保险公司汇缴+失业保险公司汇缴+生育保险公司汇缴+工伤保险公司汇缴+补充养老公司汇缴</t>
        </r>
      </text>
    </comment>
    <comment ref="AT2" authorId="0">
      <text>
        <r>
          <rPr>
            <sz val="9"/>
            <rFont val="宋体"/>
            <charset val="134"/>
          </rPr>
          <t xml:space="preserve">kk:
养老保险个人汇缴+医疗保险个人汇缴+失业保险个人汇缴+补充养老个人汇缴
</t>
        </r>
      </text>
    </comment>
    <comment ref="AW2" authorId="0">
      <text>
        <r>
          <rPr>
            <sz val="9"/>
            <rFont val="宋体"/>
            <charset val="134"/>
          </rPr>
          <t xml:space="preserve">kk:
社保公司+社保个人+公积金公司+公积金个人
</t>
        </r>
      </text>
    </comment>
  </commentList>
</comments>
</file>

<file path=xl/comments10.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11.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12.xml><?xml version="1.0" encoding="utf-8"?>
<comments xmlns="http://schemas.openxmlformats.org/spreadsheetml/2006/main">
  <authors>
    <author>kk</author>
    <author>Administrator</author>
    <author>SDWM</author>
  </authors>
  <commentList>
    <comment ref="E1" authorId="0">
      <text>
        <r>
          <rPr>
            <sz val="9"/>
            <rFont val="宋体"/>
            <charset val="134"/>
          </rPr>
          <t>客户无需填写，报送填写供应商全称。</t>
        </r>
      </text>
    </comment>
    <comment ref="F1" authorId="0">
      <text>
        <r>
          <rPr>
            <sz val="9"/>
            <rFont val="宋体"/>
            <charset val="134"/>
          </rPr>
          <t>请填写客户全称</t>
        </r>
      </text>
    </comment>
    <comment ref="G1" authorId="1">
      <text>
        <r>
          <rPr>
            <b/>
            <sz val="9"/>
            <rFont val="宋体"/>
            <charset val="134"/>
          </rPr>
          <t>以系统项目编号为准</t>
        </r>
      </text>
    </comment>
    <comment ref="H1" authorId="0">
      <text>
        <r>
          <rPr>
            <sz val="9"/>
            <rFont val="宋体"/>
            <charset val="134"/>
          </rPr>
          <t>按公司标准产品填写，以签署的合同为准</t>
        </r>
      </text>
    </comment>
    <comment ref="O1" authorId="0">
      <text>
        <r>
          <rPr>
            <sz val="9"/>
            <rFont val="宋体"/>
            <charset val="134"/>
          </rPr>
          <t>员工社保、住房的缴纳城市</t>
        </r>
      </text>
    </comment>
    <comment ref="P1" authorId="0">
      <text>
        <r>
          <rPr>
            <sz val="9"/>
            <rFont val="宋体"/>
            <charset val="134"/>
          </rPr>
          <t>“本地”以社保缴纳地为准，本地城镇、本地农村、外地城镇、外地农村，请选择即可</t>
        </r>
      </text>
    </comment>
    <comment ref="S1" authorId="0">
      <text>
        <r>
          <rPr>
            <sz val="9"/>
            <rFont val="宋体"/>
            <charset val="134"/>
          </rPr>
          <t>填写“新参保”或“调入”，新参保是指从未在当地缴纳过保险的情况；调入是指在当地有过参保记录的情况，请选择即可；</t>
        </r>
      </text>
    </comment>
    <comment ref="Z1" authorId="0">
      <text>
        <r>
          <rPr>
            <sz val="9"/>
            <rFont val="宋体"/>
            <charset val="134"/>
          </rPr>
          <t>填写“新参”或“调入”，新参是指从未在当地缴纳过公积金的情况；调入是指在当地有缴纳公积金记录的情况，请选择即可；</t>
        </r>
      </text>
    </comment>
    <comment ref="AL1" authorId="2">
      <text>
        <r>
          <rPr>
            <b/>
            <sz val="11"/>
            <rFont val="宋体"/>
            <charset val="134"/>
          </rPr>
          <t>只大连地区填写：大连户口详细到区，异地户口详细到市</t>
        </r>
      </text>
    </comment>
    <comment ref="AM1" authorId="2">
      <text>
        <r>
          <rPr>
            <b/>
            <sz val="11"/>
            <rFont val="宋体"/>
            <charset val="134"/>
          </rPr>
          <t>只大连地区填写：首次参加工作时间(精确到月)</t>
        </r>
      </text>
    </comment>
    <comment ref="AN1" authorId="2">
      <text>
        <r>
          <rPr>
            <b/>
            <sz val="11"/>
            <rFont val="宋体"/>
            <charset val="134"/>
          </rPr>
          <t>只大连地区填写：填是/否。填写注意：大连中山、西岗、沙河口、甘井子、高新、金州、旅顺的非农户市需要交纳采暖统筹的</t>
        </r>
      </text>
    </comment>
    <comment ref="AO1" authorId="1">
      <text>
        <r>
          <rPr>
            <b/>
            <sz val="9"/>
            <rFont val="宋体"/>
            <charset val="134"/>
          </rPr>
          <t>只大连地区填写</t>
        </r>
      </text>
    </comment>
    <comment ref="T2" authorId="0">
      <text>
        <r>
          <rPr>
            <sz val="9"/>
            <rFont val="宋体"/>
            <charset val="134"/>
          </rPr>
          <t>填写格式：201405【YYYYMM】，该月份产生费用；</t>
        </r>
      </text>
    </comment>
    <comment ref="AA2" authorId="0">
      <text>
        <r>
          <rPr>
            <sz val="9"/>
            <rFont val="宋体"/>
            <charset val="134"/>
          </rPr>
          <t>填写格式：201405【YYYYMM】，该月份产生费用；</t>
        </r>
      </text>
    </comment>
  </commentList>
</comments>
</file>

<file path=xl/comments13.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14.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15.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16.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2.xml><?xml version="1.0" encoding="utf-8"?>
<comments xmlns="http://schemas.openxmlformats.org/spreadsheetml/2006/main">
  <authors>
    <author>作者</author>
  </authors>
  <commentList>
    <comment ref="F17" authorId="0">
      <text>
        <r>
          <rPr>
            <sz val="9"/>
            <rFont val="宋体"/>
            <charset val="134"/>
          </rPr>
          <t>作者:
含补缴人数</t>
        </r>
      </text>
    </comment>
  </commentList>
</comments>
</file>

<file path=xl/comments3.xml><?xml version="1.0" encoding="utf-8"?>
<comments xmlns="http://schemas.openxmlformats.org/spreadsheetml/2006/main">
  <authors>
    <author>kk</author>
  </authors>
  <commentList>
    <comment ref="B1" authorId="0">
      <text>
        <r>
          <rPr>
            <sz val="9"/>
            <rFont val="宋体"/>
            <charset val="134"/>
          </rPr>
          <t>kk:
请填写客户全称</t>
        </r>
      </text>
    </comment>
    <comment ref="D1" authorId="0">
      <text>
        <r>
          <rPr>
            <sz val="9"/>
            <rFont val="宋体"/>
            <charset val="134"/>
          </rPr>
          <t>kk:
参照系统分类，以签署合同为准</t>
        </r>
      </text>
    </comment>
    <comment ref="F1" authorId="0">
      <text>
        <r>
          <rPr>
            <sz val="9"/>
            <rFont val="宋体"/>
            <charset val="134"/>
          </rPr>
          <t>kk:
以身份证为准，不要空格</t>
        </r>
      </text>
    </comment>
    <comment ref="G1" authorId="0">
      <text>
        <r>
          <rPr>
            <sz val="9"/>
            <rFont val="宋体"/>
            <charset val="134"/>
          </rPr>
          <t>kk:
18位身份证号码，不要空格</t>
        </r>
      </text>
    </comment>
    <comment ref="AS2" authorId="0">
      <text>
        <r>
          <rPr>
            <sz val="9"/>
            <rFont val="宋体"/>
            <charset val="134"/>
          </rPr>
          <t>kk:
养老保险公司汇缴+医疗保险公司汇缴+失业保险公司汇缴+生育保险公司汇缴+工伤保险公司汇缴+补充养老公司汇缴</t>
        </r>
      </text>
    </comment>
    <comment ref="AT2" authorId="0">
      <text>
        <r>
          <rPr>
            <sz val="9"/>
            <rFont val="宋体"/>
            <charset val="134"/>
          </rPr>
          <t xml:space="preserve">kk:
养老保险个人汇缴+医疗保险个人汇缴+失业保险个人汇缴+补充养老个人汇缴
</t>
        </r>
      </text>
    </comment>
    <comment ref="AW2" authorId="0">
      <text>
        <r>
          <rPr>
            <sz val="9"/>
            <rFont val="宋体"/>
            <charset val="134"/>
          </rPr>
          <t xml:space="preserve">kk:
社保公司+社保个人+公积金公司+公积金个人
</t>
        </r>
      </text>
    </comment>
  </commentList>
</comments>
</file>

<file path=xl/comments4.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5.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6.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7.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8.xml><?xml version="1.0" encoding="utf-8"?>
<comments xmlns="http://schemas.openxmlformats.org/spreadsheetml/2006/main">
  <authors>
    <author>xbany</author>
    <author>AutoBVT</author>
    <author>lenovo</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List>
</comments>
</file>

<file path=xl/comments9.xml><?xml version="1.0" encoding="utf-8"?>
<comments xmlns="http://schemas.openxmlformats.org/spreadsheetml/2006/main">
  <authors>
    <author>xbany</author>
    <author>AutoBVT</author>
    <author>lenovo</author>
    <author>Administrator</author>
  </authors>
  <commentList>
    <comment ref="R2" authorId="0">
      <text>
        <r>
          <rPr>
            <sz val="9"/>
            <rFont val="宋体"/>
            <charset val="134"/>
          </rPr>
          <t xml:space="preserve">
其他扣除限以下内容：</t>
        </r>
        <r>
          <rPr>
            <sz val="9"/>
            <rFont val="Tahoma"/>
            <charset val="134"/>
          </rPr>
          <t xml:space="preserve">
</t>
        </r>
        <r>
          <rPr>
            <sz val="9"/>
            <rFont val="宋体"/>
            <charset val="134"/>
          </rPr>
          <t>年金、商业健康保险、税延养老保险、财产原值、允许扣除的税费、其他国家规定扣除</t>
        </r>
      </text>
    </comment>
    <comment ref="S2" authorId="1">
      <text>
        <r>
          <rPr>
            <sz val="9"/>
            <rFont val="宋体"/>
            <charset val="134"/>
          </rPr>
          <t xml:space="preserve">
填写本年度截止当前月份的工资、薪金所得累计金额</t>
        </r>
      </text>
    </comment>
    <comment ref="T2" authorId="1">
      <text>
        <r>
          <rPr>
            <sz val="9"/>
            <rFont val="宋体"/>
            <charset val="134"/>
          </rPr>
          <t xml:space="preserve">
5000元/月乘以纳税人当年在本单位任职受雇月份</t>
        </r>
      </text>
    </comment>
    <comment ref="U2" authorId="1">
      <text>
        <r>
          <rPr>
            <sz val="9"/>
            <rFont val="宋体"/>
            <charset val="134"/>
          </rPr>
          <t xml:space="preserve">
本年度截止当前月份的个人社保累计金额</t>
        </r>
      </text>
    </comment>
    <comment ref="V2" authorId="1">
      <text>
        <r>
          <rPr>
            <b/>
            <sz val="9"/>
            <rFont val="宋体"/>
            <charset val="134"/>
          </rPr>
          <t>AutoBVT:</t>
        </r>
        <r>
          <rPr>
            <sz val="9"/>
            <rFont val="宋体"/>
            <charset val="134"/>
          </rPr>
          <t xml:space="preserve">
分别填写截止当前月份的专项附加扣除累计金额</t>
        </r>
      </text>
    </comment>
    <comment ref="AB2" authorId="1">
      <text>
        <r>
          <rPr>
            <sz val="9"/>
            <rFont val="宋体"/>
            <charset val="134"/>
          </rPr>
          <t xml:space="preserve">
本年度截止当前月份的专项附加扣除累计金额</t>
        </r>
      </text>
    </comment>
    <comment ref="AC2" authorId="1">
      <text>
        <r>
          <rPr>
            <sz val="9"/>
            <rFont val="宋体"/>
            <charset val="134"/>
          </rPr>
          <t xml:space="preserve">
本年度截止当前月份的国家允许的其他扣除累计金额</t>
        </r>
      </text>
    </comment>
    <comment ref="AD2" authorId="1">
      <text>
        <r>
          <rPr>
            <sz val="9"/>
            <rFont val="宋体"/>
            <charset val="134"/>
          </rPr>
          <t xml:space="preserve">
本年度截止当前月份的累计应纳税所得额</t>
        </r>
      </text>
    </comment>
    <comment ref="AF2" authorId="1">
      <text>
        <r>
          <rPr>
            <sz val="9"/>
            <rFont val="宋体"/>
            <charset val="134"/>
          </rPr>
          <t xml:space="preserve">
填写本年度截止当前月份已累计扣缴总税额</t>
        </r>
      </text>
    </comment>
    <comment ref="AG2" authorId="1">
      <text>
        <r>
          <rPr>
            <b/>
            <sz val="9"/>
            <rFont val="宋体"/>
            <charset val="134"/>
          </rPr>
          <t>AutoBVT:</t>
        </r>
        <r>
          <rPr>
            <sz val="9"/>
            <rFont val="宋体"/>
            <charset val="134"/>
          </rPr>
          <t xml:space="preserve">
累计预扣预缴税额-已预扣预缴税额=本月应补（退）税额</t>
        </r>
      </text>
    </comment>
    <comment ref="AH2" authorId="1">
      <text>
        <r>
          <rPr>
            <sz val="9"/>
            <rFont val="宋体"/>
            <charset val="134"/>
          </rPr>
          <t xml:space="preserve">
本月应发工资-本月个人应扣金额-本月应扣个税=净工资</t>
        </r>
      </text>
    </comment>
    <comment ref="AI2" authorId="2">
      <text>
        <r>
          <rPr>
            <sz val="9"/>
            <rFont val="Tahoma"/>
            <charset val="134"/>
          </rPr>
          <t xml:space="preserve">
*</t>
        </r>
        <r>
          <rPr>
            <sz val="9"/>
            <rFont val="宋体"/>
            <charset val="134"/>
          </rPr>
          <t xml:space="preserve">补低差、罚款，取暖费、独生子女费、生育津贴、等等国家允许的不扣税项目
</t>
        </r>
        <r>
          <rPr>
            <sz val="9"/>
            <rFont val="Tahoma"/>
            <charset val="134"/>
          </rPr>
          <t>*</t>
        </r>
        <r>
          <rPr>
            <sz val="9"/>
            <rFont val="宋体"/>
            <charset val="134"/>
          </rPr>
          <t>补偿金或赔偿金不超过当地年平均工资</t>
        </r>
        <r>
          <rPr>
            <sz val="9"/>
            <rFont val="Tahoma"/>
            <charset val="134"/>
          </rPr>
          <t>3</t>
        </r>
        <r>
          <rPr>
            <sz val="9"/>
            <rFont val="宋体"/>
            <charset val="134"/>
          </rPr>
          <t xml:space="preserve">倍
</t>
        </r>
      </text>
    </comment>
    <comment ref="V3" authorId="0">
      <text>
        <r>
          <rPr>
            <sz val="9"/>
            <rFont val="Tahoma"/>
            <charset val="134"/>
          </rPr>
          <t xml:space="preserve">
*1000</t>
        </r>
        <r>
          <rPr>
            <sz val="9"/>
            <rFont val="宋体"/>
            <charset val="134"/>
          </rPr>
          <t>元</t>
        </r>
        <r>
          <rPr>
            <sz val="9"/>
            <rFont val="Tahoma"/>
            <charset val="134"/>
          </rPr>
          <t>/</t>
        </r>
        <r>
          <rPr>
            <sz val="9"/>
            <rFont val="宋体"/>
            <charset val="134"/>
          </rPr>
          <t>子女</t>
        </r>
        <r>
          <rPr>
            <sz val="9"/>
            <rFont val="Tahoma"/>
            <charset val="134"/>
          </rPr>
          <t>/</t>
        </r>
        <r>
          <rPr>
            <sz val="9"/>
            <rFont val="宋体"/>
            <charset val="134"/>
          </rPr>
          <t>月</t>
        </r>
      </text>
    </comment>
    <comment ref="W3" authorId="1">
      <text>
        <r>
          <rPr>
            <sz val="9"/>
            <rFont val="宋体"/>
            <charset val="134"/>
          </rPr>
          <t xml:space="preserve">
*独生子女 2000元/月
*非独生子女均摊，最高不能超过1000元/月</t>
        </r>
      </text>
    </comment>
    <comment ref="X3" authorId="0">
      <text>
        <r>
          <rPr>
            <sz val="9"/>
            <rFont val="Tahoma"/>
            <charset val="134"/>
          </rPr>
          <t xml:space="preserve">
*1000</t>
        </r>
        <r>
          <rPr>
            <sz val="9"/>
            <rFont val="宋体"/>
            <charset val="134"/>
          </rPr>
          <t>元</t>
        </r>
        <r>
          <rPr>
            <sz val="9"/>
            <rFont val="Tahoma"/>
            <charset val="134"/>
          </rPr>
          <t>/</t>
        </r>
        <r>
          <rPr>
            <sz val="9"/>
            <rFont val="宋体"/>
            <charset val="134"/>
          </rPr>
          <t>月，</t>
        </r>
        <r>
          <rPr>
            <sz val="9"/>
            <rFont val="Tahoma"/>
            <charset val="134"/>
          </rPr>
          <t>240</t>
        </r>
        <r>
          <rPr>
            <sz val="9"/>
            <rFont val="宋体"/>
            <charset val="134"/>
          </rPr>
          <t>月为限，限首套</t>
        </r>
      </text>
    </comment>
    <comment ref="Y3" authorId="1">
      <text>
        <r>
          <rPr>
            <sz val="9"/>
            <rFont val="宋体"/>
            <charset val="134"/>
          </rPr>
          <t xml:space="preserve">
*1500元/月，直辖市、省会、计划单列城市
*1100元/月，市人口 &gt;100万
*800元/月，市人口 &lt;100万</t>
        </r>
      </text>
    </comment>
    <comment ref="Z3" authorId="0">
      <text>
        <r>
          <rPr>
            <sz val="9"/>
            <rFont val="Tahoma"/>
            <charset val="134"/>
          </rPr>
          <t xml:space="preserve">
*</t>
        </r>
        <r>
          <rPr>
            <sz val="9"/>
            <rFont val="宋体"/>
            <charset val="134"/>
          </rPr>
          <t>学历继续教育</t>
        </r>
        <r>
          <rPr>
            <sz val="9"/>
            <rFont val="Tahoma"/>
            <charset val="134"/>
          </rPr>
          <t xml:space="preserve"> 400</t>
        </r>
        <r>
          <rPr>
            <sz val="9"/>
            <rFont val="宋体"/>
            <charset val="134"/>
          </rPr>
          <t>元</t>
        </r>
        <r>
          <rPr>
            <sz val="9"/>
            <rFont val="Tahoma"/>
            <charset val="134"/>
          </rPr>
          <t>/</t>
        </r>
        <r>
          <rPr>
            <sz val="9"/>
            <rFont val="宋体"/>
            <charset val="134"/>
          </rPr>
          <t>月，</t>
        </r>
        <r>
          <rPr>
            <sz val="9"/>
            <rFont val="Tahoma"/>
            <charset val="134"/>
          </rPr>
          <t>48</t>
        </r>
        <r>
          <rPr>
            <sz val="9"/>
            <rFont val="宋体"/>
            <charset val="134"/>
          </rPr>
          <t xml:space="preserve">个月
</t>
        </r>
        <r>
          <rPr>
            <sz val="9"/>
            <rFont val="Tahoma"/>
            <charset val="134"/>
          </rPr>
          <t>*</t>
        </r>
        <r>
          <rPr>
            <sz val="9"/>
            <rFont val="宋体"/>
            <charset val="134"/>
          </rPr>
          <t>职业资格继续教育</t>
        </r>
        <r>
          <rPr>
            <sz val="9"/>
            <rFont val="Tahoma"/>
            <charset val="134"/>
          </rPr>
          <t xml:space="preserve"> 3600</t>
        </r>
        <r>
          <rPr>
            <sz val="9"/>
            <rFont val="宋体"/>
            <charset val="134"/>
          </rPr>
          <t>元</t>
        </r>
        <r>
          <rPr>
            <sz val="9"/>
            <rFont val="Tahoma"/>
            <charset val="134"/>
          </rPr>
          <t>/</t>
        </r>
        <r>
          <rPr>
            <sz val="9"/>
            <rFont val="宋体"/>
            <charset val="134"/>
          </rPr>
          <t>年，取得证书年度</t>
        </r>
      </text>
    </comment>
    <comment ref="AA3" authorId="1">
      <text>
        <r>
          <rPr>
            <sz val="9"/>
            <rFont val="宋体"/>
            <charset val="134"/>
          </rPr>
          <t xml:space="preserve">
*自费超过1.5万，8万/年
*由纳税人在年度汇算清缴时办理，无需填写</t>
        </r>
      </text>
    </comment>
    <comment ref="M5" authorId="3">
      <text>
        <r>
          <rPr>
            <b/>
            <sz val="9"/>
            <rFont val="宋体"/>
            <charset val="134"/>
          </rPr>
          <t>Administrator:</t>
        </r>
        <r>
          <rPr>
            <sz val="9"/>
            <rFont val="宋体"/>
            <charset val="134"/>
          </rPr>
          <t xml:space="preserve">
个人费用调整，且补扣个人费用</t>
        </r>
      </text>
    </comment>
  </commentList>
</comments>
</file>

<file path=xl/sharedStrings.xml><?xml version="1.0" encoding="utf-8"?>
<sst xmlns="http://schemas.openxmlformats.org/spreadsheetml/2006/main" count="2086" uniqueCount="319">
  <si>
    <t>序号</t>
  </si>
  <si>
    <t>客户名称</t>
  </si>
  <si>
    <t>缴费城市</t>
  </si>
  <si>
    <t>产品类型</t>
  </si>
  <si>
    <t>成本中心</t>
  </si>
  <si>
    <t>员工姓名</t>
  </si>
  <si>
    <t>身份证号码</t>
  </si>
  <si>
    <t>社保缴纳起始月</t>
  </si>
  <si>
    <t>公积金缴纳起始月</t>
  </si>
  <si>
    <t>社保缴纳所属月</t>
  </si>
  <si>
    <t>公积金缴纳所属月</t>
  </si>
  <si>
    <t>养老保险</t>
  </si>
  <si>
    <t>医疗保险</t>
  </si>
  <si>
    <t>失业保险</t>
  </si>
  <si>
    <t>生育保险</t>
  </si>
  <si>
    <t>工伤保险</t>
  </si>
  <si>
    <t>住房公积金</t>
  </si>
  <si>
    <t>补充医疗保险</t>
  </si>
  <si>
    <t>大病</t>
  </si>
  <si>
    <t>缴纳小计</t>
  </si>
  <si>
    <t>社保合计</t>
  </si>
  <si>
    <t>公积金合计</t>
  </si>
  <si>
    <t>服务费</t>
  </si>
  <si>
    <t>总计</t>
  </si>
  <si>
    <t>备注</t>
  </si>
  <si>
    <t>缴纳基数</t>
  </si>
  <si>
    <t>公司比例</t>
  </si>
  <si>
    <t>公司金额</t>
  </si>
  <si>
    <t>个人比例</t>
  </si>
  <si>
    <t>个人金额</t>
  </si>
  <si>
    <t>比例</t>
  </si>
  <si>
    <t>金额</t>
  </si>
  <si>
    <t>公司</t>
  </si>
  <si>
    <t>个人</t>
  </si>
  <si>
    <t>社保公司</t>
  </si>
  <si>
    <t>社保个人</t>
  </si>
  <si>
    <t>公积金公司</t>
  </si>
  <si>
    <t>公积金个人</t>
  </si>
  <si>
    <t>小计</t>
  </si>
  <si>
    <t>北京创联致信科技有限公司</t>
  </si>
  <si>
    <t>太原</t>
  </si>
  <si>
    <t>代理</t>
  </si>
  <si>
    <t>山西鼎诺</t>
  </si>
  <si>
    <t>赵强</t>
  </si>
  <si>
    <t>142732199004126819</t>
  </si>
  <si>
    <t>202010</t>
  </si>
  <si>
    <t>202004</t>
  </si>
  <si>
    <t xml:space="preserve"> </t>
  </si>
  <si>
    <t>202005</t>
  </si>
  <si>
    <t>202006</t>
  </si>
  <si>
    <t>广州</t>
  </si>
  <si>
    <t>易才</t>
  </si>
  <si>
    <t>冯月燕</t>
  </si>
  <si>
    <t>440602197506030928</t>
  </si>
  <si>
    <t>无</t>
  </si>
  <si>
    <t>补收</t>
  </si>
  <si>
    <t>202001</t>
  </si>
  <si>
    <t>补收1-3工伤基数差</t>
  </si>
  <si>
    <t>202002</t>
  </si>
  <si>
    <t>202003</t>
  </si>
  <si>
    <t>四平</t>
  </si>
  <si>
    <t>赵亮</t>
  </si>
  <si>
    <t>220303198203102617</t>
  </si>
  <si>
    <t>202104</t>
  </si>
  <si>
    <t>1580</t>
  </si>
  <si>
    <t>202007</t>
  </si>
  <si>
    <t>分项合计</t>
  </si>
  <si>
    <t>付款通知书</t>
  </si>
  <si>
    <t>尊敬的客户：北京创联致信科技有限公司</t>
  </si>
  <si>
    <t>根据贵公司与我公司所签订的服务协议，请贵公司在2022年12月2日之前按照下列表格内容支付相关款项.</t>
  </si>
  <si>
    <t>本 期 应 付 款 汇 总 结 算 明 细</t>
  </si>
  <si>
    <t>汇款信息：</t>
  </si>
  <si>
    <t>本期应付款合计（小写）：</t>
  </si>
  <si>
    <t>账户全称：北京易才博普奥管理顾问有限公司</t>
  </si>
  <si>
    <t>本期应付款合计（大写）：</t>
  </si>
  <si>
    <t>开户银行：中国工商银行股份有限公司北京商务中心区支行</t>
  </si>
  <si>
    <t>本期款项合计：</t>
  </si>
  <si>
    <t>尾数调整：</t>
  </si>
  <si>
    <t>银行账号：0200080609200135470</t>
  </si>
  <si>
    <t>预收款(+)：</t>
  </si>
  <si>
    <r>
      <rPr>
        <sz val="10"/>
        <color indexed="8"/>
        <rFont val="宋体"/>
        <charset val="134"/>
      </rPr>
      <t>工资保证金</t>
    </r>
    <r>
      <rPr>
        <sz val="10"/>
        <color indexed="8"/>
        <rFont val="宋体"/>
        <charset val="134"/>
      </rPr>
      <t>(+)</t>
    </r>
    <r>
      <rPr>
        <sz val="10"/>
        <color indexed="8"/>
        <rFont val="宋体"/>
        <charset val="134"/>
      </rPr>
      <t>：</t>
    </r>
  </si>
  <si>
    <t>本期减免服务费(+)：</t>
  </si>
  <si>
    <r>
      <rPr>
        <sz val="10"/>
        <color indexed="8"/>
        <rFont val="宋体"/>
        <charset val="134"/>
      </rPr>
      <t>上期预收款</t>
    </r>
    <r>
      <rPr>
        <sz val="10"/>
        <color indexed="8"/>
        <rFont val="宋体"/>
        <charset val="134"/>
      </rPr>
      <t>(-)</t>
    </r>
    <r>
      <rPr>
        <sz val="10"/>
        <color indexed="8"/>
        <rFont val="宋体"/>
        <charset val="134"/>
      </rPr>
      <t>：</t>
    </r>
  </si>
  <si>
    <r>
      <rPr>
        <sz val="10"/>
        <color indexed="8"/>
        <rFont val="宋体"/>
        <charset val="134"/>
      </rPr>
      <t>自划金额</t>
    </r>
    <r>
      <rPr>
        <sz val="10"/>
        <color indexed="8"/>
        <rFont val="宋体"/>
        <charset val="134"/>
      </rPr>
      <t>(-)</t>
    </r>
    <r>
      <rPr>
        <sz val="10"/>
        <color indexed="8"/>
        <rFont val="宋体"/>
        <charset val="134"/>
      </rPr>
      <t>：</t>
    </r>
  </si>
  <si>
    <t>gggggggggggggggggggggggggggggghhhhhhhhhhhhhhhhhhhhhhhhhhhhhhhhhhhhhhhhhhhhhhhhhhhhhh</t>
  </si>
  <si>
    <t>费用列项</t>
  </si>
  <si>
    <t>费用明细</t>
  </si>
  <si>
    <t>人次</t>
  </si>
  <si>
    <t>1.请您在三个工作日内核对数据明细及总金额并回复确认。如在三个工作日内未收到您的回复，我司将视为您已确认以上应付款合计金额，并同意按此金额付款。
2.上列账款敬请按照合同约定时间及时支付，若通过银行汇款，请在“用途”中写上本账单右上角帐单号。</t>
  </si>
  <si>
    <t>人工成本</t>
  </si>
  <si>
    <t>工资(应税工资:实发+个税)</t>
  </si>
  <si>
    <t>社   保(企业+个人)</t>
  </si>
  <si>
    <t>正常月</t>
  </si>
  <si>
    <t>公积金(企业+个人)</t>
  </si>
  <si>
    <t>人事管理费用</t>
  </si>
  <si>
    <t>服务费（含税）</t>
  </si>
  <si>
    <t>税金</t>
  </si>
  <si>
    <t>合计:</t>
  </si>
  <si>
    <t>开票金额:</t>
  </si>
  <si>
    <t>残障金</t>
  </si>
  <si>
    <t>202212</t>
  </si>
  <si>
    <t>就2022年太原地区医保基数核定事宜做如下通知：
一、新基数执行时间：2022年1月-2022年12月（职工个人缴费基数一经启用，年度内不能更改）
二、新基数上下限：下限：3548；上限17742
三、根据目前的政策文件，医保基数申报的口径与之前三险工资收集的口径一致，均根据（劳社险中心函【2006】60号）规定取数，故医保基数不再单独收集，使用之前收集的三险工资做医保基数的申报。2022年1月-7月新入职的，均按照增员中申报的工资作为核基标准。
四、基数补差规定：截止7月的在户人员，必须完成工资申报并进行基数补差。2022年7月前（含7月）无费减员的不做补差。
五、政策文件请查收附件</t>
  </si>
  <si>
    <t>接供应商通知，四平市自2022年9月1日起，调整工伤保险缴费基数标准，具体如下：
       1、基数范围：3830.9-19154.5
       2、补差：202207
       3、执行时间：202209
       4、政策链接：暂无</t>
  </si>
  <si>
    <t>按照《关于公布2020年全省全口径城镇单位就业人员平均工资等有关问题的通知》（吉人社联字〔2021〕209号）文件规定，现将我省2022年度社保（养老失业）缴存基数上下限调整如下：
一、执行日期：2022 年 7 月 1 日至2023 年6 月 30 日；
二、长春、吉林、辽源、延吉、白山、白城、松原、四平基本养老保险缴费基数上限为19154.5 ，下限为3703.2；
三、2021 年全省全口径城镇单位就业人员平均工资为76618 元</t>
  </si>
  <si>
    <t>梁敏霞</t>
  </si>
  <si>
    <t>440883199611084547</t>
  </si>
  <si>
    <t>202110</t>
  </si>
  <si>
    <t xml:space="preserve">【供应商-广东鹏程】广州地区-关于2022年7月医疗保险基数调整的通知
       主要内容：
 2022年7月起，广州花都区医疗基数下限做如下调整 ：
1、基本医疗（含生育）：缴费基数下限由6757调整为7214。
2、大病：缴费基数固定基数由11262调整为12024。
咨询电话：020-12333
</t>
  </si>
  <si>
    <t>上海</t>
  </si>
  <si>
    <t>冯玉</t>
  </si>
  <si>
    <t>370724197703022770</t>
  </si>
  <si>
    <t>202208</t>
  </si>
  <si>
    <t>蚌埠</t>
  </si>
  <si>
    <t>徐明龙</t>
  </si>
  <si>
    <t>340311199902251816</t>
  </si>
  <si>
    <t>202301</t>
  </si>
  <si>
    <t>阜阳</t>
  </si>
  <si>
    <t>陈佳文</t>
  </si>
  <si>
    <t>34122719960403561X</t>
  </si>
  <si>
    <t>任志伟</t>
  </si>
  <si>
    <t>341221199109161530</t>
  </si>
  <si>
    <t>杨旭</t>
  </si>
  <si>
    <t>341202199607081913</t>
  </si>
  <si>
    <t>芜湖</t>
  </si>
  <si>
    <t>朱必非</t>
  </si>
  <si>
    <t>64222319950423161X</t>
  </si>
  <si>
    <t>汤祥文</t>
  </si>
  <si>
    <t>340222198505126017</t>
  </si>
  <si>
    <t>常德</t>
  </si>
  <si>
    <t>龙治旺</t>
  </si>
  <si>
    <t>43070219881009051X</t>
  </si>
  <si>
    <t>重庆</t>
  </si>
  <si>
    <t>谭江月</t>
  </si>
  <si>
    <t>500228199607193387</t>
  </si>
  <si>
    <t xml:space="preserve">接重庆市社保局通知， 根据市统计局提供的相关数据，现就做好我市2022年度社会保险缴费基数上下限核定等有关工作通知如下：
一、调整时间：2022年7月。
二、调整内容：养老保险、失业保险、工伤保险、医疗生育保险 全年缴费基数上限：19784元，下限：3957元；社平100%为 6595 元。
三、各地注意事项：
1、请各地客服按照新基数报送2022年7月份增员，并向客户作好解释工作。
2、2022年申报年度工资基数调整月平均工资低于3957元，将自动调整为3957；申报基数在3957元至19784元之间的，将按申报基数正常缴纳；高于19784元，将自动调整为19784。
3、重庆公司将在2022年7月系统账单中补收1-6月基数差额费用及7月正常费用。
四、政策文件：渝人社发〔2022〕29号
具体内容参考附件，如有疑问请联系重庆客服。
政策琏接：http://rlsbj.cq.gov.cn/zwgk_182/fdzdgknr/lzyj/xzgfxwj_1/xzgfxwj/202206/t20220629_10868674.html
</t>
  </si>
  <si>
    <t>接供应商重庆外商，关于重庆地区2022年社保调基补差收费通知
主要内容：
根据渝人社发〔2022〕29号《重庆市人力资源和社会保障局重庆市财政局重庆市医疗保障局国家税务总局重庆市税务局关于做好2022年度社会保险缴费基数上下限核定等有关工作的通知》通知， 2022年度重庆市各项社会保险缴费基数上下限核定（含补缴历年社会保险费）工作中使用的就业人员平均工资为79133元/年（6595元/月）。2022年度城镇企业职工基本养老保险、失业保险、工伤保险、医疗生育保险参保职工月缴费基数上限为19784元，下限为3957元。按照人社局的要求，现就各项保险收费结算工作通知如下：
1、在职人员：
员工申报基数有调整的，由于社保局已于2022年7月底调整系统，供应商将于2022年8月补收2022年1-7月养老、失业、工伤、医疗和生育等五项保险新旧基数及上下限的差额部分。</t>
  </si>
  <si>
    <t>天津</t>
  </si>
  <si>
    <t>孙海娟</t>
  </si>
  <si>
    <t>150428198211155123</t>
  </si>
  <si>
    <t>202211</t>
  </si>
  <si>
    <t xml:space="preserve"> 注：只填写表头字体颜色为红色的项目，其他数据有公式自动带出，不要修改</t>
  </si>
  <si>
    <t>此区域不能空白，没有金额请填0，负数金额不能填写</t>
  </si>
  <si>
    <t>客户简称</t>
  </si>
  <si>
    <t>*姓名</t>
  </si>
  <si>
    <t>*证件类型</t>
  </si>
  <si>
    <t>*身份证号码</t>
  </si>
  <si>
    <t>*性别</t>
  </si>
  <si>
    <t>*联系电话</t>
  </si>
  <si>
    <t>*是否残疾烈属孤老</t>
  </si>
  <si>
    <t>*是否股东、投资者</t>
  </si>
  <si>
    <t>入职日期</t>
  </si>
  <si>
    <t>离职日期</t>
  </si>
  <si>
    <t>*应发工资</t>
  </si>
  <si>
    <t>*本月专项扣除</t>
  </si>
  <si>
    <t>本月个人社保
代扣合计</t>
  </si>
  <si>
    <t>其他扣除</t>
  </si>
  <si>
    <t>累计收入额</t>
  </si>
  <si>
    <t>累计减除费用</t>
  </si>
  <si>
    <t>累计专项扣除</t>
  </si>
  <si>
    <t>*累计专项附加扣除</t>
  </si>
  <si>
    <t>累计专项附加扣除总额</t>
  </si>
  <si>
    <t>累计其他扣除</t>
  </si>
  <si>
    <t>累计预扣预缴
应纳税所得额</t>
  </si>
  <si>
    <t>累计应预扣预缴税额</t>
  </si>
  <si>
    <t>累计已扣缴税额</t>
  </si>
  <si>
    <t>本次应扣税额</t>
  </si>
  <si>
    <t>净工资</t>
  </si>
  <si>
    <t>其他税后调整</t>
  </si>
  <si>
    <t>实发工资</t>
  </si>
  <si>
    <t>企业应
支付费用
合计</t>
  </si>
  <si>
    <t>工资账号省份</t>
  </si>
  <si>
    <t>工资账号地市</t>
  </si>
  <si>
    <t>银行帐号</t>
  </si>
  <si>
    <t>开户银行全称</t>
  </si>
  <si>
    <t>开户行</t>
  </si>
  <si>
    <t>身份证号码验证</t>
  </si>
  <si>
    <t>身份证查重验证</t>
  </si>
  <si>
    <t>银行卡查重验证</t>
  </si>
  <si>
    <t>养老个人</t>
  </si>
  <si>
    <t>医疗个人</t>
  </si>
  <si>
    <t>失业个人</t>
  </si>
  <si>
    <t>子女教育</t>
  </si>
  <si>
    <t>赡养老人</t>
  </si>
  <si>
    <t>住房贷款利息</t>
  </si>
  <si>
    <t>住房租金</t>
  </si>
  <si>
    <t>继续教育</t>
  </si>
  <si>
    <t>大病医疗</t>
  </si>
  <si>
    <t>创联致信（上月工资上月社保账单费用）</t>
  </si>
  <si>
    <t>身份证</t>
  </si>
  <si>
    <t>男</t>
  </si>
  <si>
    <t>女</t>
  </si>
  <si>
    <t>王明贤</t>
  </si>
  <si>
    <t>411322199302132416</t>
  </si>
  <si>
    <t>何仪华</t>
  </si>
  <si>
    <t>412726198606097916</t>
  </si>
  <si>
    <t>楚华锋</t>
  </si>
  <si>
    <t>410183199311189538</t>
  </si>
  <si>
    <t>芮瑞</t>
  </si>
  <si>
    <t>411221198610113536</t>
  </si>
  <si>
    <t>15537954009</t>
  </si>
  <si>
    <t>桑柳成</t>
  </si>
  <si>
    <t>410521199111257519</t>
  </si>
  <si>
    <t>15713680881</t>
  </si>
  <si>
    <t>姚远</t>
  </si>
  <si>
    <t>410102198812110135</t>
  </si>
  <si>
    <t>15938792012</t>
  </si>
  <si>
    <t>张铭</t>
  </si>
  <si>
    <t>411402199905127632</t>
  </si>
  <si>
    <t>张明亮</t>
  </si>
  <si>
    <t>41042219910810183X</t>
  </si>
  <si>
    <t>周砺兴</t>
  </si>
  <si>
    <t>642222198309050097</t>
  </si>
  <si>
    <t>马欢</t>
  </si>
  <si>
    <t>640223199201051513</t>
  </si>
  <si>
    <t>卢平</t>
  </si>
  <si>
    <t>640321199312071114</t>
  </si>
  <si>
    <t>合计</t>
  </si>
  <si>
    <t>个税</t>
  </si>
  <si>
    <t>注：</t>
  </si>
  <si>
    <t>填表说明：</t>
  </si>
  <si>
    <t>1，表头字体为红色项目为客户单位必填项。</t>
  </si>
  <si>
    <t>2，表格内未标注底色的项目为客户单位填项,建议根据当月社保预收账单数据填写。</t>
  </si>
  <si>
    <t>3，请客户单位注意各项目上是否有批注，批注内的内容需重视。</t>
  </si>
  <si>
    <t>4，表格标蓝底单元格内大部分都有函数公式，请客户负责人不要随意更改，避免引起数据错误。</t>
  </si>
  <si>
    <t>5，若社保个人缴纳部分已在社保账单内收取，则工资账单内的社保个人部分不计入企业支付费用中。</t>
  </si>
  <si>
    <t>计算说明：</t>
  </si>
  <si>
    <t>1，累计预扣预缴应纳税所得额=累计收入-累计免税收入-累计减除费用-累计专项扣除-累计专项附加扣除-累计依法确定的其他扣除</t>
  </si>
  <si>
    <t>2，本期应预扣预缴税额=（累计预扣预缴应纳税所得额*预扣率-速算扣除数）-累计减免税额-累计已预扣预缴税额</t>
  </si>
  <si>
    <t>夏旭</t>
  </si>
  <si>
    <t>340122198708021850</t>
  </si>
  <si>
    <t>18297976577</t>
  </si>
  <si>
    <t>15255242118</t>
  </si>
  <si>
    <t>13564614685</t>
  </si>
  <si>
    <t>长春</t>
  </si>
  <si>
    <t>傲云</t>
  </si>
  <si>
    <t>合肥</t>
  </si>
  <si>
    <t>长沙</t>
  </si>
  <si>
    <t>重庆外商</t>
  </si>
  <si>
    <t>13875812115</t>
  </si>
  <si>
    <t>天津易铭天</t>
  </si>
  <si>
    <t>622848 0018992539579</t>
  </si>
  <si>
    <t>中国农业银行北京永丰路支行</t>
  </si>
  <si>
    <t>农行</t>
  </si>
  <si>
    <t>莫文太</t>
  </si>
  <si>
    <t>430822198211098211</t>
  </si>
  <si>
    <t>谢锋明</t>
  </si>
  <si>
    <t>43022319780815051X</t>
  </si>
  <si>
    <t>朱必丰</t>
  </si>
  <si>
    <t>18409625963</t>
  </si>
  <si>
    <t>报送时间</t>
  </si>
  <si>
    <t>所属公司</t>
  </si>
  <si>
    <t>使用供应商</t>
  </si>
  <si>
    <t>项目编号</t>
  </si>
  <si>
    <t>员工工号</t>
  </si>
  <si>
    <t>身份证号</t>
  </si>
  <si>
    <t>手机号码</t>
  </si>
  <si>
    <t>是否需要外呼</t>
  </si>
  <si>
    <t>工作地点</t>
  </si>
  <si>
    <t>社保缴纳地</t>
  </si>
  <si>
    <t>户籍性质</t>
  </si>
  <si>
    <t>入职时间</t>
  </si>
  <si>
    <t>原参保城市</t>
  </si>
  <si>
    <t>社保缴纳类型</t>
  </si>
  <si>
    <t>社保</t>
  </si>
  <si>
    <t>公积金缴纳类型</t>
  </si>
  <si>
    <t>公积金</t>
  </si>
  <si>
    <t>是否签署劳动合同</t>
  </si>
  <si>
    <t>劳动合同版本</t>
  </si>
  <si>
    <t>劳动合同起始时间</t>
  </si>
  <si>
    <t>劳动合同终止时间</t>
  </si>
  <si>
    <t>试用期时间（0-12月）</t>
  </si>
  <si>
    <t>合同工资</t>
  </si>
  <si>
    <t>身份证校验</t>
  </si>
  <si>
    <t>户籍详细地址（仅大连地区填写）</t>
  </si>
  <si>
    <r>
      <rPr>
        <b/>
        <sz val="10"/>
        <color indexed="10"/>
        <rFont val="微软雅黑"/>
        <charset val="134"/>
      </rPr>
      <t>首次参加工作时间（仅大连地区填写）</t>
    </r>
  </si>
  <si>
    <t>采暖统筹
是否缴纳（仅大连地区填写）</t>
  </si>
  <si>
    <r>
      <rPr>
        <b/>
        <sz val="10"/>
        <color rgb="FFFF0000"/>
        <rFont val="微软雅黑"/>
        <charset val="134"/>
      </rPr>
      <t>福利开始时间
（</t>
    </r>
    <r>
      <rPr>
        <b/>
        <sz val="10"/>
        <color indexed="10"/>
        <rFont val="微软雅黑"/>
        <charset val="134"/>
      </rPr>
      <t>与起缴月一致）（仅大连地区填写）</t>
    </r>
  </si>
  <si>
    <t>社保起缴年月</t>
  </si>
  <si>
    <t>养老基数</t>
  </si>
  <si>
    <t>医疗基数</t>
  </si>
  <si>
    <t>失业基数</t>
  </si>
  <si>
    <t>工伤基数</t>
  </si>
  <si>
    <t>生育基数</t>
  </si>
  <si>
    <t>公积金起缴年月</t>
  </si>
  <si>
    <t>公积金缴纳比例（单位+个人）</t>
  </si>
  <si>
    <t>公积金基数</t>
  </si>
  <si>
    <t>户籍详细地址</t>
  </si>
  <si>
    <t>创联致信</t>
  </si>
  <si>
    <t>否</t>
  </si>
  <si>
    <t>调入</t>
  </si>
  <si>
    <t>个人所得税预扣率表一（居民个人工资、薪金预扣预缴适用）</t>
  </si>
  <si>
    <t>级数</t>
  </si>
  <si>
    <t>累计预扣预缴应纳税所得额</t>
  </si>
  <si>
    <t>税率</t>
  </si>
  <si>
    <t>速算扣除数</t>
  </si>
  <si>
    <t>不超过36000元的</t>
  </si>
  <si>
    <t>超过36000元至144000元的部分</t>
  </si>
  <si>
    <t>超过144000元至300000元的部分</t>
  </si>
  <si>
    <t>超过300000元至420000元的部分</t>
  </si>
  <si>
    <t>超过420000元至660000元的部分</t>
  </si>
  <si>
    <t>超过660000元至960000元的部分</t>
  </si>
  <si>
    <t>超过960000元的部分</t>
  </si>
  <si>
    <t>个人所得税预扣率表二（居民个人劳务报酬预扣预缴适用）</t>
  </si>
  <si>
    <t>预扣预缴应纳税所得额</t>
  </si>
  <si>
    <t>不超过20000元的</t>
  </si>
  <si>
    <t>超过20000元至50000元的部分</t>
  </si>
  <si>
    <t>超过50000的部分</t>
  </si>
  <si>
    <t>个人所得税税率表三（非居民个人工资、薪金、劳务报酬、稿酬所得、特许权使用费所得适用）</t>
  </si>
  <si>
    <t>应纳税所得额</t>
  </si>
  <si>
    <t>不超过3000元的</t>
  </si>
  <si>
    <t>超过3000元至12000元的部分</t>
  </si>
  <si>
    <t>超过12000元至25000元的部分</t>
  </si>
  <si>
    <t>超过25000元至35000元的部分</t>
  </si>
  <si>
    <t>超过35000元至55000元的部分</t>
  </si>
  <si>
    <t>超过55000元至80000元的部分</t>
  </si>
  <si>
    <t>超过80000元的部分</t>
  </si>
  <si>
    <t>按月换算后的综合所得税率表
（年终奖适用 2019.1.1-2021-12.31）</t>
  </si>
  <si>
    <t>全月应纳税所得额</t>
  </si>
  <si>
    <t>税率（%）</t>
  </si>
</sst>
</file>

<file path=xl/styles.xml><?xml version="1.0" encoding="utf-8"?>
<styleSheet xmlns="http://schemas.openxmlformats.org/spreadsheetml/2006/main">
  <numFmts count="1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DBNum2][$-804]General"/>
    <numFmt numFmtId="177" formatCode="&quot;$&quot;#,##0_ ;[Red]\-&quot;$&quot;#,##0_ "/>
    <numFmt numFmtId="178" formatCode="0.00_);[Red]\(0.00\)"/>
    <numFmt numFmtId="179" formatCode="#,##0_);[Red]\(#,##0\)"/>
    <numFmt numFmtId="180" formatCode="0.00_ "/>
    <numFmt numFmtId="181" formatCode="#,##0.00_);[Red]\(#,##0.00\)"/>
    <numFmt numFmtId="182" formatCode="0_);[Red]\(0\)"/>
    <numFmt numFmtId="183" formatCode="&quot;$&quot;0_ "/>
    <numFmt numFmtId="184" formatCode="0.00;[Red]0.00"/>
    <numFmt numFmtId="185" formatCode="General\ &quot;年&quot;"/>
    <numFmt numFmtId="186" formatCode="0.00_);\(0.00\)"/>
  </numFmts>
  <fonts count="127">
    <font>
      <sz val="11"/>
      <color theme="1"/>
      <name val="宋体"/>
      <charset val="134"/>
      <scheme val="minor"/>
    </font>
    <font>
      <sz val="18"/>
      <color theme="1"/>
      <name val="黑体"/>
      <charset val="134"/>
    </font>
    <font>
      <sz val="16"/>
      <color theme="1"/>
      <name val="仿宋_GB2312"/>
      <charset val="134"/>
    </font>
    <font>
      <b/>
      <sz val="12"/>
      <color theme="1"/>
      <name val="宋体"/>
      <charset val="134"/>
      <scheme val="major"/>
    </font>
    <font>
      <sz val="11"/>
      <color theme="1"/>
      <name val="宋体"/>
      <charset val="134"/>
      <scheme val="major"/>
    </font>
    <font>
      <b/>
      <sz val="12"/>
      <color rgb="FF2C2C2C"/>
      <name val="宋体"/>
      <charset val="134"/>
      <scheme val="minor"/>
    </font>
    <font>
      <sz val="11"/>
      <color indexed="8"/>
      <name val="宋体"/>
      <charset val="134"/>
    </font>
    <font>
      <b/>
      <sz val="10"/>
      <color indexed="8"/>
      <name val="宋体"/>
      <charset val="134"/>
    </font>
    <font>
      <b/>
      <sz val="10"/>
      <color rgb="FFFF0000"/>
      <name val="Arial Unicode MS"/>
      <charset val="134"/>
    </font>
    <font>
      <b/>
      <sz val="12"/>
      <color rgb="FFFF0000"/>
      <name val="Arial Unicode MS"/>
      <charset val="134"/>
    </font>
    <font>
      <sz val="12"/>
      <name val="Arial Unicode MS"/>
      <charset val="134"/>
    </font>
    <font>
      <b/>
      <sz val="10"/>
      <name val="Arial Unicode MS"/>
      <charset val="134"/>
    </font>
    <font>
      <b/>
      <sz val="10"/>
      <color rgb="FFFF0000"/>
      <name val="宋体"/>
      <charset val="134"/>
    </font>
    <font>
      <b/>
      <sz val="10"/>
      <name val="宋体"/>
      <charset val="134"/>
    </font>
    <font>
      <sz val="10"/>
      <color indexed="8"/>
      <name val="宋体"/>
      <charset val="134"/>
    </font>
    <font>
      <sz val="10"/>
      <color theme="1"/>
      <name val="宋体"/>
      <charset val="134"/>
    </font>
    <font>
      <sz val="10"/>
      <name val="宋体"/>
      <charset val="134"/>
      <scheme val="minor"/>
    </font>
    <font>
      <b/>
      <sz val="10"/>
      <color indexed="8"/>
      <name val="Arial Unicode MS"/>
      <charset val="134"/>
    </font>
    <font>
      <b/>
      <sz val="9"/>
      <color rgb="FFFF0000"/>
      <name val="宋体"/>
      <charset val="134"/>
    </font>
    <font>
      <b/>
      <sz val="9"/>
      <color indexed="8"/>
      <name val="宋体"/>
      <charset val="134"/>
    </font>
    <font>
      <sz val="9"/>
      <color indexed="8"/>
      <name val="宋体"/>
      <charset val="134"/>
    </font>
    <font>
      <sz val="9"/>
      <color indexed="10"/>
      <name val="宋体"/>
      <charset val="134"/>
    </font>
    <font>
      <b/>
      <sz val="9"/>
      <name val="宋体"/>
      <charset val="134"/>
    </font>
    <font>
      <b/>
      <sz val="9"/>
      <color indexed="10"/>
      <name val="宋体"/>
      <charset val="134"/>
    </font>
    <font>
      <b/>
      <sz val="10"/>
      <color rgb="FFFF0000"/>
      <name val="宋体"/>
      <charset val="134"/>
      <scheme val="minor"/>
    </font>
    <font>
      <sz val="10"/>
      <name val="宋体"/>
      <charset val="134"/>
    </font>
    <font>
      <sz val="9"/>
      <name val="宋体"/>
      <charset val="134"/>
    </font>
    <font>
      <sz val="10"/>
      <color indexed="8"/>
      <name val="微软雅黑"/>
      <charset val="134"/>
    </font>
    <font>
      <b/>
      <sz val="10"/>
      <name val="微软雅黑"/>
      <charset val="134"/>
    </font>
    <font>
      <b/>
      <sz val="10"/>
      <color indexed="10"/>
      <name val="微软雅黑"/>
      <charset val="134"/>
    </font>
    <font>
      <b/>
      <sz val="10"/>
      <color indexed="8"/>
      <name val="微软雅黑"/>
      <charset val="134"/>
    </font>
    <font>
      <b/>
      <sz val="10"/>
      <color rgb="FFFF0000"/>
      <name val="微软雅黑"/>
      <charset val="134"/>
    </font>
    <font>
      <sz val="6"/>
      <name val="Arial"/>
      <charset val="134"/>
    </font>
    <font>
      <sz val="6"/>
      <color indexed="8"/>
      <name val="Arial"/>
      <charset val="134"/>
    </font>
    <font>
      <b/>
      <sz val="11"/>
      <color indexed="10"/>
      <name val="宋体"/>
      <charset val="134"/>
    </font>
    <font>
      <sz val="11"/>
      <color indexed="10"/>
      <name val="宋体"/>
      <charset val="134"/>
    </font>
    <font>
      <sz val="11"/>
      <color indexed="8"/>
      <name val="微软雅黑"/>
      <charset val="134"/>
    </font>
    <font>
      <sz val="10"/>
      <name val="SimSun"/>
      <charset val="134"/>
    </font>
    <font>
      <sz val="10.5"/>
      <name val="宋体"/>
      <charset val="134"/>
    </font>
    <font>
      <sz val="9"/>
      <name val="Segoe UI"/>
      <charset val="134"/>
    </font>
    <font>
      <sz val="10"/>
      <color indexed="8"/>
      <name val="SimSun"/>
      <charset val="134"/>
    </font>
    <font>
      <sz val="10"/>
      <color theme="1"/>
      <name val="SimSun"/>
      <charset val="134"/>
    </font>
    <font>
      <sz val="10.5"/>
      <color rgb="FF191F25"/>
      <name val="Segoe UI"/>
      <charset val="134"/>
    </font>
    <font>
      <sz val="9"/>
      <color rgb="FF191F25"/>
      <name val="Segoe UI"/>
      <charset val="134"/>
    </font>
    <font>
      <sz val="10"/>
      <name val="宋体"/>
      <charset val="134"/>
      <scheme val="major"/>
    </font>
    <font>
      <sz val="10"/>
      <color theme="1"/>
      <name val="宋体"/>
      <charset val="134"/>
      <scheme val="major"/>
    </font>
    <font>
      <b/>
      <sz val="9"/>
      <color indexed="8"/>
      <name val="微软雅黑"/>
      <charset val="134"/>
    </font>
    <font>
      <sz val="10"/>
      <name val="微软雅黑"/>
      <charset val="134"/>
    </font>
    <font>
      <sz val="10"/>
      <color theme="1"/>
      <name val="微软雅黑"/>
      <charset val="134"/>
    </font>
    <font>
      <sz val="11"/>
      <name val="宋体"/>
      <charset val="134"/>
    </font>
    <font>
      <b/>
      <sz val="20"/>
      <name val="黑体"/>
      <charset val="134"/>
    </font>
    <font>
      <b/>
      <sz val="12"/>
      <color indexed="8"/>
      <name val="宋体"/>
      <charset val="134"/>
    </font>
    <font>
      <sz val="10"/>
      <color indexed="8"/>
      <name val="Wingdings 2"/>
      <charset val="2"/>
    </font>
    <font>
      <sz val="11"/>
      <color indexed="0"/>
      <name val="宋体-PUA"/>
      <charset val="134"/>
    </font>
    <font>
      <sz val="9"/>
      <name val="Arial"/>
      <charset val="134"/>
    </font>
    <font>
      <sz val="9"/>
      <color indexed="8"/>
      <name val="宋体-PUA"/>
      <charset val="134"/>
    </font>
    <font>
      <sz val="9"/>
      <name val="宋体-PUA"/>
      <charset val="134"/>
    </font>
    <font>
      <b/>
      <sz val="11"/>
      <name val="宋体"/>
      <charset val="134"/>
    </font>
    <font>
      <sz val="9"/>
      <color indexed="0"/>
      <name val="宋体-PUA"/>
      <charset val="134"/>
    </font>
    <font>
      <b/>
      <sz val="12"/>
      <name val="宋体"/>
      <charset val="134"/>
    </font>
    <font>
      <b/>
      <sz val="10"/>
      <name val="Arial"/>
      <charset val="134"/>
    </font>
    <font>
      <sz val="10"/>
      <name val="Arial"/>
      <charset val="134"/>
    </font>
    <font>
      <sz val="10"/>
      <name val="宋体-PUA"/>
      <charset val="134"/>
    </font>
    <font>
      <b/>
      <sz val="12"/>
      <name val="微软雅黑"/>
      <charset val="134"/>
    </font>
    <font>
      <i/>
      <sz val="11"/>
      <color indexed="0"/>
      <name val="宋体-PUA"/>
      <charset val="134"/>
    </font>
    <font>
      <b/>
      <sz val="12"/>
      <color indexed="0"/>
      <name val="宋体-PUA"/>
      <charset val="134"/>
    </font>
    <font>
      <b/>
      <i/>
      <sz val="11"/>
      <name val="宋体"/>
      <charset val="134"/>
    </font>
    <font>
      <i/>
      <sz val="11"/>
      <color indexed="0"/>
      <name val="宋体"/>
      <charset val="134"/>
    </font>
    <font>
      <b/>
      <sz val="12"/>
      <color indexed="0"/>
      <name val="宋体"/>
      <charset val="134"/>
    </font>
    <font>
      <sz val="12"/>
      <color indexed="0"/>
      <name val="宋体"/>
      <charset val="134"/>
    </font>
    <font>
      <b/>
      <sz val="11"/>
      <color indexed="8"/>
      <name val="宋体"/>
      <charset val="134"/>
    </font>
    <font>
      <sz val="10"/>
      <color indexed="8"/>
      <name val="宋体-PUA"/>
      <charset val="134"/>
    </font>
    <font>
      <b/>
      <sz val="11"/>
      <name val="宋体-PUA"/>
      <charset val="134"/>
    </font>
    <font>
      <sz val="12"/>
      <name val="宋体-PUA"/>
      <charset val="134"/>
    </font>
    <font>
      <sz val="6"/>
      <color rgb="FFFF0000"/>
      <name val="Arial"/>
      <charset val="134"/>
    </font>
    <font>
      <sz val="10"/>
      <color rgb="FFFF0000"/>
      <name val="SimSun"/>
      <charset val="134"/>
    </font>
    <font>
      <sz val="10"/>
      <color rgb="FFFF0000"/>
      <name val="宋体"/>
      <charset val="134"/>
      <scheme val="minor"/>
    </font>
    <font>
      <sz val="10.5"/>
      <color rgb="FFFF0000"/>
      <name val="宋体"/>
      <charset val="134"/>
    </font>
    <font>
      <sz val="9"/>
      <color rgb="FFFF0000"/>
      <name val="Segoe UI"/>
      <charset val="134"/>
    </font>
    <font>
      <sz val="10"/>
      <color rgb="FFFF0000"/>
      <name val="宋体"/>
      <charset val="134"/>
      <scheme val="major"/>
    </font>
    <font>
      <sz val="9"/>
      <color rgb="FFFF0000"/>
      <name val="宋体"/>
      <charset val="134"/>
    </font>
    <font>
      <sz val="10"/>
      <color rgb="FFFF0000"/>
      <name val="微软雅黑"/>
      <charset val="134"/>
    </font>
    <font>
      <sz val="11"/>
      <color rgb="FFFF0000"/>
      <name val="宋体"/>
      <charset val="134"/>
    </font>
    <font>
      <sz val="11"/>
      <color rgb="FF3F3F76"/>
      <name val="宋体"/>
      <charset val="0"/>
      <scheme val="minor"/>
    </font>
    <font>
      <sz val="11"/>
      <color indexed="9"/>
      <name val="宋体"/>
      <charset val="134"/>
    </font>
    <font>
      <sz val="11"/>
      <color theme="1"/>
      <name val="宋体"/>
      <charset val="0"/>
      <scheme val="minor"/>
    </font>
    <font>
      <b/>
      <sz val="11"/>
      <color indexed="63"/>
      <name val="宋体"/>
      <charset val="134"/>
    </font>
    <font>
      <sz val="11"/>
      <color indexed="52"/>
      <name val="宋体"/>
      <charset val="134"/>
    </font>
    <font>
      <sz val="12"/>
      <name val="宋体"/>
      <charset val="134"/>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u/>
      <sz val="11"/>
      <color rgb="FF800080"/>
      <name val="宋体"/>
      <charset val="0"/>
      <scheme val="minor"/>
    </font>
    <font>
      <i/>
      <sz val="11"/>
      <color indexed="23"/>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0"/>
      <name val="Geneva"/>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9"/>
      <name val="宋体"/>
      <charset val="134"/>
    </font>
    <font>
      <sz val="11"/>
      <color indexed="60"/>
      <name val="宋体"/>
      <charset val="134"/>
    </font>
    <font>
      <b/>
      <sz val="11"/>
      <color indexed="56"/>
      <name val="宋体"/>
      <charset val="134"/>
    </font>
    <font>
      <sz val="11"/>
      <color indexed="20"/>
      <name val="宋体"/>
      <charset val="134"/>
    </font>
    <font>
      <sz val="11"/>
      <color indexed="17"/>
      <name val="宋体"/>
      <charset val="134"/>
    </font>
    <font>
      <sz val="11"/>
      <color indexed="62"/>
      <name val="宋体"/>
      <charset val="134"/>
    </font>
    <font>
      <sz val="10"/>
      <color indexed="8"/>
      <name val="Arial"/>
      <charset val="134"/>
    </font>
    <font>
      <b/>
      <sz val="15"/>
      <color indexed="56"/>
      <name val="宋体"/>
      <charset val="134"/>
    </font>
    <font>
      <b/>
      <sz val="13"/>
      <color indexed="56"/>
      <name val="宋体"/>
      <charset val="134"/>
    </font>
    <font>
      <sz val="10"/>
      <name val="Helv"/>
      <charset val="134"/>
    </font>
    <font>
      <b/>
      <sz val="18"/>
      <color indexed="56"/>
      <name val="宋体"/>
      <charset val="134"/>
    </font>
    <font>
      <sz val="12"/>
      <color indexed="8"/>
      <name val="Verdana"/>
      <charset val="134"/>
    </font>
    <font>
      <u/>
      <sz val="10"/>
      <color indexed="12"/>
      <name val="新細明體"/>
      <charset val="134"/>
    </font>
    <font>
      <sz val="12"/>
      <name val="Times New Roman"/>
      <charset val="134"/>
    </font>
    <font>
      <sz val="9"/>
      <name val="Tahoma"/>
      <charset val="134"/>
    </font>
    <font>
      <sz val="9"/>
      <name val="宋体"/>
      <charset val="134"/>
    </font>
    <font>
      <b/>
      <sz val="11"/>
      <name val="宋体"/>
      <charset val="134"/>
    </font>
    <font>
      <b/>
      <sz val="9"/>
      <name val="宋体"/>
      <charset val="134"/>
    </font>
  </fonts>
  <fills count="62">
    <fill>
      <patternFill patternType="none"/>
    </fill>
    <fill>
      <patternFill patternType="gray125"/>
    </fill>
    <fill>
      <patternFill patternType="solid">
        <fgColor theme="0" tint="-0.349986266670736"/>
        <bgColor indexed="64"/>
      </patternFill>
    </fill>
    <fill>
      <patternFill patternType="solid">
        <fgColor rgb="FFFFFF00"/>
        <bgColor indexed="64"/>
      </patternFill>
    </fill>
    <fill>
      <patternFill patternType="solid">
        <fgColor theme="8" tint="0.599993896298105"/>
        <bgColor indexed="64"/>
      </patternFill>
    </fill>
    <fill>
      <patternFill patternType="solid">
        <fgColor theme="8" tint="0.799920651875362"/>
        <bgColor indexed="64"/>
      </patternFill>
    </fill>
    <fill>
      <patternFill patternType="solid">
        <fgColor theme="0"/>
        <bgColor indexed="64"/>
      </patternFill>
    </fill>
    <fill>
      <patternFill patternType="solid">
        <fgColor indexed="5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C000"/>
        <bgColor indexed="64"/>
      </patternFill>
    </fill>
    <fill>
      <patternFill patternType="lightGrid">
        <fgColor indexed="22"/>
        <bgColor indexed="22"/>
      </patternFill>
    </fill>
    <fill>
      <patternFill patternType="solid">
        <fgColor indexed="9"/>
        <bgColor indexed="64"/>
      </patternFill>
    </fill>
    <fill>
      <patternFill patternType="solid">
        <fgColor indexed="27"/>
        <bgColor indexed="64"/>
      </patternFill>
    </fill>
    <fill>
      <patternFill patternType="solid">
        <fgColor rgb="FFFFCC99"/>
        <bgColor indexed="64"/>
      </patternFill>
    </fill>
    <fill>
      <patternFill patternType="solid">
        <fgColor indexed="10"/>
        <bgColor indexed="64"/>
      </patternFill>
    </fill>
    <fill>
      <patternFill patternType="solid">
        <fgColor theme="6" tint="0.799981688894314"/>
        <bgColor indexed="64"/>
      </patternFill>
    </fill>
    <fill>
      <patternFill patternType="solid">
        <fgColor indexed="22"/>
        <bgColor indexed="64"/>
      </patternFill>
    </fill>
    <fill>
      <patternFill patternType="solid">
        <fgColor indexed="31"/>
        <bgColor indexed="64"/>
      </patternFill>
    </fill>
    <fill>
      <patternFill patternType="solid">
        <fgColor theme="6" tint="0.599993896298105"/>
        <bgColor indexed="64"/>
      </patternFill>
    </fill>
    <fill>
      <patternFill patternType="solid">
        <fgColor rgb="FFFFC7CE"/>
        <bgColor indexed="64"/>
      </patternFill>
    </fill>
    <fill>
      <patternFill patternType="solid">
        <fgColor indexed="52"/>
        <bgColor indexed="64"/>
      </patternFill>
    </fill>
    <fill>
      <patternFill patternType="solid">
        <fgColor rgb="FFFFFFCC"/>
        <bgColor indexed="64"/>
      </patternFill>
    </fill>
    <fill>
      <patternFill patternType="solid">
        <fgColor indexed="29"/>
        <bgColor indexed="64"/>
      </patternFill>
    </fill>
    <fill>
      <patternFill patternType="solid">
        <fgColor indexed="46"/>
        <bgColor indexed="64"/>
      </patternFill>
    </fill>
    <fill>
      <patternFill patternType="solid">
        <fgColor indexed="26"/>
        <bgColor indexed="64"/>
      </patternFill>
    </fill>
    <fill>
      <patternFill patternType="solid">
        <fgColor indexed="62"/>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indexed="51"/>
        <bgColor indexed="64"/>
      </patternFill>
    </fill>
    <fill>
      <patternFill patternType="solid">
        <fgColor indexed="36"/>
        <bgColor indexed="64"/>
      </patternFill>
    </fill>
    <fill>
      <patternFill patternType="solid">
        <fgColor rgb="FFC6EFCE"/>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9"/>
        <bgColor indexed="64"/>
      </patternFill>
    </fill>
    <fill>
      <patternFill patternType="solid">
        <fgColor indexed="30"/>
        <bgColor indexed="64"/>
      </patternFill>
    </fill>
    <fill>
      <patternFill patternType="solid">
        <fgColor indexed="47"/>
        <bgColor indexed="64"/>
      </patternFill>
    </fill>
    <fill>
      <patternFill patternType="solid">
        <fgColor indexed="11"/>
        <bgColor indexed="64"/>
      </patternFill>
    </fill>
    <fill>
      <patternFill patternType="solid">
        <fgColor indexed="44"/>
        <bgColor indexed="64"/>
      </patternFill>
    </fill>
    <fill>
      <patternFill patternType="solid">
        <fgColor indexed="57"/>
        <bgColor indexed="64"/>
      </patternFill>
    </fill>
    <fill>
      <patternFill patternType="solid">
        <fgColor indexed="53"/>
        <bgColor indexed="64"/>
      </patternFill>
    </fill>
  </fills>
  <borders count="64">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indexed="8"/>
      </bottom>
      <diagonal/>
    </border>
    <border>
      <left style="thin">
        <color auto="1"/>
      </left>
      <right style="thin">
        <color auto="1"/>
      </right>
      <top/>
      <bottom/>
      <diagonal/>
    </border>
    <border>
      <left/>
      <right/>
      <top/>
      <bottom style="thin">
        <color auto="1"/>
      </bottom>
      <diagonal/>
    </border>
    <border>
      <left style="thin">
        <color auto="1"/>
      </left>
      <right/>
      <top/>
      <bottom style="thin">
        <color auto="1"/>
      </bottom>
      <diagonal/>
    </border>
    <border>
      <left style="medium">
        <color indexed="8"/>
      </left>
      <right/>
      <top/>
      <bottom style="thin">
        <color indexed="8"/>
      </bottom>
      <diagonal/>
    </border>
    <border>
      <left style="medium">
        <color auto="1"/>
      </left>
      <right/>
      <top/>
      <bottom style="thin">
        <color indexed="8"/>
      </bottom>
      <diagonal/>
    </border>
    <border>
      <left style="medium">
        <color indexed="8"/>
      </left>
      <right/>
      <top style="thin">
        <color indexed="8"/>
      </top>
      <bottom style="medium">
        <color indexed="8"/>
      </bottom>
      <diagonal/>
    </border>
    <border>
      <left style="medium">
        <color auto="1"/>
      </left>
      <right style="thin">
        <color indexed="8"/>
      </right>
      <top style="thin">
        <color indexed="8"/>
      </top>
      <bottom style="medium">
        <color auto="1"/>
      </bottom>
      <diagonal/>
    </border>
    <border>
      <left style="thin">
        <color indexed="8"/>
      </left>
      <right style="thin">
        <color indexed="8"/>
      </right>
      <top/>
      <bottom style="medium">
        <color auto="1"/>
      </bottom>
      <diagonal/>
    </border>
    <border>
      <left style="thin">
        <color indexed="8"/>
      </left>
      <right/>
      <top/>
      <bottom style="medium">
        <color auto="1"/>
      </bottom>
      <diagonal/>
    </border>
    <border>
      <left style="thin">
        <color auto="1"/>
      </left>
      <right style="thin">
        <color auto="1"/>
      </right>
      <top style="thin">
        <color auto="1"/>
      </top>
      <bottom style="medium">
        <color auto="1"/>
      </bottom>
      <diagonal/>
    </border>
    <border>
      <left/>
      <right style="thin">
        <color indexed="31"/>
      </right>
      <top style="thin">
        <color indexed="31"/>
      </top>
      <bottom style="thin">
        <color indexed="31"/>
      </bottom>
      <diagonal/>
    </border>
    <border>
      <left style="thin">
        <color indexed="31"/>
      </left>
      <right style="thin">
        <color indexed="31"/>
      </right>
      <top style="thin">
        <color indexed="31"/>
      </top>
      <bottom style="thin">
        <color indexed="31"/>
      </bottom>
      <diagonal/>
    </border>
    <border>
      <left style="thick">
        <color auto="1"/>
      </left>
      <right style="thin">
        <color auto="1"/>
      </right>
      <top style="thick">
        <color auto="1"/>
      </top>
      <bottom style="thin">
        <color auto="1"/>
      </bottom>
      <diagonal/>
    </border>
    <border>
      <left style="thick">
        <color auto="1"/>
      </left>
      <right style="thick">
        <color auto="1"/>
      </right>
      <top style="thick">
        <color auto="1"/>
      </top>
      <bottom style="thin">
        <color auto="1"/>
      </bottom>
      <diagonal/>
    </border>
    <border>
      <left style="thick">
        <color auto="1"/>
      </left>
      <right style="thin">
        <color auto="1"/>
      </right>
      <top/>
      <bottom style="thin">
        <color auto="1"/>
      </bottom>
      <diagonal/>
    </border>
    <border>
      <left/>
      <right style="thick">
        <color auto="1"/>
      </right>
      <top style="thin">
        <color auto="1"/>
      </top>
      <bottom style="thin">
        <color auto="1"/>
      </bottom>
      <diagonal/>
    </border>
    <border>
      <left style="thick">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ck">
        <color auto="1"/>
      </right>
      <top style="thin">
        <color auto="1"/>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n">
        <color rgb="FF7F7F7F"/>
      </left>
      <right style="thin">
        <color rgb="FF7F7F7F"/>
      </right>
      <top style="thin">
        <color rgb="FF7F7F7F"/>
      </top>
      <bottom style="thin">
        <color rgb="FF7F7F7F"/>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s>
  <cellStyleXfs count="494">
    <xf numFmtId="0" fontId="0" fillId="0" borderId="0">
      <alignment vertical="center"/>
    </xf>
    <xf numFmtId="42" fontId="0" fillId="0" borderId="0" applyFont="0" applyFill="0" applyBorder="0" applyAlignment="0" applyProtection="0">
      <alignment vertical="center"/>
    </xf>
    <xf numFmtId="0" fontId="83" fillId="14" borderId="47" applyNumberFormat="0" applyAlignment="0" applyProtection="0">
      <alignment vertical="center"/>
    </xf>
    <xf numFmtId="0" fontId="84" fillId="15" borderId="0" applyNumberFormat="0" applyBorder="0" applyAlignment="0" applyProtection="0">
      <alignment vertical="center"/>
    </xf>
    <xf numFmtId="0" fontId="85" fillId="16" borderId="0" applyNumberFormat="0" applyBorder="0" applyAlignment="0" applyProtection="0">
      <alignment vertical="center"/>
    </xf>
    <xf numFmtId="0" fontId="86" fillId="17" borderId="48" applyNumberFormat="0" applyAlignment="0" applyProtection="0">
      <alignment vertical="center"/>
    </xf>
    <xf numFmtId="0" fontId="87" fillId="0" borderId="49" applyNumberFormat="0" applyFill="0" applyAlignment="0" applyProtection="0">
      <alignment vertical="center"/>
    </xf>
    <xf numFmtId="0" fontId="84" fillId="15" borderId="0" applyNumberFormat="0" applyBorder="0" applyAlignment="0" applyProtection="0">
      <alignment vertical="center"/>
    </xf>
    <xf numFmtId="0" fontId="70" fillId="0" borderId="50" applyNumberFormat="0" applyFill="0" applyAlignment="0" applyProtection="0">
      <alignment vertical="center"/>
    </xf>
    <xf numFmtId="0" fontId="61" fillId="0" borderId="0">
      <alignment vertical="center"/>
    </xf>
    <xf numFmtId="0" fontId="87" fillId="0" borderId="49" applyNumberFormat="0" applyFill="0" applyAlignment="0" applyProtection="0">
      <alignment vertical="center"/>
    </xf>
    <xf numFmtId="0" fontId="6" fillId="18" borderId="0" applyNumberFormat="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0" borderId="0">
      <alignment vertical="center"/>
    </xf>
    <xf numFmtId="43" fontId="0" fillId="0" borderId="0" applyFont="0" applyFill="0" applyBorder="0" applyAlignment="0" applyProtection="0">
      <alignment vertical="center"/>
    </xf>
    <xf numFmtId="0" fontId="88" fillId="0" borderId="0"/>
    <xf numFmtId="0" fontId="85" fillId="19" borderId="0" applyNumberFormat="0" applyBorder="0" applyAlignment="0" applyProtection="0">
      <alignment vertical="center"/>
    </xf>
    <xf numFmtId="0" fontId="89" fillId="17" borderId="51" applyNumberFormat="0" applyAlignment="0" applyProtection="0">
      <alignment vertical="center"/>
    </xf>
    <xf numFmtId="0" fontId="90" fillId="20" borderId="0" applyNumberFormat="0" applyBorder="0" applyAlignment="0" applyProtection="0">
      <alignment vertical="center"/>
    </xf>
    <xf numFmtId="0" fontId="91" fillId="0" borderId="0" applyNumberFormat="0" applyFill="0" applyBorder="0" applyAlignment="0" applyProtection="0">
      <alignment vertical="center"/>
    </xf>
    <xf numFmtId="0" fontId="84" fillId="21" borderId="0" applyNumberFormat="0" applyBorder="0" applyAlignment="0" applyProtection="0">
      <alignment vertical="center"/>
    </xf>
    <xf numFmtId="0" fontId="92" fillId="9" borderId="0" applyNumberFormat="0" applyBorder="0" applyAlignment="0" applyProtection="0">
      <alignment vertical="center"/>
    </xf>
    <xf numFmtId="9" fontId="0" fillId="0" borderId="0" applyFont="0" applyFill="0" applyBorder="0" applyAlignment="0" applyProtection="0">
      <alignment vertical="center"/>
    </xf>
    <xf numFmtId="0" fontId="93" fillId="0" borderId="0" applyNumberFormat="0" applyFill="0" applyBorder="0" applyAlignment="0" applyProtection="0">
      <alignment vertical="center"/>
    </xf>
    <xf numFmtId="0" fontId="0" fillId="22" borderId="52" applyNumberFormat="0" applyFont="0" applyAlignment="0" applyProtection="0">
      <alignment vertical="center"/>
    </xf>
    <xf numFmtId="0" fontId="6" fillId="0" borderId="0">
      <alignment vertical="center"/>
    </xf>
    <xf numFmtId="0" fontId="84" fillId="23" borderId="0" applyNumberFormat="0" applyBorder="0" applyAlignment="0" applyProtection="0">
      <alignment vertical="center"/>
    </xf>
    <xf numFmtId="0" fontId="6" fillId="24" borderId="0" applyNumberFormat="0" applyBorder="0" applyAlignment="0" applyProtection="0">
      <alignment vertical="center"/>
    </xf>
    <xf numFmtId="0" fontId="92" fillId="8" borderId="0" applyNumberFormat="0" applyBorder="0" applyAlignment="0" applyProtection="0">
      <alignment vertical="center"/>
    </xf>
    <xf numFmtId="0" fontId="94"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6" fillId="25" borderId="53" applyNumberFormat="0" applyFont="0" applyAlignment="0" applyProtection="0">
      <alignment vertical="center"/>
    </xf>
    <xf numFmtId="0" fontId="96" fillId="0" borderId="0" applyNumberFormat="0" applyFill="0" applyBorder="0" applyAlignment="0" applyProtection="0">
      <alignment vertical="center"/>
    </xf>
    <xf numFmtId="0" fontId="84" fillId="23" borderId="0" applyNumberFormat="0" applyBorder="0" applyAlignment="0" applyProtection="0">
      <alignment vertical="center"/>
    </xf>
    <xf numFmtId="0" fontId="0" fillId="0" borderId="0">
      <alignment vertical="center"/>
    </xf>
    <xf numFmtId="0" fontId="84" fillId="26" borderId="0" applyNumberFormat="0" applyBorder="0" applyAlignment="0" applyProtection="0">
      <alignment vertical="center"/>
    </xf>
    <xf numFmtId="0" fontId="97" fillId="0" borderId="0" applyNumberFormat="0" applyFill="0" applyBorder="0" applyAlignment="0" applyProtection="0">
      <alignment vertical="center"/>
    </xf>
    <xf numFmtId="0" fontId="98" fillId="0" borderId="0" applyNumberFormat="0" applyFill="0" applyBorder="0" applyAlignment="0" applyProtection="0">
      <alignment vertical="center"/>
    </xf>
    <xf numFmtId="9" fontId="6" fillId="0" borderId="0" applyFont="0" applyFill="0" applyBorder="0" applyAlignment="0" applyProtection="0">
      <alignment vertical="center"/>
    </xf>
    <xf numFmtId="0" fontId="99" fillId="0" borderId="54" applyNumberFormat="0" applyFill="0" applyAlignment="0" applyProtection="0">
      <alignment vertical="center"/>
    </xf>
    <xf numFmtId="0" fontId="100" fillId="0" borderId="0"/>
    <xf numFmtId="0" fontId="101" fillId="0" borderId="54" applyNumberFormat="0" applyFill="0" applyAlignment="0" applyProtection="0">
      <alignment vertical="center"/>
    </xf>
    <xf numFmtId="0" fontId="92" fillId="27" borderId="0" applyNumberFormat="0" applyBorder="0" applyAlignment="0" applyProtection="0">
      <alignment vertical="center"/>
    </xf>
    <xf numFmtId="0" fontId="95" fillId="0" borderId="55" applyNumberFormat="0" applyFill="0" applyAlignment="0" applyProtection="0">
      <alignment vertical="center"/>
    </xf>
    <xf numFmtId="0" fontId="6" fillId="25" borderId="53" applyNumberFormat="0" applyFont="0" applyAlignment="0" applyProtection="0">
      <alignment vertical="center"/>
    </xf>
    <xf numFmtId="0" fontId="92" fillId="28" borderId="0" applyNumberFormat="0" applyBorder="0" applyAlignment="0" applyProtection="0">
      <alignment vertical="center"/>
    </xf>
    <xf numFmtId="0" fontId="86" fillId="17" borderId="48" applyNumberFormat="0" applyAlignment="0" applyProtection="0">
      <alignment vertical="center"/>
    </xf>
    <xf numFmtId="0" fontId="102" fillId="29" borderId="56" applyNumberFormat="0" applyAlignment="0" applyProtection="0">
      <alignment vertical="center"/>
    </xf>
    <xf numFmtId="0" fontId="103" fillId="29" borderId="47" applyNumberFormat="0" applyAlignment="0" applyProtection="0">
      <alignment vertical="center"/>
    </xf>
    <xf numFmtId="0" fontId="6" fillId="24" borderId="0" applyNumberFormat="0" applyBorder="0" applyAlignment="0" applyProtection="0">
      <alignment vertical="center"/>
    </xf>
    <xf numFmtId="0" fontId="89" fillId="17" borderId="51" applyNumberFormat="0" applyAlignment="0" applyProtection="0">
      <alignment vertical="center"/>
    </xf>
    <xf numFmtId="0" fontId="104" fillId="30" borderId="57" applyNumberFormat="0" applyAlignment="0" applyProtection="0">
      <alignment vertical="center"/>
    </xf>
    <xf numFmtId="0" fontId="88" fillId="0" borderId="0">
      <alignment vertical="center"/>
    </xf>
    <xf numFmtId="0" fontId="85" fillId="31" borderId="0" applyNumberFormat="0" applyBorder="0" applyAlignment="0" applyProtection="0">
      <alignment vertical="center"/>
    </xf>
    <xf numFmtId="0" fontId="92" fillId="32" borderId="0" applyNumberFormat="0" applyBorder="0" applyAlignment="0" applyProtection="0">
      <alignment vertical="center"/>
    </xf>
    <xf numFmtId="0" fontId="6" fillId="25" borderId="53" applyNumberFormat="0" applyFont="0" applyAlignment="0" applyProtection="0">
      <alignment vertical="center"/>
    </xf>
    <xf numFmtId="0" fontId="105" fillId="0" borderId="58" applyNumberFormat="0" applyFill="0" applyAlignment="0" applyProtection="0">
      <alignment vertical="center"/>
    </xf>
    <xf numFmtId="0" fontId="6" fillId="33" borderId="0" applyNumberFormat="0" applyBorder="0" applyAlignment="0" applyProtection="0">
      <alignment vertical="center"/>
    </xf>
    <xf numFmtId="0" fontId="84" fillId="34" borderId="0" applyNumberFormat="0" applyBorder="0" applyAlignment="0" applyProtection="0">
      <alignment vertical="center"/>
    </xf>
    <xf numFmtId="0" fontId="106" fillId="0" borderId="59" applyNumberFormat="0" applyFill="0" applyAlignment="0" applyProtection="0">
      <alignment vertical="center"/>
    </xf>
    <xf numFmtId="0" fontId="107" fillId="35" borderId="0" applyNumberFormat="0" applyBorder="0" applyAlignment="0" applyProtection="0">
      <alignment vertical="center"/>
    </xf>
    <xf numFmtId="0" fontId="6" fillId="36" borderId="0" applyNumberFormat="0" applyBorder="0" applyAlignment="0" applyProtection="0">
      <alignment vertical="center"/>
    </xf>
    <xf numFmtId="0" fontId="86" fillId="17" borderId="48" applyNumberFormat="0" applyAlignment="0" applyProtection="0">
      <alignment vertical="center"/>
    </xf>
    <xf numFmtId="0" fontId="108" fillId="37" borderId="0" applyNumberFormat="0" applyBorder="0" applyAlignment="0" applyProtection="0">
      <alignment vertical="center"/>
    </xf>
    <xf numFmtId="0" fontId="88" fillId="0" borderId="0">
      <alignment vertical="center"/>
    </xf>
    <xf numFmtId="0" fontId="86" fillId="17" borderId="48" applyNumberFormat="0" applyAlignment="0" applyProtection="0">
      <alignment vertical="center"/>
    </xf>
    <xf numFmtId="0" fontId="85" fillId="38" borderId="0" applyNumberFormat="0" applyBorder="0" applyAlignment="0" applyProtection="0">
      <alignment vertical="center"/>
    </xf>
    <xf numFmtId="0" fontId="88" fillId="0" borderId="0"/>
    <xf numFmtId="0" fontId="109" fillId="7" borderId="60" applyNumberFormat="0" applyAlignment="0" applyProtection="0">
      <alignment vertical="center"/>
    </xf>
    <xf numFmtId="0" fontId="92" fillId="39" borderId="0" applyNumberFormat="0" applyBorder="0" applyAlignment="0" applyProtection="0">
      <alignment vertical="center"/>
    </xf>
    <xf numFmtId="0" fontId="87" fillId="0" borderId="49" applyNumberFormat="0" applyFill="0" applyAlignment="0" applyProtection="0">
      <alignment vertical="center"/>
    </xf>
    <xf numFmtId="0" fontId="6" fillId="25" borderId="53" applyNumberFormat="0" applyFont="0" applyAlignment="0" applyProtection="0">
      <alignment vertical="center"/>
    </xf>
    <xf numFmtId="0" fontId="85" fillId="40" borderId="0" applyNumberFormat="0" applyBorder="0" applyAlignment="0" applyProtection="0">
      <alignment vertical="center"/>
    </xf>
    <xf numFmtId="0" fontId="61" fillId="0" borderId="0"/>
    <xf numFmtId="0" fontId="6" fillId="24" borderId="0" applyNumberFormat="0" applyBorder="0" applyAlignment="0" applyProtection="0">
      <alignment vertical="center"/>
    </xf>
    <xf numFmtId="0" fontId="70" fillId="0" borderId="50" applyNumberFormat="0" applyFill="0" applyAlignment="0" applyProtection="0">
      <alignment vertical="center"/>
    </xf>
    <xf numFmtId="0" fontId="85" fillId="41" borderId="0" applyNumberFormat="0" applyBorder="0" applyAlignment="0" applyProtection="0">
      <alignment vertical="center"/>
    </xf>
    <xf numFmtId="0" fontId="87" fillId="0" borderId="49" applyNumberFormat="0" applyFill="0" applyAlignment="0" applyProtection="0">
      <alignment vertical="center"/>
    </xf>
    <xf numFmtId="0" fontId="86" fillId="17" borderId="48" applyNumberFormat="0" applyAlignment="0" applyProtection="0">
      <alignment vertical="center"/>
    </xf>
    <xf numFmtId="0" fontId="85" fillId="42" borderId="0" applyNumberFormat="0" applyBorder="0" applyAlignment="0" applyProtection="0">
      <alignment vertical="center"/>
    </xf>
    <xf numFmtId="0" fontId="85" fillId="43" borderId="0" applyNumberFormat="0" applyBorder="0" applyAlignment="0" applyProtection="0">
      <alignment vertical="center"/>
    </xf>
    <xf numFmtId="0" fontId="92" fillId="44" borderId="0" applyNumberFormat="0" applyBorder="0" applyAlignment="0" applyProtection="0">
      <alignment vertical="center"/>
    </xf>
    <xf numFmtId="0" fontId="92" fillId="45" borderId="0" applyNumberFormat="0" applyBorder="0" applyAlignment="0" applyProtection="0">
      <alignment vertical="center"/>
    </xf>
    <xf numFmtId="0" fontId="70" fillId="0" borderId="50" applyNumberFormat="0" applyFill="0" applyAlignment="0" applyProtection="0">
      <alignment vertical="center"/>
    </xf>
    <xf numFmtId="0" fontId="86" fillId="17" borderId="48" applyNumberFormat="0" applyAlignment="0" applyProtection="0">
      <alignment vertical="center"/>
    </xf>
    <xf numFmtId="0" fontId="85" fillId="46" borderId="0" applyNumberFormat="0" applyBorder="0" applyAlignment="0" applyProtection="0">
      <alignment vertical="center"/>
    </xf>
    <xf numFmtId="0" fontId="89" fillId="17" borderId="51" applyNumberFormat="0" applyAlignment="0" applyProtection="0">
      <alignment vertical="center"/>
    </xf>
    <xf numFmtId="0" fontId="85" fillId="47" borderId="0" applyNumberFormat="0" applyBorder="0" applyAlignment="0" applyProtection="0">
      <alignment vertical="center"/>
    </xf>
    <xf numFmtId="0" fontId="92" fillId="48" borderId="0" applyNumberFormat="0" applyBorder="0" applyAlignment="0" applyProtection="0">
      <alignment vertical="center"/>
    </xf>
    <xf numFmtId="0" fontId="89" fillId="17" borderId="51" applyNumberFormat="0" applyAlignment="0" applyProtection="0">
      <alignment vertical="center"/>
    </xf>
    <xf numFmtId="0" fontId="85" fillId="4" borderId="0" applyNumberFormat="0" applyBorder="0" applyAlignment="0" applyProtection="0">
      <alignment vertical="center"/>
    </xf>
    <xf numFmtId="0" fontId="6" fillId="25" borderId="53" applyNumberFormat="0" applyFont="0" applyAlignment="0" applyProtection="0">
      <alignment vertical="center"/>
    </xf>
    <xf numFmtId="0" fontId="92" fillId="49" borderId="0" applyNumberFormat="0" applyBorder="0" applyAlignment="0" applyProtection="0">
      <alignment vertical="center"/>
    </xf>
    <xf numFmtId="0" fontId="92" fillId="50" borderId="0" applyNumberFormat="0" applyBorder="0" applyAlignment="0" applyProtection="0">
      <alignment vertical="center"/>
    </xf>
    <xf numFmtId="0" fontId="6" fillId="36" borderId="0" applyNumberFormat="0" applyBorder="0" applyAlignment="0" applyProtection="0">
      <alignment vertical="center"/>
    </xf>
    <xf numFmtId="0" fontId="89" fillId="17" borderId="51" applyNumberFormat="0" applyAlignment="0" applyProtection="0">
      <alignment vertical="center"/>
    </xf>
    <xf numFmtId="0" fontId="110" fillId="51" borderId="0" applyNumberFormat="0" applyBorder="0" applyAlignment="0" applyProtection="0">
      <alignment vertical="center"/>
    </xf>
    <xf numFmtId="0" fontId="86" fillId="17" borderId="48" applyNumberFormat="0" applyAlignment="0" applyProtection="0">
      <alignment vertical="center"/>
    </xf>
    <xf numFmtId="0" fontId="85" fillId="52" borderId="0" applyNumberFormat="0" applyBorder="0" applyAlignment="0" applyProtection="0">
      <alignment vertical="center"/>
    </xf>
    <xf numFmtId="0" fontId="92" fillId="53" borderId="0" applyNumberFormat="0" applyBorder="0" applyAlignment="0" applyProtection="0">
      <alignment vertical="center"/>
    </xf>
    <xf numFmtId="0" fontId="61" fillId="0" borderId="0"/>
    <xf numFmtId="0" fontId="111" fillId="0" borderId="0" applyNumberFormat="0" applyFill="0" applyBorder="0" applyAlignment="0" applyProtection="0">
      <alignment vertical="center"/>
    </xf>
    <xf numFmtId="0" fontId="6" fillId="18" borderId="0" applyNumberFormat="0" applyBorder="0" applyAlignment="0" applyProtection="0">
      <alignment vertical="center"/>
    </xf>
    <xf numFmtId="0" fontId="61" fillId="0" borderId="0"/>
    <xf numFmtId="0" fontId="6" fillId="23"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88" fillId="0" borderId="0">
      <alignment vertical="center"/>
    </xf>
    <xf numFmtId="0" fontId="112" fillId="54" borderId="0" applyNumberFormat="0" applyBorder="0" applyAlignment="0" applyProtection="0">
      <alignment vertical="center"/>
    </xf>
    <xf numFmtId="0" fontId="61" fillId="0" borderId="0"/>
    <xf numFmtId="0" fontId="6" fillId="18" borderId="0" applyNumberFormat="0" applyBorder="0" applyAlignment="0" applyProtection="0">
      <alignment vertical="center"/>
    </xf>
    <xf numFmtId="0" fontId="88" fillId="0" borderId="0"/>
    <xf numFmtId="0" fontId="84" fillId="55" borderId="0" applyNumberFormat="0" applyBorder="0" applyAlignment="0" applyProtection="0">
      <alignment vertical="center"/>
    </xf>
    <xf numFmtId="0" fontId="6" fillId="18" borderId="0" applyNumberFormat="0" applyBorder="0" applyAlignment="0" applyProtection="0">
      <alignment vertical="center"/>
    </xf>
    <xf numFmtId="0" fontId="6" fillId="0" borderId="0"/>
    <xf numFmtId="0" fontId="6" fillId="18" borderId="0" applyNumberFormat="0" applyBorder="0" applyAlignment="0" applyProtection="0">
      <alignment vertical="center"/>
    </xf>
    <xf numFmtId="0" fontId="113" fillId="36" borderId="0" applyNumberFormat="0" applyBorder="0" applyAlignment="0" applyProtection="0">
      <alignment vertical="center"/>
    </xf>
    <xf numFmtId="0" fontId="6" fillId="54" borderId="0" applyNumberFormat="0" applyBorder="0" applyAlignment="0" applyProtection="0">
      <alignment vertical="center"/>
    </xf>
    <xf numFmtId="0" fontId="86" fillId="17" borderId="48" applyNumberFormat="0" applyAlignment="0" applyProtection="0">
      <alignment vertical="center"/>
    </xf>
    <xf numFmtId="0" fontId="6" fillId="54" borderId="0" applyNumberFormat="0" applyBorder="0" applyAlignment="0" applyProtection="0">
      <alignment vertical="center"/>
    </xf>
    <xf numFmtId="0" fontId="86" fillId="17" borderId="48" applyNumberFormat="0" applyAlignment="0" applyProtection="0">
      <alignment vertical="center"/>
    </xf>
    <xf numFmtId="0" fontId="6" fillId="54" borderId="0" applyNumberFormat="0" applyBorder="0" applyAlignment="0" applyProtection="0">
      <alignment vertical="center"/>
    </xf>
    <xf numFmtId="0" fontId="86" fillId="17" borderId="48" applyNumberFormat="0" applyAlignment="0" applyProtection="0">
      <alignment vertical="center"/>
    </xf>
    <xf numFmtId="0" fontId="6" fillId="54" borderId="0" applyNumberFormat="0" applyBorder="0" applyAlignment="0" applyProtection="0">
      <alignment vertical="center"/>
    </xf>
    <xf numFmtId="0" fontId="86" fillId="17" borderId="48" applyNumberFormat="0" applyAlignment="0" applyProtection="0">
      <alignment vertical="center"/>
    </xf>
    <xf numFmtId="0" fontId="6" fillId="54" borderId="0" applyNumberFormat="0" applyBorder="0" applyAlignment="0" applyProtection="0">
      <alignment vertical="center"/>
    </xf>
    <xf numFmtId="0" fontId="86" fillId="17" borderId="48" applyNumberFormat="0" applyAlignment="0" applyProtection="0">
      <alignment vertical="center"/>
    </xf>
    <xf numFmtId="0" fontId="6" fillId="54" borderId="0" applyNumberFormat="0" applyBorder="0" applyAlignment="0" applyProtection="0">
      <alignment vertical="center"/>
    </xf>
    <xf numFmtId="0" fontId="86" fillId="17" borderId="48" applyNumberFormat="0" applyAlignment="0" applyProtection="0">
      <alignment vertical="center"/>
    </xf>
    <xf numFmtId="0" fontId="6" fillId="54" borderId="0" applyNumberFormat="0" applyBorder="0" applyAlignment="0" applyProtection="0">
      <alignment vertical="center"/>
    </xf>
    <xf numFmtId="0" fontId="86" fillId="17" borderId="48" applyNumberFormat="0" applyAlignment="0" applyProtection="0">
      <alignment vertical="center"/>
    </xf>
    <xf numFmtId="0" fontId="6" fillId="36" borderId="0" applyNumberFormat="0" applyBorder="0" applyAlignment="0" applyProtection="0">
      <alignment vertical="center"/>
    </xf>
    <xf numFmtId="0" fontId="86" fillId="17" borderId="48" applyNumberFormat="0" applyAlignment="0" applyProtection="0">
      <alignment vertical="center"/>
    </xf>
    <xf numFmtId="0" fontId="6" fillId="36" borderId="0" applyNumberFormat="0" applyBorder="0" applyAlignment="0" applyProtection="0">
      <alignment vertical="center"/>
    </xf>
    <xf numFmtId="0" fontId="86" fillId="17" borderId="48" applyNumberFormat="0" applyAlignment="0" applyProtection="0">
      <alignment vertical="center"/>
    </xf>
    <xf numFmtId="0" fontId="6" fillId="36" borderId="0" applyNumberFormat="0" applyBorder="0" applyAlignment="0" applyProtection="0">
      <alignment vertical="center"/>
    </xf>
    <xf numFmtId="0" fontId="86" fillId="17" borderId="48" applyNumberFormat="0" applyAlignment="0" applyProtection="0">
      <alignment vertical="center"/>
    </xf>
    <xf numFmtId="0" fontId="6" fillId="36" borderId="0" applyNumberFormat="0" applyBorder="0" applyAlignment="0" applyProtection="0">
      <alignment vertical="center"/>
    </xf>
    <xf numFmtId="0" fontId="84" fillId="56" borderId="0" applyNumberFormat="0" applyBorder="0" applyAlignment="0" applyProtection="0">
      <alignment vertical="center"/>
    </xf>
    <xf numFmtId="0" fontId="86" fillId="17" borderId="48" applyNumberFormat="0" applyAlignment="0" applyProtection="0">
      <alignment vertical="center"/>
    </xf>
    <xf numFmtId="0" fontId="6" fillId="36" borderId="0" applyNumberFormat="0" applyBorder="0" applyAlignment="0" applyProtection="0">
      <alignment vertical="center"/>
    </xf>
    <xf numFmtId="0" fontId="84" fillId="56" borderId="0" applyNumberFormat="0" applyBorder="0" applyAlignment="0" applyProtection="0">
      <alignment vertical="center"/>
    </xf>
    <xf numFmtId="0" fontId="6" fillId="24" borderId="0" applyNumberFormat="0" applyBorder="0" applyAlignment="0" applyProtection="0">
      <alignment vertical="center"/>
    </xf>
    <xf numFmtId="0" fontId="6" fillId="0" borderId="0">
      <alignment vertical="center"/>
    </xf>
    <xf numFmtId="0" fontId="86" fillId="17" borderId="48" applyNumberFormat="0" applyAlignment="0" applyProtection="0">
      <alignment vertical="center"/>
    </xf>
    <xf numFmtId="0" fontId="6" fillId="24" borderId="0" applyNumberFormat="0" applyBorder="0" applyAlignment="0" applyProtection="0">
      <alignment vertical="center"/>
    </xf>
    <xf numFmtId="0" fontId="6" fillId="0" borderId="0">
      <alignment vertical="center"/>
    </xf>
    <xf numFmtId="0" fontId="86" fillId="17" borderId="48" applyNumberFormat="0" applyAlignment="0" applyProtection="0">
      <alignment vertical="center"/>
    </xf>
    <xf numFmtId="0" fontId="6" fillId="24" borderId="0" applyNumberFormat="0" applyBorder="0" applyAlignment="0" applyProtection="0">
      <alignment vertical="center"/>
    </xf>
    <xf numFmtId="0" fontId="6" fillId="0" borderId="0">
      <alignment vertical="center"/>
    </xf>
    <xf numFmtId="0" fontId="114" fillId="57" borderId="51" applyNumberFormat="0" applyAlignment="0" applyProtection="0">
      <alignment vertical="center"/>
    </xf>
    <xf numFmtId="0" fontId="6" fillId="24" borderId="0" applyNumberFormat="0" applyBorder="0" applyAlignment="0" applyProtection="0">
      <alignment vertical="center"/>
    </xf>
    <xf numFmtId="0" fontId="6" fillId="0" borderId="0">
      <alignment vertical="center"/>
    </xf>
    <xf numFmtId="0" fontId="86" fillId="17" borderId="48" applyNumberFormat="0" applyAlignment="0" applyProtection="0">
      <alignment vertical="center"/>
    </xf>
    <xf numFmtId="0" fontId="6" fillId="24" borderId="0" applyNumberFormat="0" applyBorder="0" applyAlignment="0" applyProtection="0">
      <alignment vertical="center"/>
    </xf>
    <xf numFmtId="0" fontId="6" fillId="0" borderId="0">
      <alignment vertical="center"/>
    </xf>
    <xf numFmtId="0" fontId="6" fillId="24" borderId="0" applyNumberFormat="0" applyBorder="0" applyAlignment="0" applyProtection="0">
      <alignment vertical="center"/>
    </xf>
    <xf numFmtId="0" fontId="84" fillId="23" borderId="0" applyNumberFormat="0" applyBorder="0" applyAlignment="0" applyProtection="0">
      <alignment vertical="center"/>
    </xf>
    <xf numFmtId="0" fontId="0" fillId="0" borderId="0"/>
    <xf numFmtId="0" fontId="6" fillId="13" borderId="0" applyNumberFormat="0" applyBorder="0" applyAlignment="0" applyProtection="0">
      <alignment vertical="center"/>
    </xf>
    <xf numFmtId="0" fontId="86" fillId="17" borderId="48" applyNumberFormat="0" applyAlignment="0" applyProtection="0">
      <alignment vertical="center"/>
    </xf>
    <xf numFmtId="0" fontId="6" fillId="13" borderId="0" applyNumberFormat="0" applyBorder="0" applyAlignment="0" applyProtection="0">
      <alignment vertical="center"/>
    </xf>
    <xf numFmtId="0" fontId="88" fillId="0" borderId="0"/>
    <xf numFmtId="0" fontId="86" fillId="17" borderId="48" applyNumberFormat="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86" fillId="17" borderId="48" applyNumberFormat="0" applyAlignment="0" applyProtection="0">
      <alignment vertical="center"/>
    </xf>
    <xf numFmtId="0" fontId="6" fillId="13" borderId="0" applyNumberFormat="0" applyBorder="0" applyAlignment="0" applyProtection="0">
      <alignment vertical="center"/>
    </xf>
    <xf numFmtId="9" fontId="88" fillId="0" borderId="0" applyFont="0" applyFill="0" applyBorder="0" applyAlignment="0" applyProtection="0">
      <alignment vertical="center"/>
    </xf>
    <xf numFmtId="0" fontId="112" fillId="54" borderId="0" applyNumberFormat="0" applyBorder="0" applyAlignment="0" applyProtection="0">
      <alignment vertical="center"/>
    </xf>
    <xf numFmtId="0" fontId="6" fillId="13" borderId="0" applyNumberFormat="0" applyBorder="0" applyAlignment="0" applyProtection="0">
      <alignment vertical="center"/>
    </xf>
    <xf numFmtId="0" fontId="84" fillId="58" borderId="0" applyNumberFormat="0" applyBorder="0" applyAlignment="0" applyProtection="0">
      <alignment vertical="center"/>
    </xf>
    <xf numFmtId="0" fontId="6" fillId="13" borderId="0" applyNumberFormat="0" applyBorder="0" applyAlignment="0" applyProtection="0">
      <alignment vertical="center"/>
    </xf>
    <xf numFmtId="0" fontId="84" fillId="58" borderId="0" applyNumberFormat="0" applyBorder="0" applyAlignment="0" applyProtection="0">
      <alignment vertical="center"/>
    </xf>
    <xf numFmtId="0" fontId="6" fillId="57" borderId="0" applyNumberFormat="0" applyBorder="0" applyAlignment="0" applyProtection="0">
      <alignment vertical="center"/>
    </xf>
    <xf numFmtId="0" fontId="6" fillId="57" borderId="0" applyNumberFormat="0" applyBorder="0" applyAlignment="0" applyProtection="0">
      <alignment vertical="center"/>
    </xf>
    <xf numFmtId="0" fontId="6" fillId="24" borderId="0" applyNumberFormat="0" applyBorder="0" applyAlignment="0" applyProtection="0">
      <alignment vertical="center"/>
    </xf>
    <xf numFmtId="0" fontId="6" fillId="57" borderId="0" applyNumberFormat="0" applyBorder="0" applyAlignment="0" applyProtection="0">
      <alignment vertical="center"/>
    </xf>
    <xf numFmtId="0" fontId="6" fillId="24" borderId="0" applyNumberFormat="0" applyBorder="0" applyAlignment="0" applyProtection="0">
      <alignment vertical="center"/>
    </xf>
    <xf numFmtId="0" fontId="6" fillId="57" borderId="0" applyNumberFormat="0" applyBorder="0" applyAlignment="0" applyProtection="0">
      <alignment vertical="center"/>
    </xf>
    <xf numFmtId="0" fontId="6" fillId="57" borderId="0" applyNumberFormat="0" applyBorder="0" applyAlignment="0" applyProtection="0">
      <alignment vertical="center"/>
    </xf>
    <xf numFmtId="0" fontId="6" fillId="59" borderId="0" applyNumberFormat="0" applyBorder="0" applyAlignment="0" applyProtection="0">
      <alignment vertical="center"/>
    </xf>
    <xf numFmtId="0" fontId="6" fillId="57" borderId="0" applyNumberFormat="0" applyBorder="0" applyAlignment="0" applyProtection="0">
      <alignment vertical="center"/>
    </xf>
    <xf numFmtId="0" fontId="84" fillId="34" borderId="0" applyNumberFormat="0" applyBorder="0" applyAlignment="0" applyProtection="0">
      <alignment vertical="center"/>
    </xf>
    <xf numFmtId="0" fontId="6" fillId="25" borderId="53" applyNumberFormat="0" applyFont="0" applyAlignment="0" applyProtection="0">
      <alignment vertical="center"/>
    </xf>
    <xf numFmtId="0" fontId="6" fillId="57" borderId="0" applyNumberFormat="0" applyBorder="0" applyAlignment="0" applyProtection="0">
      <alignment vertical="center"/>
    </xf>
    <xf numFmtId="0" fontId="6" fillId="59" borderId="0" applyNumberFormat="0" applyBorder="0" applyAlignment="0" applyProtection="0">
      <alignment vertical="center"/>
    </xf>
    <xf numFmtId="0" fontId="84" fillId="34" borderId="0" applyNumberFormat="0" applyBorder="0" applyAlignment="0" applyProtection="0">
      <alignment vertical="center"/>
    </xf>
    <xf numFmtId="0" fontId="6" fillId="59" borderId="0" applyNumberFormat="0" applyBorder="0" applyAlignment="0" applyProtection="0">
      <alignment vertical="center"/>
    </xf>
    <xf numFmtId="0" fontId="6" fillId="59" borderId="0" applyNumberFormat="0" applyBorder="0" applyAlignment="0" applyProtection="0">
      <alignment vertical="center"/>
    </xf>
    <xf numFmtId="0" fontId="6" fillId="59" borderId="0" applyNumberFormat="0" applyBorder="0" applyAlignment="0" applyProtection="0">
      <alignment vertical="center"/>
    </xf>
    <xf numFmtId="0" fontId="6" fillId="59" borderId="0" applyNumberFormat="0" applyBorder="0" applyAlignment="0" applyProtection="0">
      <alignment vertical="center"/>
    </xf>
    <xf numFmtId="0" fontId="0" fillId="0" borderId="0">
      <alignment vertical="center"/>
    </xf>
    <xf numFmtId="0" fontId="6" fillId="59" borderId="0" applyNumberFormat="0" applyBorder="0" applyAlignment="0" applyProtection="0">
      <alignment vertical="center"/>
    </xf>
    <xf numFmtId="0" fontId="6" fillId="59" borderId="0" applyNumberFormat="0" applyBorder="0" applyAlignment="0" applyProtection="0">
      <alignment vertical="center"/>
    </xf>
    <xf numFmtId="0" fontId="6" fillId="59"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58" borderId="0" applyNumberFormat="0" applyBorder="0" applyAlignment="0" applyProtection="0">
      <alignment vertical="center"/>
    </xf>
    <xf numFmtId="0" fontId="89" fillId="17" borderId="51" applyNumberFormat="0" applyAlignment="0" applyProtection="0">
      <alignment vertical="center"/>
    </xf>
    <xf numFmtId="0" fontId="6" fillId="58" borderId="0" applyNumberFormat="0" applyBorder="0" applyAlignment="0" applyProtection="0">
      <alignment vertical="center"/>
    </xf>
    <xf numFmtId="0" fontId="89" fillId="17" borderId="51" applyNumberFormat="0" applyAlignment="0" applyProtection="0">
      <alignment vertical="center"/>
    </xf>
    <xf numFmtId="0" fontId="6" fillId="58" borderId="0" applyNumberFormat="0" applyBorder="0" applyAlignment="0" applyProtection="0">
      <alignment vertical="center"/>
    </xf>
    <xf numFmtId="0" fontId="6" fillId="58" borderId="0" applyNumberFormat="0" applyBorder="0" applyAlignment="0" applyProtection="0">
      <alignment vertical="center"/>
    </xf>
    <xf numFmtId="0" fontId="89" fillId="17" borderId="51" applyNumberFormat="0" applyAlignment="0" applyProtection="0">
      <alignment vertical="center"/>
    </xf>
    <xf numFmtId="0" fontId="6" fillId="58" borderId="0" applyNumberFormat="0" applyBorder="0" applyAlignment="0" applyProtection="0">
      <alignment vertical="center"/>
    </xf>
    <xf numFmtId="176" fontId="88" fillId="0" borderId="0"/>
    <xf numFmtId="0" fontId="89" fillId="17" borderId="51" applyNumberFormat="0" applyAlignment="0" applyProtection="0">
      <alignment vertical="center"/>
    </xf>
    <xf numFmtId="0" fontId="6" fillId="58" borderId="0" applyNumberFormat="0" applyBorder="0" applyAlignment="0" applyProtection="0">
      <alignment vertical="center"/>
    </xf>
    <xf numFmtId="0" fontId="89" fillId="17" borderId="51" applyNumberFormat="0" applyAlignment="0" applyProtection="0">
      <alignment vertical="center"/>
    </xf>
    <xf numFmtId="0" fontId="6" fillId="58" borderId="0" applyNumberFormat="0" applyBorder="0" applyAlignment="0" applyProtection="0">
      <alignment vertical="center"/>
    </xf>
    <xf numFmtId="0" fontId="6" fillId="24" borderId="0" applyNumberFormat="0" applyBorder="0" applyAlignment="0" applyProtection="0">
      <alignment vertical="center"/>
    </xf>
    <xf numFmtId="0" fontId="111" fillId="0" borderId="0" applyNumberFormat="0" applyFill="0" applyBorder="0" applyAlignment="0" applyProtection="0">
      <alignment vertical="center"/>
    </xf>
    <xf numFmtId="0" fontId="70" fillId="0" borderId="50" applyNumberFormat="0" applyFill="0" applyAlignment="0" applyProtection="0">
      <alignment vertical="center"/>
    </xf>
    <xf numFmtId="0" fontId="89" fillId="17" borderId="51" applyNumberFormat="0" applyAlignment="0" applyProtection="0">
      <alignment vertical="center"/>
    </xf>
    <xf numFmtId="0" fontId="109" fillId="7" borderId="60" applyNumberFormat="0" applyAlignment="0" applyProtection="0">
      <alignment vertical="center"/>
    </xf>
    <xf numFmtId="0" fontId="6" fillId="24" borderId="0" applyNumberFormat="0" applyBorder="0" applyAlignment="0" applyProtection="0">
      <alignment vertical="center"/>
    </xf>
    <xf numFmtId="0" fontId="111" fillId="0" borderId="0" applyNumberFormat="0" applyFill="0" applyBorder="0" applyAlignment="0" applyProtection="0">
      <alignment vertical="center"/>
    </xf>
    <xf numFmtId="0" fontId="70" fillId="0" borderId="50" applyNumberFormat="0" applyFill="0" applyAlignment="0" applyProtection="0">
      <alignment vertical="center"/>
    </xf>
    <xf numFmtId="0" fontId="109" fillId="7" borderId="60" applyNumberFormat="0" applyAlignment="0" applyProtection="0">
      <alignment vertical="center"/>
    </xf>
    <xf numFmtId="0" fontId="6" fillId="24" borderId="0" applyNumberFormat="0" applyBorder="0" applyAlignment="0" applyProtection="0">
      <alignment vertical="center"/>
    </xf>
    <xf numFmtId="0" fontId="89" fillId="17" borderId="51" applyNumberFormat="0" applyAlignment="0" applyProtection="0">
      <alignment vertical="center"/>
    </xf>
    <xf numFmtId="0" fontId="114" fillId="57" borderId="51" applyNumberFormat="0" applyAlignment="0" applyProtection="0">
      <alignment vertical="center"/>
    </xf>
    <xf numFmtId="0" fontId="6" fillId="59" borderId="0" applyNumberFormat="0" applyBorder="0" applyAlignment="0" applyProtection="0">
      <alignment vertical="center"/>
    </xf>
    <xf numFmtId="0" fontId="113" fillId="36" borderId="0" applyNumberFormat="0" applyBorder="0" applyAlignment="0" applyProtection="0">
      <alignment vertical="center"/>
    </xf>
    <xf numFmtId="0" fontId="89" fillId="17" borderId="51" applyNumberFormat="0" applyAlignment="0" applyProtection="0">
      <alignment vertical="center"/>
    </xf>
    <xf numFmtId="0" fontId="6" fillId="59" borderId="0" applyNumberFormat="0" applyBorder="0" applyAlignment="0" applyProtection="0">
      <alignment vertical="center"/>
    </xf>
    <xf numFmtId="0" fontId="84" fillId="34" borderId="0" applyNumberFormat="0" applyBorder="0" applyAlignment="0" applyProtection="0">
      <alignment vertical="center"/>
    </xf>
    <xf numFmtId="0" fontId="6" fillId="59" borderId="0" applyNumberFormat="0" applyBorder="0" applyAlignment="0" applyProtection="0">
      <alignment vertical="center"/>
    </xf>
    <xf numFmtId="0" fontId="114" fillId="57" borderId="51" applyNumberFormat="0" applyAlignment="0" applyProtection="0">
      <alignment vertical="center"/>
    </xf>
    <xf numFmtId="0" fontId="6" fillId="59" borderId="0" applyNumberFormat="0" applyBorder="0" applyAlignment="0" applyProtection="0">
      <alignment vertical="center"/>
    </xf>
    <xf numFmtId="0" fontId="84" fillId="55" borderId="0" applyNumberFormat="0" applyBorder="0" applyAlignment="0" applyProtection="0">
      <alignment vertical="center"/>
    </xf>
    <xf numFmtId="0" fontId="6" fillId="59" borderId="0" applyNumberFormat="0" applyBorder="0" applyAlignment="0" applyProtection="0">
      <alignment vertical="center"/>
    </xf>
    <xf numFmtId="0" fontId="6" fillId="33" borderId="0" applyNumberFormat="0" applyBorder="0" applyAlignment="0" applyProtection="0">
      <alignment vertical="center"/>
    </xf>
    <xf numFmtId="0" fontId="89" fillId="17" borderId="51" applyNumberFormat="0" applyAlignment="0" applyProtection="0">
      <alignment vertical="center"/>
    </xf>
    <xf numFmtId="0" fontId="110" fillId="51" borderId="0" applyNumberFormat="0" applyBorder="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84" fillId="60" borderId="0" applyNumberFormat="0" applyBorder="0" applyAlignment="0" applyProtection="0">
      <alignment vertical="center"/>
    </xf>
    <xf numFmtId="0" fontId="110" fillId="51" borderId="0" applyNumberFormat="0" applyBorder="0" applyAlignment="0" applyProtection="0">
      <alignment vertical="center"/>
    </xf>
    <xf numFmtId="0" fontId="6" fillId="33" borderId="0" applyNumberFormat="0" applyBorder="0" applyAlignment="0" applyProtection="0">
      <alignment vertical="center"/>
    </xf>
    <xf numFmtId="0" fontId="94" fillId="0" borderId="0" applyNumberFormat="0" applyFill="0" applyBorder="0" applyAlignment="0" applyProtection="0">
      <alignment vertical="center"/>
    </xf>
    <xf numFmtId="0" fontId="6" fillId="33" borderId="0" applyNumberFormat="0" applyBorder="0" applyAlignment="0" applyProtection="0">
      <alignment vertical="center"/>
    </xf>
    <xf numFmtId="0" fontId="84" fillId="34" borderId="0" applyNumberFormat="0" applyBorder="0" applyAlignment="0" applyProtection="0">
      <alignment vertical="center"/>
    </xf>
    <xf numFmtId="0" fontId="84" fillId="60" borderId="0" applyNumberFormat="0" applyBorder="0" applyAlignment="0" applyProtection="0">
      <alignment vertical="center"/>
    </xf>
    <xf numFmtId="0" fontId="84" fillId="56" borderId="0" applyNumberFormat="0" applyBorder="0" applyAlignment="0" applyProtection="0">
      <alignment vertical="center"/>
    </xf>
    <xf numFmtId="0" fontId="84" fillId="56" borderId="0" applyNumberFormat="0" applyBorder="0" applyAlignment="0" applyProtection="0">
      <alignment vertical="center"/>
    </xf>
    <xf numFmtId="0" fontId="84" fillId="56" borderId="0" applyNumberFormat="0" applyBorder="0" applyAlignment="0" applyProtection="0">
      <alignment vertical="center"/>
    </xf>
    <xf numFmtId="0" fontId="84" fillId="56" borderId="0" applyNumberFormat="0" applyBorder="0" applyAlignment="0" applyProtection="0">
      <alignment vertical="center"/>
    </xf>
    <xf numFmtId="0" fontId="84" fillId="56" borderId="0" applyNumberFormat="0" applyBorder="0" applyAlignment="0" applyProtection="0">
      <alignment vertical="center"/>
    </xf>
    <xf numFmtId="0" fontId="35" fillId="0" borderId="0" applyNumberFormat="0" applyFill="0" applyBorder="0" applyAlignment="0" applyProtection="0">
      <alignment vertical="center"/>
    </xf>
    <xf numFmtId="0" fontId="6" fillId="25" borderId="53" applyNumberFormat="0" applyFont="0" applyAlignment="0" applyProtection="0">
      <alignment vertical="center"/>
    </xf>
    <xf numFmtId="0" fontId="84" fillId="23" borderId="0" applyNumberFormat="0" applyBorder="0" applyAlignment="0" applyProtection="0">
      <alignment vertical="center"/>
    </xf>
    <xf numFmtId="0" fontId="84" fillId="23" borderId="0" applyNumberFormat="0" applyBorder="0" applyAlignment="0" applyProtection="0">
      <alignment vertical="center"/>
    </xf>
    <xf numFmtId="0" fontId="6" fillId="0" borderId="0">
      <alignment vertical="center"/>
    </xf>
    <xf numFmtId="0" fontId="6" fillId="25" borderId="53" applyNumberFormat="0" applyFont="0" applyAlignment="0" applyProtection="0">
      <alignment vertical="center"/>
    </xf>
    <xf numFmtId="0" fontId="84" fillId="23" borderId="0" applyNumberFormat="0" applyBorder="0" applyAlignment="0" applyProtection="0">
      <alignment vertical="center"/>
    </xf>
    <xf numFmtId="0" fontId="0" fillId="0" borderId="0">
      <alignment vertical="center"/>
    </xf>
    <xf numFmtId="0" fontId="84" fillId="23" borderId="0" applyNumberFormat="0" applyBorder="0" applyAlignment="0" applyProtection="0">
      <alignment vertical="center"/>
    </xf>
    <xf numFmtId="0" fontId="88" fillId="0" borderId="0">
      <alignment vertical="center"/>
    </xf>
    <xf numFmtId="0" fontId="35" fillId="0" borderId="0" applyNumberFormat="0" applyFill="0" applyBorder="0" applyAlignment="0" applyProtection="0">
      <alignment vertical="center"/>
    </xf>
    <xf numFmtId="0" fontId="84" fillId="58" borderId="0" applyNumberFormat="0" applyBorder="0" applyAlignment="0" applyProtection="0">
      <alignment vertical="center"/>
    </xf>
    <xf numFmtId="0" fontId="84" fillId="15" borderId="0" applyNumberFormat="0" applyBorder="0" applyAlignment="0" applyProtection="0">
      <alignment vertical="center"/>
    </xf>
    <xf numFmtId="0" fontId="84" fillId="58" borderId="0" applyNumberFormat="0" applyBorder="0" applyAlignment="0" applyProtection="0">
      <alignment vertical="center"/>
    </xf>
    <xf numFmtId="0" fontId="84" fillId="58" borderId="0" applyNumberFormat="0" applyBorder="0" applyAlignment="0" applyProtection="0">
      <alignment vertical="center"/>
    </xf>
    <xf numFmtId="0" fontId="84" fillId="58" borderId="0" applyNumberFormat="0" applyBorder="0" applyAlignment="0" applyProtection="0">
      <alignment vertical="center"/>
    </xf>
    <xf numFmtId="0" fontId="84" fillId="58" borderId="0" applyNumberFormat="0" applyBorder="0" applyAlignment="0" applyProtection="0">
      <alignment vertical="center"/>
    </xf>
    <xf numFmtId="0" fontId="84" fillId="34" borderId="0" applyNumberFormat="0" applyBorder="0" applyAlignment="0" applyProtection="0">
      <alignment vertical="center"/>
    </xf>
    <xf numFmtId="0" fontId="84" fillId="34" borderId="0" applyNumberFormat="0" applyBorder="0" applyAlignment="0" applyProtection="0">
      <alignment vertical="center"/>
    </xf>
    <xf numFmtId="0" fontId="88" fillId="0" borderId="0">
      <alignment vertical="center"/>
    </xf>
    <xf numFmtId="0" fontId="84" fillId="55" borderId="0" applyNumberFormat="0" applyBorder="0" applyAlignment="0" applyProtection="0">
      <alignment vertical="center"/>
    </xf>
    <xf numFmtId="0" fontId="84" fillId="55" borderId="0" applyNumberFormat="0" applyBorder="0" applyAlignment="0" applyProtection="0">
      <alignment vertical="center"/>
    </xf>
    <xf numFmtId="0" fontId="84" fillId="34" borderId="0" applyNumberFormat="0" applyBorder="0" applyAlignment="0" applyProtection="0">
      <alignment vertical="center"/>
    </xf>
    <xf numFmtId="0" fontId="84" fillId="55" borderId="0" applyNumberFormat="0" applyBorder="0" applyAlignment="0" applyProtection="0">
      <alignment vertical="center"/>
    </xf>
    <xf numFmtId="0" fontId="84" fillId="55" borderId="0" applyNumberFormat="0" applyBorder="0" applyAlignment="0" applyProtection="0">
      <alignment vertical="center"/>
    </xf>
    <xf numFmtId="0" fontId="84" fillId="55" borderId="0" applyNumberFormat="0" applyBorder="0" applyAlignment="0" applyProtection="0">
      <alignment vertical="center"/>
    </xf>
    <xf numFmtId="0" fontId="84" fillId="55" borderId="0" applyNumberFormat="0" applyBorder="0" applyAlignment="0" applyProtection="0">
      <alignment vertical="center"/>
    </xf>
    <xf numFmtId="0" fontId="84" fillId="21" borderId="0" applyNumberFormat="0" applyBorder="0" applyAlignment="0" applyProtection="0">
      <alignment vertical="center"/>
    </xf>
    <xf numFmtId="0" fontId="84" fillId="21" borderId="0" applyNumberFormat="0" applyBorder="0" applyAlignment="0" applyProtection="0">
      <alignment vertical="center"/>
    </xf>
    <xf numFmtId="0" fontId="6" fillId="0" borderId="0">
      <alignment vertical="center"/>
    </xf>
    <xf numFmtId="0" fontId="84" fillId="55" borderId="0" applyNumberFormat="0" applyBorder="0" applyAlignment="0" applyProtection="0">
      <alignment vertical="center"/>
    </xf>
    <xf numFmtId="0" fontId="84" fillId="21" borderId="0" applyNumberFormat="0" applyBorder="0" applyAlignment="0" applyProtection="0">
      <alignment vertical="center"/>
    </xf>
    <xf numFmtId="0" fontId="115" fillId="0" borderId="0" applyNumberFormat="0" applyFill="0" applyBorder="0" applyAlignment="0" applyProtection="0">
      <alignment vertical="center"/>
    </xf>
    <xf numFmtId="0" fontId="84" fillId="21" borderId="0" applyNumberFormat="0" applyBorder="0" applyAlignment="0" applyProtection="0">
      <alignment vertical="center"/>
    </xf>
    <xf numFmtId="0" fontId="84" fillId="21" borderId="0" applyNumberFormat="0" applyBorder="0" applyAlignment="0" applyProtection="0">
      <alignment vertical="center"/>
    </xf>
    <xf numFmtId="0" fontId="84" fillId="21" borderId="0" applyNumberFormat="0" applyBorder="0" applyAlignment="0" applyProtection="0">
      <alignment vertical="center"/>
    </xf>
    <xf numFmtId="180" fontId="6" fillId="0" borderId="0">
      <alignment vertical="center"/>
    </xf>
    <xf numFmtId="0" fontId="35" fillId="0" borderId="0" applyNumberFormat="0" applyFill="0" applyBorder="0" applyAlignment="0" applyProtection="0">
      <alignment vertical="center"/>
    </xf>
    <xf numFmtId="9" fontId="6" fillId="0" borderId="0">
      <alignment vertical="center"/>
    </xf>
    <xf numFmtId="0" fontId="112" fillId="54" borderId="0" applyNumberFormat="0" applyBorder="0" applyAlignment="0" applyProtection="0">
      <alignment vertical="center"/>
    </xf>
    <xf numFmtId="9" fontId="88" fillId="0" borderId="0" applyFont="0" applyFill="0" applyBorder="0" applyAlignment="0" applyProtection="0">
      <alignment vertical="center"/>
    </xf>
    <xf numFmtId="9" fontId="0" fillId="0" borderId="0" applyFont="0" applyFill="0" applyBorder="0" applyAlignment="0" applyProtection="0">
      <alignment vertical="center"/>
    </xf>
    <xf numFmtId="0" fontId="116" fillId="0" borderId="61" applyNumberFormat="0" applyFill="0" applyAlignment="0" applyProtection="0">
      <alignment vertical="center"/>
    </xf>
    <xf numFmtId="0" fontId="116" fillId="0" borderId="61" applyNumberFormat="0" applyFill="0" applyAlignment="0" applyProtection="0">
      <alignment vertical="center"/>
    </xf>
    <xf numFmtId="0" fontId="116" fillId="0" borderId="61" applyNumberFormat="0" applyFill="0" applyAlignment="0" applyProtection="0">
      <alignment vertical="center"/>
    </xf>
    <xf numFmtId="0" fontId="116" fillId="0" borderId="61" applyNumberFormat="0" applyFill="0" applyAlignment="0" applyProtection="0">
      <alignment vertical="center"/>
    </xf>
    <xf numFmtId="0" fontId="116" fillId="0" borderId="61" applyNumberFormat="0" applyFill="0" applyAlignment="0" applyProtection="0">
      <alignment vertical="center"/>
    </xf>
    <xf numFmtId="0" fontId="70" fillId="0" borderId="50" applyNumberFormat="0" applyFill="0" applyAlignment="0" applyProtection="0">
      <alignment vertical="center"/>
    </xf>
    <xf numFmtId="0" fontId="116" fillId="0" borderId="61" applyNumberFormat="0" applyFill="0" applyAlignment="0" applyProtection="0">
      <alignment vertical="center"/>
    </xf>
    <xf numFmtId="0" fontId="116" fillId="0" borderId="61" applyNumberFormat="0" applyFill="0" applyAlignment="0" applyProtection="0">
      <alignment vertical="center"/>
    </xf>
    <xf numFmtId="0" fontId="117" fillId="0" borderId="62" applyNumberFormat="0" applyFill="0" applyAlignment="0" applyProtection="0">
      <alignment vertical="center"/>
    </xf>
    <xf numFmtId="0" fontId="117" fillId="0" borderId="62" applyNumberFormat="0" applyFill="0" applyAlignment="0" applyProtection="0">
      <alignment vertical="center"/>
    </xf>
    <xf numFmtId="0" fontId="117" fillId="0" borderId="62" applyNumberFormat="0" applyFill="0" applyAlignment="0" applyProtection="0">
      <alignment vertical="center"/>
    </xf>
    <xf numFmtId="0" fontId="113" fillId="36" borderId="0" applyNumberFormat="0" applyBorder="0" applyAlignment="0" applyProtection="0">
      <alignment vertical="center"/>
    </xf>
    <xf numFmtId="0" fontId="117" fillId="0" borderId="62" applyNumberFormat="0" applyFill="0" applyAlignment="0" applyProtection="0">
      <alignment vertical="center"/>
    </xf>
    <xf numFmtId="0" fontId="117" fillId="0" borderId="62" applyNumberFormat="0" applyFill="0" applyAlignment="0" applyProtection="0">
      <alignment vertical="center"/>
    </xf>
    <xf numFmtId="0" fontId="6" fillId="0" borderId="0">
      <alignment vertical="center"/>
    </xf>
    <xf numFmtId="0" fontId="117" fillId="0" borderId="62" applyNumberFormat="0" applyFill="0" applyAlignment="0" applyProtection="0">
      <alignment vertical="center"/>
    </xf>
    <xf numFmtId="0" fontId="117" fillId="0" borderId="62" applyNumberFormat="0" applyFill="0" applyAlignment="0" applyProtection="0">
      <alignment vertical="center"/>
    </xf>
    <xf numFmtId="0" fontId="111" fillId="0" borderId="63" applyNumberFormat="0" applyFill="0" applyAlignment="0" applyProtection="0">
      <alignment vertical="center"/>
    </xf>
    <xf numFmtId="0" fontId="111" fillId="0" borderId="63" applyNumberFormat="0" applyFill="0" applyAlignment="0" applyProtection="0">
      <alignment vertical="center"/>
    </xf>
    <xf numFmtId="0" fontId="113" fillId="36" borderId="0" applyNumberFormat="0" applyBorder="0" applyAlignment="0" applyProtection="0">
      <alignment vertical="center"/>
    </xf>
    <xf numFmtId="0" fontId="111" fillId="0" borderId="63" applyNumberFormat="0" applyFill="0" applyAlignment="0" applyProtection="0">
      <alignment vertical="center"/>
    </xf>
    <xf numFmtId="0" fontId="111" fillId="0" borderId="63" applyNumberFormat="0" applyFill="0" applyAlignment="0" applyProtection="0">
      <alignment vertical="center"/>
    </xf>
    <xf numFmtId="0" fontId="111" fillId="0" borderId="63" applyNumberFormat="0" applyFill="0" applyAlignment="0" applyProtection="0">
      <alignment vertical="center"/>
    </xf>
    <xf numFmtId="0" fontId="118" fillId="0" borderId="0"/>
    <xf numFmtId="0" fontId="111" fillId="0" borderId="63" applyNumberFormat="0" applyFill="0" applyAlignment="0" applyProtection="0">
      <alignment vertical="center"/>
    </xf>
    <xf numFmtId="0" fontId="111" fillId="0" borderId="63" applyNumberFormat="0" applyFill="0" applyAlignment="0" applyProtection="0">
      <alignment vertical="center"/>
    </xf>
    <xf numFmtId="0" fontId="111" fillId="0" borderId="0" applyNumberFormat="0" applyFill="0" applyBorder="0" applyAlignment="0" applyProtection="0">
      <alignment vertical="center"/>
    </xf>
    <xf numFmtId="43" fontId="88" fillId="0" borderId="0" applyFont="0" applyFill="0" applyBorder="0" applyAlignment="0" applyProtection="0">
      <alignment vertical="center"/>
    </xf>
    <xf numFmtId="0" fontId="111" fillId="0" borderId="0" applyNumberFormat="0" applyFill="0" applyBorder="0" applyAlignment="0" applyProtection="0">
      <alignment vertical="center"/>
    </xf>
    <xf numFmtId="0" fontId="111" fillId="0" borderId="0" applyNumberFormat="0" applyFill="0" applyBorder="0" applyAlignment="0" applyProtection="0">
      <alignment vertical="center"/>
    </xf>
    <xf numFmtId="0" fontId="70" fillId="0" borderId="50" applyNumberFormat="0" applyFill="0" applyAlignment="0" applyProtection="0">
      <alignment vertical="center"/>
    </xf>
    <xf numFmtId="0" fontId="111" fillId="0" borderId="0" applyNumberFormat="0" applyFill="0" applyBorder="0" applyAlignment="0" applyProtection="0">
      <alignment vertical="center"/>
    </xf>
    <xf numFmtId="0" fontId="70" fillId="0" borderId="50" applyNumberFormat="0" applyFill="0" applyAlignment="0" applyProtection="0">
      <alignment vertical="center"/>
    </xf>
    <xf numFmtId="0" fontId="119"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119" fillId="0" borderId="0" applyNumberFormat="0" applyFill="0" applyBorder="0" applyAlignment="0" applyProtection="0">
      <alignment vertical="center"/>
    </xf>
    <xf numFmtId="0" fontId="84" fillId="26" borderId="0" applyNumberFormat="0" applyBorder="0" applyAlignment="0" applyProtection="0">
      <alignment vertical="center"/>
    </xf>
    <xf numFmtId="0" fontId="119" fillId="0" borderId="0" applyNumberFormat="0" applyFill="0" applyBorder="0" applyAlignment="0" applyProtection="0">
      <alignment vertical="center"/>
    </xf>
    <xf numFmtId="0" fontId="70" fillId="0" borderId="50" applyNumberFormat="0" applyFill="0" applyAlignment="0" applyProtection="0">
      <alignment vertical="center"/>
    </xf>
    <xf numFmtId="0" fontId="84" fillId="26" borderId="0" applyNumberFormat="0" applyBorder="0" applyAlignment="0" applyProtection="0">
      <alignment vertical="center"/>
    </xf>
    <xf numFmtId="0" fontId="119" fillId="0" borderId="0" applyNumberFormat="0" applyFill="0" applyBorder="0" applyAlignment="0" applyProtection="0">
      <alignment vertical="center"/>
    </xf>
    <xf numFmtId="0" fontId="119" fillId="0" borderId="0" applyNumberFormat="0" applyFill="0" applyBorder="0" applyAlignment="0" applyProtection="0">
      <alignment vertical="center"/>
    </xf>
    <xf numFmtId="0" fontId="84" fillId="15" borderId="0" applyNumberFormat="0" applyBorder="0" applyAlignment="0" applyProtection="0">
      <alignment vertical="center"/>
    </xf>
    <xf numFmtId="0" fontId="119" fillId="0" borderId="0" applyNumberFormat="0" applyFill="0" applyBorder="0" applyAlignment="0" applyProtection="0">
      <alignment vertical="center"/>
    </xf>
    <xf numFmtId="0" fontId="6" fillId="25" borderId="53" applyNumberFormat="0" applyFont="0" applyAlignment="0" applyProtection="0">
      <alignment vertical="center"/>
    </xf>
    <xf numFmtId="0" fontId="119" fillId="0" borderId="0" applyNumberFormat="0" applyFill="0" applyBorder="0" applyAlignment="0" applyProtection="0">
      <alignment vertical="center"/>
    </xf>
    <xf numFmtId="0" fontId="112" fillId="54" borderId="0" applyNumberFormat="0" applyBorder="0" applyAlignment="0" applyProtection="0">
      <alignment vertical="center"/>
    </xf>
    <xf numFmtId="0" fontId="94" fillId="0" borderId="0" applyNumberFormat="0" applyFill="0" applyBorder="0" applyAlignment="0" applyProtection="0">
      <alignment vertical="center"/>
    </xf>
    <xf numFmtId="0" fontId="112" fillId="54" borderId="0" applyNumberFormat="0" applyBorder="0" applyAlignment="0" applyProtection="0">
      <alignment vertical="center"/>
    </xf>
    <xf numFmtId="0" fontId="112" fillId="54" borderId="0" applyNumberFormat="0" applyBorder="0" applyAlignment="0" applyProtection="0">
      <alignment vertical="center"/>
    </xf>
    <xf numFmtId="0" fontId="112" fillId="54" borderId="0" applyNumberFormat="0" applyBorder="0" applyAlignment="0" applyProtection="0">
      <alignment vertical="center"/>
    </xf>
    <xf numFmtId="176" fontId="0" fillId="0" borderId="0">
      <alignment vertical="center"/>
    </xf>
    <xf numFmtId="0" fontId="6" fillId="0" borderId="0">
      <alignment vertical="center"/>
    </xf>
    <xf numFmtId="0" fontId="6" fillId="0" borderId="0">
      <alignment vertical="center"/>
    </xf>
    <xf numFmtId="0" fontId="88" fillId="0" borderId="0">
      <alignment vertical="center"/>
    </xf>
    <xf numFmtId="0" fontId="88" fillId="0" borderId="0"/>
    <xf numFmtId="0" fontId="88" fillId="0" borderId="0">
      <alignment vertical="center"/>
    </xf>
    <xf numFmtId="0" fontId="88" fillId="0" borderId="0">
      <alignment vertical="center"/>
    </xf>
    <xf numFmtId="0" fontId="6" fillId="0" borderId="0">
      <alignment vertical="center"/>
    </xf>
    <xf numFmtId="0" fontId="84" fillId="60" borderId="0" applyNumberFormat="0" applyBorder="0" applyAlignment="0" applyProtection="0">
      <alignment vertical="center"/>
    </xf>
    <xf numFmtId="0" fontId="6" fillId="0" borderId="0">
      <alignment vertical="center"/>
    </xf>
    <xf numFmtId="0" fontId="6" fillId="0" borderId="0">
      <alignment vertical="center"/>
    </xf>
    <xf numFmtId="0" fontId="14" fillId="0" borderId="0">
      <alignment vertical="center"/>
    </xf>
    <xf numFmtId="0" fontId="120" fillId="0" borderId="0" applyNumberFormat="0" applyFill="0" applyBorder="0" applyProtection="0">
      <alignment vertical="top" wrapText="1"/>
    </xf>
    <xf numFmtId="0" fontId="14" fillId="0" borderId="0">
      <alignment vertical="center"/>
    </xf>
    <xf numFmtId="0" fontId="6" fillId="0" borderId="0"/>
    <xf numFmtId="0" fontId="6" fillId="0" borderId="0"/>
    <xf numFmtId="0" fontId="14" fillId="0" borderId="0">
      <alignment vertical="center"/>
    </xf>
    <xf numFmtId="0" fontId="114" fillId="57" borderId="51" applyNumberFormat="0" applyAlignment="0" applyProtection="0">
      <alignment vertical="center"/>
    </xf>
    <xf numFmtId="0" fontId="88" fillId="0" borderId="0">
      <alignment vertical="center"/>
    </xf>
    <xf numFmtId="0" fontId="118" fillId="0" borderId="0"/>
    <xf numFmtId="0" fontId="114" fillId="57" borderId="51" applyNumberFormat="0" applyAlignment="0" applyProtection="0">
      <alignment vertical="center"/>
    </xf>
    <xf numFmtId="0" fontId="15" fillId="0" borderId="0">
      <alignment vertical="center"/>
    </xf>
    <xf numFmtId="0" fontId="6" fillId="0" borderId="0"/>
    <xf numFmtId="0" fontId="14" fillId="0" borderId="0">
      <alignment vertical="center"/>
    </xf>
    <xf numFmtId="0" fontId="114" fillId="57" borderId="51" applyNumberFormat="0" applyAlignment="0" applyProtection="0">
      <alignment vertical="center"/>
    </xf>
    <xf numFmtId="0" fontId="6" fillId="0" borderId="0"/>
    <xf numFmtId="0" fontId="15" fillId="0" borderId="0">
      <alignment vertical="center"/>
    </xf>
    <xf numFmtId="0" fontId="84" fillId="34" borderId="0" applyNumberFormat="0" applyBorder="0" applyAlignment="0" applyProtection="0">
      <alignment vertical="center"/>
    </xf>
    <xf numFmtId="0" fontId="6" fillId="0" borderId="0"/>
    <xf numFmtId="0" fontId="84" fillId="34" borderId="0" applyNumberFormat="0" applyBorder="0" applyAlignment="0" applyProtection="0">
      <alignment vertical="center"/>
    </xf>
    <xf numFmtId="0" fontId="88" fillId="0" borderId="0"/>
    <xf numFmtId="0" fontId="84" fillId="34" borderId="0" applyNumberFormat="0" applyBorder="0" applyAlignment="0" applyProtection="0">
      <alignment vertical="center"/>
    </xf>
    <xf numFmtId="0" fontId="88" fillId="0" borderId="0"/>
    <xf numFmtId="0" fontId="84" fillId="34" borderId="0" applyNumberFormat="0" applyBorder="0" applyAlignment="0" applyProtection="0">
      <alignment vertical="center"/>
    </xf>
    <xf numFmtId="0" fontId="88" fillId="0" borderId="0"/>
    <xf numFmtId="0" fontId="6" fillId="0" borderId="0">
      <alignment vertical="center"/>
    </xf>
    <xf numFmtId="0" fontId="6" fillId="0" borderId="0">
      <alignment vertical="center"/>
    </xf>
    <xf numFmtId="0" fontId="110" fillId="51"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0" fillId="0" borderId="0">
      <alignment vertical="center"/>
    </xf>
    <xf numFmtId="0" fontId="0" fillId="0" borderId="0">
      <alignment vertical="center"/>
    </xf>
    <xf numFmtId="0" fontId="84" fillId="55" borderId="0" applyNumberFormat="0" applyBorder="0" applyAlignment="0" applyProtection="0">
      <alignment vertical="center"/>
    </xf>
    <xf numFmtId="0" fontId="0" fillId="0" borderId="0">
      <alignment vertical="center"/>
    </xf>
    <xf numFmtId="0" fontId="84" fillId="55" borderId="0" applyNumberFormat="0" applyBorder="0" applyAlignment="0" applyProtection="0">
      <alignment vertical="center"/>
    </xf>
    <xf numFmtId="0" fontId="88" fillId="0" borderId="0"/>
    <xf numFmtId="0" fontId="88" fillId="0" borderId="0"/>
    <xf numFmtId="0" fontId="6" fillId="0" borderId="0">
      <alignment vertical="center"/>
    </xf>
    <xf numFmtId="0" fontId="114" fillId="57" borderId="51" applyNumberFormat="0" applyAlignment="0" applyProtection="0">
      <alignment vertical="center"/>
    </xf>
    <xf numFmtId="0" fontId="88" fillId="0" borderId="0"/>
    <xf numFmtId="0" fontId="61" fillId="0" borderId="0">
      <alignment vertical="center"/>
    </xf>
    <xf numFmtId="0" fontId="84" fillId="61" borderId="0" applyNumberFormat="0" applyBorder="0" applyAlignment="0" applyProtection="0">
      <alignment vertical="center"/>
    </xf>
    <xf numFmtId="0" fontId="0" fillId="0" borderId="0">
      <alignment vertical="center"/>
    </xf>
    <xf numFmtId="0" fontId="88" fillId="0" borderId="0"/>
    <xf numFmtId="0" fontId="61" fillId="0" borderId="0"/>
    <xf numFmtId="0" fontId="70" fillId="0" borderId="50" applyNumberFormat="0" applyFill="0" applyAlignment="0" applyProtection="0">
      <alignment vertical="center"/>
    </xf>
    <xf numFmtId="0" fontId="84" fillId="60" borderId="0" applyNumberFormat="0" applyBorder="0" applyAlignment="0" applyProtection="0">
      <alignment vertical="center"/>
    </xf>
    <xf numFmtId="0" fontId="118" fillId="0" borderId="0"/>
    <xf numFmtId="0" fontId="35" fillId="0" borderId="0" applyNumberFormat="0" applyFill="0" applyBorder="0" applyAlignment="0" applyProtection="0">
      <alignment vertical="center"/>
    </xf>
    <xf numFmtId="0" fontId="6" fillId="25" borderId="53" applyNumberFormat="0" applyFont="0" applyAlignment="0" applyProtection="0">
      <alignment vertical="center"/>
    </xf>
    <xf numFmtId="0" fontId="113" fillId="36" borderId="0" applyNumberFormat="0" applyBorder="0" applyAlignment="0" applyProtection="0">
      <alignment vertical="center"/>
    </xf>
    <xf numFmtId="0" fontId="113" fillId="36" borderId="0" applyNumberFormat="0" applyBorder="0" applyAlignment="0" applyProtection="0">
      <alignment vertical="center"/>
    </xf>
    <xf numFmtId="0" fontId="113" fillId="36" borderId="0" applyNumberFormat="0" applyBorder="0" applyAlignment="0" applyProtection="0">
      <alignment vertical="center"/>
    </xf>
    <xf numFmtId="0" fontId="70" fillId="0" borderId="50" applyNumberFormat="0" applyFill="0" applyAlignment="0" applyProtection="0">
      <alignment vertical="center"/>
    </xf>
    <xf numFmtId="0" fontId="70" fillId="0" borderId="50" applyNumberFormat="0" applyFill="0" applyAlignment="0" applyProtection="0">
      <alignment vertical="center"/>
    </xf>
    <xf numFmtId="0" fontId="109" fillId="7" borderId="60" applyNumberFormat="0" applyAlignment="0" applyProtection="0">
      <alignment vertical="center"/>
    </xf>
    <xf numFmtId="0" fontId="70" fillId="0" borderId="50" applyNumberFormat="0" applyFill="0" applyAlignment="0" applyProtection="0">
      <alignment vertical="center"/>
    </xf>
    <xf numFmtId="0" fontId="70" fillId="0" borderId="50" applyNumberFormat="0" applyFill="0" applyAlignment="0" applyProtection="0">
      <alignment vertical="center"/>
    </xf>
    <xf numFmtId="0" fontId="109" fillId="7" borderId="60" applyNumberFormat="0" applyAlignment="0" applyProtection="0">
      <alignment vertical="center"/>
    </xf>
    <xf numFmtId="0" fontId="109" fillId="7" borderId="60" applyNumberFormat="0" applyAlignment="0" applyProtection="0">
      <alignment vertical="center"/>
    </xf>
    <xf numFmtId="0" fontId="109" fillId="7" borderId="60" applyNumberFormat="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6" fillId="25" borderId="53" applyNumberFormat="0" applyFon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87" fillId="0" borderId="49" applyNumberFormat="0" applyFill="0" applyAlignment="0" applyProtection="0">
      <alignment vertical="center"/>
    </xf>
    <xf numFmtId="0" fontId="6" fillId="25" borderId="53" applyNumberFormat="0" applyFont="0" applyAlignment="0" applyProtection="0">
      <alignment vertical="center"/>
    </xf>
    <xf numFmtId="0" fontId="87" fillId="0" borderId="49" applyNumberFormat="0" applyFill="0" applyAlignment="0" applyProtection="0">
      <alignment vertical="center"/>
    </xf>
    <xf numFmtId="0" fontId="6" fillId="25" borderId="53" applyNumberFormat="0" applyFont="0" applyAlignment="0" applyProtection="0">
      <alignment vertical="center"/>
    </xf>
    <xf numFmtId="0" fontId="87" fillId="0" borderId="49" applyNumberFormat="0" applyFill="0" applyAlignment="0" applyProtection="0">
      <alignment vertical="center"/>
    </xf>
    <xf numFmtId="43" fontId="88" fillId="0" borderId="0" applyFont="0" applyFill="0" applyBorder="0" applyAlignment="0" applyProtection="0"/>
    <xf numFmtId="43" fontId="88" fillId="0" borderId="0" applyFont="0" applyFill="0" applyBorder="0" applyAlignment="0" applyProtection="0"/>
    <xf numFmtId="0" fontId="84" fillId="26" borderId="0" applyNumberFormat="0" applyBorder="0" applyAlignment="0" applyProtection="0">
      <alignment vertical="center"/>
    </xf>
    <xf numFmtId="0" fontId="84" fillId="26" borderId="0" applyNumberFormat="0" applyBorder="0" applyAlignment="0" applyProtection="0">
      <alignment vertical="center"/>
    </xf>
    <xf numFmtId="0" fontId="84" fillId="26" borderId="0" applyNumberFormat="0" applyBorder="0" applyAlignment="0" applyProtection="0">
      <alignment vertical="center"/>
    </xf>
    <xf numFmtId="0" fontId="84" fillId="26" borderId="0" applyNumberFormat="0" applyBorder="0" applyAlignment="0" applyProtection="0">
      <alignment vertical="center"/>
    </xf>
    <xf numFmtId="0" fontId="84" fillId="15" borderId="0" applyNumberFormat="0" applyBorder="0" applyAlignment="0" applyProtection="0">
      <alignment vertical="center"/>
    </xf>
    <xf numFmtId="0" fontId="84" fillId="15" borderId="0" applyNumberFormat="0" applyBorder="0" applyAlignment="0" applyProtection="0">
      <alignment vertical="center"/>
    </xf>
    <xf numFmtId="0" fontId="84" fillId="15" borderId="0" applyNumberFormat="0" applyBorder="0" applyAlignment="0" applyProtection="0">
      <alignment vertical="center"/>
    </xf>
    <xf numFmtId="0" fontId="84" fillId="60" borderId="0" applyNumberFormat="0" applyBorder="0" applyAlignment="0" applyProtection="0">
      <alignment vertical="center"/>
    </xf>
    <xf numFmtId="0" fontId="114" fillId="57" borderId="51" applyNumberFormat="0" applyAlignment="0" applyProtection="0">
      <alignment vertical="center"/>
    </xf>
    <xf numFmtId="0" fontId="84" fillId="60" borderId="0" applyNumberFormat="0" applyBorder="0" applyAlignment="0" applyProtection="0">
      <alignment vertical="center"/>
    </xf>
    <xf numFmtId="0" fontId="84" fillId="60" borderId="0" applyNumberFormat="0" applyBorder="0" applyAlignment="0" applyProtection="0">
      <alignment vertical="center"/>
    </xf>
    <xf numFmtId="0" fontId="84" fillId="34" borderId="0" applyNumberFormat="0" applyBorder="0" applyAlignment="0" applyProtection="0">
      <alignment vertical="center"/>
    </xf>
    <xf numFmtId="0" fontId="84" fillId="34" borderId="0" applyNumberFormat="0" applyBorder="0" applyAlignment="0" applyProtection="0">
      <alignment vertical="center"/>
    </xf>
    <xf numFmtId="0" fontId="114" fillId="57" borderId="51" applyNumberFormat="0" applyAlignment="0" applyProtection="0">
      <alignment vertical="center"/>
    </xf>
    <xf numFmtId="0" fontId="84" fillId="55" borderId="0" applyNumberFormat="0" applyBorder="0" applyAlignment="0" applyProtection="0">
      <alignment vertical="center"/>
    </xf>
    <xf numFmtId="0" fontId="84" fillId="55" borderId="0" applyNumberFormat="0" applyBorder="0" applyAlignment="0" applyProtection="0">
      <alignment vertical="center"/>
    </xf>
    <xf numFmtId="0" fontId="84" fillId="55" borderId="0" applyNumberFormat="0" applyBorder="0" applyAlignment="0" applyProtection="0">
      <alignment vertical="center"/>
    </xf>
    <xf numFmtId="0" fontId="84" fillId="61" borderId="0" applyNumberFormat="0" applyBorder="0" applyAlignment="0" applyProtection="0">
      <alignment vertical="center"/>
    </xf>
    <xf numFmtId="0" fontId="84" fillId="61" borderId="0" applyNumberFormat="0" applyBorder="0" applyAlignment="0" applyProtection="0">
      <alignment vertical="center"/>
    </xf>
    <xf numFmtId="0" fontId="84" fillId="61" borderId="0" applyNumberFormat="0" applyBorder="0" applyAlignment="0" applyProtection="0">
      <alignment vertical="center"/>
    </xf>
    <xf numFmtId="0" fontId="84" fillId="61" borderId="0" applyNumberFormat="0" applyBorder="0" applyAlignment="0" applyProtection="0">
      <alignment vertical="center"/>
    </xf>
    <xf numFmtId="0" fontId="84" fillId="61" borderId="0" applyNumberFormat="0" applyBorder="0" applyAlignment="0" applyProtection="0">
      <alignment vertical="center"/>
    </xf>
    <xf numFmtId="0" fontId="84" fillId="61" borderId="0" applyNumberFormat="0" applyBorder="0" applyAlignment="0" applyProtection="0">
      <alignment vertical="center"/>
    </xf>
    <xf numFmtId="0" fontId="110" fillId="51" borderId="0" applyNumberFormat="0" applyBorder="0" applyAlignment="0" applyProtection="0">
      <alignment vertical="center"/>
    </xf>
    <xf numFmtId="0" fontId="110" fillId="51" borderId="0" applyNumberFormat="0" applyBorder="0" applyAlignment="0" applyProtection="0">
      <alignment vertical="center"/>
    </xf>
    <xf numFmtId="0" fontId="110" fillId="51" borderId="0" applyNumberFormat="0" applyBorder="0" applyAlignment="0" applyProtection="0">
      <alignment vertical="center"/>
    </xf>
    <xf numFmtId="0" fontId="86" fillId="17" borderId="48" applyNumberFormat="0" applyAlignment="0" applyProtection="0">
      <alignment vertical="center"/>
    </xf>
    <xf numFmtId="0" fontId="86" fillId="17" borderId="48" applyNumberFormat="0" applyAlignment="0" applyProtection="0">
      <alignment vertical="center"/>
    </xf>
    <xf numFmtId="0" fontId="86" fillId="17" borderId="48" applyNumberFormat="0" applyAlignment="0" applyProtection="0">
      <alignment vertical="center"/>
    </xf>
    <xf numFmtId="0" fontId="86" fillId="17" borderId="48" applyNumberFormat="0" applyAlignment="0" applyProtection="0">
      <alignment vertical="center"/>
    </xf>
    <xf numFmtId="0" fontId="114" fillId="57" borderId="51" applyNumberFormat="0" applyAlignment="0" applyProtection="0">
      <alignment vertical="center"/>
    </xf>
    <xf numFmtId="0" fontId="100" fillId="0" borderId="0"/>
    <xf numFmtId="0" fontId="114" fillId="57" borderId="51" applyNumberFormat="0" applyAlignment="0" applyProtection="0">
      <alignment vertical="center"/>
    </xf>
    <xf numFmtId="0" fontId="100" fillId="0" borderId="0"/>
    <xf numFmtId="0" fontId="114" fillId="57" borderId="51" applyNumberFormat="0" applyAlignment="0" applyProtection="0">
      <alignment vertical="center"/>
    </xf>
    <xf numFmtId="0" fontId="114" fillId="57" borderId="51" applyNumberFormat="0" applyAlignment="0" applyProtection="0">
      <alignment vertical="center"/>
    </xf>
    <xf numFmtId="0" fontId="114" fillId="57" borderId="51" applyNumberFormat="0" applyAlignment="0" applyProtection="0">
      <alignment vertical="center"/>
    </xf>
    <xf numFmtId="0" fontId="26" fillId="0" borderId="0">
      <alignment vertical="center"/>
    </xf>
    <xf numFmtId="0" fontId="121" fillId="0" borderId="0" applyNumberFormat="0" applyFill="0" applyBorder="0" applyAlignment="0" applyProtection="0">
      <alignment vertical="center"/>
    </xf>
    <xf numFmtId="38" fontId="88" fillId="0" borderId="0" applyFont="0" applyFill="0" applyBorder="0" applyAlignment="0" applyProtection="0">
      <alignment vertical="center"/>
    </xf>
    <xf numFmtId="0" fontId="122" fillId="0" borderId="0"/>
    <xf numFmtId="0" fontId="61" fillId="0" borderId="0"/>
    <xf numFmtId="0" fontId="100" fillId="0" borderId="0"/>
    <xf numFmtId="0" fontId="100" fillId="0" borderId="0"/>
    <xf numFmtId="0" fontId="6" fillId="25" borderId="53" applyNumberFormat="0" applyFont="0" applyAlignment="0" applyProtection="0">
      <alignment vertical="center"/>
    </xf>
    <xf numFmtId="0" fontId="6" fillId="25" borderId="53" applyNumberFormat="0" applyFont="0" applyAlignment="0" applyProtection="0">
      <alignment vertical="center"/>
    </xf>
    <xf numFmtId="0" fontId="6" fillId="25" borderId="53" applyNumberFormat="0" applyFont="0" applyAlignment="0" applyProtection="0">
      <alignment vertical="center"/>
    </xf>
    <xf numFmtId="0" fontId="6" fillId="25" borderId="53" applyNumberFormat="0" applyFont="0" applyAlignment="0" applyProtection="0">
      <alignment vertical="center"/>
    </xf>
    <xf numFmtId="0" fontId="6" fillId="25" borderId="53" applyNumberFormat="0" applyFont="0" applyAlignment="0" applyProtection="0">
      <alignment vertical="center"/>
    </xf>
    <xf numFmtId="0" fontId="6" fillId="25" borderId="53" applyNumberFormat="0" applyFont="0" applyAlignment="0" applyProtection="0">
      <alignment vertical="center"/>
    </xf>
    <xf numFmtId="0" fontId="6" fillId="25" borderId="53" applyNumberFormat="0" applyFont="0" applyAlignment="0" applyProtection="0">
      <alignment vertical="center"/>
    </xf>
    <xf numFmtId="0" fontId="6" fillId="25" borderId="53" applyNumberFormat="0" applyFont="0" applyAlignment="0" applyProtection="0">
      <alignment vertical="center"/>
    </xf>
    <xf numFmtId="0" fontId="6" fillId="25" borderId="53" applyNumberFormat="0" applyFont="0" applyAlignment="0" applyProtection="0">
      <alignment vertical="center"/>
    </xf>
    <xf numFmtId="0" fontId="6" fillId="25" borderId="53" applyNumberFormat="0" applyFont="0" applyAlignment="0" applyProtection="0">
      <alignment vertical="center"/>
    </xf>
    <xf numFmtId="0" fontId="6" fillId="25" borderId="53" applyNumberFormat="0" applyFont="0" applyAlignment="0" applyProtection="0">
      <alignment vertical="center"/>
    </xf>
    <xf numFmtId="0" fontId="6" fillId="25" borderId="53" applyNumberFormat="0" applyFont="0" applyAlignment="0" applyProtection="0">
      <alignment vertical="center"/>
    </xf>
    <xf numFmtId="0" fontId="6" fillId="25" borderId="53" applyNumberFormat="0" applyFont="0" applyAlignment="0" applyProtection="0">
      <alignment vertical="center"/>
    </xf>
    <xf numFmtId="0" fontId="6" fillId="25" borderId="53" applyNumberFormat="0" applyFont="0" applyAlignment="0" applyProtection="0">
      <alignment vertical="center"/>
    </xf>
    <xf numFmtId="0" fontId="6" fillId="25" borderId="53" applyNumberFormat="0" applyFont="0" applyAlignment="0" applyProtection="0">
      <alignment vertical="center"/>
    </xf>
  </cellStyleXfs>
  <cellXfs count="395">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justify"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justify" vertical="center" wrapText="1"/>
    </xf>
    <xf numFmtId="9" fontId="4"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5" fillId="0" borderId="0" xfId="0" applyFont="1" applyAlignment="1">
      <alignment horizontal="center" vertical="center" wrapText="1"/>
    </xf>
    <xf numFmtId="0" fontId="6" fillId="0" borderId="0" xfId="312" applyBorder="1">
      <alignment vertical="center"/>
    </xf>
    <xf numFmtId="0" fontId="7" fillId="0" borderId="0" xfId="312" applyNumberFormat="1" applyFont="1" applyFill="1" applyBorder="1" applyAlignment="1" applyProtection="1">
      <alignment horizontal="center" vertical="center"/>
    </xf>
    <xf numFmtId="0" fontId="6" fillId="0" borderId="0" xfId="312" applyFill="1">
      <alignment vertical="center"/>
    </xf>
    <xf numFmtId="0" fontId="6" fillId="0" borderId="0" xfId="312" applyNumberFormat="1" applyFont="1" applyFill="1" applyBorder="1" applyAlignment="1" applyProtection="1">
      <alignment horizontal="center" vertical="center" shrinkToFit="1"/>
    </xf>
    <xf numFmtId="0" fontId="6" fillId="0" borderId="0" xfId="0" applyNumberFormat="1" applyFont="1" applyFill="1" applyBorder="1" applyAlignment="1" applyProtection="1">
      <alignment vertical="center"/>
    </xf>
    <xf numFmtId="0" fontId="6" fillId="0" borderId="0" xfId="312">
      <alignment vertical="center"/>
    </xf>
    <xf numFmtId="0" fontId="6" fillId="0" borderId="0" xfId="312" applyNumberFormat="1">
      <alignment vertical="center"/>
    </xf>
    <xf numFmtId="0" fontId="6" fillId="0" borderId="0" xfId="312" applyNumberFormat="1" applyAlignment="1">
      <alignment horizontal="center" vertical="center"/>
    </xf>
    <xf numFmtId="14" fontId="6" fillId="0" borderId="0" xfId="312" applyNumberFormat="1">
      <alignment vertical="center"/>
    </xf>
    <xf numFmtId="178" fontId="6" fillId="0" borderId="0" xfId="312" applyNumberFormat="1">
      <alignment vertical="center"/>
    </xf>
    <xf numFmtId="179" fontId="8" fillId="0" borderId="0" xfId="108" applyNumberFormat="1" applyFont="1" applyFill="1" applyBorder="1" applyAlignment="1" applyProtection="1">
      <alignment vertical="center"/>
    </xf>
    <xf numFmtId="179" fontId="9" fillId="0" borderId="0" xfId="108" applyNumberFormat="1" applyFont="1" applyFill="1" applyBorder="1" applyAlignment="1" applyProtection="1">
      <alignment vertical="center"/>
    </xf>
    <xf numFmtId="179" fontId="10" fillId="0" borderId="0" xfId="108" applyNumberFormat="1" applyFont="1" applyFill="1" applyBorder="1" applyAlignment="1" applyProtection="1">
      <alignment vertical="center"/>
    </xf>
    <xf numFmtId="179" fontId="10" fillId="0" borderId="0" xfId="108" applyNumberFormat="1" applyFont="1" applyFill="1" applyBorder="1" applyAlignment="1" applyProtection="1">
      <alignment horizontal="center" vertical="top"/>
    </xf>
    <xf numFmtId="0" fontId="6" fillId="0" borderId="0" xfId="312" applyNumberFormat="1" applyFont="1" applyFill="1" applyBorder="1" applyAlignment="1" applyProtection="1">
      <alignment horizontal="center" vertical="center"/>
    </xf>
    <xf numFmtId="0" fontId="6" fillId="0" borderId="0" xfId="312" applyNumberFormat="1" applyBorder="1" applyAlignment="1">
      <alignment horizontal="center" vertical="center"/>
    </xf>
    <xf numFmtId="179" fontId="11" fillId="3" borderId="5" xfId="108" applyNumberFormat="1" applyFont="1" applyFill="1" applyBorder="1" applyAlignment="1" applyProtection="1">
      <alignment horizontal="center" vertical="center"/>
    </xf>
    <xf numFmtId="179" fontId="8" fillId="3" borderId="5" xfId="108" applyNumberFormat="1" applyFont="1" applyFill="1" applyBorder="1" applyAlignment="1" applyProtection="1">
      <alignment horizontal="center" vertical="center"/>
    </xf>
    <xf numFmtId="0" fontId="8" fillId="3" borderId="5" xfId="108" applyNumberFormat="1" applyFont="1" applyFill="1" applyBorder="1" applyAlignment="1" applyProtection="1">
      <alignment horizontal="center" vertical="center" wrapText="1"/>
    </xf>
    <xf numFmtId="0" fontId="12" fillId="3" borderId="5" xfId="407" applyNumberFormat="1" applyFont="1" applyFill="1" applyBorder="1" applyAlignment="1" applyProtection="1">
      <alignment horizontal="center" vertical="center" wrapText="1"/>
    </xf>
    <xf numFmtId="0" fontId="13" fillId="3" borderId="5" xfId="407" applyNumberFormat="1" applyFont="1" applyFill="1" applyBorder="1" applyAlignment="1" applyProtection="1">
      <alignment horizontal="center" vertical="center" wrapText="1"/>
    </xf>
    <xf numFmtId="179" fontId="11" fillId="3" borderId="6" xfId="108" applyNumberFormat="1" applyFont="1" applyFill="1" applyBorder="1" applyAlignment="1" applyProtection="1">
      <alignment horizontal="center" vertical="center"/>
    </xf>
    <xf numFmtId="179" fontId="8" fillId="3" borderId="6" xfId="108" applyNumberFormat="1" applyFont="1" applyFill="1" applyBorder="1" applyAlignment="1" applyProtection="1">
      <alignment horizontal="center" vertical="center"/>
    </xf>
    <xf numFmtId="0" fontId="8" fillId="3" borderId="6" xfId="108" applyNumberFormat="1" applyFont="1" applyFill="1" applyBorder="1" applyAlignment="1" applyProtection="1">
      <alignment horizontal="center" vertical="center" wrapText="1"/>
    </xf>
    <xf numFmtId="0" fontId="12" fillId="3" borderId="6" xfId="407" applyNumberFormat="1" applyFont="1" applyFill="1" applyBorder="1" applyAlignment="1" applyProtection="1">
      <alignment horizontal="center" vertical="center" wrapText="1"/>
    </xf>
    <xf numFmtId="0" fontId="13" fillId="3" borderId="6" xfId="407" applyNumberFormat="1" applyFont="1" applyFill="1" applyBorder="1" applyAlignment="1" applyProtection="1">
      <alignment horizontal="center" vertical="center" wrapText="1"/>
    </xf>
    <xf numFmtId="179" fontId="14" fillId="0" borderId="6" xfId="312" applyNumberFormat="1" applyFont="1" applyFill="1" applyBorder="1" applyAlignment="1" applyProtection="1">
      <alignment horizontal="center" vertical="center"/>
    </xf>
    <xf numFmtId="0" fontId="15" fillId="0" borderId="7" xfId="312" applyFont="1" applyFill="1" applyBorder="1" applyAlignment="1">
      <alignment horizontal="center" vertical="center" wrapText="1"/>
    </xf>
    <xf numFmtId="49" fontId="16" fillId="4" borderId="8" xfId="312" applyNumberFormat="1" applyFont="1" applyFill="1" applyBorder="1" applyAlignment="1">
      <alignment horizontal="center" vertical="center" wrapText="1"/>
    </xf>
    <xf numFmtId="0" fontId="6" fillId="0" borderId="7" xfId="312" applyNumberFormat="1" applyFont="1" applyFill="1" applyBorder="1" applyAlignment="1">
      <alignment horizontal="center" vertical="center"/>
    </xf>
    <xf numFmtId="0" fontId="6" fillId="0" borderId="8" xfId="312" applyFill="1" applyBorder="1">
      <alignment vertical="center"/>
    </xf>
    <xf numFmtId="0" fontId="15" fillId="3" borderId="7" xfId="312" applyFont="1" applyFill="1" applyBorder="1" applyAlignment="1">
      <alignment horizontal="center" vertical="center" wrapText="1"/>
    </xf>
    <xf numFmtId="49" fontId="16" fillId="3" borderId="8" xfId="312" applyNumberFormat="1" applyFont="1" applyFill="1" applyBorder="1" applyAlignment="1">
      <alignment horizontal="center" vertical="center" wrapText="1"/>
    </xf>
    <xf numFmtId="0" fontId="6" fillId="3" borderId="7" xfId="312" applyNumberFormat="1" applyFont="1" applyFill="1" applyBorder="1" applyAlignment="1">
      <alignment horizontal="center" vertical="center"/>
    </xf>
    <xf numFmtId="0" fontId="6" fillId="3" borderId="8" xfId="312" applyFill="1" applyBorder="1">
      <alignment vertical="center"/>
    </xf>
    <xf numFmtId="0" fontId="6" fillId="0" borderId="7" xfId="312" applyNumberFormat="1" applyFill="1" applyBorder="1" applyAlignment="1">
      <alignment horizontal="center" vertical="center"/>
    </xf>
    <xf numFmtId="179" fontId="14" fillId="4" borderId="6" xfId="312" applyNumberFormat="1" applyFont="1" applyFill="1" applyBorder="1" applyAlignment="1" applyProtection="1">
      <alignment horizontal="center" vertical="center" shrinkToFit="1"/>
    </xf>
    <xf numFmtId="179" fontId="17" fillId="4" borderId="7" xfId="312" applyNumberFormat="1" applyFont="1" applyFill="1" applyBorder="1" applyAlignment="1" applyProtection="1">
      <alignment horizontal="center" vertical="center" shrinkToFit="1"/>
    </xf>
    <xf numFmtId="179" fontId="17" fillId="4" borderId="7" xfId="312" applyNumberFormat="1" applyFont="1" applyFill="1" applyBorder="1" applyAlignment="1" applyProtection="1">
      <alignment horizontal="center" vertical="top" shrinkToFit="1"/>
    </xf>
    <xf numFmtId="0" fontId="16" fillId="4" borderId="7" xfId="312" applyNumberFormat="1" applyFont="1" applyFill="1" applyBorder="1" applyAlignment="1">
      <alignment horizontal="center" vertical="center" shrinkToFit="1"/>
    </xf>
    <xf numFmtId="0" fontId="6" fillId="4" borderId="7" xfId="312" applyNumberFormat="1" applyFont="1" applyFill="1" applyBorder="1" applyAlignment="1" applyProtection="1">
      <alignment horizontal="center" vertical="center" shrinkToFit="1"/>
    </xf>
    <xf numFmtId="0" fontId="6" fillId="4" borderId="7" xfId="312" applyNumberFormat="1" applyFill="1" applyBorder="1" applyAlignment="1">
      <alignment horizontal="center" vertical="center" shrinkToFit="1"/>
    </xf>
    <xf numFmtId="0" fontId="6" fillId="3" borderId="7" xfId="312" applyFont="1" applyFill="1" applyBorder="1" applyAlignment="1">
      <alignment horizontal="center" vertical="center"/>
    </xf>
    <xf numFmtId="178" fontId="6" fillId="4" borderId="7" xfId="312" applyNumberFormat="1" applyFont="1" applyFill="1" applyBorder="1" applyAlignment="1">
      <alignment horizontal="center" vertical="center"/>
    </xf>
    <xf numFmtId="181" fontId="6" fillId="0" borderId="0" xfId="312" applyNumberFormat="1" applyFont="1" applyBorder="1" applyAlignment="1">
      <alignment horizontal="center" vertical="center"/>
    </xf>
    <xf numFmtId="0" fontId="18" fillId="0" borderId="0" xfId="0" applyNumberFormat="1" applyFont="1" applyFill="1" applyBorder="1" applyAlignment="1" applyProtection="1">
      <alignment vertical="center"/>
    </xf>
    <xf numFmtId="0" fontId="19" fillId="0" borderId="0" xfId="0" applyNumberFormat="1" applyFont="1" applyFill="1" applyBorder="1" applyAlignment="1" applyProtection="1">
      <alignment horizontal="left" vertical="center"/>
    </xf>
    <xf numFmtId="181" fontId="6" fillId="0" borderId="0"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center" vertical="center"/>
    </xf>
    <xf numFmtId="0" fontId="20"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6" fillId="0" borderId="0" xfId="0" applyNumberFormat="1" applyFont="1" applyFill="1" applyBorder="1" applyAlignment="1" applyProtection="1">
      <alignment horizontal="left" vertical="center" wrapText="1"/>
    </xf>
    <xf numFmtId="0" fontId="21" fillId="0" borderId="0" xfId="0" applyNumberFormat="1" applyFont="1" applyFill="1" applyBorder="1" applyAlignment="1" applyProtection="1">
      <alignment vertical="center" wrapText="1"/>
    </xf>
    <xf numFmtId="0" fontId="22" fillId="0" borderId="0" xfId="312" applyNumberFormat="1" applyFont="1" applyFill="1" applyBorder="1" applyAlignment="1" applyProtection="1">
      <alignment horizontal="left" vertical="center"/>
    </xf>
    <xf numFmtId="0" fontId="23" fillId="0" borderId="0" xfId="0" applyNumberFormat="1" applyFont="1" applyFill="1" applyBorder="1" applyAlignment="1" applyProtection="1">
      <alignment vertical="center"/>
    </xf>
    <xf numFmtId="14" fontId="6" fillId="0" borderId="0" xfId="312" applyNumberFormat="1" applyBorder="1">
      <alignment vertical="center"/>
    </xf>
    <xf numFmtId="179" fontId="10" fillId="0" borderId="0" xfId="108" applyNumberFormat="1" applyFont="1" applyFill="1" applyBorder="1" applyAlignment="1" applyProtection="1">
      <alignment horizontal="center" vertical="center"/>
    </xf>
    <xf numFmtId="180" fontId="24" fillId="5" borderId="0" xfId="312" applyNumberFormat="1" applyFont="1" applyFill="1" applyBorder="1" applyAlignment="1">
      <alignment horizontal="center" vertical="center"/>
    </xf>
    <xf numFmtId="14" fontId="12" fillId="3" borderId="5" xfId="407" applyNumberFormat="1" applyFont="1" applyFill="1" applyBorder="1" applyAlignment="1" applyProtection="1">
      <alignment horizontal="center" vertical="center" wrapText="1"/>
    </xf>
    <xf numFmtId="0" fontId="12" fillId="3" borderId="8" xfId="407" applyNumberFormat="1" applyFont="1" applyFill="1" applyBorder="1" applyAlignment="1" applyProtection="1">
      <alignment horizontal="center" vertical="center" wrapText="1"/>
    </xf>
    <xf numFmtId="0" fontId="12" fillId="3" borderId="9" xfId="407" applyNumberFormat="1" applyFont="1" applyFill="1" applyBorder="1" applyAlignment="1" applyProtection="1">
      <alignment horizontal="center" vertical="center" wrapText="1"/>
    </xf>
    <xf numFmtId="0" fontId="12" fillId="3" borderId="10" xfId="407" applyNumberFormat="1" applyFont="1" applyFill="1" applyBorder="1" applyAlignment="1" applyProtection="1">
      <alignment horizontal="center" vertical="center" wrapText="1"/>
    </xf>
    <xf numFmtId="14" fontId="12" fillId="3" borderId="6" xfId="407" applyNumberFormat="1" applyFont="1" applyFill="1" applyBorder="1" applyAlignment="1" applyProtection="1">
      <alignment horizontal="center" vertical="center" wrapText="1"/>
    </xf>
    <xf numFmtId="0" fontId="12" fillId="3" borderId="7" xfId="407" applyNumberFormat="1" applyFont="1" applyFill="1" applyBorder="1" applyAlignment="1" applyProtection="1">
      <alignment horizontal="center" vertical="center" wrapText="1"/>
    </xf>
    <xf numFmtId="14" fontId="6" fillId="0" borderId="8" xfId="312" applyNumberFormat="1" applyFill="1" applyBorder="1">
      <alignment vertical="center"/>
    </xf>
    <xf numFmtId="180" fontId="14" fillId="0" borderId="7" xfId="312" applyNumberFormat="1" applyFont="1" applyFill="1" applyBorder="1" applyAlignment="1">
      <alignment vertical="center"/>
    </xf>
    <xf numFmtId="180" fontId="14" fillId="0" borderId="7" xfId="312" applyNumberFormat="1" applyFont="1" applyFill="1" applyBorder="1" applyAlignment="1">
      <alignment horizontal="center" vertical="center"/>
    </xf>
    <xf numFmtId="14" fontId="6" fillId="3" borderId="8" xfId="312" applyNumberFormat="1" applyFill="1" applyBorder="1">
      <alignment vertical="center"/>
    </xf>
    <xf numFmtId="180" fontId="14" fillId="0" borderId="7" xfId="312" applyNumberFormat="1" applyFont="1" applyFill="1" applyBorder="1">
      <alignment vertical="center"/>
    </xf>
    <xf numFmtId="0" fontId="6" fillId="4" borderId="8" xfId="312" applyNumberFormat="1" applyFont="1" applyFill="1" applyBorder="1" applyAlignment="1" applyProtection="1">
      <alignment horizontal="center" vertical="center" shrinkToFit="1"/>
    </xf>
    <xf numFmtId="14" fontId="6" fillId="4" borderId="8" xfId="312" applyNumberFormat="1" applyFont="1" applyFill="1" applyBorder="1" applyAlignment="1" applyProtection="1">
      <alignment horizontal="center" vertical="center" shrinkToFit="1"/>
    </xf>
    <xf numFmtId="181" fontId="17" fillId="4" borderId="7" xfId="312" applyNumberFormat="1" applyFont="1" applyFill="1" applyBorder="1" applyAlignment="1" applyProtection="1">
      <alignment horizontal="center" vertical="center" shrinkToFit="1"/>
    </xf>
    <xf numFmtId="14" fontId="6" fillId="0" borderId="0" xfId="0" applyNumberFormat="1" applyFont="1" applyFill="1" applyBorder="1" applyAlignment="1" applyProtection="1">
      <alignment vertical="center"/>
    </xf>
    <xf numFmtId="182" fontId="6" fillId="0" borderId="0" xfId="0" applyNumberFormat="1" applyFont="1" applyFill="1" applyBorder="1" applyAlignment="1" applyProtection="1">
      <alignment vertical="center"/>
    </xf>
    <xf numFmtId="14" fontId="6" fillId="0" borderId="0" xfId="0" applyNumberFormat="1" applyFont="1" applyFill="1" applyBorder="1" applyAlignment="1" applyProtection="1">
      <alignment horizontal="left" vertical="center" wrapText="1"/>
    </xf>
    <xf numFmtId="182" fontId="6" fillId="0" borderId="0"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vertical="center" wrapText="1"/>
    </xf>
    <xf numFmtId="14" fontId="6" fillId="0" borderId="0" xfId="0" applyNumberFormat="1" applyFont="1" applyFill="1" applyBorder="1" applyAlignment="1" applyProtection="1">
      <alignment vertical="center" wrapText="1"/>
    </xf>
    <xf numFmtId="182" fontId="6" fillId="0" borderId="0" xfId="0" applyNumberFormat="1" applyFont="1" applyFill="1" applyBorder="1" applyAlignment="1" applyProtection="1">
      <alignment vertical="center" wrapText="1"/>
    </xf>
    <xf numFmtId="14" fontId="21" fillId="0" borderId="0" xfId="0" applyNumberFormat="1" applyFont="1" applyFill="1" applyBorder="1" applyAlignment="1" applyProtection="1">
      <alignment vertical="center" wrapText="1"/>
    </xf>
    <xf numFmtId="180" fontId="0" fillId="0" borderId="0" xfId="312" applyNumberFormat="1" applyFont="1" applyFill="1" applyBorder="1" applyAlignment="1">
      <alignment horizontal="left" vertical="center"/>
    </xf>
    <xf numFmtId="178" fontId="13" fillId="3" borderId="5" xfId="407" applyNumberFormat="1" applyFont="1" applyFill="1" applyBorder="1" applyAlignment="1" applyProtection="1">
      <alignment horizontal="center" vertical="center" wrapText="1"/>
    </xf>
    <xf numFmtId="0" fontId="13" fillId="3" borderId="8" xfId="407" applyNumberFormat="1" applyFont="1" applyFill="1" applyBorder="1" applyAlignment="1" applyProtection="1">
      <alignment horizontal="center" vertical="center" wrapText="1"/>
    </xf>
    <xf numFmtId="0" fontId="13" fillId="3" borderId="9" xfId="407" applyNumberFormat="1" applyFont="1" applyFill="1" applyBorder="1" applyAlignment="1" applyProtection="1">
      <alignment horizontal="center" vertical="center" wrapText="1"/>
    </xf>
    <xf numFmtId="178" fontId="13" fillId="3" borderId="6" xfId="407" applyNumberFormat="1" applyFont="1" applyFill="1" applyBorder="1" applyAlignment="1" applyProtection="1">
      <alignment horizontal="center" vertical="center" wrapText="1"/>
    </xf>
    <xf numFmtId="0" fontId="13" fillId="3" borderId="7" xfId="407" applyNumberFormat="1" applyFont="1" applyFill="1" applyBorder="1" applyAlignment="1" applyProtection="1">
      <alignment horizontal="center" vertical="center" wrapText="1"/>
    </xf>
    <xf numFmtId="180" fontId="14" fillId="4" borderId="7" xfId="312" applyNumberFormat="1" applyFont="1" applyFill="1" applyBorder="1">
      <alignment vertical="center"/>
    </xf>
    <xf numFmtId="180" fontId="14" fillId="4" borderId="10" xfId="312" applyNumberFormat="1" applyFont="1" applyFill="1" applyBorder="1" applyAlignment="1">
      <alignment horizontal="center" vertical="center"/>
    </xf>
    <xf numFmtId="180" fontId="14" fillId="4" borderId="10" xfId="312" applyNumberFormat="1" applyFont="1" applyFill="1" applyBorder="1">
      <alignment vertical="center"/>
    </xf>
    <xf numFmtId="0" fontId="13" fillId="3" borderId="10" xfId="407" applyNumberFormat="1" applyFont="1" applyFill="1" applyBorder="1" applyAlignment="1" applyProtection="1">
      <alignment horizontal="center" vertical="center" wrapText="1"/>
    </xf>
    <xf numFmtId="181" fontId="14" fillId="4" borderId="10" xfId="312" applyNumberFormat="1" applyFont="1" applyFill="1" applyBorder="1" applyAlignment="1" applyProtection="1">
      <alignment horizontal="center" vertical="center"/>
    </xf>
    <xf numFmtId="178" fontId="20" fillId="4" borderId="7" xfId="292" applyNumberFormat="1" applyFont="1" applyFill="1" applyBorder="1" applyAlignment="1" applyProtection="1">
      <alignment horizontal="center" vertical="center"/>
    </xf>
    <xf numFmtId="178" fontId="25" fillId="4" borderId="7" xfId="407" applyNumberFormat="1" applyFont="1" applyFill="1" applyBorder="1" applyAlignment="1" applyProtection="1">
      <alignment horizontal="center" vertical="center"/>
    </xf>
    <xf numFmtId="181" fontId="14" fillId="0" borderId="0" xfId="312" applyNumberFormat="1" applyFont="1" applyFill="1" applyBorder="1" applyAlignment="1" applyProtection="1">
      <alignment horizontal="center" vertical="center"/>
    </xf>
    <xf numFmtId="178" fontId="10" fillId="0" borderId="0" xfId="108" applyNumberFormat="1" applyFont="1" applyFill="1" applyBorder="1" applyAlignment="1" applyProtection="1">
      <alignment horizontal="center" vertical="center" wrapText="1"/>
    </xf>
    <xf numFmtId="0" fontId="11" fillId="3" borderId="5" xfId="108" applyNumberFormat="1" applyFont="1" applyFill="1" applyBorder="1" applyAlignment="1" applyProtection="1">
      <alignment horizontal="center" vertical="center" wrapText="1"/>
    </xf>
    <xf numFmtId="178" fontId="8" fillId="3" borderId="5" xfId="108" applyNumberFormat="1" applyFont="1" applyFill="1" applyBorder="1" applyAlignment="1" applyProtection="1">
      <alignment horizontal="center" vertical="center" wrapText="1"/>
    </xf>
    <xf numFmtId="0" fontId="11" fillId="3" borderId="6" xfId="108" applyNumberFormat="1" applyFont="1" applyFill="1" applyBorder="1" applyAlignment="1" applyProtection="1">
      <alignment horizontal="center" vertical="center" wrapText="1"/>
    </xf>
    <xf numFmtId="178" fontId="8" fillId="3" borderId="6" xfId="108" applyNumberFormat="1" applyFont="1" applyFill="1" applyBorder="1" applyAlignment="1" applyProtection="1">
      <alignment horizontal="center" vertical="center" wrapText="1"/>
    </xf>
    <xf numFmtId="181" fontId="14" fillId="4" borderId="7" xfId="312" applyNumberFormat="1" applyFont="1" applyFill="1" applyBorder="1" applyAlignment="1" applyProtection="1">
      <alignment horizontal="center" vertical="center"/>
    </xf>
    <xf numFmtId="178" fontId="16" fillId="0" borderId="7" xfId="312" applyNumberFormat="1" applyFont="1" applyFill="1" applyBorder="1" applyAlignment="1">
      <alignment horizontal="center" vertical="center" wrapText="1"/>
    </xf>
    <xf numFmtId="181" fontId="14" fillId="0" borderId="7" xfId="312" applyNumberFormat="1" applyFont="1" applyFill="1" applyBorder="1" applyAlignment="1" applyProtection="1">
      <alignment horizontal="center" vertical="center"/>
    </xf>
    <xf numFmtId="181" fontId="14" fillId="4" borderId="7" xfId="312" applyNumberFormat="1" applyFont="1" applyFill="1" applyBorder="1" applyAlignment="1" applyProtection="1">
      <alignment horizontal="center" vertical="center" shrinkToFit="1"/>
    </xf>
    <xf numFmtId="178" fontId="6" fillId="0" borderId="0" xfId="0" applyNumberFormat="1" applyFont="1" applyFill="1" applyBorder="1" applyAlignment="1" applyProtection="1">
      <alignment vertical="center"/>
    </xf>
    <xf numFmtId="49" fontId="6" fillId="0" borderId="0" xfId="312" applyNumberFormat="1" applyFont="1" applyFill="1" applyBorder="1" applyAlignment="1" applyProtection="1">
      <alignment horizontal="center" vertical="center"/>
    </xf>
    <xf numFmtId="49" fontId="12" fillId="3" borderId="5" xfId="407" applyNumberFormat="1" applyFont="1" applyFill="1" applyBorder="1" applyAlignment="1" applyProtection="1">
      <alignment horizontal="center" vertical="center" wrapText="1"/>
    </xf>
    <xf numFmtId="49" fontId="12" fillId="3" borderId="6" xfId="407" applyNumberFormat="1" applyFont="1" applyFill="1" applyBorder="1" applyAlignment="1" applyProtection="1">
      <alignment horizontal="center" vertical="center" wrapText="1"/>
    </xf>
    <xf numFmtId="0" fontId="25" fillId="4" borderId="7" xfId="312" applyFont="1" applyFill="1" applyBorder="1" applyAlignment="1">
      <alignment horizontal="center" vertical="center"/>
    </xf>
    <xf numFmtId="0" fontId="25" fillId="4" borderId="7" xfId="312" applyFont="1" applyFill="1" applyBorder="1" applyAlignment="1">
      <alignment horizontal="center" vertical="center" shrinkToFit="1"/>
    </xf>
    <xf numFmtId="0" fontId="6" fillId="3" borderId="0" xfId="312" applyFill="1">
      <alignment vertical="center"/>
    </xf>
    <xf numFmtId="179" fontId="14" fillId="3" borderId="6" xfId="312" applyNumberFormat="1" applyFont="1" applyFill="1" applyBorder="1" applyAlignment="1" applyProtection="1">
      <alignment horizontal="center" vertical="center"/>
    </xf>
    <xf numFmtId="180" fontId="14" fillId="3" borderId="7" xfId="312" applyNumberFormat="1" applyFont="1" applyFill="1" applyBorder="1" applyAlignment="1">
      <alignment vertical="center"/>
    </xf>
    <xf numFmtId="180" fontId="14" fillId="3" borderId="7" xfId="312" applyNumberFormat="1" applyFont="1" applyFill="1" applyBorder="1" applyAlignment="1">
      <alignment horizontal="center" vertical="center"/>
    </xf>
    <xf numFmtId="180" fontId="14" fillId="3" borderId="7" xfId="312" applyNumberFormat="1" applyFont="1" applyFill="1" applyBorder="1">
      <alignment vertical="center"/>
    </xf>
    <xf numFmtId="180" fontId="14" fillId="3" borderId="10" xfId="312" applyNumberFormat="1" applyFont="1" applyFill="1" applyBorder="1" applyAlignment="1">
      <alignment horizontal="center" vertical="center"/>
    </xf>
    <xf numFmtId="180" fontId="14" fillId="3" borderId="10" xfId="312" applyNumberFormat="1" applyFont="1" applyFill="1" applyBorder="1">
      <alignment vertical="center"/>
    </xf>
    <xf numFmtId="181" fontId="14" fillId="3" borderId="10" xfId="312" applyNumberFormat="1" applyFont="1" applyFill="1" applyBorder="1" applyAlignment="1" applyProtection="1">
      <alignment horizontal="center" vertical="center"/>
    </xf>
    <xf numFmtId="178" fontId="20" fillId="3" borderId="7" xfId="292" applyNumberFormat="1" applyFont="1" applyFill="1" applyBorder="1" applyAlignment="1" applyProtection="1">
      <alignment horizontal="center" vertical="center"/>
    </xf>
    <xf numFmtId="178" fontId="25" fillId="3" borderId="7" xfId="407" applyNumberFormat="1" applyFont="1" applyFill="1" applyBorder="1" applyAlignment="1" applyProtection="1">
      <alignment horizontal="center" vertical="center"/>
    </xf>
    <xf numFmtId="181" fontId="14" fillId="3" borderId="7" xfId="312" applyNumberFormat="1" applyFont="1" applyFill="1" applyBorder="1" applyAlignment="1" applyProtection="1">
      <alignment horizontal="center" vertical="center"/>
    </xf>
    <xf numFmtId="178" fontId="16" fillId="3" borderId="7" xfId="312" applyNumberFormat="1" applyFont="1" applyFill="1" applyBorder="1" applyAlignment="1">
      <alignment horizontal="center" vertical="center" wrapText="1"/>
    </xf>
    <xf numFmtId="181" fontId="6" fillId="0" borderId="0" xfId="312" applyNumberFormat="1">
      <alignment vertical="center"/>
    </xf>
    <xf numFmtId="0" fontId="25" fillId="3" borderId="7" xfId="312" applyFont="1" applyFill="1" applyBorder="1" applyAlignment="1">
      <alignment horizontal="center" vertical="center"/>
    </xf>
    <xf numFmtId="0" fontId="26" fillId="6" borderId="7" xfId="275" applyFont="1" applyFill="1" applyBorder="1" applyAlignment="1">
      <alignment horizontal="left" vertical="center"/>
    </xf>
    <xf numFmtId="49" fontId="26" fillId="0" borderId="7" xfId="275" applyNumberFormat="1" applyFont="1" applyBorder="1" applyAlignment="1" applyProtection="1">
      <protection locked="0"/>
    </xf>
    <xf numFmtId="0" fontId="6" fillId="0" borderId="8" xfId="312" applyFont="1" applyFill="1" applyBorder="1" applyAlignment="1">
      <alignment vertical="center"/>
    </xf>
    <xf numFmtId="14" fontId="6" fillId="0" borderId="8" xfId="312" applyNumberFormat="1" applyFont="1" applyFill="1" applyBorder="1" applyAlignment="1">
      <alignment vertical="center"/>
    </xf>
    <xf numFmtId="0" fontId="14" fillId="0" borderId="7" xfId="312" applyNumberFormat="1" applyFont="1" applyFill="1" applyBorder="1">
      <alignment vertical="center"/>
    </xf>
    <xf numFmtId="0" fontId="27" fillId="0" borderId="0" xfId="0" applyFont="1" applyAlignment="1" applyProtection="1">
      <alignment horizontal="center" vertical="center"/>
      <protection locked="0"/>
    </xf>
    <xf numFmtId="0" fontId="27" fillId="0" borderId="0" xfId="0" applyFont="1" applyAlignment="1" applyProtection="1">
      <alignment horizontal="left" vertical="center"/>
      <protection locked="0"/>
    </xf>
    <xf numFmtId="0" fontId="14" fillId="0" borderId="0" xfId="0" applyFont="1" applyAlignment="1" applyProtection="1">
      <alignment horizontal="left" vertical="center"/>
      <protection locked="0"/>
    </xf>
    <xf numFmtId="0" fontId="28" fillId="7" borderId="5" xfId="404" applyFont="1" applyFill="1" applyBorder="1" applyAlignment="1">
      <alignment horizontal="center" vertical="center" wrapText="1"/>
    </xf>
    <xf numFmtId="0" fontId="28" fillId="7" borderId="7" xfId="404" applyFont="1" applyFill="1" applyBorder="1" applyAlignment="1">
      <alignment horizontal="center" vertical="center" wrapText="1"/>
    </xf>
    <xf numFmtId="0" fontId="28" fillId="8" borderId="5" xfId="404" applyFont="1" applyFill="1" applyBorder="1" applyAlignment="1">
      <alignment horizontal="center" vertical="center" wrapText="1"/>
    </xf>
    <xf numFmtId="0" fontId="28" fillId="7" borderId="11" xfId="404" applyFont="1" applyFill="1" applyBorder="1" applyAlignment="1">
      <alignment horizontal="center" vertical="center" wrapText="1"/>
    </xf>
    <xf numFmtId="0" fontId="28" fillId="8" borderId="11" xfId="404" applyFont="1" applyFill="1" applyBorder="1" applyAlignment="1">
      <alignment horizontal="center" vertical="center" wrapText="1"/>
    </xf>
    <xf numFmtId="0" fontId="28" fillId="7" borderId="6" xfId="404" applyFont="1" applyFill="1" applyBorder="1" applyAlignment="1">
      <alignment horizontal="center" vertical="center" wrapText="1"/>
    </xf>
    <xf numFmtId="0" fontId="28" fillId="7" borderId="12" xfId="404" applyFont="1" applyFill="1" applyBorder="1" applyAlignment="1">
      <alignment horizontal="center" vertical="center" wrapText="1"/>
    </xf>
    <xf numFmtId="0" fontId="28" fillId="8" borderId="12" xfId="404" applyFont="1" applyFill="1" applyBorder="1" applyAlignment="1">
      <alignment horizontal="center" vertical="center" wrapText="1"/>
    </xf>
    <xf numFmtId="0" fontId="29" fillId="8" borderId="5" xfId="404" applyFont="1" applyFill="1" applyBorder="1" applyAlignment="1">
      <alignment horizontal="center" vertical="center" wrapText="1"/>
    </xf>
    <xf numFmtId="0" fontId="30" fillId="8" borderId="7" xfId="368" applyFont="1" applyFill="1" applyBorder="1" applyAlignment="1">
      <alignment horizontal="center" vertical="center" wrapText="1"/>
    </xf>
    <xf numFmtId="0" fontId="29" fillId="8" borderId="11" xfId="404" applyFont="1" applyFill="1" applyBorder="1" applyAlignment="1">
      <alignment horizontal="center" vertical="center" wrapText="1"/>
    </xf>
    <xf numFmtId="14" fontId="14" fillId="0" borderId="0" xfId="0" applyNumberFormat="1" applyFont="1" applyAlignment="1" applyProtection="1">
      <alignment horizontal="left" vertical="center"/>
      <protection locked="0"/>
    </xf>
    <xf numFmtId="0" fontId="30" fillId="8" borderId="7" xfId="404" applyFont="1" applyFill="1" applyBorder="1" applyAlignment="1">
      <alignment horizontal="center" vertical="center" wrapText="1"/>
    </xf>
    <xf numFmtId="9" fontId="14" fillId="0" borderId="0" xfId="0" applyNumberFormat="1" applyFont="1" applyAlignment="1" applyProtection="1">
      <alignment horizontal="left" vertical="center"/>
      <protection locked="0"/>
    </xf>
    <xf numFmtId="0" fontId="28" fillId="9" borderId="7" xfId="368" applyFont="1" applyFill="1" applyBorder="1" applyAlignment="1">
      <alignment horizontal="center" vertical="center" wrapText="1"/>
    </xf>
    <xf numFmtId="0" fontId="31" fillId="3" borderId="7" xfId="368" applyFont="1" applyFill="1" applyBorder="1" applyAlignment="1">
      <alignment horizontal="center" vertical="center" wrapText="1"/>
    </xf>
    <xf numFmtId="0" fontId="31" fillId="3" borderId="7" xfId="0" applyFont="1" applyFill="1" applyBorder="1" applyAlignment="1">
      <alignment horizontal="center" vertical="center" wrapText="1"/>
    </xf>
    <xf numFmtId="0" fontId="31" fillId="3" borderId="7" xfId="0" applyFont="1" applyFill="1" applyBorder="1" applyAlignment="1">
      <alignment horizontal="center" vertical="center"/>
    </xf>
    <xf numFmtId="178" fontId="17" fillId="4" borderId="7" xfId="312" applyNumberFormat="1" applyFont="1" applyFill="1" applyBorder="1" applyAlignment="1" applyProtection="1">
      <alignment horizontal="center" vertical="center" shrinkToFit="1"/>
    </xf>
    <xf numFmtId="0" fontId="26" fillId="0" borderId="7" xfId="360" applyNumberFormat="1" applyFont="1" applyFill="1" applyBorder="1" applyAlignment="1">
      <alignment horizontal="center" vertical="center"/>
    </xf>
    <xf numFmtId="0" fontId="6" fillId="0" borderId="0" xfId="0" applyFont="1" applyFill="1" applyAlignment="1">
      <alignment horizontal="center" vertical="center"/>
    </xf>
    <xf numFmtId="0" fontId="32" fillId="0" borderId="0" xfId="0" applyFont="1" applyFill="1" applyAlignment="1">
      <alignment horizontal="center" vertical="center"/>
    </xf>
    <xf numFmtId="0" fontId="32" fillId="10" borderId="0" xfId="0" applyFont="1" applyFill="1" applyAlignment="1">
      <alignment horizontal="center" vertical="center"/>
    </xf>
    <xf numFmtId="0" fontId="32" fillId="6" borderId="0" xfId="0" applyFont="1" applyFill="1" applyAlignment="1">
      <alignment horizontal="center" vertical="center"/>
    </xf>
    <xf numFmtId="0" fontId="33" fillId="0" borderId="0" xfId="0" applyFont="1" applyFill="1" applyAlignment="1">
      <alignment vertical="center"/>
    </xf>
    <xf numFmtId="0" fontId="34" fillId="0" borderId="0" xfId="0" applyFont="1" applyFill="1" applyAlignment="1">
      <alignment vertical="center"/>
    </xf>
    <xf numFmtId="0" fontId="35" fillId="0" borderId="0" xfId="0" applyFont="1" applyFill="1" applyAlignment="1">
      <alignment vertical="center"/>
    </xf>
    <xf numFmtId="0" fontId="6" fillId="0" borderId="0" xfId="0" applyFont="1" applyFill="1" applyAlignment="1">
      <alignment vertical="center"/>
    </xf>
    <xf numFmtId="0" fontId="6" fillId="0" borderId="0" xfId="0" applyNumberFormat="1" applyFont="1" applyFill="1" applyAlignment="1">
      <alignment vertical="center"/>
    </xf>
    <xf numFmtId="0" fontId="36" fillId="0" borderId="0" xfId="0" applyFont="1" applyFill="1" applyAlignment="1">
      <alignment vertical="center"/>
    </xf>
    <xf numFmtId="0" fontId="19" fillId="11" borderId="7" xfId="0" applyFont="1" applyFill="1" applyBorder="1" applyAlignment="1">
      <alignment horizontal="center" vertical="center" wrapText="1"/>
    </xf>
    <xf numFmtId="0" fontId="23" fillId="11" borderId="7" xfId="0" applyFont="1" applyFill="1" applyBorder="1" applyAlignment="1">
      <alignment horizontal="center" vertical="center" wrapText="1"/>
    </xf>
    <xf numFmtId="0" fontId="35" fillId="0" borderId="7" xfId="0" applyFont="1" applyFill="1" applyBorder="1" applyAlignment="1"/>
    <xf numFmtId="0" fontId="21" fillId="11" borderId="7" xfId="0" applyFont="1" applyFill="1" applyBorder="1" applyAlignment="1">
      <alignment horizontal="center" vertical="center" wrapText="1"/>
    </xf>
    <xf numFmtId="0" fontId="37" fillId="0" borderId="7" xfId="0" applyFont="1" applyFill="1" applyBorder="1" applyAlignment="1">
      <alignment horizontal="center" vertical="center"/>
    </xf>
    <xf numFmtId="49" fontId="37" fillId="0" borderId="7" xfId="0" applyNumberFormat="1" applyFont="1" applyFill="1" applyBorder="1" applyAlignment="1">
      <alignment horizontal="center" vertical="center"/>
    </xf>
    <xf numFmtId="0" fontId="16" fillId="0" borderId="7" xfId="0" applyFont="1" applyFill="1" applyBorder="1" applyAlignment="1" applyProtection="1">
      <alignment horizontal="center" vertical="center"/>
      <protection locked="0"/>
    </xf>
    <xf numFmtId="0" fontId="38" fillId="0" borderId="7" xfId="0" applyFont="1" applyFill="1" applyBorder="1" applyAlignment="1">
      <alignment horizontal="center" vertical="center"/>
    </xf>
    <xf numFmtId="49" fontId="39" fillId="0" borderId="7" xfId="0" applyNumberFormat="1" applyFont="1" applyFill="1" applyBorder="1" applyAlignment="1">
      <alignment horizontal="center" vertical="center"/>
    </xf>
    <xf numFmtId="0" fontId="37" fillId="10" borderId="7" xfId="0" applyFont="1" applyFill="1" applyBorder="1" applyAlignment="1">
      <alignment horizontal="center" vertical="center"/>
    </xf>
    <xf numFmtId="49" fontId="37" fillId="10" borderId="7" xfId="0" applyNumberFormat="1" applyFont="1" applyFill="1" applyBorder="1" applyAlignment="1">
      <alignment horizontal="center" vertical="center"/>
    </xf>
    <xf numFmtId="0" fontId="16" fillId="10" borderId="7" xfId="0" applyFont="1" applyFill="1" applyBorder="1" applyAlignment="1" applyProtection="1">
      <alignment horizontal="center" vertical="center"/>
      <protection locked="0"/>
    </xf>
    <xf numFmtId="0" fontId="38" fillId="10" borderId="7" xfId="0" applyFont="1" applyFill="1" applyBorder="1" applyAlignment="1">
      <alignment horizontal="center" vertical="center"/>
    </xf>
    <xf numFmtId="49" fontId="39" fillId="10" borderId="7" xfId="0" applyNumberFormat="1" applyFont="1" applyFill="1" applyBorder="1" applyAlignment="1">
      <alignment horizontal="center" vertical="center"/>
    </xf>
    <xf numFmtId="49" fontId="37" fillId="6" borderId="7" xfId="0" applyNumberFormat="1" applyFont="1" applyFill="1" applyBorder="1" applyAlignment="1">
      <alignment horizontal="center" vertical="center"/>
    </xf>
    <xf numFmtId="0" fontId="16" fillId="6" borderId="7" xfId="0" applyFont="1" applyFill="1" applyBorder="1" applyAlignment="1" applyProtection="1">
      <alignment horizontal="center" vertical="center"/>
      <protection locked="0"/>
    </xf>
    <xf numFmtId="0" fontId="38" fillId="6" borderId="7" xfId="0" applyFont="1" applyFill="1" applyBorder="1" applyAlignment="1">
      <alignment horizontal="center" vertical="center"/>
    </xf>
    <xf numFmtId="49" fontId="39" fillId="6" borderId="7" xfId="0" applyNumberFormat="1" applyFont="1" applyFill="1" applyBorder="1" applyAlignment="1">
      <alignment horizontal="center" vertical="center"/>
    </xf>
    <xf numFmtId="0" fontId="40" fillId="0" borderId="13" xfId="0" applyFont="1" applyFill="1" applyBorder="1" applyAlignment="1">
      <alignment horizontal="center"/>
    </xf>
    <xf numFmtId="49" fontId="40" fillId="0" borderId="13" xfId="0" applyNumberFormat="1" applyFont="1" applyFill="1" applyBorder="1" applyAlignment="1">
      <alignment horizontal="center" vertical="center"/>
    </xf>
    <xf numFmtId="0" fontId="16" fillId="0" borderId="6" xfId="0" applyFont="1" applyFill="1" applyBorder="1" applyAlignment="1" applyProtection="1">
      <alignment horizontal="center" vertical="center"/>
      <protection locked="0"/>
    </xf>
    <xf numFmtId="49" fontId="40" fillId="0" borderId="6" xfId="0" applyNumberFormat="1" applyFont="1" applyFill="1" applyBorder="1" applyAlignment="1">
      <alignment horizontal="center"/>
    </xf>
    <xf numFmtId="49" fontId="41" fillId="0" borderId="14" xfId="0" applyNumberFormat="1" applyFont="1" applyFill="1" applyBorder="1" applyAlignment="1">
      <alignment horizontal="center" vertical="center"/>
    </xf>
    <xf numFmtId="0" fontId="42" fillId="0" borderId="6" xfId="0" applyFont="1" applyFill="1" applyBorder="1" applyAlignment="1">
      <alignment horizontal="center" vertical="center"/>
    </xf>
    <xf numFmtId="49" fontId="43" fillId="0" borderId="6" xfId="0" applyNumberFormat="1" applyFont="1" applyFill="1" applyBorder="1" applyAlignment="1">
      <alignment horizontal="center" vertical="center"/>
    </xf>
    <xf numFmtId="49" fontId="41" fillId="0" borderId="6" xfId="0" applyNumberFormat="1" applyFont="1" applyFill="1" applyBorder="1" applyAlignment="1">
      <alignment horizontal="center"/>
    </xf>
    <xf numFmtId="0" fontId="19" fillId="11" borderId="15" xfId="0" applyFont="1" applyFill="1" applyBorder="1" applyAlignment="1">
      <alignment horizontal="left" vertical="center"/>
    </xf>
    <xf numFmtId="4" fontId="19" fillId="11" borderId="16" xfId="0" applyNumberFormat="1" applyFont="1" applyFill="1" applyBorder="1" applyAlignment="1">
      <alignment horizontal="right" vertical="center"/>
    </xf>
    <xf numFmtId="4" fontId="19" fillId="11" borderId="6" xfId="0" applyNumberFormat="1" applyFont="1" applyFill="1" applyBorder="1" applyAlignment="1">
      <alignment horizontal="right" vertical="center"/>
    </xf>
    <xf numFmtId="4" fontId="19" fillId="11" borderId="14" xfId="0" applyNumberFormat="1" applyFont="1" applyFill="1" applyBorder="1" applyAlignment="1">
      <alignment horizontal="right" vertical="center"/>
    </xf>
    <xf numFmtId="0" fontId="19" fillId="11" borderId="17" xfId="0" applyFont="1" applyFill="1" applyBorder="1" applyAlignment="1">
      <alignment horizontal="left" vertical="center"/>
    </xf>
    <xf numFmtId="4" fontId="19" fillId="11" borderId="18" xfId="0" applyNumberFormat="1" applyFont="1" applyFill="1" applyBorder="1" applyAlignment="1">
      <alignment horizontal="right" vertical="center"/>
    </xf>
    <xf numFmtId="4" fontId="19" fillId="11" borderId="19" xfId="0" applyNumberFormat="1" applyFont="1" applyFill="1" applyBorder="1" applyAlignment="1">
      <alignment horizontal="right" vertical="center"/>
    </xf>
    <xf numFmtId="4" fontId="19" fillId="11" borderId="20" xfId="0" applyNumberFormat="1" applyFont="1" applyFill="1" applyBorder="1" applyAlignment="1">
      <alignment horizontal="right" vertical="center"/>
    </xf>
    <xf numFmtId="0" fontId="6" fillId="0" borderId="0" xfId="0" applyFont="1" applyFill="1" applyAlignment="1"/>
    <xf numFmtId="0" fontId="42" fillId="0" borderId="0" xfId="0" applyFont="1" applyFill="1" applyAlignment="1">
      <alignment vertical="center"/>
    </xf>
    <xf numFmtId="0" fontId="22" fillId="11" borderId="7" xfId="0" applyFont="1" applyFill="1" applyBorder="1" applyAlignment="1">
      <alignment horizontal="center" vertical="center" wrapText="1"/>
    </xf>
    <xf numFmtId="0" fontId="20" fillId="11" borderId="7" xfId="0" applyFont="1" applyFill="1" applyBorder="1" applyAlignment="1">
      <alignment horizontal="center" vertical="center" wrapText="1"/>
    </xf>
    <xf numFmtId="178" fontId="37" fillId="0" borderId="7" xfId="0" applyNumberFormat="1" applyFont="1" applyFill="1" applyBorder="1" applyAlignment="1">
      <alignment horizontal="center" vertical="center"/>
    </xf>
    <xf numFmtId="10" fontId="37" fillId="0" borderId="7" xfId="0" applyNumberFormat="1" applyFont="1" applyFill="1" applyBorder="1" applyAlignment="1">
      <alignment horizontal="center" vertical="center"/>
    </xf>
    <xf numFmtId="0" fontId="37" fillId="6" borderId="7" xfId="0" applyFont="1" applyFill="1" applyBorder="1" applyAlignment="1">
      <alignment horizontal="center" vertical="center"/>
    </xf>
    <xf numFmtId="0" fontId="40" fillId="0" borderId="14" xfId="0" applyFont="1" applyFill="1" applyBorder="1" applyAlignment="1">
      <alignment horizontal="center"/>
    </xf>
    <xf numFmtId="0" fontId="41" fillId="0" borderId="14" xfId="0" applyFont="1" applyFill="1" applyBorder="1" applyAlignment="1">
      <alignment horizontal="center"/>
    </xf>
    <xf numFmtId="4" fontId="19" fillId="11" borderId="21" xfId="0" applyNumberFormat="1" applyFont="1" applyFill="1" applyBorder="1" applyAlignment="1">
      <alignment horizontal="right" vertical="center"/>
    </xf>
    <xf numFmtId="10" fontId="37" fillId="6" borderId="7" xfId="0" applyNumberFormat="1" applyFont="1" applyFill="1" applyBorder="1" applyAlignment="1">
      <alignment horizontal="center" vertical="center"/>
    </xf>
    <xf numFmtId="0" fontId="40" fillId="3" borderId="14" xfId="0" applyFont="1" applyFill="1" applyBorder="1" applyAlignment="1">
      <alignment horizontal="center"/>
    </xf>
    <xf numFmtId="0" fontId="41" fillId="3" borderId="14" xfId="0" applyFont="1" applyFill="1" applyBorder="1" applyAlignment="1">
      <alignment horizontal="center"/>
    </xf>
    <xf numFmtId="0" fontId="37" fillId="0" borderId="7" xfId="0" applyNumberFormat="1" applyFont="1" applyFill="1" applyBorder="1" applyAlignment="1">
      <alignment horizontal="center" vertical="center"/>
    </xf>
    <xf numFmtId="0" fontId="32" fillId="0" borderId="7" xfId="0" applyFont="1" applyFill="1" applyBorder="1" applyAlignment="1">
      <alignment horizontal="center" vertical="center"/>
    </xf>
    <xf numFmtId="0" fontId="32" fillId="10" borderId="7" xfId="0" applyFont="1" applyFill="1" applyBorder="1" applyAlignment="1">
      <alignment horizontal="center" vertical="center"/>
    </xf>
    <xf numFmtId="0" fontId="32" fillId="6" borderId="7" xfId="0" applyFont="1" applyFill="1" applyBorder="1" applyAlignment="1">
      <alignment horizontal="center" vertical="center"/>
    </xf>
    <xf numFmtId="0" fontId="33" fillId="0" borderId="14" xfId="0" applyFont="1" applyFill="1" applyBorder="1" applyAlignment="1">
      <alignment vertical="center"/>
    </xf>
    <xf numFmtId="0" fontId="19" fillId="11" borderId="7" xfId="0" applyNumberFormat="1" applyFont="1" applyFill="1" applyBorder="1" applyAlignment="1">
      <alignment horizontal="center" vertical="center" wrapText="1"/>
    </xf>
    <xf numFmtId="0" fontId="20" fillId="11" borderId="7" xfId="0" applyNumberFormat="1" applyFont="1" applyFill="1" applyBorder="1" applyAlignment="1">
      <alignment horizontal="center" vertical="center" wrapText="1"/>
    </xf>
    <xf numFmtId="184" fontId="44" fillId="0" borderId="7" xfId="0" applyNumberFormat="1" applyFont="1" applyFill="1" applyBorder="1" applyAlignment="1">
      <alignment horizontal="center" vertical="center"/>
    </xf>
    <xf numFmtId="184" fontId="44" fillId="10" borderId="7" xfId="0" applyNumberFormat="1" applyFont="1" applyFill="1" applyBorder="1" applyAlignment="1">
      <alignment horizontal="center" vertical="center"/>
    </xf>
    <xf numFmtId="0" fontId="37" fillId="10" borderId="7" xfId="0" applyNumberFormat="1" applyFont="1" applyFill="1" applyBorder="1" applyAlignment="1">
      <alignment horizontal="center" vertical="center"/>
    </xf>
    <xf numFmtId="178" fontId="44" fillId="0" borderId="7" xfId="0" applyNumberFormat="1" applyFont="1" applyFill="1" applyBorder="1" applyAlignment="1">
      <alignment horizontal="center" vertical="center"/>
    </xf>
    <xf numFmtId="184" fontId="44" fillId="6" borderId="7" xfId="0" applyNumberFormat="1" applyFont="1" applyFill="1" applyBorder="1" applyAlignment="1">
      <alignment horizontal="center" vertical="center"/>
    </xf>
    <xf numFmtId="0" fontId="37" fillId="6" borderId="7" xfId="0" applyNumberFormat="1" applyFont="1" applyFill="1" applyBorder="1" applyAlignment="1">
      <alignment horizontal="center" vertical="center"/>
    </xf>
    <xf numFmtId="49" fontId="40" fillId="0" borderId="14" xfId="0" applyNumberFormat="1" applyFont="1" applyFill="1" applyBorder="1" applyAlignment="1">
      <alignment horizontal="center" vertical="center"/>
    </xf>
    <xf numFmtId="184" fontId="45" fillId="0" borderId="14" xfId="0" applyNumberFormat="1" applyFont="1" applyFill="1" applyBorder="1" applyAlignment="1">
      <alignment horizontal="left" vertical="center"/>
    </xf>
    <xf numFmtId="0" fontId="40" fillId="0" borderId="14" xfId="0" applyNumberFormat="1" applyFont="1" applyFill="1" applyBorder="1" applyAlignment="1">
      <alignment horizontal="center"/>
    </xf>
    <xf numFmtId="0" fontId="19" fillId="11" borderId="21" xfId="0" applyNumberFormat="1" applyFont="1" applyFill="1" applyBorder="1" applyAlignment="1">
      <alignment horizontal="right" vertical="center"/>
    </xf>
    <xf numFmtId="0" fontId="6" fillId="0" borderId="0" xfId="0" applyNumberFormat="1" applyFont="1" applyFill="1" applyAlignment="1"/>
    <xf numFmtId="0" fontId="46" fillId="11" borderId="10" xfId="0" applyFont="1" applyFill="1" applyBorder="1" applyAlignment="1">
      <alignment horizontal="center" vertical="center" wrapText="1"/>
    </xf>
    <xf numFmtId="4" fontId="26" fillId="0" borderId="7" xfId="0" applyNumberFormat="1" applyFont="1" applyFill="1" applyBorder="1" applyAlignment="1">
      <alignment horizontal="center" vertical="center" wrapText="1"/>
    </xf>
    <xf numFmtId="0" fontId="26" fillId="0" borderId="7" xfId="0" applyNumberFormat="1" applyFont="1" applyFill="1" applyBorder="1" applyAlignment="1">
      <alignment horizontal="center" vertical="center" wrapText="1"/>
    </xf>
    <xf numFmtId="49" fontId="47" fillId="0" borderId="10" xfId="0" applyNumberFormat="1" applyFont="1" applyFill="1" applyBorder="1" applyAlignment="1">
      <alignment horizontal="center" vertical="center" wrapText="1"/>
    </xf>
    <xf numFmtId="0" fontId="47" fillId="0" borderId="10" xfId="0" applyNumberFormat="1" applyFont="1" applyFill="1" applyBorder="1" applyAlignment="1">
      <alignment horizontal="center" vertical="center"/>
    </xf>
    <xf numFmtId="4" fontId="26" fillId="10" borderId="7" xfId="0" applyNumberFormat="1" applyFont="1" applyFill="1" applyBorder="1" applyAlignment="1">
      <alignment horizontal="center" vertical="center" wrapText="1"/>
    </xf>
    <xf numFmtId="0" fontId="26" fillId="10" borderId="7" xfId="0" applyNumberFormat="1" applyFont="1" applyFill="1" applyBorder="1" applyAlignment="1">
      <alignment horizontal="center" vertical="center" wrapText="1"/>
    </xf>
    <xf numFmtId="0" fontId="47" fillId="10" borderId="10" xfId="0" applyNumberFormat="1" applyFont="1" applyFill="1" applyBorder="1" applyAlignment="1">
      <alignment horizontal="center" vertical="center"/>
    </xf>
    <xf numFmtId="0" fontId="47" fillId="0" borderId="10" xfId="0" applyNumberFormat="1" applyFont="1" applyFill="1" applyBorder="1" applyAlignment="1">
      <alignment horizontal="center" vertical="center" wrapText="1"/>
    </xf>
    <xf numFmtId="4" fontId="26" fillId="6" borderId="7" xfId="0" applyNumberFormat="1" applyFont="1" applyFill="1" applyBorder="1" applyAlignment="1">
      <alignment horizontal="center" vertical="center" wrapText="1"/>
    </xf>
    <xf numFmtId="0" fontId="26" fillId="6" borderId="7" xfId="0" applyNumberFormat="1" applyFont="1" applyFill="1" applyBorder="1" applyAlignment="1">
      <alignment horizontal="center" vertical="center" wrapText="1"/>
    </xf>
    <xf numFmtId="0" fontId="47" fillId="6" borderId="10" xfId="0" applyNumberFormat="1" applyFont="1" applyFill="1" applyBorder="1" applyAlignment="1">
      <alignment horizontal="center" vertical="center"/>
    </xf>
    <xf numFmtId="4" fontId="20" fillId="0" borderId="14" xfId="0" applyNumberFormat="1" applyFont="1" applyFill="1" applyBorder="1" applyAlignment="1">
      <alignment horizontal="center" vertical="center" wrapText="1"/>
    </xf>
    <xf numFmtId="4" fontId="20" fillId="0" borderId="13" xfId="0" applyNumberFormat="1" applyFont="1" applyFill="1" applyBorder="1" applyAlignment="1">
      <alignment horizontal="center" vertical="center" wrapText="1"/>
    </xf>
    <xf numFmtId="0" fontId="20" fillId="0" borderId="14" xfId="0" applyNumberFormat="1" applyFont="1" applyFill="1" applyBorder="1" applyAlignment="1">
      <alignment horizontal="center" vertical="center" wrapText="1"/>
    </xf>
    <xf numFmtId="4" fontId="20" fillId="0" borderId="7" xfId="0" applyNumberFormat="1" applyFont="1" applyFill="1" applyBorder="1" applyAlignment="1">
      <alignment horizontal="center" vertical="center" wrapText="1"/>
    </xf>
    <xf numFmtId="49" fontId="48" fillId="0" borderId="10" xfId="0" applyNumberFormat="1" applyFont="1" applyFill="1" applyBorder="1" applyAlignment="1">
      <alignment horizontal="center"/>
    </xf>
    <xf numFmtId="4" fontId="46" fillId="11" borderId="7" xfId="0" applyNumberFormat="1" applyFont="1" applyFill="1" applyBorder="1" applyAlignment="1">
      <alignment horizontal="right" vertical="center"/>
    </xf>
    <xf numFmtId="4" fontId="19" fillId="11" borderId="14" xfId="0" applyNumberFormat="1" applyFont="1" applyFill="1" applyBorder="1" applyAlignment="1">
      <alignment horizontal="center" vertical="center"/>
    </xf>
    <xf numFmtId="4" fontId="46" fillId="11" borderId="4" xfId="0" applyNumberFormat="1" applyFont="1" applyFill="1" applyBorder="1" applyAlignment="1">
      <alignment horizontal="right" vertical="center"/>
    </xf>
    <xf numFmtId="0" fontId="36" fillId="0" borderId="0" xfId="0" applyFont="1" applyFill="1" applyAlignment="1"/>
    <xf numFmtId="180" fontId="6" fillId="0" borderId="0" xfId="0" applyNumberFormat="1" applyFont="1" applyFill="1" applyAlignment="1">
      <alignment horizontal="center" vertical="center"/>
    </xf>
    <xf numFmtId="180" fontId="6" fillId="0" borderId="0" xfId="0" applyNumberFormat="1" applyFont="1" applyFill="1" applyAlignment="1">
      <alignment vertical="center"/>
    </xf>
    <xf numFmtId="0" fontId="37" fillId="0" borderId="22" xfId="0" applyFont="1" applyFill="1" applyBorder="1" applyAlignment="1">
      <alignment horizontal="center" vertical="center" wrapText="1"/>
    </xf>
    <xf numFmtId="0" fontId="37" fillId="0" borderId="23" xfId="0" applyFont="1" applyFill="1" applyBorder="1" applyAlignment="1">
      <alignment horizontal="center" vertical="center" wrapText="1"/>
    </xf>
    <xf numFmtId="0" fontId="37" fillId="0" borderId="23" xfId="0" applyFont="1" applyFill="1" applyBorder="1" applyAlignment="1">
      <alignment horizontal="center" vertical="center"/>
    </xf>
    <xf numFmtId="49" fontId="37" fillId="0" borderId="23" xfId="0" applyNumberFormat="1" applyFont="1" applyFill="1" applyBorder="1" applyAlignment="1">
      <alignment horizontal="center" vertical="center"/>
    </xf>
    <xf numFmtId="0" fontId="49" fillId="0" borderId="0" xfId="0" applyFont="1" applyFill="1" applyAlignment="1">
      <alignment horizontal="center" vertical="center"/>
    </xf>
    <xf numFmtId="0" fontId="49" fillId="10" borderId="0" xfId="0" applyFont="1" applyFill="1" applyAlignment="1">
      <alignment horizontal="center" vertical="center"/>
    </xf>
    <xf numFmtId="0" fontId="49" fillId="0" borderId="0" xfId="0" applyFont="1" applyFill="1" applyAlignment="1">
      <alignment horizontal="center" vertical="center" wrapText="1"/>
    </xf>
    <xf numFmtId="0" fontId="49" fillId="6" borderId="0" xfId="0" applyFont="1" applyFill="1" applyAlignment="1">
      <alignment horizontal="center" vertical="center"/>
    </xf>
    <xf numFmtId="0" fontId="6" fillId="12" borderId="0" xfId="0" applyFont="1" applyFill="1" applyAlignment="1">
      <alignment vertical="center"/>
    </xf>
    <xf numFmtId="0" fontId="50" fillId="12" borderId="0" xfId="472" applyFont="1" applyFill="1" applyBorder="1" applyAlignment="1">
      <alignment horizontal="center" vertical="center"/>
    </xf>
    <xf numFmtId="0" fontId="51" fillId="12" borderId="0" xfId="472" applyNumberFormat="1" applyFont="1" applyFill="1" applyBorder="1" applyAlignment="1" applyProtection="1">
      <alignment horizontal="center" vertical="center"/>
      <protection locked="0"/>
    </xf>
    <xf numFmtId="0" fontId="51" fillId="12" borderId="0" xfId="472" applyNumberFormat="1" applyFont="1" applyFill="1" applyBorder="1" applyAlignment="1" applyProtection="1">
      <alignment horizontal="left" vertical="center"/>
      <protection locked="0"/>
    </xf>
    <xf numFmtId="0" fontId="52" fillId="12" borderId="0" xfId="472" applyNumberFormat="1" applyFont="1" applyFill="1" applyBorder="1" applyAlignment="1" applyProtection="1">
      <alignment horizontal="center" vertical="center"/>
      <protection locked="0"/>
    </xf>
    <xf numFmtId="0" fontId="53" fillId="12" borderId="0" xfId="472" applyNumberFormat="1" applyFont="1" applyFill="1" applyBorder="1" applyAlignment="1" applyProtection="1">
      <alignment horizontal="left" vertical="center"/>
      <protection locked="0"/>
    </xf>
    <xf numFmtId="0" fontId="26" fillId="12" borderId="0" xfId="0" applyFont="1" applyFill="1" applyBorder="1" applyAlignment="1" applyProtection="1">
      <alignment horizontal="right" vertical="center"/>
      <protection locked="0"/>
    </xf>
    <xf numFmtId="49" fontId="54" fillId="12" borderId="0" xfId="474" applyNumberFormat="1" applyFont="1" applyFill="1" applyBorder="1" applyAlignment="1" applyProtection="1">
      <alignment horizontal="left" vertical="center"/>
      <protection locked="0"/>
    </xf>
    <xf numFmtId="0" fontId="49" fillId="12" borderId="0" xfId="0" applyFont="1" applyFill="1" applyBorder="1" applyAlignment="1" applyProtection="1">
      <alignment horizontal="left" vertical="center"/>
      <protection locked="0"/>
    </xf>
    <xf numFmtId="0" fontId="55" fillId="12" borderId="0" xfId="472" applyFont="1" applyFill="1" applyBorder="1" applyAlignment="1">
      <alignment horizontal="right" vertical="center"/>
    </xf>
    <xf numFmtId="14" fontId="56" fillId="12" borderId="0" xfId="0" applyNumberFormat="1" applyFont="1" applyFill="1" applyBorder="1" applyAlignment="1" applyProtection="1">
      <alignment horizontal="left" vertical="center"/>
      <protection locked="0"/>
    </xf>
    <xf numFmtId="0" fontId="56" fillId="12" borderId="0" xfId="0" applyFont="1" applyFill="1" applyBorder="1" applyAlignment="1" applyProtection="1">
      <alignment horizontal="right" vertical="center"/>
      <protection locked="0"/>
    </xf>
    <xf numFmtId="0" fontId="57" fillId="12" borderId="0" xfId="0" applyFont="1" applyFill="1" applyBorder="1" applyAlignment="1">
      <alignment horizontal="left" vertical="center"/>
    </xf>
    <xf numFmtId="0" fontId="57" fillId="12" borderId="0" xfId="0" applyFont="1" applyFill="1" applyAlignment="1">
      <alignment horizontal="left" vertical="center"/>
    </xf>
    <xf numFmtId="0" fontId="53" fillId="12" borderId="0" xfId="472" applyNumberFormat="1" applyFont="1" applyFill="1" applyBorder="1" applyAlignment="1" applyProtection="1">
      <alignment horizontal="center" vertical="center"/>
      <protection locked="0"/>
    </xf>
    <xf numFmtId="0" fontId="57" fillId="12" borderId="0" xfId="0" applyFont="1" applyFill="1" applyBorder="1" applyAlignment="1" applyProtection="1">
      <alignment horizontal="left" vertical="center"/>
      <protection locked="0"/>
    </xf>
    <xf numFmtId="0" fontId="58" fillId="12" borderId="0" xfId="472" applyNumberFormat="1" applyFont="1" applyFill="1" applyBorder="1" applyAlignment="1" applyProtection="1">
      <alignment horizontal="center" vertical="center"/>
      <protection locked="0"/>
    </xf>
    <xf numFmtId="183" fontId="56" fillId="12" borderId="0" xfId="474" applyNumberFormat="1" applyFont="1" applyFill="1" applyBorder="1" applyAlignment="1" applyProtection="1">
      <alignment horizontal="left" vertical="center"/>
      <protection locked="0"/>
    </xf>
    <xf numFmtId="0" fontId="59" fillId="12" borderId="24" xfId="0" applyFont="1" applyFill="1" applyBorder="1" applyAlignment="1" applyProtection="1">
      <alignment horizontal="center" vertical="center"/>
      <protection locked="0"/>
    </xf>
    <xf numFmtId="0" fontId="59" fillId="12" borderId="25" xfId="0" applyFont="1" applyFill="1" applyBorder="1" applyAlignment="1" applyProtection="1">
      <alignment horizontal="center" vertical="center"/>
      <protection locked="0"/>
    </xf>
    <xf numFmtId="0" fontId="13" fillId="12" borderId="26" xfId="473" applyNumberFormat="1" applyFont="1" applyFill="1" applyBorder="1" applyAlignment="1" applyProtection="1">
      <alignment horizontal="left" vertical="center"/>
      <protection locked="0"/>
    </xf>
    <xf numFmtId="0" fontId="13" fillId="12" borderId="6" xfId="473" applyNumberFormat="1" applyFont="1" applyFill="1" applyBorder="1" applyAlignment="1" applyProtection="1">
      <alignment horizontal="left" vertical="center"/>
      <protection locked="0"/>
    </xf>
    <xf numFmtId="43" fontId="60" fillId="12" borderId="8" xfId="0" applyNumberFormat="1" applyFont="1" applyFill="1" applyBorder="1" applyAlignment="1" applyProtection="1">
      <alignment horizontal="left" vertical="center" shrinkToFit="1"/>
    </xf>
    <xf numFmtId="43" fontId="60" fillId="12" borderId="9" xfId="0" applyNumberFormat="1" applyFont="1" applyFill="1" applyBorder="1" applyAlignment="1" applyProtection="1">
      <alignment horizontal="left" vertical="center" shrinkToFit="1"/>
    </xf>
    <xf numFmtId="43" fontId="60" fillId="12" borderId="27" xfId="0" applyNumberFormat="1" applyFont="1" applyFill="1" applyBorder="1" applyAlignment="1" applyProtection="1">
      <alignment horizontal="left" vertical="center" shrinkToFit="1"/>
    </xf>
    <xf numFmtId="0" fontId="13" fillId="12" borderId="28" xfId="473" applyNumberFormat="1" applyFont="1" applyFill="1" applyBorder="1" applyAlignment="1" applyProtection="1">
      <alignment horizontal="left" vertical="center"/>
      <protection locked="0"/>
    </xf>
    <xf numFmtId="0" fontId="13" fillId="12" borderId="29" xfId="473" applyNumberFormat="1" applyFont="1" applyFill="1" applyBorder="1" applyAlignment="1" applyProtection="1">
      <alignment horizontal="left" vertical="center"/>
      <protection locked="0"/>
    </xf>
    <xf numFmtId="176" fontId="60" fillId="12" borderId="30" xfId="0" applyNumberFormat="1" applyFont="1" applyFill="1" applyBorder="1" applyAlignment="1" applyProtection="1">
      <alignment horizontal="right" vertical="center" shrinkToFit="1"/>
    </xf>
    <xf numFmtId="176" fontId="60" fillId="12" borderId="31" xfId="0" applyNumberFormat="1" applyFont="1" applyFill="1" applyBorder="1" applyAlignment="1" applyProtection="1">
      <alignment horizontal="right" vertical="center" shrinkToFit="1"/>
    </xf>
    <xf numFmtId="176" fontId="60" fillId="12" borderId="32" xfId="0" applyNumberFormat="1" applyFont="1" applyFill="1" applyBorder="1" applyAlignment="1" applyProtection="1">
      <alignment horizontal="right" vertical="center" shrinkToFit="1"/>
    </xf>
    <xf numFmtId="0" fontId="25" fillId="12" borderId="26" xfId="474" applyNumberFormat="1" applyFont="1" applyFill="1" applyBorder="1" applyAlignment="1" applyProtection="1">
      <alignment horizontal="left" vertical="center"/>
      <protection locked="0"/>
    </xf>
    <xf numFmtId="0" fontId="25" fillId="12" borderId="6" xfId="474" applyNumberFormat="1" applyFont="1" applyFill="1" applyBorder="1" applyAlignment="1" applyProtection="1">
      <alignment horizontal="left" vertical="center"/>
      <protection locked="0"/>
    </xf>
    <xf numFmtId="43" fontId="61" fillId="12" borderId="6" xfId="0" applyNumberFormat="1" applyFont="1" applyFill="1" applyBorder="1" applyAlignment="1" applyProtection="1">
      <alignment horizontal="left" vertical="center" shrinkToFit="1"/>
    </xf>
    <xf numFmtId="0" fontId="25" fillId="12" borderId="33" xfId="474" applyNumberFormat="1" applyFont="1" applyFill="1" applyBorder="1" applyAlignment="1" applyProtection="1">
      <alignment horizontal="left" vertical="center"/>
      <protection locked="0"/>
    </xf>
    <xf numFmtId="0" fontId="25" fillId="12" borderId="34" xfId="474" applyNumberFormat="1" applyFont="1" applyFill="1" applyBorder="1" applyAlignment="1" applyProtection="1">
      <alignment horizontal="left" vertical="center"/>
      <protection locked="0"/>
    </xf>
    <xf numFmtId="0" fontId="25" fillId="12" borderId="35" xfId="474" applyNumberFormat="1" applyFont="1" applyFill="1" applyBorder="1" applyAlignment="1" applyProtection="1">
      <alignment horizontal="left" vertical="center"/>
      <protection locked="0"/>
    </xf>
    <xf numFmtId="43" fontId="61" fillId="12" borderId="36" xfId="0" applyNumberFormat="1" applyFont="1" applyFill="1" applyBorder="1" applyAlignment="1" applyProtection="1">
      <alignment horizontal="left" vertical="center" shrinkToFit="1"/>
      <protection locked="0"/>
    </xf>
    <xf numFmtId="0" fontId="14" fillId="12" borderId="37" xfId="163" applyFont="1" applyFill="1" applyBorder="1" applyAlignment="1">
      <alignment vertical="center"/>
    </xf>
    <xf numFmtId="0" fontId="14" fillId="12" borderId="7" xfId="163" applyFont="1" applyFill="1" applyBorder="1" applyAlignment="1">
      <alignment vertical="center"/>
    </xf>
    <xf numFmtId="43" fontId="61" fillId="12" borderId="7" xfId="0" applyNumberFormat="1" applyFont="1" applyFill="1" applyBorder="1" applyAlignment="1" applyProtection="1">
      <alignment horizontal="left" vertical="center" shrinkToFit="1"/>
      <protection locked="0"/>
    </xf>
    <xf numFmtId="0" fontId="14" fillId="12" borderId="8" xfId="163" applyFont="1" applyFill="1" applyBorder="1" applyAlignment="1">
      <alignment horizontal="left" vertical="center"/>
    </xf>
    <xf numFmtId="0" fontId="14" fillId="12" borderId="9" xfId="163" applyFont="1" applyFill="1" applyBorder="1" applyAlignment="1">
      <alignment horizontal="left" vertical="center"/>
    </xf>
    <xf numFmtId="0" fontId="14" fillId="12" borderId="10" xfId="163" applyFont="1" applyFill="1" applyBorder="1" applyAlignment="1">
      <alignment horizontal="left" vertical="center"/>
    </xf>
    <xf numFmtId="43" fontId="61" fillId="12" borderId="38" xfId="0" applyNumberFormat="1" applyFont="1" applyFill="1" applyBorder="1" applyAlignment="1" applyProtection="1">
      <alignment horizontal="left" vertical="center" shrinkToFit="1"/>
      <protection locked="0"/>
    </xf>
    <xf numFmtId="0" fontId="14" fillId="12" borderId="39" xfId="163" applyFont="1" applyFill="1" applyBorder="1" applyAlignment="1">
      <alignment vertical="center"/>
    </xf>
    <xf numFmtId="0" fontId="14" fillId="12" borderId="40" xfId="163" applyFont="1" applyFill="1" applyBorder="1" applyAlignment="1">
      <alignment vertical="center"/>
    </xf>
    <xf numFmtId="43" fontId="61" fillId="12" borderId="40" xfId="474" applyNumberFormat="1" applyFont="1" applyFill="1" applyBorder="1" applyAlignment="1" applyProtection="1">
      <alignment horizontal="left" vertical="center" shrinkToFit="1"/>
      <protection locked="0"/>
    </xf>
    <xf numFmtId="177" fontId="25" fillId="12" borderId="41" xfId="474" applyNumberFormat="1" applyFont="1" applyFill="1" applyBorder="1" applyAlignment="1" applyProtection="1">
      <alignment horizontal="left" vertical="center"/>
      <protection locked="0"/>
    </xf>
    <xf numFmtId="177" fontId="25" fillId="12" borderId="42" xfId="474" applyNumberFormat="1" applyFont="1" applyFill="1" applyBorder="1" applyAlignment="1" applyProtection="1">
      <alignment horizontal="left" vertical="center"/>
      <protection locked="0"/>
    </xf>
    <xf numFmtId="177" fontId="25" fillId="12" borderId="43" xfId="474" applyNumberFormat="1" applyFont="1" applyFill="1" applyBorder="1" applyAlignment="1" applyProtection="1">
      <alignment horizontal="left" vertical="center"/>
      <protection locked="0"/>
    </xf>
    <xf numFmtId="43" fontId="61" fillId="12" borderId="44" xfId="474" applyNumberFormat="1" applyFont="1" applyFill="1" applyBorder="1" applyAlignment="1" applyProtection="1">
      <alignment horizontal="left" vertical="center" shrinkToFit="1"/>
      <protection locked="0"/>
    </xf>
    <xf numFmtId="185" fontId="62" fillId="12" borderId="0" xfId="474" applyNumberFormat="1" applyFont="1" applyFill="1" applyBorder="1" applyAlignment="1" applyProtection="1">
      <alignment horizontal="left" vertical="center"/>
      <protection locked="0"/>
    </xf>
    <xf numFmtId="0" fontId="63" fillId="0" borderId="24" xfId="403" applyFont="1" applyFill="1" applyBorder="1" applyAlignment="1">
      <alignment horizontal="center" vertical="center" wrapText="1"/>
    </xf>
    <xf numFmtId="0" fontId="63" fillId="0" borderId="45" xfId="403" applyFont="1" applyFill="1" applyBorder="1" applyAlignment="1">
      <alignment horizontal="center" vertical="center" wrapText="1"/>
    </xf>
    <xf numFmtId="182" fontId="63" fillId="0" borderId="45" xfId="403" applyNumberFormat="1" applyFont="1" applyFill="1" applyBorder="1" applyAlignment="1">
      <alignment horizontal="center" vertical="center" wrapText="1"/>
    </xf>
    <xf numFmtId="186" fontId="63" fillId="0" borderId="45" xfId="403" applyNumberFormat="1" applyFont="1" applyFill="1" applyBorder="1" applyAlignment="1">
      <alignment horizontal="center" vertical="center" wrapText="1"/>
    </xf>
    <xf numFmtId="0" fontId="63" fillId="0" borderId="46" xfId="403" applyFont="1" applyFill="1" applyBorder="1" applyAlignment="1">
      <alignment horizontal="center" vertical="center" wrapText="1"/>
    </xf>
    <xf numFmtId="0" fontId="47" fillId="0" borderId="37" xfId="403" applyFont="1" applyFill="1" applyBorder="1" applyAlignment="1">
      <alignment horizontal="center" vertical="center"/>
    </xf>
    <xf numFmtId="0" fontId="47" fillId="0" borderId="7" xfId="403" applyFont="1" applyFill="1" applyBorder="1" applyAlignment="1">
      <alignment horizontal="center" vertical="center"/>
    </xf>
    <xf numFmtId="43" fontId="47" fillId="0" borderId="7" xfId="403" applyNumberFormat="1" applyFont="1" applyFill="1" applyBorder="1" applyAlignment="1">
      <alignment horizontal="left" vertical="center"/>
    </xf>
    <xf numFmtId="182" fontId="47" fillId="0" borderId="7" xfId="403" applyNumberFormat="1" applyFont="1" applyFill="1" applyBorder="1" applyAlignment="1">
      <alignment horizontal="center" vertical="center"/>
    </xf>
    <xf numFmtId="186" fontId="47" fillId="0" borderId="7" xfId="403" applyNumberFormat="1" applyFont="1" applyFill="1" applyBorder="1" applyAlignment="1">
      <alignment horizontal="right" vertical="center"/>
    </xf>
    <xf numFmtId="0" fontId="47" fillId="0" borderId="38" xfId="403" applyFont="1" applyFill="1" applyBorder="1" applyAlignment="1">
      <alignment horizontal="left" vertical="center"/>
    </xf>
    <xf numFmtId="43" fontId="47" fillId="0" borderId="7" xfId="403" applyNumberFormat="1" applyFont="1" applyFill="1" applyBorder="1" applyAlignment="1">
      <alignment vertical="center"/>
    </xf>
    <xf numFmtId="43" fontId="47" fillId="0" borderId="7" xfId="403" applyNumberFormat="1" applyFont="1" applyFill="1" applyBorder="1" applyAlignment="1">
      <alignment horizontal="center" vertical="center"/>
    </xf>
    <xf numFmtId="0" fontId="47" fillId="0" borderId="38" xfId="403" applyFont="1" applyFill="1" applyBorder="1" applyAlignment="1">
      <alignment vertical="center" wrapText="1"/>
    </xf>
    <xf numFmtId="43" fontId="30" fillId="0" borderId="7" xfId="403" applyNumberFormat="1" applyFont="1" applyFill="1" applyBorder="1" applyAlignment="1">
      <alignment horizontal="center" vertical="center"/>
    </xf>
    <xf numFmtId="186" fontId="30" fillId="0" borderId="7" xfId="403" applyNumberFormat="1" applyFont="1" applyFill="1" applyBorder="1" applyAlignment="1">
      <alignment horizontal="right" vertical="center"/>
    </xf>
    <xf numFmtId="0" fontId="47" fillId="0" borderId="38" xfId="403" applyFont="1" applyFill="1" applyBorder="1" applyAlignment="1">
      <alignment vertical="center"/>
    </xf>
    <xf numFmtId="0" fontId="47" fillId="0" borderId="7" xfId="403" applyFont="1" applyFill="1" applyBorder="1" applyAlignment="1">
      <alignment horizontal="center" vertical="center" wrapText="1"/>
    </xf>
    <xf numFmtId="10" fontId="30" fillId="0" borderId="7" xfId="403" applyNumberFormat="1" applyFont="1" applyFill="1" applyBorder="1" applyAlignment="1">
      <alignment horizontal="center" vertical="center"/>
    </xf>
    <xf numFmtId="0" fontId="28" fillId="13" borderId="37" xfId="403" applyFont="1" applyFill="1" applyBorder="1" applyAlignment="1">
      <alignment horizontal="center" vertical="center"/>
    </xf>
    <xf numFmtId="0" fontId="28" fillId="13" borderId="7" xfId="403" applyFont="1" applyFill="1" applyBorder="1" applyAlignment="1">
      <alignment horizontal="center" vertical="center"/>
    </xf>
    <xf numFmtId="186" fontId="28" fillId="13" borderId="7" xfId="403" applyNumberFormat="1" applyFont="1" applyFill="1" applyBorder="1" applyAlignment="1">
      <alignment vertical="center"/>
    </xf>
    <xf numFmtId="0" fontId="47" fillId="13" borderId="38" xfId="403" applyFont="1" applyFill="1" applyBorder="1" applyAlignment="1">
      <alignment horizontal="left" vertical="center"/>
    </xf>
    <xf numFmtId="0" fontId="28" fillId="13" borderId="39" xfId="403" applyFont="1" applyFill="1" applyBorder="1" applyAlignment="1">
      <alignment horizontal="center" vertical="center"/>
    </xf>
    <xf numFmtId="0" fontId="28" fillId="13" borderId="40" xfId="403" applyFont="1" applyFill="1" applyBorder="1" applyAlignment="1">
      <alignment horizontal="center" vertical="center"/>
    </xf>
    <xf numFmtId="186" fontId="28" fillId="13" borderId="40" xfId="403" applyNumberFormat="1" applyFont="1" applyFill="1" applyBorder="1" applyAlignment="1">
      <alignment vertical="center"/>
    </xf>
    <xf numFmtId="0" fontId="47" fillId="13" borderId="44" xfId="403" applyFont="1" applyFill="1" applyBorder="1" applyAlignment="1">
      <alignment horizontal="left" vertical="center"/>
    </xf>
    <xf numFmtId="183" fontId="56" fillId="12" borderId="0" xfId="474" applyNumberFormat="1" applyFont="1" applyFill="1" applyBorder="1" applyAlignment="1" applyProtection="1">
      <alignment horizontal="right" vertical="center"/>
      <protection locked="0"/>
    </xf>
    <xf numFmtId="0" fontId="20" fillId="12" borderId="0" xfId="472" applyFont="1" applyFill="1" applyBorder="1" applyAlignment="1">
      <alignment horizontal="right" vertical="center"/>
    </xf>
    <xf numFmtId="14" fontId="54" fillId="12" borderId="0" xfId="0" applyNumberFormat="1" applyFont="1" applyFill="1" applyBorder="1" applyAlignment="1" applyProtection="1">
      <alignment horizontal="left" vertical="center"/>
      <protection locked="0"/>
    </xf>
    <xf numFmtId="0" fontId="64" fillId="12" borderId="0" xfId="472" applyNumberFormat="1" applyFont="1" applyFill="1" applyBorder="1" applyAlignment="1" applyProtection="1">
      <alignment horizontal="right" vertical="center"/>
      <protection locked="0"/>
    </xf>
    <xf numFmtId="0" fontId="65" fillId="12" borderId="0" xfId="472" applyNumberFormat="1" applyFont="1" applyFill="1" applyBorder="1" applyAlignment="1" applyProtection="1">
      <alignment horizontal="left" vertical="center"/>
      <protection locked="0"/>
    </xf>
    <xf numFmtId="0" fontId="66" fillId="12" borderId="0" xfId="472" applyNumberFormat="1" applyFont="1" applyFill="1" applyBorder="1" applyAlignment="1" applyProtection="1">
      <alignment horizontal="right" vertical="center"/>
      <protection locked="0"/>
    </xf>
    <xf numFmtId="0" fontId="67" fillId="12" borderId="0" xfId="472" applyNumberFormat="1" applyFont="1" applyFill="1" applyBorder="1" applyAlignment="1" applyProtection="1">
      <alignment horizontal="left" vertical="center"/>
      <protection locked="0"/>
    </xf>
    <xf numFmtId="0" fontId="68" fillId="12" borderId="0" xfId="472" applyNumberFormat="1" applyFont="1" applyFill="1" applyBorder="1" applyAlignment="1" applyProtection="1">
      <alignment horizontal="left" vertical="center"/>
      <protection locked="0"/>
    </xf>
    <xf numFmtId="0" fontId="69" fillId="12" borderId="0" xfId="472" applyNumberFormat="1" applyFont="1" applyFill="1" applyBorder="1" applyAlignment="1" applyProtection="1">
      <alignment horizontal="left" vertical="center"/>
      <protection locked="0"/>
    </xf>
    <xf numFmtId="0" fontId="70" fillId="12" borderId="0" xfId="472" applyNumberFormat="1" applyFont="1" applyFill="1" applyBorder="1" applyAlignment="1" applyProtection="1">
      <alignment horizontal="left" vertical="center"/>
      <protection locked="0"/>
    </xf>
    <xf numFmtId="0" fontId="57" fillId="12" borderId="0" xfId="144" applyFont="1" applyFill="1" applyBorder="1" applyAlignment="1">
      <alignment horizontal="left" vertical="center"/>
    </xf>
    <xf numFmtId="0" fontId="57" fillId="12" borderId="0" xfId="144" applyFont="1" applyFill="1" applyAlignment="1">
      <alignment horizontal="left" vertical="center"/>
    </xf>
    <xf numFmtId="0" fontId="69" fillId="12" borderId="0" xfId="472" applyNumberFormat="1" applyFont="1" applyFill="1" applyBorder="1" applyAlignment="1" applyProtection="1">
      <alignment horizontal="right" vertical="center"/>
      <protection locked="0"/>
    </xf>
    <xf numFmtId="0" fontId="57" fillId="12" borderId="0" xfId="144" applyFont="1" applyFill="1" applyBorder="1" applyAlignment="1">
      <alignment horizontal="left" vertical="center" wrapText="1"/>
    </xf>
    <xf numFmtId="0" fontId="57" fillId="12" borderId="0" xfId="144" applyFont="1" applyFill="1" applyAlignment="1">
      <alignment horizontal="left" vertical="center" wrapText="1"/>
    </xf>
    <xf numFmtId="49" fontId="71" fillId="12" borderId="0" xfId="472" applyNumberFormat="1" applyFont="1" applyFill="1" applyBorder="1" applyAlignment="1" applyProtection="1">
      <alignment horizontal="left" vertical="center"/>
      <protection locked="0"/>
    </xf>
    <xf numFmtId="0" fontId="72" fillId="12" borderId="0" xfId="0" applyFont="1" applyFill="1" applyBorder="1" applyAlignment="1">
      <alignment horizontal="left" vertical="center"/>
    </xf>
    <xf numFmtId="0" fontId="73" fillId="12" borderId="0" xfId="0" applyFont="1" applyFill="1" applyAlignment="1">
      <alignment vertical="center"/>
    </xf>
    <xf numFmtId="49" fontId="62" fillId="12" borderId="0" xfId="474" applyNumberFormat="1" applyFont="1" applyFill="1" applyBorder="1" applyAlignment="1" applyProtection="1">
      <alignment horizontal="left" vertical="center"/>
      <protection locked="0"/>
    </xf>
    <xf numFmtId="49" fontId="55" fillId="12" borderId="0" xfId="472" applyNumberFormat="1" applyFont="1" applyFill="1" applyBorder="1" applyAlignment="1" applyProtection="1">
      <alignment horizontal="left" vertical="center"/>
      <protection locked="0"/>
    </xf>
    <xf numFmtId="49" fontId="20" fillId="12" borderId="0" xfId="472" applyNumberFormat="1" applyFont="1" applyFill="1" applyBorder="1" applyAlignment="1" applyProtection="1">
      <alignment horizontal="left" vertical="center"/>
      <protection locked="0"/>
    </xf>
    <xf numFmtId="49" fontId="56" fillId="12" borderId="0" xfId="474" applyNumberFormat="1" applyFont="1" applyFill="1" applyBorder="1" applyAlignment="1" applyProtection="1">
      <alignment horizontal="left" vertical="center"/>
      <protection locked="0"/>
    </xf>
    <xf numFmtId="49" fontId="26" fillId="12" borderId="0" xfId="474" applyNumberFormat="1" applyFont="1" applyFill="1" applyBorder="1" applyAlignment="1" applyProtection="1">
      <alignment horizontal="left" vertical="center"/>
      <protection locked="0"/>
    </xf>
    <xf numFmtId="0" fontId="14" fillId="12" borderId="0" xfId="0" applyFont="1" applyFill="1" applyAlignment="1">
      <alignment horizontal="left" vertical="center" wrapText="1"/>
    </xf>
    <xf numFmtId="0" fontId="32" fillId="0" borderId="0" xfId="0" applyFont="1" applyFill="1" applyAlignment="1">
      <alignment vertical="center"/>
    </xf>
    <xf numFmtId="0" fontId="74" fillId="0" borderId="0" xfId="0" applyFont="1" applyFill="1" applyAlignment="1">
      <alignment vertical="center"/>
    </xf>
    <xf numFmtId="0" fontId="37" fillId="0" borderId="7" xfId="0" applyFont="1" applyFill="1" applyBorder="1" applyAlignment="1">
      <alignment horizontal="center"/>
    </xf>
    <xf numFmtId="49" fontId="37" fillId="0" borderId="7" xfId="0" applyNumberFormat="1" applyFont="1" applyFill="1" applyBorder="1" applyAlignment="1">
      <alignment horizontal="center"/>
    </xf>
    <xf numFmtId="0" fontId="75" fillId="0" borderId="7" xfId="0" applyFont="1" applyFill="1" applyBorder="1" applyAlignment="1">
      <alignment horizontal="center"/>
    </xf>
    <xf numFmtId="49" fontId="75" fillId="0" borderId="7" xfId="0" applyNumberFormat="1" applyFont="1" applyFill="1" applyBorder="1" applyAlignment="1">
      <alignment horizontal="center" vertical="center"/>
    </xf>
    <xf numFmtId="0" fontId="76" fillId="0" borderId="7" xfId="0" applyFont="1" applyFill="1" applyBorder="1" applyAlignment="1" applyProtection="1">
      <alignment horizontal="center" vertical="center"/>
      <protection locked="0"/>
    </xf>
    <xf numFmtId="49" fontId="75" fillId="0" borderId="7" xfId="0" applyNumberFormat="1" applyFont="1" applyFill="1" applyBorder="1" applyAlignment="1">
      <alignment horizontal="center"/>
    </xf>
    <xf numFmtId="0" fontId="77" fillId="0" borderId="7" xfId="0" applyFont="1" applyFill="1" applyBorder="1" applyAlignment="1">
      <alignment horizontal="center" vertical="center"/>
    </xf>
    <xf numFmtId="49" fontId="78" fillId="0" borderId="7" xfId="0" applyNumberFormat="1" applyFont="1" applyFill="1" applyBorder="1" applyAlignment="1">
      <alignment horizontal="center" vertical="center"/>
    </xf>
    <xf numFmtId="0" fontId="75" fillId="3" borderId="7" xfId="0" applyFont="1" applyFill="1" applyBorder="1" applyAlignment="1">
      <alignment horizontal="center"/>
    </xf>
    <xf numFmtId="0" fontId="32" fillId="0" borderId="7" xfId="0" applyFont="1" applyFill="1" applyBorder="1" applyAlignment="1">
      <alignment vertical="center"/>
    </xf>
    <xf numFmtId="0" fontId="74" fillId="0" borderId="7" xfId="0" applyFont="1" applyFill="1" applyBorder="1" applyAlignment="1">
      <alignment vertical="center"/>
    </xf>
    <xf numFmtId="184" fontId="44" fillId="0" borderId="7" xfId="0" applyNumberFormat="1" applyFont="1" applyFill="1" applyBorder="1" applyAlignment="1">
      <alignment horizontal="left" vertical="center"/>
    </xf>
    <xf numFmtId="0" fontId="37" fillId="0" borderId="7" xfId="0" applyNumberFormat="1" applyFont="1" applyFill="1" applyBorder="1" applyAlignment="1">
      <alignment horizontal="center"/>
    </xf>
    <xf numFmtId="184" fontId="79" fillId="0" borderId="7" xfId="0" applyNumberFormat="1" applyFont="1" applyFill="1" applyBorder="1" applyAlignment="1">
      <alignment horizontal="left" vertical="center"/>
    </xf>
    <xf numFmtId="0" fontId="75" fillId="0" borderId="7" xfId="0" applyNumberFormat="1" applyFont="1" applyFill="1" applyBorder="1" applyAlignment="1">
      <alignment horizontal="center"/>
    </xf>
    <xf numFmtId="49" fontId="47" fillId="0" borderId="10" xfId="0" applyNumberFormat="1" applyFont="1" applyFill="1" applyBorder="1" applyAlignment="1">
      <alignment horizontal="center"/>
    </xf>
    <xf numFmtId="4" fontId="80" fillId="0" borderId="7" xfId="0" applyNumberFormat="1" applyFont="1" applyFill="1" applyBorder="1" applyAlignment="1">
      <alignment horizontal="center" vertical="center" wrapText="1"/>
    </xf>
    <xf numFmtId="0" fontId="80" fillId="0" borderId="7" xfId="0" applyNumberFormat="1" applyFont="1" applyFill="1" applyBorder="1" applyAlignment="1">
      <alignment horizontal="center" vertical="center" wrapText="1"/>
    </xf>
    <xf numFmtId="49" fontId="81" fillId="0" borderId="10" xfId="0" applyNumberFormat="1" applyFont="1" applyFill="1" applyBorder="1" applyAlignment="1">
      <alignment horizontal="center"/>
    </xf>
    <xf numFmtId="0" fontId="37" fillId="0" borderId="22" xfId="0" applyFont="1" applyFill="1" applyBorder="1" applyAlignment="1">
      <alignment horizontal="center"/>
    </xf>
    <xf numFmtId="0" fontId="37" fillId="0" borderId="23" xfId="0" applyFont="1" applyFill="1" applyBorder="1" applyAlignment="1">
      <alignment horizontal="center"/>
    </xf>
    <xf numFmtId="0" fontId="49" fillId="0" borderId="0" xfId="0" applyFont="1" applyFill="1" applyAlignment="1">
      <alignment vertical="center"/>
    </xf>
    <xf numFmtId="0" fontId="82" fillId="0" borderId="0" xfId="0" applyFont="1" applyFill="1" applyAlignment="1">
      <alignment vertical="center"/>
    </xf>
    <xf numFmtId="49" fontId="39" fillId="0" borderId="7" xfId="0" applyNumberFormat="1" applyFont="1" applyFill="1" applyBorder="1" applyAlignment="1" quotePrefix="1">
      <alignment horizontal="center" vertical="center"/>
    </xf>
    <xf numFmtId="49" fontId="78" fillId="0" borderId="7" xfId="0" applyNumberFormat="1" applyFont="1" applyFill="1" applyBorder="1" applyAlignment="1" quotePrefix="1">
      <alignment horizontal="center" vertical="center"/>
    </xf>
    <xf numFmtId="49" fontId="39" fillId="10" borderId="7" xfId="0" applyNumberFormat="1" applyFont="1" applyFill="1" applyBorder="1" applyAlignment="1" quotePrefix="1">
      <alignment horizontal="center" vertical="center"/>
    </xf>
    <xf numFmtId="0" fontId="15" fillId="0" borderId="7" xfId="312" applyFont="1" applyFill="1" applyBorder="1" applyAlignment="1" quotePrefix="1">
      <alignment horizontal="center" vertical="center" wrapText="1"/>
    </xf>
    <xf numFmtId="0" fontId="14" fillId="0" borderId="0" xfId="0" applyFont="1" applyAlignment="1" applyProtection="1" quotePrefix="1">
      <alignment horizontal="left" vertical="center"/>
      <protection locked="0"/>
    </xf>
  </cellXfs>
  <cellStyles count="494">
    <cellStyle name="常规" xfId="0" builtinId="0"/>
    <cellStyle name="货币[0]" xfId="1" builtinId="7"/>
    <cellStyle name="输入" xfId="2" builtinId="20"/>
    <cellStyle name="强调文字颜色 2 3 2" xfId="3"/>
    <cellStyle name="20% - 强调文字颜色 3" xfId="4" builtinId="38"/>
    <cellStyle name="输出 3" xfId="5"/>
    <cellStyle name="链接单元格 5" xfId="6"/>
    <cellStyle name="强调文字颜色 2 5" xfId="7"/>
    <cellStyle name="汇总 4 2" xfId="8"/>
    <cellStyle name="_ET_STYLE_NoName_-01_ 3 3 3 2" xfId="9"/>
    <cellStyle name="链接单元格 3 2" xfId="10"/>
    <cellStyle name="20% - 强调文字颜色 1 2" xfId="11"/>
    <cellStyle name="货币" xfId="12" builtinId="4"/>
    <cellStyle name="千位分隔[0]" xfId="13" builtinId="6"/>
    <cellStyle name="常规 3 4 3" xfId="14"/>
    <cellStyle name="千位分隔" xfId="15" builtinId="3"/>
    <cellStyle name="常规 7 3" xfId="16"/>
    <cellStyle name="40% - 强调文字颜色 3" xfId="17" builtinId="39"/>
    <cellStyle name="计算 2" xfId="18"/>
    <cellStyle name="差" xfId="19" builtinId="27"/>
    <cellStyle name="超链接" xfId="20" builtinId="8"/>
    <cellStyle name="60% - 强调文字颜色 6 3 2" xfId="21"/>
    <cellStyle name="60% - 强调文字颜色 3" xfId="22" builtinId="40"/>
    <cellStyle name="百分比" xfId="23" builtinId="5"/>
    <cellStyle name="已访问的超链接" xfId="24" builtinId="9"/>
    <cellStyle name="注释" xfId="25" builtinId="10"/>
    <cellStyle name="常规 6" xfId="26"/>
    <cellStyle name="60% - 强调文字颜色 2 3" xfId="27"/>
    <cellStyle name="20% - 强调文字颜色 4 5" xfId="28"/>
    <cellStyle name="60% - 强调文字颜色 2" xfId="29" builtinId="36"/>
    <cellStyle name="解释性文本 2 2" xfId="30"/>
    <cellStyle name="标题 4" xfId="31" builtinId="19"/>
    <cellStyle name="注释 5" xfId="32"/>
    <cellStyle name="警告文本" xfId="33" builtinId="11"/>
    <cellStyle name="60% - 强调文字颜色 2 2 2" xfId="34"/>
    <cellStyle name="常规 5 2" xfId="35"/>
    <cellStyle name="强调文字颜色 1 2 3" xfId="36"/>
    <cellStyle name="标题" xfId="37" builtinId="15"/>
    <cellStyle name="解释性文本" xfId="38" builtinId="53"/>
    <cellStyle name="百分比 4" xfId="39"/>
    <cellStyle name="标题 1" xfId="40" builtinId="16"/>
    <cellStyle name="0,0_x000d__x000a_NA_x000d__x000a_" xfId="41"/>
    <cellStyle name="标题 2" xfId="42" builtinId="17"/>
    <cellStyle name="60% - 强调文字颜色 1" xfId="43" builtinId="32"/>
    <cellStyle name="标题 3" xfId="44" builtinId="18"/>
    <cellStyle name="注释 3 2 2" xfId="45"/>
    <cellStyle name="60% - 强调文字颜色 4" xfId="46" builtinId="44"/>
    <cellStyle name="输出 2 4 2" xfId="47"/>
    <cellStyle name="输出" xfId="48" builtinId="21"/>
    <cellStyle name="计算" xfId="49" builtinId="22"/>
    <cellStyle name="40% - 强调文字颜色 4 2" xfId="50"/>
    <cellStyle name="计算 3 2" xfId="51"/>
    <cellStyle name="检查单元格" xfId="52" builtinId="23"/>
    <cellStyle name="常规 8 3" xfId="53"/>
    <cellStyle name="20% - 强调文字颜色 6" xfId="54" builtinId="50"/>
    <cellStyle name="强调文字颜色 2" xfId="55" builtinId="33"/>
    <cellStyle name="注释 2 3" xfId="56"/>
    <cellStyle name="链接单元格" xfId="57" builtinId="24"/>
    <cellStyle name="40% - 强调文字颜色 6 5" xfId="58"/>
    <cellStyle name="60% - 强调文字颜色 4 2 3" xfId="59"/>
    <cellStyle name="汇总" xfId="60" builtinId="25"/>
    <cellStyle name="好" xfId="61" builtinId="26"/>
    <cellStyle name="20% - 强调文字颜色 3 3" xfId="62"/>
    <cellStyle name="输出 3 3" xfId="63"/>
    <cellStyle name="适中" xfId="64" builtinId="28"/>
    <cellStyle name="常规 8 2" xfId="65"/>
    <cellStyle name="输出 5" xfId="66"/>
    <cellStyle name="20% - 强调文字颜色 5" xfId="67" builtinId="46"/>
    <cellStyle name=" 3]_x000d__x000a_Zoomed=1_x000d__x000a_Row=128_x000d__x000a_Column=101_x000d__x000a_Height=300_x000d__x000a_Width=301_x000d__x000a_FontName=System_x000d__x000a_FontStyle=1_x000d__x000a_FontSize=12_x000d__x000a_PrtFontNa" xfId="68"/>
    <cellStyle name="检查单元格 3 2" xfId="69"/>
    <cellStyle name="强调文字颜色 1" xfId="70" builtinId="29"/>
    <cellStyle name="链接单元格 3" xfId="71"/>
    <cellStyle name="注释 2 3 3" xfId="72"/>
    <cellStyle name="20% - 强调文字颜色 1" xfId="73" builtinId="30"/>
    <cellStyle name="??&amp;O龡&amp;H?_x0008_??_x0007__x0001__x0001_" xfId="74"/>
    <cellStyle name="40% - 强调文字颜色 4 3 2" xfId="75"/>
    <cellStyle name="汇总 3 3" xfId="76"/>
    <cellStyle name="40% - 强调文字颜色 1" xfId="77" builtinId="31"/>
    <cellStyle name="链接单元格 4" xfId="78"/>
    <cellStyle name="输出 2" xfId="79"/>
    <cellStyle name="20% - 强调文字颜色 2" xfId="80" builtinId="34"/>
    <cellStyle name="40% - 强调文字颜色 2" xfId="81" builtinId="35"/>
    <cellStyle name="强调文字颜色 3" xfId="82" builtinId="37"/>
    <cellStyle name="强调文字颜色 4" xfId="83" builtinId="41"/>
    <cellStyle name="汇总 3 2 2" xfId="84"/>
    <cellStyle name="输出 4" xfId="85"/>
    <cellStyle name="20% - 强调文字颜色 4" xfId="86" builtinId="42"/>
    <cellStyle name="计算 3" xfId="87"/>
    <cellStyle name="40% - 强调文字颜色 4" xfId="88" builtinId="43"/>
    <cellStyle name="强调文字颜色 5" xfId="89" builtinId="45"/>
    <cellStyle name="计算 4" xfId="90"/>
    <cellStyle name="40% - 强调文字颜色 5" xfId="91" builtinId="47"/>
    <cellStyle name="注释 3 2 3" xfId="92"/>
    <cellStyle name="60% - 强调文字颜色 5" xfId="93" builtinId="48"/>
    <cellStyle name="强调文字颜色 6" xfId="94" builtinId="49"/>
    <cellStyle name="20% - 强调文字颜色 3 3 2" xfId="95"/>
    <cellStyle name="计算 5" xfId="96"/>
    <cellStyle name="适中 2" xfId="97"/>
    <cellStyle name="输出 3 3 2" xfId="98"/>
    <cellStyle name="40% - 强调文字颜色 6" xfId="99" builtinId="51"/>
    <cellStyle name="60% - 强调文字颜色 6" xfId="100" builtinId="52"/>
    <cellStyle name="_ET_STYLE_NoName_00_" xfId="101"/>
    <cellStyle name="标题 4 2 2" xfId="102"/>
    <cellStyle name="20% - 强调文字颜色 1 2 3" xfId="103"/>
    <cellStyle name="_ET_STYLE_NoName_00__南区长促工资1004_5" xfId="104"/>
    <cellStyle name="40% - 强调文字颜色 2 2" xfId="105"/>
    <cellStyle name="20% - 强调文字颜色 1 4" xfId="106"/>
    <cellStyle name="20% - 强调文字颜色 1 3" xfId="107"/>
    <cellStyle name="??_x005f_x0011_?_x005f_x0010_?" xfId="108"/>
    <cellStyle name="差 2 3" xfId="109"/>
    <cellStyle name="_ET_STYLE_NoName_00__北区长促工资1004_3" xfId="110"/>
    <cellStyle name="20% - 强调文字颜色 1 3 2" xfId="111"/>
    <cellStyle name="0,0_x000a__x000a_NA_x000a__x000a_" xfId="112"/>
    <cellStyle name="强调文字颜色 5 5" xfId="113"/>
    <cellStyle name="20% - 强调文字颜色 1 2 2" xfId="114"/>
    <cellStyle name="常规 2 3 2 3" xfId="115"/>
    <cellStyle name="20% - 强调文字颜色 1 5" xfId="116"/>
    <cellStyle name="好 2" xfId="117"/>
    <cellStyle name="20% - 强调文字颜色 2 2" xfId="118"/>
    <cellStyle name="输出 2 2" xfId="119"/>
    <cellStyle name="20% - 强调文字颜色 2 2 2" xfId="120"/>
    <cellStyle name="输出 2 2 2" xfId="121"/>
    <cellStyle name="20% - 强调文字颜色 2 2 3" xfId="122"/>
    <cellStyle name="输出 2 2 3" xfId="123"/>
    <cellStyle name="20% - 强调文字颜色 2 3" xfId="124"/>
    <cellStyle name="输出 2 3" xfId="125"/>
    <cellStyle name="20% - 强调文字颜色 2 3 2" xfId="126"/>
    <cellStyle name="输出 2 3 2" xfId="127"/>
    <cellStyle name="20% - 强调文字颜色 2 4" xfId="128"/>
    <cellStyle name="输出 2 4" xfId="129"/>
    <cellStyle name="20% - 强调文字颜色 2 5" xfId="130"/>
    <cellStyle name="输出 2 5" xfId="131"/>
    <cellStyle name="20% - 强调文字颜色 3 2" xfId="132"/>
    <cellStyle name="输出 3 2" xfId="133"/>
    <cellStyle name="20% - 强调文字颜色 3 2 2" xfId="134"/>
    <cellStyle name="输出 3 2 2" xfId="135"/>
    <cellStyle name="20% - 强调文字颜色 3 2 3" xfId="136"/>
    <cellStyle name="输出 3 2 3" xfId="137"/>
    <cellStyle name="20% - 强调文字颜色 3 4" xfId="138"/>
    <cellStyle name="60% - 强调文字颜色 1 2" xfId="139"/>
    <cellStyle name="输出 3 4" xfId="140"/>
    <cellStyle name="20% - 强调文字颜色 3 5" xfId="141"/>
    <cellStyle name="60% - 强调文字颜色 1 3" xfId="142"/>
    <cellStyle name="20% - 强调文字颜色 4 2" xfId="143"/>
    <cellStyle name="常规 3" xfId="144"/>
    <cellStyle name="输出 4 2" xfId="145"/>
    <cellStyle name="20% - 强调文字颜色 4 2 2" xfId="146"/>
    <cellStyle name="常规 3 2" xfId="147"/>
    <cellStyle name="输出 4 2 2" xfId="148"/>
    <cellStyle name="20% - 强调文字颜色 4 2 3" xfId="149"/>
    <cellStyle name="常规 3 3" xfId="150"/>
    <cellStyle name="输入 4 2" xfId="151"/>
    <cellStyle name="20% - 强调文字颜色 4 3" xfId="152"/>
    <cellStyle name="常规 4" xfId="153"/>
    <cellStyle name="输出 4 3" xfId="154"/>
    <cellStyle name="20% - 强调文字颜色 4 3 2" xfId="155"/>
    <cellStyle name="常规 4 2" xfId="156"/>
    <cellStyle name="20% - 强调文字颜色 4 4" xfId="157"/>
    <cellStyle name="60% - 强调文字颜色 2 2" xfId="158"/>
    <cellStyle name="常规 5" xfId="159"/>
    <cellStyle name="20% - 强调文字颜色 5 2" xfId="160"/>
    <cellStyle name="输出 5 2" xfId="161"/>
    <cellStyle name="20% - 强调文字颜色 5 2 2" xfId="162"/>
    <cellStyle name="3232" xfId="163"/>
    <cellStyle name="输出 5 2 2" xfId="164"/>
    <cellStyle name="20% - 强调文字颜色 5 2 3" xfId="165"/>
    <cellStyle name="20% - 强调文字颜色 5 3" xfId="166"/>
    <cellStyle name="输出 5 3" xfId="167"/>
    <cellStyle name="20% - 强调文字颜色 5 3 2" xfId="168"/>
    <cellStyle name="百分比 3" xfId="169"/>
    <cellStyle name="差 5" xfId="170"/>
    <cellStyle name="20% - 强调文字颜色 5 4" xfId="171"/>
    <cellStyle name="60% - 强调文字颜色 3 2" xfId="172"/>
    <cellStyle name="20% - 强调文字颜色 5 5" xfId="173"/>
    <cellStyle name="60% - 强调文字颜色 3 3" xfId="174"/>
    <cellStyle name="20% - 强调文字颜色 6 2" xfId="175"/>
    <cellStyle name="20% - 强调文字颜色 6 2 2" xfId="176"/>
    <cellStyle name="40% - 强调文字颜色 4 4" xfId="177"/>
    <cellStyle name="20% - 强调文字颜色 6 2 3" xfId="178"/>
    <cellStyle name="40% - 强调文字颜色 4 5" xfId="179"/>
    <cellStyle name="20% - 强调文字颜色 6 3" xfId="180"/>
    <cellStyle name="20% - 强调文字颜色 6 3 2" xfId="181"/>
    <cellStyle name="40% - 强调文字颜色 5 4" xfId="182"/>
    <cellStyle name="20% - 强调文字颜色 6 4" xfId="183"/>
    <cellStyle name="60% - 强调文字颜色 4 2" xfId="184"/>
    <cellStyle name="注释 3 2 2 2" xfId="185"/>
    <cellStyle name="20% - 强调文字颜色 6 5" xfId="186"/>
    <cellStyle name="40% - 强调文字颜色 5 2 2" xfId="187"/>
    <cellStyle name="60% - 强调文字颜色 4 3" xfId="188"/>
    <cellStyle name="40% - 强调文字颜色 1 2" xfId="189"/>
    <cellStyle name="40% - 强调文字颜色 1 2 2" xfId="190"/>
    <cellStyle name="40% - 强调文字颜色 1 2 3" xfId="191"/>
    <cellStyle name="40% - 强调文字颜色 1 3" xfId="192"/>
    <cellStyle name="常规 9 2" xfId="193"/>
    <cellStyle name="40% - 强调文字颜色 1 3 2" xfId="194"/>
    <cellStyle name="40% - 强调文字颜色 1 4" xfId="195"/>
    <cellStyle name="40% - 强调文字颜色 1 5" xfId="196"/>
    <cellStyle name="40% - 强调文字颜色 2 2 2" xfId="197"/>
    <cellStyle name="40% - 强调文字颜色 2 2 3" xfId="198"/>
    <cellStyle name="40% - 强调文字颜色 2 3" xfId="199"/>
    <cellStyle name="40% - 强调文字颜色 2 3 2" xfId="200"/>
    <cellStyle name="40% - 强调文字颜色 2 4" xfId="201"/>
    <cellStyle name="40% - 强调文字颜色 2 5" xfId="202"/>
    <cellStyle name="40% - 强调文字颜色 3 2" xfId="203"/>
    <cellStyle name="计算 2 2" xfId="204"/>
    <cellStyle name="40% - 强调文字颜色 3 2 2" xfId="205"/>
    <cellStyle name="计算 2 2 2" xfId="206"/>
    <cellStyle name="40% - 强调文字颜色 3 2 3" xfId="207"/>
    <cellStyle name="40% - 强调文字颜色 3 3" xfId="208"/>
    <cellStyle name="计算 2 3" xfId="209"/>
    <cellStyle name="40% - 强调文字颜色 3 3 2" xfId="210"/>
    <cellStyle name="常规 25" xfId="211"/>
    <cellStyle name="计算 2 3 2" xfId="212"/>
    <cellStyle name="40% - 强调文字颜色 3 4" xfId="213"/>
    <cellStyle name="计算 2 4" xfId="214"/>
    <cellStyle name="40% - 强调文字颜色 3 5" xfId="215"/>
    <cellStyle name="40% - 强调文字颜色 4 2 2" xfId="216"/>
    <cellStyle name="标题 4 4" xfId="217"/>
    <cellStyle name="汇总 2 3" xfId="218"/>
    <cellStyle name="计算 3 2 2" xfId="219"/>
    <cellStyle name="检查单元格 2" xfId="220"/>
    <cellStyle name="40% - 强调文字颜色 4 2 3" xfId="221"/>
    <cellStyle name="标题 4 5" xfId="222"/>
    <cellStyle name="汇总 2 4" xfId="223"/>
    <cellStyle name="检查单元格 3" xfId="224"/>
    <cellStyle name="40% - 强调文字颜色 4 3" xfId="225"/>
    <cellStyle name="计算 3 3" xfId="226"/>
    <cellStyle name="输入 2 2 2" xfId="227"/>
    <cellStyle name="40% - 强调文字颜色 5 2" xfId="228"/>
    <cellStyle name="好 2 3" xfId="229"/>
    <cellStyle name="计算 4 2" xfId="230"/>
    <cellStyle name="40% - 强调文字颜色 5 2 3" xfId="231"/>
    <cellStyle name="60% - 强调文字颜色 4 4" xfId="232"/>
    <cellStyle name="40% - 强调文字颜色 5 3" xfId="233"/>
    <cellStyle name="输入 2 3 2" xfId="234"/>
    <cellStyle name="40% - 强调文字颜色 5 3 2" xfId="235"/>
    <cellStyle name="60% - 强调文字颜色 5 3" xfId="236"/>
    <cellStyle name="40% - 强调文字颜色 5 5" xfId="237"/>
    <cellStyle name="40% - 强调文字颜色 6 2" xfId="238"/>
    <cellStyle name="计算 5 2" xfId="239"/>
    <cellStyle name="适中 2 2" xfId="240"/>
    <cellStyle name="40% - 强调文字颜色 6 2 2" xfId="241"/>
    <cellStyle name="40% - 强调文字颜色 6 2 3" xfId="242"/>
    <cellStyle name="40% - 强调文字颜色 6 3" xfId="243"/>
    <cellStyle name="强调文字颜色 3 2 2" xfId="244"/>
    <cellStyle name="适中 2 3" xfId="245"/>
    <cellStyle name="40% - 强调文字颜色 6 3 2" xfId="246"/>
    <cellStyle name="解释性文本 3" xfId="247"/>
    <cellStyle name="40% - 强调文字颜色 6 4" xfId="248"/>
    <cellStyle name="60% - 强调文字颜色 4 2 2" xfId="249"/>
    <cellStyle name="强调文字颜色 3 2 3" xfId="250"/>
    <cellStyle name="60% - 强调文字颜色 1 2 2" xfId="251"/>
    <cellStyle name="60% - 强调文字颜色 1 2 3" xfId="252"/>
    <cellStyle name="60% - 强调文字颜色 1 3 2" xfId="253"/>
    <cellStyle name="60% - 强调文字颜色 1 4" xfId="254"/>
    <cellStyle name="60% - 强调文字颜色 1 5" xfId="255"/>
    <cellStyle name="警告文本 2 2" xfId="256"/>
    <cellStyle name="注释 5 2 2" xfId="257"/>
    <cellStyle name="60% - 强调文字颜色 2 2 3" xfId="258"/>
    <cellStyle name="60% - 强调文字颜色 2 3 2" xfId="259"/>
    <cellStyle name="常规 6 2" xfId="260"/>
    <cellStyle name="注释 2" xfId="261"/>
    <cellStyle name="60% - 强调文字颜色 2 4" xfId="262"/>
    <cellStyle name="常规 7" xfId="263"/>
    <cellStyle name="60% - 强调文字颜色 2 5" xfId="264"/>
    <cellStyle name="常规 8" xfId="265"/>
    <cellStyle name="警告文本 3 2" xfId="266"/>
    <cellStyle name="60% - 强调文字颜色 3 2 2" xfId="267"/>
    <cellStyle name="强调文字颜色 2 2 3" xfId="268"/>
    <cellStyle name="60% - 强调文字颜色 3 2 3" xfId="269"/>
    <cellStyle name="60% - 强调文字颜色 3 3 2" xfId="270"/>
    <cellStyle name="60% - 强调文字颜色 3 4" xfId="271"/>
    <cellStyle name="60% - 强调文字颜色 3 5" xfId="272"/>
    <cellStyle name="60% - 强调文字颜色 4 3 2" xfId="273"/>
    <cellStyle name="60% - 强调文字颜色 4 5" xfId="274"/>
    <cellStyle name="常规_创联至信12年工资表sn803808" xfId="275"/>
    <cellStyle name="60% - 强调文字颜色 5 2" xfId="276"/>
    <cellStyle name="60% - 强调文字颜色 5 2 2" xfId="277"/>
    <cellStyle name="强调文字颜色 4 2 3" xfId="278"/>
    <cellStyle name="60% - 强调文字颜色 5 2 3" xfId="279"/>
    <cellStyle name="60% - 强调文字颜色 5 3 2" xfId="280"/>
    <cellStyle name="60% - 强调文字颜色 5 4" xfId="281"/>
    <cellStyle name="60% - 强调文字颜色 5 5" xfId="282"/>
    <cellStyle name="60% - 强调文字颜色 6 2" xfId="283"/>
    <cellStyle name="60% - 强调文字颜色 6 2 2" xfId="284"/>
    <cellStyle name="常规 3 5 3" xfId="285"/>
    <cellStyle name="强调文字颜色 5 2 3" xfId="286"/>
    <cellStyle name="60% - 强调文字颜色 6 2 3" xfId="287"/>
    <cellStyle name="Normal_08'前程工资8月" xfId="288"/>
    <cellStyle name="60% - 强调文字颜色 6 3" xfId="289"/>
    <cellStyle name="60% - 强调文字颜色 6 4" xfId="290"/>
    <cellStyle name="60% - 强调文字颜色 6 5" xfId="291"/>
    <cellStyle name="Comma_SALARYBJ" xfId="292"/>
    <cellStyle name="警告文本 2 3" xfId="293"/>
    <cellStyle name="百分比 2" xfId="294"/>
    <cellStyle name="差 4" xfId="295"/>
    <cellStyle name="百分比 2 2" xfId="296"/>
    <cellStyle name="百分比 2 3" xfId="297"/>
    <cellStyle name="标题 1 2" xfId="298"/>
    <cellStyle name="标题 1 2 2" xfId="299"/>
    <cellStyle name="标题 1 2 3" xfId="300"/>
    <cellStyle name="标题 1 3" xfId="301"/>
    <cellStyle name="标题 1 3 2" xfId="302"/>
    <cellStyle name="汇总 3" xfId="303"/>
    <cellStyle name="标题 1 4" xfId="304"/>
    <cellStyle name="标题 1 5" xfId="305"/>
    <cellStyle name="标题 2 2" xfId="306"/>
    <cellStyle name="标题 2 2 2" xfId="307"/>
    <cellStyle name="标题 2 2 3" xfId="308"/>
    <cellStyle name="好 3 2" xfId="309"/>
    <cellStyle name="标题 2 3" xfId="310"/>
    <cellStyle name="标题 2 3 2" xfId="311"/>
    <cellStyle name="常规 11" xfId="312"/>
    <cellStyle name="标题 2 4" xfId="313"/>
    <cellStyle name="标题 2 5" xfId="314"/>
    <cellStyle name="标题 3 2" xfId="315"/>
    <cellStyle name="标题 3 2 2" xfId="316"/>
    <cellStyle name="好 5" xfId="317"/>
    <cellStyle name="标题 3 2 3" xfId="318"/>
    <cellStyle name="标题 3 3" xfId="319"/>
    <cellStyle name="标题 3 3 2" xfId="320"/>
    <cellStyle name="样式 1" xfId="321"/>
    <cellStyle name="标题 3 4" xfId="322"/>
    <cellStyle name="标题 3 5" xfId="323"/>
    <cellStyle name="标题 4 2" xfId="324"/>
    <cellStyle name="千位分隔 3" xfId="325"/>
    <cellStyle name="标题 4 2 3" xfId="326"/>
    <cellStyle name="标题 4 3" xfId="327"/>
    <cellStyle name="汇总 2 2" xfId="328"/>
    <cellStyle name="标题 4 3 2" xfId="329"/>
    <cellStyle name="汇总 2 2 2" xfId="330"/>
    <cellStyle name="标题 5" xfId="331"/>
    <cellStyle name="解释性文本 2 3" xfId="332"/>
    <cellStyle name="标题 5 2" xfId="333"/>
    <cellStyle name="强调文字颜色 1 4" xfId="334"/>
    <cellStyle name="标题 5 3" xfId="335"/>
    <cellStyle name="汇总 3 2" xfId="336"/>
    <cellStyle name="强调文字颜色 1 5" xfId="337"/>
    <cellStyle name="标题 6" xfId="338"/>
    <cellStyle name="标题 6 2" xfId="339"/>
    <cellStyle name="强调文字颜色 2 4" xfId="340"/>
    <cellStyle name="标题 7" xfId="341"/>
    <cellStyle name="注释 2 4 2" xfId="342"/>
    <cellStyle name="标题 8" xfId="343"/>
    <cellStyle name="差 2" xfId="344"/>
    <cellStyle name="解释性文本 5" xfId="345"/>
    <cellStyle name="差 2 2" xfId="346"/>
    <cellStyle name="差 3" xfId="347"/>
    <cellStyle name="差 3 2" xfId="348"/>
    <cellStyle name="常规 10" xfId="349"/>
    <cellStyle name="常规 11 2" xfId="350"/>
    <cellStyle name="常规 11 3" xfId="351"/>
    <cellStyle name="常规 2 3 2 2" xfId="352"/>
    <cellStyle name="常规 12" xfId="353"/>
    <cellStyle name="常规 12 2" xfId="354"/>
    <cellStyle name="常规 12 3" xfId="355"/>
    <cellStyle name="常规 14" xfId="356"/>
    <cellStyle name="强调文字颜色 3 3 2" xfId="357"/>
    <cellStyle name="常规 14 2" xfId="358"/>
    <cellStyle name="常规 14 3" xfId="359"/>
    <cellStyle name="常规 2" xfId="360"/>
    <cellStyle name="常规 2 2" xfId="361"/>
    <cellStyle name="常规 2 2 2" xfId="362"/>
    <cellStyle name="常规 2 2 2 2" xfId="363"/>
    <cellStyle name="常规 2 2 3" xfId="364"/>
    <cellStyle name="常规 2 3" xfId="365"/>
    <cellStyle name="输入 3 2" xfId="366"/>
    <cellStyle name="常规 2 3 2" xfId="367"/>
    <cellStyle name="常规_全国客服表格" xfId="368"/>
    <cellStyle name="输入 3 2 2" xfId="369"/>
    <cellStyle name="常规 2 3 3" xfId="370"/>
    <cellStyle name="常规 2 3 4" xfId="371"/>
    <cellStyle name="常规 2 4" xfId="372"/>
    <cellStyle name="输入 3 3" xfId="373"/>
    <cellStyle name="常规 2 4 2" xfId="374"/>
    <cellStyle name="常规 2 5" xfId="375"/>
    <cellStyle name="强调文字颜色 4 2" xfId="376"/>
    <cellStyle name="常规 2 5 2" xfId="377"/>
    <cellStyle name="强调文字颜色 4 2 2" xfId="378"/>
    <cellStyle name="常规 2 6" xfId="379"/>
    <cellStyle name="强调文字颜色 4 3" xfId="380"/>
    <cellStyle name="常规 2 6 2" xfId="381"/>
    <cellStyle name="强调文字颜色 4 3 2" xfId="382"/>
    <cellStyle name="常规 2 6 2 2" xfId="383"/>
    <cellStyle name="常规 27" xfId="384"/>
    <cellStyle name="常规 3 2 2" xfId="385"/>
    <cellStyle name="适中 4" xfId="386"/>
    <cellStyle name="常规 3 3 2" xfId="387"/>
    <cellStyle name="常规 3 3 3" xfId="388"/>
    <cellStyle name="常规 3 4" xfId="389"/>
    <cellStyle name="常规 3 4 2" xfId="390"/>
    <cellStyle name="常规 3 5" xfId="391"/>
    <cellStyle name="强调文字颜色 5 2" xfId="392"/>
    <cellStyle name="常规 3 5 2" xfId="393"/>
    <cellStyle name="强调文字颜色 5 2 2" xfId="394"/>
    <cellStyle name="常规 4 2 2" xfId="395"/>
    <cellStyle name="常规 4 4" xfId="396"/>
    <cellStyle name="常规 4 3" xfId="397"/>
    <cellStyle name="输入 5 2" xfId="398"/>
    <cellStyle name="常规 7 2" xfId="399"/>
    <cellStyle name="常规 8 4" xfId="400"/>
    <cellStyle name="强调文字颜色 6 3 2" xfId="401"/>
    <cellStyle name="常规 9" xfId="402"/>
    <cellStyle name="常规_0705 UL South CS meeting (chonghua)" xfId="403"/>
    <cellStyle name="常规_Sheet1" xfId="404"/>
    <cellStyle name="汇总 5 2" xfId="405"/>
    <cellStyle name="强调文字颜色 3 5" xfId="406"/>
    <cellStyle name="常规_付款通知书智联（神数系统）" xfId="407"/>
    <cellStyle name="警告文本 2" xfId="408"/>
    <cellStyle name="注释 5 2" xfId="409"/>
    <cellStyle name="好 2 2" xfId="410"/>
    <cellStyle name="好 3" xfId="411"/>
    <cellStyle name="好 4" xfId="412"/>
    <cellStyle name="汇总 2" xfId="413"/>
    <cellStyle name="汇总 2 3 2" xfId="414"/>
    <cellStyle name="检查单元格 2 2" xfId="415"/>
    <cellStyle name="汇总 4" xfId="416"/>
    <cellStyle name="汇总 5" xfId="417"/>
    <cellStyle name="检查单元格 2 3" xfId="418"/>
    <cellStyle name="检查单元格 4" xfId="419"/>
    <cellStyle name="检查单元格 5" xfId="420"/>
    <cellStyle name="解释性文本 2" xfId="421"/>
    <cellStyle name="解释性文本 3 2" xfId="422"/>
    <cellStyle name="解释性文本 4" xfId="423"/>
    <cellStyle name="警告文本 3" xfId="424"/>
    <cellStyle name="注释 5 3" xfId="425"/>
    <cellStyle name="警告文本 4" xfId="426"/>
    <cellStyle name="警告文本 5" xfId="427"/>
    <cellStyle name="链接单元格 2" xfId="428"/>
    <cellStyle name="注释 2 3 2" xfId="429"/>
    <cellStyle name="链接单元格 2 2" xfId="430"/>
    <cellStyle name="注释 2 3 2 2" xfId="431"/>
    <cellStyle name="链接单元格 2 3" xfId="432"/>
    <cellStyle name="千位分隔 2" xfId="433"/>
    <cellStyle name="千位分隔 2 2" xfId="434"/>
    <cellStyle name="强调文字颜色 1 2" xfId="435"/>
    <cellStyle name="强调文字颜色 1 2 2" xfId="436"/>
    <cellStyle name="强调文字颜色 1 3" xfId="437"/>
    <cellStyle name="强调文字颜色 1 3 2" xfId="438"/>
    <cellStyle name="强调文字颜色 2 2" xfId="439"/>
    <cellStyle name="强调文字颜色 2 2 2" xfId="440"/>
    <cellStyle name="强调文字颜色 2 3" xfId="441"/>
    <cellStyle name="强调文字颜色 3 2" xfId="442"/>
    <cellStyle name="输入 2 4" xfId="443"/>
    <cellStyle name="强调文字颜色 3 3" xfId="444"/>
    <cellStyle name="强调文字颜色 3 4" xfId="445"/>
    <cellStyle name="强调文字颜色 4 4" xfId="446"/>
    <cellStyle name="强调文字颜色 4 5" xfId="447"/>
    <cellStyle name="输入 2" xfId="448"/>
    <cellStyle name="强调文字颜色 5 3" xfId="449"/>
    <cellStyle name="强调文字颜色 5 3 2" xfId="450"/>
    <cellStyle name="强调文字颜色 5 4" xfId="451"/>
    <cellStyle name="强调文字颜色 6 2" xfId="452"/>
    <cellStyle name="强调文字颜色 6 2 2" xfId="453"/>
    <cellStyle name="强调文字颜色 6 2 3" xfId="454"/>
    <cellStyle name="强调文字颜色 6 3" xfId="455"/>
    <cellStyle name="强调文字颜色 6 4" xfId="456"/>
    <cellStyle name="强调文字颜色 6 5" xfId="457"/>
    <cellStyle name="适中 3" xfId="458"/>
    <cellStyle name="适中 3 2" xfId="459"/>
    <cellStyle name="适中 5" xfId="460"/>
    <cellStyle name="输出 2 2 2 2" xfId="461"/>
    <cellStyle name="输出 2 3 2 2" xfId="462"/>
    <cellStyle name="输出 2 3 3" xfId="463"/>
    <cellStyle name="输出 3 2 2 2" xfId="464"/>
    <cellStyle name="输入 2 2" xfId="465"/>
    <cellStyle name="样式 2 4" xfId="466"/>
    <cellStyle name="输入 2 3" xfId="467"/>
    <cellStyle name="样式 2 5" xfId="468"/>
    <cellStyle name="输入 3" xfId="469"/>
    <cellStyle name="输入 4" xfId="470"/>
    <cellStyle name="输入 5" xfId="471"/>
    <cellStyle name="㼿㼿㼿㼿? 2" xfId="472"/>
    <cellStyle name="㼿㼿㼿㼿㼿" xfId="473"/>
    <cellStyle name="㼿㼿㼿㼿㼿㼿㼿" xfId="474"/>
    <cellStyle name="样式 1 2" xfId="475"/>
    <cellStyle name="样式 2" xfId="476"/>
    <cellStyle name="样式 2 2" xfId="477"/>
    <cellStyle name="样式 2 3" xfId="478"/>
    <cellStyle name="注释 2 2" xfId="479"/>
    <cellStyle name="注释 2 2 2" xfId="480"/>
    <cellStyle name="注释 2 2 2 2" xfId="481"/>
    <cellStyle name="注释 2 2 3" xfId="482"/>
    <cellStyle name="注释 2 4" xfId="483"/>
    <cellStyle name="注释 2 5" xfId="484"/>
    <cellStyle name="注释 3" xfId="485"/>
    <cellStyle name="注释 3 2" xfId="486"/>
    <cellStyle name="注释 3 3" xfId="487"/>
    <cellStyle name="注释 3 3 2" xfId="488"/>
    <cellStyle name="注释 3 4" xfId="489"/>
    <cellStyle name="注释 4" xfId="490"/>
    <cellStyle name="注释 4 2" xfId="491"/>
    <cellStyle name="注释 4 2 2" xfId="492"/>
    <cellStyle name="注释 4 3" xfId="493"/>
  </cellStyles>
  <dxfs count="5">
    <dxf>
      <font>
        <b val="0"/>
        <color indexed="20"/>
      </font>
      <fill>
        <patternFill patternType="solid">
          <bgColor indexed="45"/>
        </patternFill>
      </fill>
    </dxf>
    <dxf>
      <fill>
        <patternFill patternType="solid">
          <bgColor indexed="45"/>
        </patternFill>
      </fill>
    </dxf>
    <dxf>
      <fill>
        <patternFill patternType="solid">
          <bgColor indexed="43"/>
        </patternFill>
      </fill>
    </dxf>
    <dxf>
      <font>
        <color rgb="FF9C0006"/>
      </font>
      <fill>
        <patternFill patternType="solid">
          <bgColor rgb="FFFFC7CE"/>
        </patternFill>
      </fill>
    </dxf>
    <dxf>
      <font>
        <name val="Arial"/>
        <scheme val="none"/>
        <b val="0"/>
        <i val="0"/>
        <strike val="0"/>
        <u val="none"/>
        <sz val="10"/>
        <color rgb="FF9C0006"/>
      </font>
      <fill>
        <patternFill patternType="solid">
          <bgColor rgb="FFFFC7CE"/>
        </patternFill>
      </fill>
    </dxf>
  </dxfs>
  <tableStyles count="0" defaultTableStyle="TableStyleMedium2" defaultPivotStyle="PivotStyleLight16"/>
  <colors>
    <mruColors>
      <color rgb="0079EBA7"/>
      <color rgb="00FF0000"/>
      <color rgb="00FFFF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customXml" Target="../customXml/item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3</xdr:col>
      <xdr:colOff>219075</xdr:colOff>
      <xdr:row>2</xdr:row>
      <xdr:rowOff>95250</xdr:rowOff>
    </xdr:to>
    <xdr:pic>
      <xdr:nvPicPr>
        <xdr:cNvPr id="2" name="图片 4" descr="cid:_Foxmail.1@6377c9cf-32a5-0363-4d93-1ccf8febe018"/>
        <xdr:cNvPicPr>
          <a:picLocks noChangeAspect="1" noChangeArrowheads="1"/>
        </xdr:cNvPicPr>
      </xdr:nvPicPr>
      <xdr:blipFill>
        <a:blip r:embed="rId1" cstate="print"/>
        <a:srcRect/>
        <a:stretch>
          <a:fillRect/>
        </a:stretch>
      </xdr:blipFill>
      <xdr:spPr>
        <a:xfrm>
          <a:off x="0" y="0"/>
          <a:ext cx="2407920" cy="6000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comments" Target="../comments1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8.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H22"/>
  <sheetViews>
    <sheetView workbookViewId="0">
      <selection activeCell="C27" sqref="C27"/>
    </sheetView>
  </sheetViews>
  <sheetFormatPr defaultColWidth="9" defaultRowHeight="16.5"/>
  <cols>
    <col min="1" max="1" width="5" style="168" customWidth="1"/>
    <col min="2" max="2" width="25" style="168" customWidth="1"/>
    <col min="3" max="3" width="7.36666666666667" style="168" customWidth="1"/>
    <col min="4" max="4" width="9.45" style="168" customWidth="1"/>
    <col min="5" max="5" width="8.26666666666667" style="168" customWidth="1"/>
    <col min="6" max="6" width="11.9083333333333" style="168" customWidth="1"/>
    <col min="7" max="7" width="16.3666666666667" style="168" customWidth="1"/>
    <col min="8" max="11" width="8.45" style="168" customWidth="1"/>
    <col min="12" max="12" width="9.09166666666667" style="168" customWidth="1"/>
    <col min="13" max="14" width="9.26666666666667" style="168" customWidth="1"/>
    <col min="15" max="15" width="7.45" style="168" customWidth="1"/>
    <col min="16" max="16" width="11.2666666666667" style="168" customWidth="1"/>
    <col min="17" max="17" width="9.09166666666667" style="168" customWidth="1"/>
    <col min="18" max="21" width="9.26666666666667" style="168" customWidth="1"/>
    <col min="22" max="22" width="9.09166666666667" style="168" customWidth="1"/>
    <col min="23" max="26" width="9.26666666666667" style="168" customWidth="1"/>
    <col min="27" max="28" width="9.09166666666667" style="168" customWidth="1"/>
    <col min="29" max="29" width="9" style="168" customWidth="1"/>
    <col min="30" max="30" width="9.09166666666667" style="168" customWidth="1"/>
    <col min="31" max="31" width="9.26666666666667" style="168" customWidth="1"/>
    <col min="32" max="32" width="8.90833333333333" style="168" customWidth="1"/>
    <col min="33" max="33" width="9.09166666666667" style="168" customWidth="1"/>
    <col min="34" max="34" width="9.26666666666667" style="168" customWidth="1"/>
    <col min="35" max="35" width="11.0916666666667" style="168" customWidth="1"/>
    <col min="36" max="36" width="9.26666666666667" style="168" customWidth="1"/>
    <col min="37" max="37" width="8.45" style="168" customWidth="1"/>
    <col min="38" max="38" width="9.09166666666667" style="168" hidden="1" customWidth="1"/>
    <col min="39" max="42" width="9.26666666666667" style="168" hidden="1" customWidth="1"/>
    <col min="43" max="43" width="9.90833333333333" style="168" customWidth="1"/>
    <col min="44" max="44" width="9.36666666666667" style="168" customWidth="1"/>
    <col min="45" max="45" width="10.2666666666667" style="169" customWidth="1"/>
    <col min="46" max="46" width="10" style="169" customWidth="1"/>
    <col min="47" max="49" width="9.26666666666667" style="169" customWidth="1"/>
    <col min="50" max="50" width="9.26666666666667" style="168" customWidth="1"/>
    <col min="51" max="51" width="5.90833333333333" style="168" customWidth="1"/>
    <col min="52" max="52" width="8.36666666666667" style="168" customWidth="1"/>
    <col min="53" max="53" width="5.90833333333333" style="168" customWidth="1"/>
    <col min="54" max="54" width="8.90833333333333" style="168" customWidth="1"/>
    <col min="55" max="55" width="10.9083333333333" style="168" customWidth="1"/>
    <col min="56" max="56" width="40.2666666666667" style="170" customWidth="1"/>
    <col min="57" max="57" width="10.6333333333333" style="168" customWidth="1"/>
    <col min="58" max="16384" width="9" style="168"/>
  </cols>
  <sheetData>
    <row r="1" s="161" customFormat="1" ht="22.5" customHeight="1" spans="1:56">
      <c r="A1" s="171" t="s">
        <v>0</v>
      </c>
      <c r="B1" s="172" t="s">
        <v>1</v>
      </c>
      <c r="C1" s="172" t="s">
        <v>2</v>
      </c>
      <c r="D1" s="171" t="s">
        <v>3</v>
      </c>
      <c r="E1" s="172" t="s">
        <v>4</v>
      </c>
      <c r="F1" s="172" t="s">
        <v>5</v>
      </c>
      <c r="G1" s="172" t="s">
        <v>6</v>
      </c>
      <c r="H1" s="172" t="s">
        <v>7</v>
      </c>
      <c r="I1" s="172" t="s">
        <v>8</v>
      </c>
      <c r="J1" s="172" t="s">
        <v>9</v>
      </c>
      <c r="K1" s="172" t="s">
        <v>10</v>
      </c>
      <c r="L1" s="207" t="s">
        <v>11</v>
      </c>
      <c r="M1" s="207"/>
      <c r="N1" s="207"/>
      <c r="O1" s="207"/>
      <c r="P1" s="207"/>
      <c r="Q1" s="207" t="s">
        <v>12</v>
      </c>
      <c r="R1" s="207"/>
      <c r="S1" s="207"/>
      <c r="T1" s="207"/>
      <c r="U1" s="207"/>
      <c r="V1" s="207" t="s">
        <v>13</v>
      </c>
      <c r="W1" s="207"/>
      <c r="X1" s="207"/>
      <c r="Y1" s="207"/>
      <c r="Z1" s="207"/>
      <c r="AA1" s="171" t="s">
        <v>14</v>
      </c>
      <c r="AB1" s="171"/>
      <c r="AC1" s="171"/>
      <c r="AD1" s="171" t="s">
        <v>15</v>
      </c>
      <c r="AE1" s="171"/>
      <c r="AF1" s="171"/>
      <c r="AG1" s="207" t="s">
        <v>16</v>
      </c>
      <c r="AH1" s="207"/>
      <c r="AI1" s="207"/>
      <c r="AJ1" s="207"/>
      <c r="AK1" s="207"/>
      <c r="AL1" s="171" t="s">
        <v>17</v>
      </c>
      <c r="AM1" s="171"/>
      <c r="AN1" s="171"/>
      <c r="AO1" s="171"/>
      <c r="AP1" s="171"/>
      <c r="AQ1" s="171" t="s">
        <v>18</v>
      </c>
      <c r="AR1" s="171"/>
      <c r="AS1" s="223" t="s">
        <v>19</v>
      </c>
      <c r="AT1" s="223"/>
      <c r="AU1" s="223"/>
      <c r="AV1" s="223"/>
      <c r="AW1" s="223"/>
      <c r="AX1" s="171" t="s">
        <v>20</v>
      </c>
      <c r="AY1" s="171"/>
      <c r="AZ1" s="171" t="s">
        <v>21</v>
      </c>
      <c r="BA1" s="171"/>
      <c r="BB1" s="171" t="s">
        <v>22</v>
      </c>
      <c r="BC1" s="171" t="s">
        <v>23</v>
      </c>
      <c r="BD1" s="236" t="s">
        <v>24</v>
      </c>
    </row>
    <row r="2" ht="22.5" customHeight="1" spans="1:56">
      <c r="A2" s="171"/>
      <c r="B2" s="173"/>
      <c r="C2" s="172"/>
      <c r="D2" s="171"/>
      <c r="E2" s="172"/>
      <c r="F2" s="174"/>
      <c r="G2" s="174"/>
      <c r="H2" s="172"/>
      <c r="I2" s="172"/>
      <c r="J2" s="172"/>
      <c r="K2" s="172"/>
      <c r="L2" s="208" t="s">
        <v>25</v>
      </c>
      <c r="M2" s="208" t="s">
        <v>26</v>
      </c>
      <c r="N2" s="208" t="s">
        <v>27</v>
      </c>
      <c r="O2" s="208" t="s">
        <v>28</v>
      </c>
      <c r="P2" s="208" t="s">
        <v>29</v>
      </c>
      <c r="Q2" s="208" t="s">
        <v>25</v>
      </c>
      <c r="R2" s="208" t="s">
        <v>26</v>
      </c>
      <c r="S2" s="208" t="s">
        <v>27</v>
      </c>
      <c r="T2" s="208" t="s">
        <v>28</v>
      </c>
      <c r="U2" s="208" t="s">
        <v>29</v>
      </c>
      <c r="V2" s="208" t="s">
        <v>25</v>
      </c>
      <c r="W2" s="208" t="s">
        <v>26</v>
      </c>
      <c r="X2" s="208" t="s">
        <v>27</v>
      </c>
      <c r="Y2" s="208" t="s">
        <v>28</v>
      </c>
      <c r="Z2" s="208" t="s">
        <v>29</v>
      </c>
      <c r="AA2" s="208" t="s">
        <v>25</v>
      </c>
      <c r="AB2" s="208" t="s">
        <v>30</v>
      </c>
      <c r="AC2" s="208" t="s">
        <v>31</v>
      </c>
      <c r="AD2" s="208" t="s">
        <v>25</v>
      </c>
      <c r="AE2" s="208" t="s">
        <v>30</v>
      </c>
      <c r="AF2" s="208" t="s">
        <v>31</v>
      </c>
      <c r="AG2" s="208" t="s">
        <v>25</v>
      </c>
      <c r="AH2" s="208" t="s">
        <v>26</v>
      </c>
      <c r="AI2" s="208" t="s">
        <v>27</v>
      </c>
      <c r="AJ2" s="208" t="s">
        <v>28</v>
      </c>
      <c r="AK2" s="208" t="s">
        <v>29</v>
      </c>
      <c r="AL2" s="208" t="s">
        <v>25</v>
      </c>
      <c r="AM2" s="208" t="s">
        <v>26</v>
      </c>
      <c r="AN2" s="208" t="s">
        <v>27</v>
      </c>
      <c r="AO2" s="208" t="s">
        <v>28</v>
      </c>
      <c r="AP2" s="208" t="s">
        <v>29</v>
      </c>
      <c r="AQ2" s="208" t="s">
        <v>32</v>
      </c>
      <c r="AR2" s="208" t="s">
        <v>33</v>
      </c>
      <c r="AS2" s="224" t="s">
        <v>34</v>
      </c>
      <c r="AT2" s="224" t="s">
        <v>35</v>
      </c>
      <c r="AU2" s="224" t="s">
        <v>36</v>
      </c>
      <c r="AV2" s="224" t="s">
        <v>37</v>
      </c>
      <c r="AW2" s="224" t="s">
        <v>38</v>
      </c>
      <c r="AX2" s="171"/>
      <c r="AY2" s="171"/>
      <c r="AZ2" s="171"/>
      <c r="BA2" s="171"/>
      <c r="BB2" s="171"/>
      <c r="BC2" s="171"/>
      <c r="BD2" s="236"/>
    </row>
    <row r="3" s="370" customFormat="1" ht="18" customHeight="1" spans="1:60">
      <c r="A3" s="372">
        <v>1</v>
      </c>
      <c r="B3" s="176" t="s">
        <v>39</v>
      </c>
      <c r="C3" s="177" t="s">
        <v>40</v>
      </c>
      <c r="D3" s="373" t="s">
        <v>41</v>
      </c>
      <c r="E3" s="176" t="s">
        <v>42</v>
      </c>
      <c r="F3" s="178" t="s">
        <v>43</v>
      </c>
      <c r="G3" s="179" t="s">
        <v>44</v>
      </c>
      <c r="H3" s="373" t="s">
        <v>45</v>
      </c>
      <c r="I3" s="373" t="s">
        <v>45</v>
      </c>
      <c r="J3" s="373" t="s">
        <v>46</v>
      </c>
      <c r="K3" s="373" t="s">
        <v>46</v>
      </c>
      <c r="L3" s="372">
        <v>3300</v>
      </c>
      <c r="M3" s="372">
        <v>0.16</v>
      </c>
      <c r="N3" s="372">
        <f t="shared" ref="N3:N8" si="0">ROUND(L3*M3,2)</f>
        <v>528</v>
      </c>
      <c r="O3" s="372">
        <v>0.08</v>
      </c>
      <c r="P3" s="372">
        <f t="shared" ref="P3:P8" si="1">ROUND(L3*O3,2)</f>
        <v>264</v>
      </c>
      <c r="Q3" s="372">
        <v>3300</v>
      </c>
      <c r="R3" s="372">
        <v>0.08</v>
      </c>
      <c r="S3" s="372">
        <f t="shared" ref="S3:S8" si="2">ROUND(Q3*R3,2)</f>
        <v>264</v>
      </c>
      <c r="T3" s="372">
        <v>0.02</v>
      </c>
      <c r="U3" s="372">
        <f t="shared" ref="U3:U8" si="3">ROUND(Q3*T3,2)</f>
        <v>66</v>
      </c>
      <c r="V3" s="372">
        <v>3300</v>
      </c>
      <c r="W3" s="372">
        <v>0.007</v>
      </c>
      <c r="X3" s="372">
        <f t="shared" ref="X3:X8" si="4">ROUND(V3*W3,2)</f>
        <v>23.1</v>
      </c>
      <c r="Y3" s="372">
        <v>0.003</v>
      </c>
      <c r="Z3" s="372">
        <f t="shared" ref="Z3:Z8" si="5">ROUND(V3*Y3,2)</f>
        <v>9.9</v>
      </c>
      <c r="AA3" s="372"/>
      <c r="AB3" s="372"/>
      <c r="AC3" s="372"/>
      <c r="AD3" s="372">
        <v>3300</v>
      </c>
      <c r="AE3" s="372">
        <v>0.002</v>
      </c>
      <c r="AF3" s="372">
        <f t="shared" ref="AF3:AF15" si="6">ROUND(AD3*AE3,2)</f>
        <v>6.6</v>
      </c>
      <c r="AG3" s="372">
        <v>3000</v>
      </c>
      <c r="AH3" s="372">
        <v>0.1</v>
      </c>
      <c r="AI3" s="372">
        <f>ROUND(AG3*AH3,2)</f>
        <v>300</v>
      </c>
      <c r="AJ3" s="372">
        <v>0.06</v>
      </c>
      <c r="AK3" s="372">
        <f>ROUND(AG3*AJ3,2)</f>
        <v>180</v>
      </c>
      <c r="AL3" s="381"/>
      <c r="AM3" s="372"/>
      <c r="AN3" s="372"/>
      <c r="AO3" s="372"/>
      <c r="AP3" s="176" t="s">
        <v>47</v>
      </c>
      <c r="AQ3" s="383">
        <v>5</v>
      </c>
      <c r="AR3" s="372"/>
      <c r="AS3" s="384">
        <f t="shared" ref="AS3:AS15" si="7">N3+S3+X3+AC3+AF3+AN3+AQ3</f>
        <v>826.7</v>
      </c>
      <c r="AT3" s="384">
        <f t="shared" ref="AT3:AT15" si="8">P3+U3+Z3</f>
        <v>339.9</v>
      </c>
      <c r="AU3" s="384">
        <f t="shared" ref="AU3:AU15" si="9">AI3</f>
        <v>300</v>
      </c>
      <c r="AV3" s="384">
        <f t="shared" ref="AV3:AV15" si="10">AK3</f>
        <v>180</v>
      </c>
      <c r="AW3" s="384">
        <f t="shared" ref="AW3:AW15" si="11">AV3+AS3+AT3+AU3</f>
        <v>1646.6</v>
      </c>
      <c r="AX3" s="237">
        <f t="shared" ref="AX3:AX15" si="12">AS3+AT3</f>
        <v>1166.6</v>
      </c>
      <c r="AY3" s="237"/>
      <c r="AZ3" s="237">
        <f t="shared" ref="AZ3:AZ8" si="13">AU3+AV3</f>
        <v>480</v>
      </c>
      <c r="BA3" s="237"/>
      <c r="BB3" s="238">
        <v>80</v>
      </c>
      <c r="BC3" s="237">
        <f t="shared" ref="BC3:BC15" si="14">AX3+AZ3+BB3</f>
        <v>1726.6</v>
      </c>
      <c r="BD3" s="387"/>
      <c r="BE3" s="391"/>
      <c r="BF3" s="392"/>
      <c r="BG3" s="392"/>
      <c r="BH3" s="262" t="s">
        <v>47</v>
      </c>
    </row>
    <row r="4" s="370" customFormat="1" ht="18" customHeight="1" spans="1:60">
      <c r="A4" s="372"/>
      <c r="B4" s="176" t="s">
        <v>39</v>
      </c>
      <c r="C4" s="177" t="s">
        <v>40</v>
      </c>
      <c r="D4" s="373" t="s">
        <v>41</v>
      </c>
      <c r="E4" s="176" t="s">
        <v>42</v>
      </c>
      <c r="F4" s="178" t="s">
        <v>43</v>
      </c>
      <c r="G4" s="179" t="s">
        <v>44</v>
      </c>
      <c r="H4" s="373" t="s">
        <v>45</v>
      </c>
      <c r="I4" s="373" t="s">
        <v>45</v>
      </c>
      <c r="J4" s="373" t="s">
        <v>48</v>
      </c>
      <c r="K4" s="373" t="s">
        <v>48</v>
      </c>
      <c r="L4" s="372">
        <v>3300</v>
      </c>
      <c r="M4" s="372">
        <v>0.16</v>
      </c>
      <c r="N4" s="372">
        <f t="shared" si="0"/>
        <v>528</v>
      </c>
      <c r="O4" s="372">
        <v>0.08</v>
      </c>
      <c r="P4" s="372">
        <f t="shared" si="1"/>
        <v>264</v>
      </c>
      <c r="Q4" s="372">
        <v>3300</v>
      </c>
      <c r="R4" s="372">
        <v>0.08</v>
      </c>
      <c r="S4" s="372">
        <f t="shared" si="2"/>
        <v>264</v>
      </c>
      <c r="T4" s="372">
        <v>0.02</v>
      </c>
      <c r="U4" s="372">
        <f t="shared" si="3"/>
        <v>66</v>
      </c>
      <c r="V4" s="372">
        <v>3300</v>
      </c>
      <c r="W4" s="372">
        <v>0.007</v>
      </c>
      <c r="X4" s="372">
        <f t="shared" si="4"/>
        <v>23.1</v>
      </c>
      <c r="Y4" s="372">
        <v>0.003</v>
      </c>
      <c r="Z4" s="372">
        <f t="shared" si="5"/>
        <v>9.9</v>
      </c>
      <c r="AA4" s="372"/>
      <c r="AB4" s="372"/>
      <c r="AC4" s="372"/>
      <c r="AD4" s="372">
        <v>3300</v>
      </c>
      <c r="AE4" s="372">
        <v>0.002</v>
      </c>
      <c r="AF4" s="372">
        <f t="shared" si="6"/>
        <v>6.6</v>
      </c>
      <c r="AG4" s="372">
        <v>3000</v>
      </c>
      <c r="AH4" s="372">
        <v>0.1</v>
      </c>
      <c r="AI4" s="372">
        <f>ROUND(AG4*AH4,2)</f>
        <v>300</v>
      </c>
      <c r="AJ4" s="372">
        <v>0.06</v>
      </c>
      <c r="AK4" s="372">
        <f>ROUND(AG4*AJ4,2)</f>
        <v>180</v>
      </c>
      <c r="AL4" s="381"/>
      <c r="AM4" s="372"/>
      <c r="AN4" s="372"/>
      <c r="AO4" s="372"/>
      <c r="AP4" s="176" t="s">
        <v>47</v>
      </c>
      <c r="AQ4" s="383">
        <v>5</v>
      </c>
      <c r="AR4" s="372"/>
      <c r="AS4" s="384">
        <f t="shared" si="7"/>
        <v>826.7</v>
      </c>
      <c r="AT4" s="384">
        <f t="shared" si="8"/>
        <v>339.9</v>
      </c>
      <c r="AU4" s="384">
        <f t="shared" si="9"/>
        <v>300</v>
      </c>
      <c r="AV4" s="384">
        <f t="shared" si="10"/>
        <v>180</v>
      </c>
      <c r="AW4" s="384">
        <f t="shared" si="11"/>
        <v>1646.6</v>
      </c>
      <c r="AX4" s="237">
        <f t="shared" si="12"/>
        <v>1166.6</v>
      </c>
      <c r="AY4" s="237"/>
      <c r="AZ4" s="237">
        <f t="shared" si="13"/>
        <v>480</v>
      </c>
      <c r="BA4" s="237"/>
      <c r="BB4" s="238">
        <v>80</v>
      </c>
      <c r="BC4" s="237">
        <f t="shared" si="14"/>
        <v>1726.6</v>
      </c>
      <c r="BD4" s="387"/>
      <c r="BE4" s="391"/>
      <c r="BF4" s="392"/>
      <c r="BG4" s="392"/>
      <c r="BH4" s="262" t="s">
        <v>47</v>
      </c>
    </row>
    <row r="5" s="370" customFormat="1" ht="18" customHeight="1" spans="1:60">
      <c r="A5" s="372"/>
      <c r="B5" s="176" t="s">
        <v>39</v>
      </c>
      <c r="C5" s="177" t="s">
        <v>40</v>
      </c>
      <c r="D5" s="373" t="s">
        <v>41</v>
      </c>
      <c r="E5" s="176" t="s">
        <v>42</v>
      </c>
      <c r="F5" s="178" t="s">
        <v>43</v>
      </c>
      <c r="G5" s="179" t="s">
        <v>44</v>
      </c>
      <c r="H5" s="373" t="s">
        <v>45</v>
      </c>
      <c r="I5" s="373" t="s">
        <v>45</v>
      </c>
      <c r="J5" s="373" t="s">
        <v>49</v>
      </c>
      <c r="K5" s="373" t="s">
        <v>49</v>
      </c>
      <c r="L5" s="372">
        <v>3300</v>
      </c>
      <c r="M5" s="372">
        <v>0.16</v>
      </c>
      <c r="N5" s="372">
        <f t="shared" si="0"/>
        <v>528</v>
      </c>
      <c r="O5" s="372">
        <v>0.08</v>
      </c>
      <c r="P5" s="372">
        <f t="shared" si="1"/>
        <v>264</v>
      </c>
      <c r="Q5" s="372">
        <v>3300</v>
      </c>
      <c r="R5" s="372">
        <v>0.08</v>
      </c>
      <c r="S5" s="372">
        <f t="shared" si="2"/>
        <v>264</v>
      </c>
      <c r="T5" s="372">
        <v>0.02</v>
      </c>
      <c r="U5" s="372">
        <f t="shared" si="3"/>
        <v>66</v>
      </c>
      <c r="V5" s="372">
        <v>3300</v>
      </c>
      <c r="W5" s="372">
        <v>0.007</v>
      </c>
      <c r="X5" s="372">
        <f t="shared" si="4"/>
        <v>23.1</v>
      </c>
      <c r="Y5" s="372">
        <v>0.003</v>
      </c>
      <c r="Z5" s="372">
        <f t="shared" si="5"/>
        <v>9.9</v>
      </c>
      <c r="AA5" s="372"/>
      <c r="AB5" s="372"/>
      <c r="AC5" s="372"/>
      <c r="AD5" s="372">
        <v>3300</v>
      </c>
      <c r="AE5" s="372">
        <v>0.002</v>
      </c>
      <c r="AF5" s="372">
        <f t="shared" si="6"/>
        <v>6.6</v>
      </c>
      <c r="AG5" s="372">
        <v>3000</v>
      </c>
      <c r="AH5" s="372">
        <v>0.1</v>
      </c>
      <c r="AI5" s="372">
        <f>ROUND(AG5*AH5,2)</f>
        <v>300</v>
      </c>
      <c r="AJ5" s="372">
        <v>0.06</v>
      </c>
      <c r="AK5" s="372">
        <f>ROUND(AG5*AJ5,2)</f>
        <v>180</v>
      </c>
      <c r="AL5" s="381"/>
      <c r="AM5" s="372"/>
      <c r="AN5" s="372"/>
      <c r="AO5" s="372"/>
      <c r="AP5" s="176" t="s">
        <v>47</v>
      </c>
      <c r="AQ5" s="383">
        <v>5</v>
      </c>
      <c r="AR5" s="372"/>
      <c r="AS5" s="384">
        <f t="shared" si="7"/>
        <v>826.7</v>
      </c>
      <c r="AT5" s="384">
        <f t="shared" si="8"/>
        <v>339.9</v>
      </c>
      <c r="AU5" s="384">
        <f t="shared" si="9"/>
        <v>300</v>
      </c>
      <c r="AV5" s="384">
        <f t="shared" si="10"/>
        <v>180</v>
      </c>
      <c r="AW5" s="384">
        <f t="shared" si="11"/>
        <v>1646.6</v>
      </c>
      <c r="AX5" s="237">
        <f t="shared" si="12"/>
        <v>1166.6</v>
      </c>
      <c r="AY5" s="237"/>
      <c r="AZ5" s="237">
        <f t="shared" si="13"/>
        <v>480</v>
      </c>
      <c r="BA5" s="237"/>
      <c r="BB5" s="238">
        <v>80</v>
      </c>
      <c r="BC5" s="237">
        <f t="shared" si="14"/>
        <v>1726.6</v>
      </c>
      <c r="BD5" s="387"/>
      <c r="BE5" s="391"/>
      <c r="BF5" s="392"/>
      <c r="BG5" s="392"/>
      <c r="BH5" s="262" t="s">
        <v>47</v>
      </c>
    </row>
    <row r="6" s="370" customFormat="1" ht="18" customHeight="1" spans="1:60">
      <c r="A6" s="372">
        <v>2</v>
      </c>
      <c r="B6" s="176" t="s">
        <v>39</v>
      </c>
      <c r="C6" s="177" t="s">
        <v>50</v>
      </c>
      <c r="D6" s="373" t="s">
        <v>41</v>
      </c>
      <c r="E6" s="176" t="s">
        <v>51</v>
      </c>
      <c r="F6" s="178" t="s">
        <v>52</v>
      </c>
      <c r="G6" s="395" t="s">
        <v>53</v>
      </c>
      <c r="H6" s="373" t="s">
        <v>45</v>
      </c>
      <c r="I6" s="373" t="s">
        <v>54</v>
      </c>
      <c r="J6" s="373" t="s">
        <v>46</v>
      </c>
      <c r="K6" s="373" t="s">
        <v>54</v>
      </c>
      <c r="L6" s="372">
        <v>3803</v>
      </c>
      <c r="M6" s="372">
        <v>0.14</v>
      </c>
      <c r="N6" s="372">
        <f t="shared" si="0"/>
        <v>532.42</v>
      </c>
      <c r="O6" s="372">
        <v>0.08</v>
      </c>
      <c r="P6" s="372">
        <f t="shared" si="1"/>
        <v>304.24</v>
      </c>
      <c r="Q6" s="372">
        <v>6175</v>
      </c>
      <c r="R6" s="372">
        <v>0.055</v>
      </c>
      <c r="S6" s="372">
        <f t="shared" si="2"/>
        <v>339.63</v>
      </c>
      <c r="T6" s="372">
        <v>0.02</v>
      </c>
      <c r="U6" s="372">
        <f t="shared" si="3"/>
        <v>123.5</v>
      </c>
      <c r="V6" s="372">
        <v>3803</v>
      </c>
      <c r="W6" s="372">
        <v>0.0032</v>
      </c>
      <c r="X6" s="372">
        <f t="shared" si="4"/>
        <v>12.17</v>
      </c>
      <c r="Y6" s="372">
        <v>0.002</v>
      </c>
      <c r="Z6" s="372">
        <f t="shared" si="5"/>
        <v>7.61</v>
      </c>
      <c r="AA6" s="372">
        <v>6175</v>
      </c>
      <c r="AB6" s="372">
        <v>0.0085</v>
      </c>
      <c r="AC6" s="372">
        <f t="shared" ref="AC6:AC8" si="15">ROUND(AA6*AB6,2)</f>
        <v>52.49</v>
      </c>
      <c r="AD6" s="372">
        <v>3803</v>
      </c>
      <c r="AE6" s="372">
        <v>0.0016</v>
      </c>
      <c r="AF6" s="372">
        <f t="shared" si="6"/>
        <v>6.08</v>
      </c>
      <c r="AG6" s="372"/>
      <c r="AH6" s="372"/>
      <c r="AI6" s="372"/>
      <c r="AJ6" s="372"/>
      <c r="AK6" s="372"/>
      <c r="AL6" s="381"/>
      <c r="AM6" s="372"/>
      <c r="AN6" s="372"/>
      <c r="AO6" s="372"/>
      <c r="AP6" s="176"/>
      <c r="AQ6" s="383">
        <v>26.76</v>
      </c>
      <c r="AR6" s="372"/>
      <c r="AS6" s="384">
        <f t="shared" si="7"/>
        <v>969.55</v>
      </c>
      <c r="AT6" s="384">
        <f t="shared" si="8"/>
        <v>435.35</v>
      </c>
      <c r="AU6" s="384">
        <f t="shared" si="9"/>
        <v>0</v>
      </c>
      <c r="AV6" s="384">
        <f t="shared" si="10"/>
        <v>0</v>
      </c>
      <c r="AW6" s="384">
        <f t="shared" si="11"/>
        <v>1404.9</v>
      </c>
      <c r="AX6" s="237">
        <f t="shared" si="12"/>
        <v>1404.9</v>
      </c>
      <c r="AY6" s="237"/>
      <c r="AZ6" s="237">
        <f t="shared" si="13"/>
        <v>0</v>
      </c>
      <c r="BA6" s="237"/>
      <c r="BB6" s="238">
        <v>80</v>
      </c>
      <c r="BC6" s="237">
        <f t="shared" si="14"/>
        <v>1484.9</v>
      </c>
      <c r="BD6" s="387"/>
      <c r="BE6" s="393"/>
      <c r="BF6" s="393"/>
      <c r="BG6" s="393"/>
      <c r="BH6" s="393"/>
    </row>
    <row r="7" s="370" customFormat="1" ht="18" customHeight="1" spans="1:60">
      <c r="A7" s="372"/>
      <c r="B7" s="176" t="s">
        <v>39</v>
      </c>
      <c r="C7" s="177" t="s">
        <v>50</v>
      </c>
      <c r="D7" s="373" t="s">
        <v>41</v>
      </c>
      <c r="E7" s="176" t="s">
        <v>51</v>
      </c>
      <c r="F7" s="178" t="s">
        <v>52</v>
      </c>
      <c r="G7" s="395" t="s">
        <v>53</v>
      </c>
      <c r="H7" s="373" t="s">
        <v>45</v>
      </c>
      <c r="I7" s="373" t="s">
        <v>54</v>
      </c>
      <c r="J7" s="373" t="s">
        <v>48</v>
      </c>
      <c r="K7" s="373" t="s">
        <v>54</v>
      </c>
      <c r="L7" s="372">
        <v>3803</v>
      </c>
      <c r="M7" s="372">
        <v>0.14</v>
      </c>
      <c r="N7" s="372">
        <f t="shared" si="0"/>
        <v>532.42</v>
      </c>
      <c r="O7" s="372">
        <v>0.08</v>
      </c>
      <c r="P7" s="372">
        <f t="shared" si="1"/>
        <v>304.24</v>
      </c>
      <c r="Q7" s="372">
        <v>6175</v>
      </c>
      <c r="R7" s="372">
        <v>0.055</v>
      </c>
      <c r="S7" s="372">
        <f t="shared" si="2"/>
        <v>339.63</v>
      </c>
      <c r="T7" s="372">
        <v>0.02</v>
      </c>
      <c r="U7" s="372">
        <f t="shared" si="3"/>
        <v>123.5</v>
      </c>
      <c r="V7" s="372">
        <v>3803</v>
      </c>
      <c r="W7" s="372">
        <v>0.0032</v>
      </c>
      <c r="X7" s="372">
        <f t="shared" si="4"/>
        <v>12.17</v>
      </c>
      <c r="Y7" s="372">
        <v>0.002</v>
      </c>
      <c r="Z7" s="372">
        <f t="shared" si="5"/>
        <v>7.61</v>
      </c>
      <c r="AA7" s="372">
        <v>6175</v>
      </c>
      <c r="AB7" s="372">
        <v>0.0085</v>
      </c>
      <c r="AC7" s="372">
        <f t="shared" si="15"/>
        <v>52.49</v>
      </c>
      <c r="AD7" s="372">
        <v>3803</v>
      </c>
      <c r="AE7" s="372">
        <v>0.0016</v>
      </c>
      <c r="AF7" s="372">
        <f t="shared" si="6"/>
        <v>6.08</v>
      </c>
      <c r="AG7" s="372"/>
      <c r="AH7" s="372"/>
      <c r="AI7" s="372"/>
      <c r="AJ7" s="372"/>
      <c r="AK7" s="372"/>
      <c r="AL7" s="381"/>
      <c r="AM7" s="372"/>
      <c r="AN7" s="372"/>
      <c r="AO7" s="372"/>
      <c r="AP7" s="176"/>
      <c r="AQ7" s="383">
        <v>26.76</v>
      </c>
      <c r="AR7" s="372"/>
      <c r="AS7" s="384">
        <f t="shared" si="7"/>
        <v>969.55</v>
      </c>
      <c r="AT7" s="384">
        <f t="shared" si="8"/>
        <v>435.35</v>
      </c>
      <c r="AU7" s="384">
        <f t="shared" si="9"/>
        <v>0</v>
      </c>
      <c r="AV7" s="384">
        <f t="shared" si="10"/>
        <v>0</v>
      </c>
      <c r="AW7" s="384">
        <f t="shared" si="11"/>
        <v>1404.9</v>
      </c>
      <c r="AX7" s="237">
        <f t="shared" si="12"/>
        <v>1404.9</v>
      </c>
      <c r="AY7" s="237"/>
      <c r="AZ7" s="237">
        <f t="shared" si="13"/>
        <v>0</v>
      </c>
      <c r="BA7" s="237"/>
      <c r="BB7" s="238">
        <v>80</v>
      </c>
      <c r="BC7" s="237">
        <f t="shared" si="14"/>
        <v>1484.9</v>
      </c>
      <c r="BD7" s="387"/>
      <c r="BE7" s="393"/>
      <c r="BF7" s="393"/>
      <c r="BG7" s="393"/>
      <c r="BH7" s="393"/>
    </row>
    <row r="8" s="370" customFormat="1" ht="18" customHeight="1" spans="1:60">
      <c r="A8" s="372"/>
      <c r="B8" s="176" t="s">
        <v>39</v>
      </c>
      <c r="C8" s="177" t="s">
        <v>50</v>
      </c>
      <c r="D8" s="373" t="s">
        <v>41</v>
      </c>
      <c r="E8" s="176" t="s">
        <v>51</v>
      </c>
      <c r="F8" s="178" t="s">
        <v>52</v>
      </c>
      <c r="G8" s="395" t="s">
        <v>53</v>
      </c>
      <c r="H8" s="373" t="s">
        <v>45</v>
      </c>
      <c r="I8" s="373" t="s">
        <v>54</v>
      </c>
      <c r="J8" s="373" t="s">
        <v>49</v>
      </c>
      <c r="K8" s="373" t="s">
        <v>54</v>
      </c>
      <c r="L8" s="372">
        <v>3803</v>
      </c>
      <c r="M8" s="372">
        <v>0.14</v>
      </c>
      <c r="N8" s="372">
        <f t="shared" si="0"/>
        <v>532.42</v>
      </c>
      <c r="O8" s="372">
        <v>0.08</v>
      </c>
      <c r="P8" s="372">
        <f t="shared" si="1"/>
        <v>304.24</v>
      </c>
      <c r="Q8" s="372">
        <v>6175</v>
      </c>
      <c r="R8" s="372">
        <v>0.055</v>
      </c>
      <c r="S8" s="372">
        <f t="shared" si="2"/>
        <v>339.63</v>
      </c>
      <c r="T8" s="372">
        <v>0.02</v>
      </c>
      <c r="U8" s="372">
        <f t="shared" si="3"/>
        <v>123.5</v>
      </c>
      <c r="V8" s="372">
        <v>3803</v>
      </c>
      <c r="W8" s="372">
        <v>0.0032</v>
      </c>
      <c r="X8" s="372">
        <f t="shared" si="4"/>
        <v>12.17</v>
      </c>
      <c r="Y8" s="372">
        <v>0.002</v>
      </c>
      <c r="Z8" s="372">
        <f t="shared" si="5"/>
        <v>7.61</v>
      </c>
      <c r="AA8" s="372">
        <v>6175</v>
      </c>
      <c r="AB8" s="372">
        <v>0.0085</v>
      </c>
      <c r="AC8" s="372">
        <f t="shared" si="15"/>
        <v>52.49</v>
      </c>
      <c r="AD8" s="372">
        <v>3803</v>
      </c>
      <c r="AE8" s="372">
        <v>0.0016</v>
      </c>
      <c r="AF8" s="372">
        <f t="shared" si="6"/>
        <v>6.08</v>
      </c>
      <c r="AG8" s="372"/>
      <c r="AH8" s="372"/>
      <c r="AI8" s="372"/>
      <c r="AJ8" s="372"/>
      <c r="AK8" s="372"/>
      <c r="AL8" s="381"/>
      <c r="AM8" s="372"/>
      <c r="AN8" s="372"/>
      <c r="AO8" s="372"/>
      <c r="AP8" s="176"/>
      <c r="AQ8" s="383">
        <v>26.76</v>
      </c>
      <c r="AR8" s="372"/>
      <c r="AS8" s="384">
        <f t="shared" si="7"/>
        <v>969.55</v>
      </c>
      <c r="AT8" s="384">
        <f t="shared" si="8"/>
        <v>435.35</v>
      </c>
      <c r="AU8" s="384">
        <f t="shared" si="9"/>
        <v>0</v>
      </c>
      <c r="AV8" s="384">
        <f t="shared" si="10"/>
        <v>0</v>
      </c>
      <c r="AW8" s="384">
        <f t="shared" si="11"/>
        <v>1404.9</v>
      </c>
      <c r="AX8" s="237">
        <f t="shared" si="12"/>
        <v>1404.9</v>
      </c>
      <c r="AY8" s="237"/>
      <c r="AZ8" s="237">
        <f t="shared" si="13"/>
        <v>0</v>
      </c>
      <c r="BA8" s="237"/>
      <c r="BB8" s="238">
        <v>80</v>
      </c>
      <c r="BC8" s="237">
        <f t="shared" si="14"/>
        <v>1484.9</v>
      </c>
      <c r="BD8" s="387"/>
      <c r="BE8" s="393"/>
      <c r="BF8" s="393"/>
      <c r="BG8" s="393"/>
      <c r="BH8" s="393"/>
    </row>
    <row r="9" s="371" customFormat="1" ht="18" customHeight="1" spans="1:60">
      <c r="A9" s="374" t="s">
        <v>55</v>
      </c>
      <c r="B9" s="375" t="s">
        <v>39</v>
      </c>
      <c r="C9" s="376" t="s">
        <v>50</v>
      </c>
      <c r="D9" s="377" t="s">
        <v>41</v>
      </c>
      <c r="E9" s="375" t="s">
        <v>51</v>
      </c>
      <c r="F9" s="378" t="s">
        <v>52</v>
      </c>
      <c r="G9" s="396" t="s">
        <v>53</v>
      </c>
      <c r="H9" s="377" t="s">
        <v>45</v>
      </c>
      <c r="I9" s="377" t="s">
        <v>54</v>
      </c>
      <c r="J9" s="377" t="s">
        <v>56</v>
      </c>
      <c r="K9" s="377" t="s">
        <v>54</v>
      </c>
      <c r="L9" s="374"/>
      <c r="M9" s="374"/>
      <c r="N9" s="374"/>
      <c r="O9" s="374"/>
      <c r="P9" s="374"/>
      <c r="Q9" s="374"/>
      <c r="R9" s="374"/>
      <c r="S9" s="374"/>
      <c r="T9" s="374"/>
      <c r="U9" s="374"/>
      <c r="V9" s="374"/>
      <c r="W9" s="374"/>
      <c r="X9" s="374"/>
      <c r="Y9" s="374"/>
      <c r="Z9" s="374"/>
      <c r="AA9" s="374"/>
      <c r="AB9" s="374"/>
      <c r="AC9" s="374"/>
      <c r="AD9" s="380">
        <f t="shared" ref="AD9:AD11" si="16">3803-3000</f>
        <v>803</v>
      </c>
      <c r="AE9" s="380">
        <v>0.0016</v>
      </c>
      <c r="AF9" s="380">
        <f t="shared" si="6"/>
        <v>1.28</v>
      </c>
      <c r="AG9" s="374"/>
      <c r="AH9" s="374"/>
      <c r="AI9" s="374"/>
      <c r="AJ9" s="374"/>
      <c r="AK9" s="374"/>
      <c r="AL9" s="382"/>
      <c r="AM9" s="374"/>
      <c r="AN9" s="374"/>
      <c r="AO9" s="374"/>
      <c r="AP9" s="375"/>
      <c r="AQ9" s="385"/>
      <c r="AR9" s="374"/>
      <c r="AS9" s="386">
        <f t="shared" si="7"/>
        <v>1.28</v>
      </c>
      <c r="AT9" s="386">
        <f t="shared" si="8"/>
        <v>0</v>
      </c>
      <c r="AU9" s="386">
        <f t="shared" si="9"/>
        <v>0</v>
      </c>
      <c r="AV9" s="386">
        <f t="shared" si="10"/>
        <v>0</v>
      </c>
      <c r="AW9" s="386">
        <f t="shared" si="11"/>
        <v>1.28</v>
      </c>
      <c r="AX9" s="388">
        <f t="shared" si="12"/>
        <v>1.28</v>
      </c>
      <c r="AY9" s="388"/>
      <c r="AZ9" s="388"/>
      <c r="BA9" s="388"/>
      <c r="BB9" s="389"/>
      <c r="BC9" s="388">
        <f t="shared" si="14"/>
        <v>1.28</v>
      </c>
      <c r="BD9" s="390" t="s">
        <v>57</v>
      </c>
      <c r="BE9" s="394"/>
      <c r="BF9" s="394"/>
      <c r="BG9" s="394"/>
      <c r="BH9" s="394"/>
    </row>
    <row r="10" s="371" customFormat="1" ht="18" customHeight="1" spans="1:60">
      <c r="A10" s="374" t="s">
        <v>55</v>
      </c>
      <c r="B10" s="375" t="s">
        <v>39</v>
      </c>
      <c r="C10" s="376" t="s">
        <v>50</v>
      </c>
      <c r="D10" s="377" t="s">
        <v>41</v>
      </c>
      <c r="E10" s="375" t="s">
        <v>51</v>
      </c>
      <c r="F10" s="378" t="s">
        <v>52</v>
      </c>
      <c r="G10" s="396" t="s">
        <v>53</v>
      </c>
      <c r="H10" s="377" t="s">
        <v>45</v>
      </c>
      <c r="I10" s="377" t="s">
        <v>54</v>
      </c>
      <c r="J10" s="377" t="s">
        <v>58</v>
      </c>
      <c r="K10" s="377" t="s">
        <v>54</v>
      </c>
      <c r="L10" s="374"/>
      <c r="M10" s="374"/>
      <c r="N10" s="374"/>
      <c r="O10" s="374"/>
      <c r="P10" s="374"/>
      <c r="Q10" s="374"/>
      <c r="R10" s="374"/>
      <c r="S10" s="374"/>
      <c r="T10" s="374"/>
      <c r="U10" s="374"/>
      <c r="V10" s="374"/>
      <c r="W10" s="374"/>
      <c r="X10" s="374"/>
      <c r="Y10" s="374"/>
      <c r="Z10" s="374"/>
      <c r="AA10" s="374"/>
      <c r="AB10" s="374"/>
      <c r="AC10" s="374"/>
      <c r="AD10" s="380">
        <f t="shared" si="16"/>
        <v>803</v>
      </c>
      <c r="AE10" s="380">
        <v>0.0016</v>
      </c>
      <c r="AF10" s="380">
        <f t="shared" si="6"/>
        <v>1.28</v>
      </c>
      <c r="AG10" s="374"/>
      <c r="AH10" s="374"/>
      <c r="AI10" s="374"/>
      <c r="AJ10" s="374"/>
      <c r="AK10" s="374"/>
      <c r="AL10" s="382"/>
      <c r="AM10" s="374"/>
      <c r="AN10" s="374"/>
      <c r="AO10" s="374"/>
      <c r="AP10" s="375"/>
      <c r="AQ10" s="385"/>
      <c r="AR10" s="374"/>
      <c r="AS10" s="386">
        <f t="shared" si="7"/>
        <v>1.28</v>
      </c>
      <c r="AT10" s="386">
        <f t="shared" si="8"/>
        <v>0</v>
      </c>
      <c r="AU10" s="386">
        <f t="shared" si="9"/>
        <v>0</v>
      </c>
      <c r="AV10" s="386">
        <f t="shared" si="10"/>
        <v>0</v>
      </c>
      <c r="AW10" s="386">
        <f t="shared" si="11"/>
        <v>1.28</v>
      </c>
      <c r="AX10" s="388">
        <f t="shared" si="12"/>
        <v>1.28</v>
      </c>
      <c r="AY10" s="388"/>
      <c r="AZ10" s="388"/>
      <c r="BA10" s="388"/>
      <c r="BB10" s="389"/>
      <c r="BC10" s="388">
        <f t="shared" si="14"/>
        <v>1.28</v>
      </c>
      <c r="BD10" s="390" t="s">
        <v>57</v>
      </c>
      <c r="BE10" s="394"/>
      <c r="BF10" s="394"/>
      <c r="BG10" s="394"/>
      <c r="BH10" s="394"/>
    </row>
    <row r="11" s="371" customFormat="1" ht="18" customHeight="1" spans="1:60">
      <c r="A11" s="374" t="s">
        <v>55</v>
      </c>
      <c r="B11" s="375" t="s">
        <v>39</v>
      </c>
      <c r="C11" s="376" t="s">
        <v>50</v>
      </c>
      <c r="D11" s="377" t="s">
        <v>41</v>
      </c>
      <c r="E11" s="375" t="s">
        <v>51</v>
      </c>
      <c r="F11" s="378" t="s">
        <v>52</v>
      </c>
      <c r="G11" s="396" t="s">
        <v>53</v>
      </c>
      <c r="H11" s="377" t="s">
        <v>45</v>
      </c>
      <c r="I11" s="377" t="s">
        <v>54</v>
      </c>
      <c r="J11" s="377" t="s">
        <v>59</v>
      </c>
      <c r="K11" s="377" t="s">
        <v>54</v>
      </c>
      <c r="L11" s="374"/>
      <c r="M11" s="374"/>
      <c r="N11" s="374"/>
      <c r="O11" s="374"/>
      <c r="P11" s="374"/>
      <c r="Q11" s="374"/>
      <c r="R11" s="374"/>
      <c r="S11" s="374"/>
      <c r="T11" s="374"/>
      <c r="U11" s="374"/>
      <c r="V11" s="374"/>
      <c r="W11" s="374"/>
      <c r="X11" s="374"/>
      <c r="Y11" s="374"/>
      <c r="Z11" s="374"/>
      <c r="AA11" s="374"/>
      <c r="AB11" s="374"/>
      <c r="AC11" s="374"/>
      <c r="AD11" s="380">
        <f t="shared" si="16"/>
        <v>803</v>
      </c>
      <c r="AE11" s="380">
        <v>0.0016</v>
      </c>
      <c r="AF11" s="380">
        <f t="shared" si="6"/>
        <v>1.28</v>
      </c>
      <c r="AG11" s="374"/>
      <c r="AH11" s="374"/>
      <c r="AI11" s="374"/>
      <c r="AJ11" s="374"/>
      <c r="AK11" s="374"/>
      <c r="AL11" s="382"/>
      <c r="AM11" s="374"/>
      <c r="AN11" s="374"/>
      <c r="AO11" s="374"/>
      <c r="AP11" s="375"/>
      <c r="AQ11" s="385"/>
      <c r="AR11" s="374"/>
      <c r="AS11" s="386">
        <f t="shared" si="7"/>
        <v>1.28</v>
      </c>
      <c r="AT11" s="386">
        <f t="shared" si="8"/>
        <v>0</v>
      </c>
      <c r="AU11" s="386">
        <f t="shared" si="9"/>
        <v>0</v>
      </c>
      <c r="AV11" s="386">
        <f t="shared" si="10"/>
        <v>0</v>
      </c>
      <c r="AW11" s="386">
        <f t="shared" si="11"/>
        <v>1.28</v>
      </c>
      <c r="AX11" s="388">
        <f t="shared" si="12"/>
        <v>1.28</v>
      </c>
      <c r="AY11" s="388"/>
      <c r="AZ11" s="388"/>
      <c r="BA11" s="388"/>
      <c r="BB11" s="389"/>
      <c r="BC11" s="388">
        <f t="shared" si="14"/>
        <v>1.28</v>
      </c>
      <c r="BD11" s="390" t="s">
        <v>57</v>
      </c>
      <c r="BE11" s="394"/>
      <c r="BF11" s="394"/>
      <c r="BG11" s="394"/>
      <c r="BH11" s="394"/>
    </row>
    <row r="12" s="370" customFormat="1" ht="18" customHeight="1" spans="1:60">
      <c r="A12" s="372">
        <v>3</v>
      </c>
      <c r="B12" s="176" t="s">
        <v>39</v>
      </c>
      <c r="C12" s="177" t="s">
        <v>60</v>
      </c>
      <c r="D12" s="373" t="s">
        <v>41</v>
      </c>
      <c r="E12" s="176" t="s">
        <v>51</v>
      </c>
      <c r="F12" s="178" t="s">
        <v>61</v>
      </c>
      <c r="G12" s="179" t="s">
        <v>62</v>
      </c>
      <c r="H12" s="373" t="s">
        <v>63</v>
      </c>
      <c r="I12" s="373" t="s">
        <v>63</v>
      </c>
      <c r="J12" s="373" t="s">
        <v>48</v>
      </c>
      <c r="K12" s="373" t="s">
        <v>48</v>
      </c>
      <c r="L12" s="372">
        <v>3053.05</v>
      </c>
      <c r="M12" s="372">
        <v>0.16</v>
      </c>
      <c r="N12" s="372">
        <f t="shared" ref="N12:N15" si="17">ROUND(L12*M12,2)</f>
        <v>488.49</v>
      </c>
      <c r="O12" s="372">
        <v>0.08</v>
      </c>
      <c r="P12" s="372">
        <f t="shared" ref="P12:P15" si="18">ROUND(L12*O12,2)</f>
        <v>244.24</v>
      </c>
      <c r="Q12" s="372">
        <v>3053.05</v>
      </c>
      <c r="R12" s="372">
        <v>0.06</v>
      </c>
      <c r="S12" s="372">
        <f t="shared" ref="S12:S15" si="19">ROUND(Q12*R12,2)</f>
        <v>183.18</v>
      </c>
      <c r="T12" s="372">
        <v>0.02</v>
      </c>
      <c r="U12" s="372">
        <f t="shared" ref="U12:U15" si="20">ROUND(Q12*T12,2)</f>
        <v>61.06</v>
      </c>
      <c r="V12" s="372">
        <v>3053.05</v>
      </c>
      <c r="W12" s="372">
        <v>0.007</v>
      </c>
      <c r="X12" s="372">
        <f t="shared" ref="X12:X15" si="21">ROUND(V12*W12,2)</f>
        <v>21.37</v>
      </c>
      <c r="Y12" s="372">
        <v>0.003</v>
      </c>
      <c r="Z12" s="372">
        <f t="shared" ref="Z12:Z15" si="22">ROUND(V12*Y12,2)</f>
        <v>9.16</v>
      </c>
      <c r="AA12" s="372">
        <v>3053.05</v>
      </c>
      <c r="AB12" s="372">
        <v>0.007</v>
      </c>
      <c r="AC12" s="372">
        <f t="shared" ref="AC12:AC15" si="23">ROUND(AA12*AB12,2)</f>
        <v>21.37</v>
      </c>
      <c r="AD12" s="372">
        <v>3053.05</v>
      </c>
      <c r="AE12" s="372">
        <v>0.002</v>
      </c>
      <c r="AF12" s="372">
        <f t="shared" si="6"/>
        <v>6.11</v>
      </c>
      <c r="AG12" s="372" t="s">
        <v>64</v>
      </c>
      <c r="AH12" s="372">
        <v>0.05</v>
      </c>
      <c r="AI12" s="372">
        <f t="shared" ref="AI12:AI15" si="24">ROUND(AG12*AH12,2)</f>
        <v>79</v>
      </c>
      <c r="AJ12" s="372">
        <v>0.05</v>
      </c>
      <c r="AK12" s="372">
        <f t="shared" ref="AK12:AK15" si="25">ROUND(AG12*AJ12,2)</f>
        <v>79</v>
      </c>
      <c r="AL12" s="381"/>
      <c r="AM12" s="372"/>
      <c r="AN12" s="372"/>
      <c r="AO12" s="372"/>
      <c r="AP12" s="176"/>
      <c r="AQ12" s="383"/>
      <c r="AR12" s="372">
        <v>96</v>
      </c>
      <c r="AS12" s="384">
        <f t="shared" si="7"/>
        <v>720.52</v>
      </c>
      <c r="AT12" s="384">
        <f t="shared" si="8"/>
        <v>314.46</v>
      </c>
      <c r="AU12" s="384">
        <f t="shared" si="9"/>
        <v>79</v>
      </c>
      <c r="AV12" s="384">
        <f t="shared" si="10"/>
        <v>79</v>
      </c>
      <c r="AW12" s="384">
        <f t="shared" si="11"/>
        <v>1192.98</v>
      </c>
      <c r="AX12" s="237">
        <f t="shared" si="12"/>
        <v>1034.98</v>
      </c>
      <c r="AY12" s="237"/>
      <c r="AZ12" s="237">
        <f t="shared" ref="AZ12:AZ15" si="26">AU12+AV12</f>
        <v>158</v>
      </c>
      <c r="BA12" s="237"/>
      <c r="BB12" s="238">
        <v>80</v>
      </c>
      <c r="BC12" s="237">
        <f t="shared" si="14"/>
        <v>1272.98</v>
      </c>
      <c r="BD12" s="387"/>
      <c r="BE12" s="393"/>
      <c r="BF12" s="393"/>
      <c r="BG12" s="393"/>
      <c r="BH12" s="393"/>
    </row>
    <row r="13" s="370" customFormat="1" ht="18" customHeight="1" spans="1:60">
      <c r="A13" s="372"/>
      <c r="B13" s="176" t="s">
        <v>39</v>
      </c>
      <c r="C13" s="177" t="s">
        <v>60</v>
      </c>
      <c r="D13" s="373" t="s">
        <v>41</v>
      </c>
      <c r="E13" s="176" t="s">
        <v>51</v>
      </c>
      <c r="F13" s="178" t="s">
        <v>61</v>
      </c>
      <c r="G13" s="179" t="s">
        <v>62</v>
      </c>
      <c r="H13" s="373" t="s">
        <v>63</v>
      </c>
      <c r="I13" s="373" t="s">
        <v>63</v>
      </c>
      <c r="J13" s="373" t="s">
        <v>49</v>
      </c>
      <c r="K13" s="373" t="s">
        <v>49</v>
      </c>
      <c r="L13" s="372">
        <v>3053.05</v>
      </c>
      <c r="M13" s="372">
        <v>0.16</v>
      </c>
      <c r="N13" s="372">
        <f t="shared" si="17"/>
        <v>488.49</v>
      </c>
      <c r="O13" s="372">
        <v>0.08</v>
      </c>
      <c r="P13" s="372">
        <f t="shared" si="18"/>
        <v>244.24</v>
      </c>
      <c r="Q13" s="372">
        <v>3053.05</v>
      </c>
      <c r="R13" s="372">
        <v>0.06</v>
      </c>
      <c r="S13" s="372">
        <f t="shared" si="19"/>
        <v>183.18</v>
      </c>
      <c r="T13" s="372">
        <v>0.02</v>
      </c>
      <c r="U13" s="372">
        <f t="shared" si="20"/>
        <v>61.06</v>
      </c>
      <c r="V13" s="372">
        <v>3053.05</v>
      </c>
      <c r="W13" s="372">
        <v>0.007</v>
      </c>
      <c r="X13" s="372">
        <f t="shared" si="21"/>
        <v>21.37</v>
      </c>
      <c r="Y13" s="372">
        <v>0.003</v>
      </c>
      <c r="Z13" s="372">
        <f t="shared" si="22"/>
        <v>9.16</v>
      </c>
      <c r="AA13" s="372">
        <v>3053.05</v>
      </c>
      <c r="AB13" s="372">
        <v>0.007</v>
      </c>
      <c r="AC13" s="372">
        <f t="shared" si="23"/>
        <v>21.37</v>
      </c>
      <c r="AD13" s="372">
        <v>3053.05</v>
      </c>
      <c r="AE13" s="372">
        <v>0.002</v>
      </c>
      <c r="AF13" s="372">
        <f t="shared" si="6"/>
        <v>6.11</v>
      </c>
      <c r="AG13" s="372" t="s">
        <v>64</v>
      </c>
      <c r="AH13" s="372">
        <v>0.05</v>
      </c>
      <c r="AI13" s="372">
        <f t="shared" si="24"/>
        <v>79</v>
      </c>
      <c r="AJ13" s="372">
        <v>0.05</v>
      </c>
      <c r="AK13" s="372">
        <f t="shared" si="25"/>
        <v>79</v>
      </c>
      <c r="AL13" s="381"/>
      <c r="AM13" s="372"/>
      <c r="AN13" s="372"/>
      <c r="AO13" s="372"/>
      <c r="AP13" s="176"/>
      <c r="AQ13" s="383"/>
      <c r="AR13" s="383"/>
      <c r="AS13" s="384">
        <f t="shared" si="7"/>
        <v>720.52</v>
      </c>
      <c r="AT13" s="384">
        <f t="shared" si="8"/>
        <v>314.46</v>
      </c>
      <c r="AU13" s="384">
        <f t="shared" si="9"/>
        <v>79</v>
      </c>
      <c r="AV13" s="384">
        <f t="shared" si="10"/>
        <v>79</v>
      </c>
      <c r="AW13" s="384">
        <f t="shared" si="11"/>
        <v>1192.98</v>
      </c>
      <c r="AX13" s="237">
        <f t="shared" si="12"/>
        <v>1034.98</v>
      </c>
      <c r="AY13" s="237"/>
      <c r="AZ13" s="237">
        <f t="shared" si="26"/>
        <v>158</v>
      </c>
      <c r="BA13" s="237"/>
      <c r="BB13" s="238">
        <v>80</v>
      </c>
      <c r="BC13" s="237">
        <f t="shared" si="14"/>
        <v>1272.98</v>
      </c>
      <c r="BD13" s="387"/>
      <c r="BE13" s="393"/>
      <c r="BF13" s="393"/>
      <c r="BG13" s="393"/>
      <c r="BH13" s="393"/>
    </row>
    <row r="14" s="370" customFormat="1" ht="18" customHeight="1" spans="1:60">
      <c r="A14" s="372"/>
      <c r="B14" s="176" t="s">
        <v>39</v>
      </c>
      <c r="C14" s="177" t="s">
        <v>60</v>
      </c>
      <c r="D14" s="373" t="s">
        <v>41</v>
      </c>
      <c r="E14" s="176" t="s">
        <v>51</v>
      </c>
      <c r="F14" s="178" t="s">
        <v>61</v>
      </c>
      <c r="G14" s="179" t="s">
        <v>62</v>
      </c>
      <c r="H14" s="373" t="s">
        <v>63</v>
      </c>
      <c r="I14" s="373" t="s">
        <v>63</v>
      </c>
      <c r="J14" s="373" t="s">
        <v>65</v>
      </c>
      <c r="K14" s="373" t="s">
        <v>65</v>
      </c>
      <c r="L14" s="372">
        <v>3053.05</v>
      </c>
      <c r="M14" s="372">
        <v>0.16</v>
      </c>
      <c r="N14" s="372">
        <f t="shared" si="17"/>
        <v>488.49</v>
      </c>
      <c r="O14" s="372">
        <v>0.08</v>
      </c>
      <c r="P14" s="372">
        <f t="shared" si="18"/>
        <v>244.24</v>
      </c>
      <c r="Q14" s="372">
        <v>3053.05</v>
      </c>
      <c r="R14" s="372">
        <v>0.06</v>
      </c>
      <c r="S14" s="372">
        <f t="shared" si="19"/>
        <v>183.18</v>
      </c>
      <c r="T14" s="372">
        <v>0.02</v>
      </c>
      <c r="U14" s="372">
        <f t="shared" si="20"/>
        <v>61.06</v>
      </c>
      <c r="V14" s="372">
        <v>3053.05</v>
      </c>
      <c r="W14" s="372">
        <v>0.007</v>
      </c>
      <c r="X14" s="372">
        <f t="shared" si="21"/>
        <v>21.37</v>
      </c>
      <c r="Y14" s="372">
        <v>0.003</v>
      </c>
      <c r="Z14" s="372">
        <f t="shared" si="22"/>
        <v>9.16</v>
      </c>
      <c r="AA14" s="372">
        <v>3053.05</v>
      </c>
      <c r="AB14" s="372">
        <v>0.007</v>
      </c>
      <c r="AC14" s="372">
        <f t="shared" si="23"/>
        <v>21.37</v>
      </c>
      <c r="AD14" s="372">
        <v>3053.05</v>
      </c>
      <c r="AE14" s="372">
        <v>0.002</v>
      </c>
      <c r="AF14" s="372">
        <f t="shared" si="6"/>
        <v>6.11</v>
      </c>
      <c r="AG14" s="372" t="s">
        <v>64</v>
      </c>
      <c r="AH14" s="372">
        <v>0.05</v>
      </c>
      <c r="AI14" s="372">
        <f t="shared" si="24"/>
        <v>79</v>
      </c>
      <c r="AJ14" s="372">
        <v>0.05</v>
      </c>
      <c r="AK14" s="372">
        <f t="shared" si="25"/>
        <v>79</v>
      </c>
      <c r="AL14" s="381"/>
      <c r="AM14" s="372"/>
      <c r="AN14" s="372"/>
      <c r="AO14" s="372"/>
      <c r="AP14" s="176"/>
      <c r="AQ14" s="383"/>
      <c r="AR14" s="383"/>
      <c r="AS14" s="384">
        <f t="shared" si="7"/>
        <v>720.52</v>
      </c>
      <c r="AT14" s="384">
        <f t="shared" si="8"/>
        <v>314.46</v>
      </c>
      <c r="AU14" s="384">
        <f t="shared" si="9"/>
        <v>79</v>
      </c>
      <c r="AV14" s="384">
        <f t="shared" si="10"/>
        <v>79</v>
      </c>
      <c r="AW14" s="384">
        <f t="shared" si="11"/>
        <v>1192.98</v>
      </c>
      <c r="AX14" s="237">
        <f t="shared" si="12"/>
        <v>1034.98</v>
      </c>
      <c r="AY14" s="237"/>
      <c r="AZ14" s="237">
        <f t="shared" si="26"/>
        <v>158</v>
      </c>
      <c r="BA14" s="237"/>
      <c r="BB14" s="238">
        <v>80</v>
      </c>
      <c r="BC14" s="237">
        <f t="shared" si="14"/>
        <v>1272.98</v>
      </c>
      <c r="BD14" s="387"/>
      <c r="BE14" s="393"/>
      <c r="BF14" s="393"/>
      <c r="BG14" s="393"/>
      <c r="BH14" s="393"/>
    </row>
    <row r="15" s="371" customFormat="1" ht="18" customHeight="1" spans="1:60">
      <c r="A15" s="374" t="s">
        <v>55</v>
      </c>
      <c r="B15" s="375" t="s">
        <v>39</v>
      </c>
      <c r="C15" s="376" t="s">
        <v>60</v>
      </c>
      <c r="D15" s="377" t="s">
        <v>41</v>
      </c>
      <c r="E15" s="375" t="s">
        <v>51</v>
      </c>
      <c r="F15" s="378" t="s">
        <v>61</v>
      </c>
      <c r="G15" s="379" t="s">
        <v>62</v>
      </c>
      <c r="H15" s="377" t="s">
        <v>63</v>
      </c>
      <c r="I15" s="377" t="s">
        <v>63</v>
      </c>
      <c r="J15" s="377" t="s">
        <v>63</v>
      </c>
      <c r="K15" s="377" t="s">
        <v>63</v>
      </c>
      <c r="L15" s="374">
        <v>3053.05</v>
      </c>
      <c r="M15" s="374">
        <v>0.16</v>
      </c>
      <c r="N15" s="374">
        <f t="shared" si="17"/>
        <v>488.49</v>
      </c>
      <c r="O15" s="374">
        <v>0.08</v>
      </c>
      <c r="P15" s="374">
        <f t="shared" si="18"/>
        <v>244.24</v>
      </c>
      <c r="Q15" s="374">
        <v>3053.05</v>
      </c>
      <c r="R15" s="374">
        <v>0.06</v>
      </c>
      <c r="S15" s="374">
        <f t="shared" si="19"/>
        <v>183.18</v>
      </c>
      <c r="T15" s="374">
        <v>0.02</v>
      </c>
      <c r="U15" s="374">
        <f t="shared" si="20"/>
        <v>61.06</v>
      </c>
      <c r="V15" s="374">
        <v>3053.05</v>
      </c>
      <c r="W15" s="374">
        <v>0.007</v>
      </c>
      <c r="X15" s="374">
        <f t="shared" si="21"/>
        <v>21.37</v>
      </c>
      <c r="Y15" s="374">
        <v>0.003</v>
      </c>
      <c r="Z15" s="374">
        <f t="shared" si="22"/>
        <v>9.16</v>
      </c>
      <c r="AA15" s="374">
        <v>3053.05</v>
      </c>
      <c r="AB15" s="374">
        <v>0.007</v>
      </c>
      <c r="AC15" s="374">
        <f t="shared" si="23"/>
        <v>21.37</v>
      </c>
      <c r="AD15" s="374">
        <v>3053.05</v>
      </c>
      <c r="AE15" s="374">
        <v>0.002</v>
      </c>
      <c r="AF15" s="374">
        <f t="shared" si="6"/>
        <v>6.11</v>
      </c>
      <c r="AG15" s="374" t="s">
        <v>64</v>
      </c>
      <c r="AH15" s="374">
        <v>0.05</v>
      </c>
      <c r="AI15" s="374">
        <f t="shared" si="24"/>
        <v>79</v>
      </c>
      <c r="AJ15" s="374">
        <v>0.05</v>
      </c>
      <c r="AK15" s="374">
        <f t="shared" si="25"/>
        <v>79</v>
      </c>
      <c r="AL15" s="382"/>
      <c r="AM15" s="374"/>
      <c r="AN15" s="374"/>
      <c r="AO15" s="374"/>
      <c r="AP15" s="375"/>
      <c r="AQ15" s="385"/>
      <c r="AR15" s="385"/>
      <c r="AS15" s="386">
        <f t="shared" si="7"/>
        <v>720.52</v>
      </c>
      <c r="AT15" s="386">
        <f t="shared" si="8"/>
        <v>314.46</v>
      </c>
      <c r="AU15" s="386">
        <f t="shared" si="9"/>
        <v>79</v>
      </c>
      <c r="AV15" s="386">
        <f t="shared" si="10"/>
        <v>79</v>
      </c>
      <c r="AW15" s="386">
        <f t="shared" si="11"/>
        <v>1192.98</v>
      </c>
      <c r="AX15" s="388">
        <f t="shared" si="12"/>
        <v>1034.98</v>
      </c>
      <c r="AY15" s="388"/>
      <c r="AZ15" s="388">
        <f t="shared" si="26"/>
        <v>158</v>
      </c>
      <c r="BA15" s="388"/>
      <c r="BB15" s="389">
        <v>80</v>
      </c>
      <c r="BC15" s="388">
        <f t="shared" si="14"/>
        <v>1272.98</v>
      </c>
      <c r="BD15" s="390"/>
      <c r="BE15" s="394"/>
      <c r="BF15" s="394"/>
      <c r="BG15" s="394"/>
      <c r="BH15" s="394"/>
    </row>
    <row r="16" s="165" customFormat="1" ht="18" customHeight="1" spans="1:60">
      <c r="A16" s="189"/>
      <c r="B16" s="190"/>
      <c r="C16" s="191"/>
      <c r="D16" s="192"/>
      <c r="E16" s="193"/>
      <c r="F16" s="194"/>
      <c r="G16" s="195"/>
      <c r="H16" s="196"/>
      <c r="I16" s="192"/>
      <c r="J16" s="196"/>
      <c r="K16" s="196"/>
      <c r="L16" s="212"/>
      <c r="M16" s="212"/>
      <c r="N16" s="213"/>
      <c r="O16" s="212"/>
      <c r="P16" s="212"/>
      <c r="Q16" s="212"/>
      <c r="R16" s="212"/>
      <c r="S16" s="212"/>
      <c r="T16" s="212"/>
      <c r="U16" s="212"/>
      <c r="V16" s="216"/>
      <c r="W16" s="216"/>
      <c r="X16" s="217"/>
      <c r="Y16" s="216"/>
      <c r="Z16" s="212"/>
      <c r="AA16" s="212"/>
      <c r="AB16" s="212"/>
      <c r="AC16" s="212"/>
      <c r="AD16" s="212"/>
      <c r="AE16" s="212"/>
      <c r="AF16" s="213"/>
      <c r="AG16" s="212"/>
      <c r="AH16" s="212"/>
      <c r="AI16" s="212"/>
      <c r="AJ16" s="212"/>
      <c r="AK16" s="212"/>
      <c r="AL16" s="222"/>
      <c r="AM16" s="212"/>
      <c r="AN16" s="212"/>
      <c r="AO16" s="212"/>
      <c r="AP16" s="231"/>
      <c r="AQ16" s="232"/>
      <c r="AR16" s="212"/>
      <c r="AS16" s="233"/>
      <c r="AT16" s="233"/>
      <c r="AU16" s="233"/>
      <c r="AV16" s="233"/>
      <c r="AW16" s="233"/>
      <c r="AX16" s="248"/>
      <c r="AY16" s="249"/>
      <c r="AZ16" s="248"/>
      <c r="BA16" s="249"/>
      <c r="BB16" s="250"/>
      <c r="BC16" s="248"/>
      <c r="BD16" s="252"/>
      <c r="BE16" s="168"/>
      <c r="BF16" s="168"/>
      <c r="BG16" s="168"/>
      <c r="BH16" s="168"/>
    </row>
    <row r="17" ht="14.25" spans="1:56">
      <c r="A17" s="197" t="s">
        <v>66</v>
      </c>
      <c r="B17" s="198"/>
      <c r="C17" s="199"/>
      <c r="D17" s="199"/>
      <c r="E17" s="200"/>
      <c r="F17" s="199"/>
      <c r="G17" s="199"/>
      <c r="H17" s="199"/>
      <c r="I17" s="199"/>
      <c r="J17" s="199"/>
      <c r="K17" s="199"/>
      <c r="L17" s="200">
        <f t="shared" ref="L17:BC17" si="27">SUM(L3:L15)</f>
        <v>33521.2</v>
      </c>
      <c r="M17" s="200">
        <f t="shared" si="27"/>
        <v>1.54</v>
      </c>
      <c r="N17" s="200">
        <f t="shared" si="27"/>
        <v>5135.22</v>
      </c>
      <c r="O17" s="200">
        <f t="shared" si="27"/>
        <v>0.8</v>
      </c>
      <c r="P17" s="200">
        <f t="shared" si="27"/>
        <v>2681.68</v>
      </c>
      <c r="Q17" s="200">
        <f t="shared" si="27"/>
        <v>40637.2</v>
      </c>
      <c r="R17" s="200">
        <f t="shared" si="27"/>
        <v>0.645</v>
      </c>
      <c r="S17" s="200">
        <f t="shared" si="27"/>
        <v>2543.61</v>
      </c>
      <c r="T17" s="200">
        <f t="shared" si="27"/>
        <v>0.2</v>
      </c>
      <c r="U17" s="200">
        <f t="shared" si="27"/>
        <v>812.74</v>
      </c>
      <c r="V17" s="200">
        <f t="shared" si="27"/>
        <v>33521.2</v>
      </c>
      <c r="W17" s="200">
        <f t="shared" si="27"/>
        <v>0.0586</v>
      </c>
      <c r="X17" s="200">
        <f t="shared" si="27"/>
        <v>191.29</v>
      </c>
      <c r="Y17" s="200">
        <f t="shared" si="27"/>
        <v>0.027</v>
      </c>
      <c r="Z17" s="200">
        <f t="shared" si="27"/>
        <v>89.17</v>
      </c>
      <c r="AA17" s="200">
        <f t="shared" si="27"/>
        <v>30737.2</v>
      </c>
      <c r="AB17" s="200">
        <f t="shared" si="27"/>
        <v>0.0535</v>
      </c>
      <c r="AC17" s="200">
        <f t="shared" si="27"/>
        <v>242.95</v>
      </c>
      <c r="AD17" s="200">
        <f t="shared" si="27"/>
        <v>35930.2</v>
      </c>
      <c r="AE17" s="200">
        <f t="shared" si="27"/>
        <v>0.0236</v>
      </c>
      <c r="AF17" s="200">
        <f t="shared" si="27"/>
        <v>66.32</v>
      </c>
      <c r="AG17" s="200">
        <f t="shared" si="27"/>
        <v>9000</v>
      </c>
      <c r="AH17" s="200">
        <f t="shared" si="27"/>
        <v>0.5</v>
      </c>
      <c r="AI17" s="200">
        <f t="shared" si="27"/>
        <v>1216</v>
      </c>
      <c r="AJ17" s="200">
        <f t="shared" si="27"/>
        <v>0.38</v>
      </c>
      <c r="AK17" s="200">
        <f t="shared" si="27"/>
        <v>856</v>
      </c>
      <c r="AL17" s="200">
        <f t="shared" si="27"/>
        <v>0</v>
      </c>
      <c r="AM17" s="200">
        <f t="shared" si="27"/>
        <v>0</v>
      </c>
      <c r="AN17" s="200">
        <f t="shared" si="27"/>
        <v>0</v>
      </c>
      <c r="AO17" s="200">
        <f t="shared" si="27"/>
        <v>0</v>
      </c>
      <c r="AP17" s="200">
        <f t="shared" si="27"/>
        <v>0</v>
      </c>
      <c r="AQ17" s="200">
        <f t="shared" si="27"/>
        <v>95.28</v>
      </c>
      <c r="AR17" s="200">
        <f t="shared" si="27"/>
        <v>96</v>
      </c>
      <c r="AS17" s="200">
        <f t="shared" si="27"/>
        <v>8274.67</v>
      </c>
      <c r="AT17" s="200">
        <f t="shared" si="27"/>
        <v>3583.59</v>
      </c>
      <c r="AU17" s="200">
        <f t="shared" si="27"/>
        <v>1216</v>
      </c>
      <c r="AV17" s="200">
        <f t="shared" si="27"/>
        <v>856</v>
      </c>
      <c r="AW17" s="200">
        <f t="shared" si="27"/>
        <v>13930.26</v>
      </c>
      <c r="AX17" s="200">
        <f t="shared" si="27"/>
        <v>11858.26</v>
      </c>
      <c r="AY17" s="200">
        <f t="shared" si="27"/>
        <v>0</v>
      </c>
      <c r="AZ17" s="200">
        <f t="shared" si="27"/>
        <v>2072</v>
      </c>
      <c r="BA17" s="200">
        <f t="shared" si="27"/>
        <v>0</v>
      </c>
      <c r="BB17" s="200">
        <f t="shared" si="27"/>
        <v>800</v>
      </c>
      <c r="BC17" s="200">
        <f t="shared" si="27"/>
        <v>14730.26</v>
      </c>
      <c r="BD17" s="253"/>
    </row>
    <row r="18" ht="15" spans="1:56">
      <c r="A18" s="201" t="s">
        <v>23</v>
      </c>
      <c r="B18" s="202"/>
      <c r="C18" s="203"/>
      <c r="D18" s="203"/>
      <c r="E18" s="204"/>
      <c r="F18" s="204"/>
      <c r="G18" s="204"/>
      <c r="H18" s="204"/>
      <c r="I18" s="204"/>
      <c r="J18" s="204"/>
      <c r="K18" s="204"/>
      <c r="L18" s="214">
        <f t="shared" ref="L18:AX18" si="28">SUM(L17:L17)</f>
        <v>33521.2</v>
      </c>
      <c r="M18" s="214">
        <f t="shared" si="28"/>
        <v>1.54</v>
      </c>
      <c r="N18" s="214">
        <f t="shared" si="28"/>
        <v>5135.22</v>
      </c>
      <c r="O18" s="214">
        <f t="shared" si="28"/>
        <v>0.8</v>
      </c>
      <c r="P18" s="214">
        <f t="shared" si="28"/>
        <v>2681.68</v>
      </c>
      <c r="Q18" s="214">
        <f t="shared" si="28"/>
        <v>40637.2</v>
      </c>
      <c r="R18" s="214">
        <f t="shared" si="28"/>
        <v>0.645</v>
      </c>
      <c r="S18" s="214">
        <f t="shared" si="28"/>
        <v>2543.61</v>
      </c>
      <c r="T18" s="214">
        <f t="shared" si="28"/>
        <v>0.2</v>
      </c>
      <c r="U18" s="214">
        <f t="shared" si="28"/>
        <v>812.74</v>
      </c>
      <c r="V18" s="214">
        <f t="shared" si="28"/>
        <v>33521.2</v>
      </c>
      <c r="W18" s="214">
        <f t="shared" si="28"/>
        <v>0.0586</v>
      </c>
      <c r="X18" s="214">
        <f t="shared" si="28"/>
        <v>191.29</v>
      </c>
      <c r="Y18" s="214">
        <f t="shared" si="28"/>
        <v>0.027</v>
      </c>
      <c r="Z18" s="214">
        <f t="shared" si="28"/>
        <v>89.17</v>
      </c>
      <c r="AA18" s="214">
        <f t="shared" si="28"/>
        <v>30737.2</v>
      </c>
      <c r="AB18" s="214">
        <f t="shared" si="28"/>
        <v>0.0535</v>
      </c>
      <c r="AC18" s="214">
        <f t="shared" si="28"/>
        <v>242.95</v>
      </c>
      <c r="AD18" s="214">
        <f t="shared" si="28"/>
        <v>35930.2</v>
      </c>
      <c r="AE18" s="214">
        <f t="shared" si="28"/>
        <v>0.0236</v>
      </c>
      <c r="AF18" s="214">
        <f t="shared" si="28"/>
        <v>66.32</v>
      </c>
      <c r="AG18" s="214">
        <f t="shared" si="28"/>
        <v>9000</v>
      </c>
      <c r="AH18" s="214">
        <f t="shared" si="28"/>
        <v>0.5</v>
      </c>
      <c r="AI18" s="214">
        <f t="shared" si="28"/>
        <v>1216</v>
      </c>
      <c r="AJ18" s="214">
        <f t="shared" si="28"/>
        <v>0.38</v>
      </c>
      <c r="AK18" s="214">
        <f t="shared" si="28"/>
        <v>856</v>
      </c>
      <c r="AL18" s="214">
        <f t="shared" si="28"/>
        <v>0</v>
      </c>
      <c r="AM18" s="214">
        <f t="shared" si="28"/>
        <v>0</v>
      </c>
      <c r="AN18" s="214">
        <f t="shared" si="28"/>
        <v>0</v>
      </c>
      <c r="AO18" s="214">
        <f t="shared" si="28"/>
        <v>0</v>
      </c>
      <c r="AP18" s="214">
        <f t="shared" si="28"/>
        <v>0</v>
      </c>
      <c r="AQ18" s="214">
        <f t="shared" si="28"/>
        <v>95.28</v>
      </c>
      <c r="AR18" s="214">
        <f t="shared" si="28"/>
        <v>96</v>
      </c>
      <c r="AS18" s="234">
        <f t="shared" si="28"/>
        <v>8274.67</v>
      </c>
      <c r="AT18" s="234">
        <f t="shared" si="28"/>
        <v>3583.59</v>
      </c>
      <c r="AU18" s="234">
        <f t="shared" si="28"/>
        <v>1216</v>
      </c>
      <c r="AV18" s="234">
        <f t="shared" si="28"/>
        <v>856</v>
      </c>
      <c r="AW18" s="234">
        <f t="shared" si="28"/>
        <v>13930.26</v>
      </c>
      <c r="AX18" s="254">
        <f t="shared" si="28"/>
        <v>11858.26</v>
      </c>
      <c r="AY18" s="254"/>
      <c r="AZ18" s="254">
        <f t="shared" ref="AZ18:BC18" si="29">SUM(AZ17:AZ17)</f>
        <v>2072</v>
      </c>
      <c r="BA18" s="254"/>
      <c r="BB18" s="214">
        <f t="shared" si="29"/>
        <v>800</v>
      </c>
      <c r="BC18" s="214">
        <f t="shared" si="29"/>
        <v>14730.26</v>
      </c>
      <c r="BD18" s="255"/>
    </row>
    <row r="19" s="166" customFormat="1" spans="1:56">
      <c r="A19" s="205"/>
      <c r="B19" s="205"/>
      <c r="C19" s="205"/>
      <c r="D19" s="205"/>
      <c r="E19" s="205"/>
      <c r="F19" s="206"/>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5"/>
      <c r="AF19" s="205"/>
      <c r="AG19" s="205"/>
      <c r="AH19" s="205"/>
      <c r="AI19" s="205"/>
      <c r="AJ19" s="205"/>
      <c r="AK19" s="205"/>
      <c r="AL19" s="205"/>
      <c r="AM19" s="205"/>
      <c r="AN19" s="205"/>
      <c r="AO19" s="205"/>
      <c r="AP19" s="205"/>
      <c r="AQ19" s="205"/>
      <c r="AR19" s="205"/>
      <c r="AS19" s="235"/>
      <c r="AT19" s="235"/>
      <c r="AU19" s="235"/>
      <c r="AV19" s="235"/>
      <c r="AW19" s="235"/>
      <c r="AX19" s="205"/>
      <c r="AY19" s="205"/>
      <c r="AZ19" s="205"/>
      <c r="BA19" s="205"/>
      <c r="BB19" s="205"/>
      <c r="BC19" s="205"/>
      <c r="BD19" s="256"/>
    </row>
    <row r="20" s="167" customFormat="1" spans="1:56">
      <c r="A20" s="168"/>
      <c r="B20" s="168"/>
      <c r="C20" s="168"/>
      <c r="D20" s="168"/>
      <c r="E20" s="168"/>
      <c r="F20" s="168"/>
      <c r="G20" s="168"/>
      <c r="H20" s="168"/>
      <c r="I20" s="168"/>
      <c r="J20" s="168"/>
      <c r="K20" s="168"/>
      <c r="L20" s="168"/>
      <c r="M20" s="168"/>
      <c r="N20" s="168"/>
      <c r="O20" s="168"/>
      <c r="P20" s="168"/>
      <c r="Q20" s="168"/>
      <c r="R20" s="168"/>
      <c r="S20" s="168"/>
      <c r="T20" s="168"/>
      <c r="U20" s="168"/>
      <c r="V20" s="168"/>
      <c r="W20" s="168"/>
      <c r="X20" s="168"/>
      <c r="Y20" s="168"/>
      <c r="Z20" s="205"/>
      <c r="AA20" s="205"/>
      <c r="AB20" s="205"/>
      <c r="AC20" s="205"/>
      <c r="AD20" s="205"/>
      <c r="AE20" s="205"/>
      <c r="AF20" s="205"/>
      <c r="AG20" s="205"/>
      <c r="AH20" s="205"/>
      <c r="AI20" s="205"/>
      <c r="AJ20" s="168"/>
      <c r="AK20" s="168"/>
      <c r="AL20" s="168"/>
      <c r="AM20" s="168"/>
      <c r="AN20" s="168"/>
      <c r="AO20" s="168"/>
      <c r="AP20" s="168"/>
      <c r="AQ20" s="168"/>
      <c r="AR20" s="168"/>
      <c r="AS20" s="169"/>
      <c r="AT20" s="169"/>
      <c r="AU20" s="169"/>
      <c r="AV20" s="169"/>
      <c r="AW20" s="169"/>
      <c r="AX20" s="168"/>
      <c r="AY20" s="168"/>
      <c r="AZ20" s="168"/>
      <c r="BA20" s="168"/>
      <c r="BB20" s="168"/>
      <c r="BC20" s="168"/>
      <c r="BD20" s="170"/>
    </row>
    <row r="22" spans="50:55">
      <c r="AX22" s="257"/>
      <c r="AY22" s="257"/>
      <c r="BC22" s="258"/>
    </row>
  </sheetData>
  <mergeCells count="54">
    <mergeCell ref="L1:P1"/>
    <mergeCell ref="Q1:U1"/>
    <mergeCell ref="V1:Z1"/>
    <mergeCell ref="AA1:AC1"/>
    <mergeCell ref="AD1:AF1"/>
    <mergeCell ref="AG1:AK1"/>
    <mergeCell ref="AL1:AP1"/>
    <mergeCell ref="AQ1:AR1"/>
    <mergeCell ref="AS1:AW1"/>
    <mergeCell ref="AX3:AY3"/>
    <mergeCell ref="AZ3:BA3"/>
    <mergeCell ref="AX4:AY4"/>
    <mergeCell ref="AZ4:BA4"/>
    <mergeCell ref="AX5:AY5"/>
    <mergeCell ref="AZ5:BA5"/>
    <mergeCell ref="AX6:AY6"/>
    <mergeCell ref="AZ6:BA6"/>
    <mergeCell ref="AX7:AY7"/>
    <mergeCell ref="AZ7:BA7"/>
    <mergeCell ref="AX8:AY8"/>
    <mergeCell ref="AZ8:BA8"/>
    <mergeCell ref="AX9:AY9"/>
    <mergeCell ref="AZ9:BA9"/>
    <mergeCell ref="AX10:AY10"/>
    <mergeCell ref="AZ10:BA10"/>
    <mergeCell ref="AX11:AY11"/>
    <mergeCell ref="AZ11:BA11"/>
    <mergeCell ref="AX12:AY12"/>
    <mergeCell ref="AZ12:BA12"/>
    <mergeCell ref="AX13:AY13"/>
    <mergeCell ref="AZ13:BA13"/>
    <mergeCell ref="AX14:AY14"/>
    <mergeCell ref="AZ14:BA14"/>
    <mergeCell ref="AX15:AY15"/>
    <mergeCell ref="AZ15:BA15"/>
    <mergeCell ref="AX18:AY18"/>
    <mergeCell ref="AZ18:BA18"/>
    <mergeCell ref="AX22:AY22"/>
    <mergeCell ref="A1:A2"/>
    <mergeCell ref="B1:B2"/>
    <mergeCell ref="C1:C2"/>
    <mergeCell ref="D1:D2"/>
    <mergeCell ref="E1:E2"/>
    <mergeCell ref="F1:F2"/>
    <mergeCell ref="G1:G2"/>
    <mergeCell ref="H1:H2"/>
    <mergeCell ref="I1:I2"/>
    <mergeCell ref="J1:J2"/>
    <mergeCell ref="K1:K2"/>
    <mergeCell ref="BB1:BB2"/>
    <mergeCell ref="BC1:BC2"/>
    <mergeCell ref="BD1:BD2"/>
    <mergeCell ref="AX1:AY2"/>
    <mergeCell ref="AZ1:BA2"/>
  </mergeCells>
  <conditionalFormatting sqref="H1:I1">
    <cfRule type="expression" dxfId="0" priority="1" stopIfTrue="1">
      <formula>AND(COUNTIF($J$1:$J$1,H1)&gt;1,NOT(ISBLANK(H1)))</formula>
    </cfRule>
  </conditionalFormatting>
  <conditionalFormatting sqref="J1">
    <cfRule type="duplicateValues" dxfId="0" priority="2" stopIfTrue="1"/>
  </conditionalFormatting>
  <conditionalFormatting sqref="K1:L1">
    <cfRule type="duplicateValues" dxfId="0" priority="3" stopIfTrue="1"/>
  </conditionalFormatting>
  <conditionalFormatting sqref="Q1">
    <cfRule type="duplicateValues" dxfId="0" priority="4" stopIfTrue="1"/>
  </conditionalFormatting>
  <conditionalFormatting sqref="V1">
    <cfRule type="duplicateValues" dxfId="0" priority="5" stopIfTrue="1"/>
  </conditionalFormatting>
  <conditionalFormatting sqref="AG1">
    <cfRule type="duplicateValues" dxfId="0" priority="6" stopIfTrue="1"/>
  </conditionalFormatting>
  <pageMargins left="0.75" right="0.75" top="1" bottom="1" header="0.5" footer="0.5"/>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AT25"/>
  <sheetViews>
    <sheetView workbookViewId="0">
      <pane xSplit="6" ySplit="3" topLeftCell="G4" activePane="bottomRight" state="frozen"/>
      <selection/>
      <selection pane="topRight"/>
      <selection pane="bottomLeft"/>
      <selection pane="bottomRight" activeCell="E15" sqref="E15"/>
    </sheetView>
  </sheetViews>
  <sheetFormatPr defaultColWidth="9" defaultRowHeight="13.5"/>
  <cols>
    <col min="1" max="1" width="4.45" style="15" customWidth="1"/>
    <col min="2" max="2" width="14" style="15" customWidth="1"/>
    <col min="3" max="3" width="10.45" style="15" customWidth="1"/>
    <col min="4" max="4" width="8.725" style="15" customWidth="1"/>
    <col min="5" max="5" width="19.45" style="16" customWidth="1"/>
    <col min="6" max="6" width="9" style="15"/>
    <col min="7" max="7" width="11.9083333333333" style="17" customWidth="1"/>
    <col min="8" max="8" width="4.63333333333333" style="15" hidden="1" customWidth="1"/>
    <col min="9" max="9" width="5.26666666666667" style="15" hidden="1" customWidth="1"/>
    <col min="10" max="10" width="11.725" style="18" customWidth="1"/>
    <col min="11" max="11" width="5.26666666666667" style="15" customWidth="1"/>
    <col min="12" max="12" width="11.725" style="15" customWidth="1"/>
    <col min="13" max="13" width="9.725" style="15" customWidth="1" outlineLevel="1"/>
    <col min="14" max="15" width="9" style="15" customWidth="1" outlineLevel="1"/>
    <col min="16" max="16" width="11.0916666666667" style="15" customWidth="1" outlineLevel="1"/>
    <col min="17" max="17" width="9.725" style="15" customWidth="1"/>
    <col min="18" max="18" width="9.45" style="15" customWidth="1"/>
    <col min="19" max="19" width="11.45" style="15" customWidth="1"/>
    <col min="20" max="21" width="12.2666666666667" style="15" customWidth="1"/>
    <col min="22" max="27" width="9" style="15" customWidth="1" outlineLevel="1"/>
    <col min="28" max="28" width="11.2666666666667" style="15" customWidth="1"/>
    <col min="29" max="29" width="8.45" style="15" customWidth="1"/>
    <col min="30" max="30" width="15.2666666666667" style="15" customWidth="1"/>
    <col min="31" max="31" width="14" style="15" customWidth="1"/>
    <col min="32" max="32" width="10.725" style="15" customWidth="1"/>
    <col min="33" max="33" width="12.2666666666667" style="15" customWidth="1"/>
    <col min="34" max="34" width="11.45" style="15" customWidth="1"/>
    <col min="35" max="35" width="7.90833333333333" style="19" customWidth="1"/>
    <col min="36" max="36" width="11.45" style="15" customWidth="1"/>
    <col min="37" max="37" width="9" style="15"/>
    <col min="38" max="38" width="11.45" style="15" customWidth="1"/>
    <col min="39" max="40" width="9" style="15" hidden="1" customWidth="1"/>
    <col min="41" max="41" width="19" style="15" customWidth="1"/>
    <col min="42" max="42" width="12.2666666666667" style="15" customWidth="1"/>
    <col min="43" max="43" width="9" style="15"/>
    <col min="44" max="44" width="7" style="15" customWidth="1"/>
    <col min="45" max="45" width="6.725" style="15" customWidth="1"/>
    <col min="46" max="46" width="6.09166666666667" style="15" customWidth="1"/>
    <col min="47" max="16384" width="9" style="15"/>
  </cols>
  <sheetData>
    <row r="1" s="10" customFormat="1" ht="29.25" customHeight="1" spans="1:45">
      <c r="A1" s="20" t="s">
        <v>140</v>
      </c>
      <c r="B1" s="21"/>
      <c r="C1" s="22"/>
      <c r="D1" s="23"/>
      <c r="E1" s="24"/>
      <c r="F1" s="24"/>
      <c r="G1" s="25"/>
      <c r="J1" s="65"/>
      <c r="L1" s="66"/>
      <c r="M1" s="67" t="s">
        <v>141</v>
      </c>
      <c r="N1" s="67"/>
      <c r="O1" s="67"/>
      <c r="P1" s="67"/>
      <c r="Q1" s="90"/>
      <c r="R1" s="90"/>
      <c r="S1" s="90"/>
      <c r="T1" s="90"/>
      <c r="U1" s="90"/>
      <c r="V1" s="90"/>
      <c r="W1" s="90"/>
      <c r="X1" s="90"/>
      <c r="Y1" s="90"/>
      <c r="Z1" s="90"/>
      <c r="AA1" s="90"/>
      <c r="AB1" s="90"/>
      <c r="AC1" s="90"/>
      <c r="AD1" s="66"/>
      <c r="AE1" s="66"/>
      <c r="AF1" s="66"/>
      <c r="AG1" s="66"/>
      <c r="AH1" s="66"/>
      <c r="AI1" s="104"/>
      <c r="AJ1" s="66"/>
      <c r="AK1" s="66"/>
      <c r="AL1" s="66"/>
      <c r="AM1" s="24"/>
      <c r="AN1" s="24"/>
      <c r="AO1" s="114"/>
      <c r="AP1" s="24"/>
      <c r="AQ1" s="24"/>
      <c r="AR1" s="24"/>
      <c r="AS1" s="24"/>
    </row>
    <row r="2" s="11" customFormat="1" ht="20.15" customHeight="1" spans="1:46">
      <c r="A2" s="26" t="s">
        <v>0</v>
      </c>
      <c r="B2" s="27" t="s">
        <v>142</v>
      </c>
      <c r="C2" s="28" t="s">
        <v>143</v>
      </c>
      <c r="D2" s="28" t="s">
        <v>144</v>
      </c>
      <c r="E2" s="29" t="s">
        <v>145</v>
      </c>
      <c r="F2" s="30" t="s">
        <v>146</v>
      </c>
      <c r="G2" s="29" t="s">
        <v>147</v>
      </c>
      <c r="H2" s="29" t="s">
        <v>148</v>
      </c>
      <c r="I2" s="29" t="s">
        <v>149</v>
      </c>
      <c r="J2" s="68" t="s">
        <v>150</v>
      </c>
      <c r="K2" s="29" t="s">
        <v>151</v>
      </c>
      <c r="L2" s="29" t="s">
        <v>152</v>
      </c>
      <c r="M2" s="69" t="s">
        <v>153</v>
      </c>
      <c r="N2" s="70"/>
      <c r="O2" s="70"/>
      <c r="P2" s="71"/>
      <c r="Q2" s="30" t="s">
        <v>154</v>
      </c>
      <c r="R2" s="29" t="s">
        <v>155</v>
      </c>
      <c r="S2" s="30" t="s">
        <v>156</v>
      </c>
      <c r="T2" s="91" t="s">
        <v>157</v>
      </c>
      <c r="U2" s="30" t="s">
        <v>158</v>
      </c>
      <c r="V2" s="92" t="s">
        <v>159</v>
      </c>
      <c r="W2" s="93"/>
      <c r="X2" s="93"/>
      <c r="Y2" s="93"/>
      <c r="Z2" s="93"/>
      <c r="AA2" s="99"/>
      <c r="AB2" s="30" t="s">
        <v>160</v>
      </c>
      <c r="AC2" s="30" t="s">
        <v>161</v>
      </c>
      <c r="AD2" s="91" t="s">
        <v>162</v>
      </c>
      <c r="AE2" s="91" t="s">
        <v>163</v>
      </c>
      <c r="AF2" s="91" t="s">
        <v>164</v>
      </c>
      <c r="AG2" s="91" t="s">
        <v>165</v>
      </c>
      <c r="AH2" s="105" t="s">
        <v>166</v>
      </c>
      <c r="AI2" s="106" t="s">
        <v>167</v>
      </c>
      <c r="AJ2" s="105" t="s">
        <v>168</v>
      </c>
      <c r="AK2" s="28" t="s">
        <v>22</v>
      </c>
      <c r="AL2" s="105" t="s">
        <v>169</v>
      </c>
      <c r="AM2" s="29" t="s">
        <v>170</v>
      </c>
      <c r="AN2" s="29" t="s">
        <v>171</v>
      </c>
      <c r="AO2" s="115" t="s">
        <v>172</v>
      </c>
      <c r="AP2" s="29" t="s">
        <v>173</v>
      </c>
      <c r="AQ2" s="29" t="s">
        <v>174</v>
      </c>
      <c r="AR2" s="30" t="s">
        <v>175</v>
      </c>
      <c r="AS2" s="30" t="s">
        <v>176</v>
      </c>
      <c r="AT2" s="30" t="s">
        <v>177</v>
      </c>
    </row>
    <row r="3" s="11" customFormat="1" ht="27" customHeight="1" spans="1:46">
      <c r="A3" s="31"/>
      <c r="B3" s="32"/>
      <c r="C3" s="33"/>
      <c r="D3" s="33"/>
      <c r="E3" s="34"/>
      <c r="F3" s="35"/>
      <c r="G3" s="34"/>
      <c r="H3" s="34"/>
      <c r="I3" s="34"/>
      <c r="J3" s="72"/>
      <c r="K3" s="34"/>
      <c r="L3" s="34"/>
      <c r="M3" s="73" t="s">
        <v>178</v>
      </c>
      <c r="N3" s="73" t="s">
        <v>179</v>
      </c>
      <c r="O3" s="73" t="s">
        <v>180</v>
      </c>
      <c r="P3" s="73" t="s">
        <v>37</v>
      </c>
      <c r="Q3" s="35"/>
      <c r="R3" s="34"/>
      <c r="S3" s="35"/>
      <c r="T3" s="94"/>
      <c r="U3" s="35"/>
      <c r="V3" s="95" t="s">
        <v>181</v>
      </c>
      <c r="W3" s="95" t="s">
        <v>182</v>
      </c>
      <c r="X3" s="95" t="s">
        <v>183</v>
      </c>
      <c r="Y3" s="95" t="s">
        <v>184</v>
      </c>
      <c r="Z3" s="95" t="s">
        <v>185</v>
      </c>
      <c r="AA3" s="95" t="s">
        <v>186</v>
      </c>
      <c r="AB3" s="35"/>
      <c r="AC3" s="35"/>
      <c r="AD3" s="94"/>
      <c r="AE3" s="94"/>
      <c r="AF3" s="94"/>
      <c r="AG3" s="94"/>
      <c r="AH3" s="107"/>
      <c r="AI3" s="108"/>
      <c r="AJ3" s="107"/>
      <c r="AK3" s="33"/>
      <c r="AL3" s="107"/>
      <c r="AM3" s="34"/>
      <c r="AN3" s="34"/>
      <c r="AO3" s="116"/>
      <c r="AP3" s="34"/>
      <c r="AQ3" s="34"/>
      <c r="AR3" s="35"/>
      <c r="AS3" s="35"/>
      <c r="AT3" s="35"/>
    </row>
    <row r="4" s="12" customFormat="1" ht="18" customHeight="1" spans="1:46">
      <c r="A4" s="36">
        <v>1</v>
      </c>
      <c r="B4" s="37" t="s">
        <v>187</v>
      </c>
      <c r="C4" s="37" t="s">
        <v>43</v>
      </c>
      <c r="D4" s="37" t="s">
        <v>188</v>
      </c>
      <c r="E4" s="37" t="s">
        <v>44</v>
      </c>
      <c r="F4" s="38" t="s">
        <v>189</v>
      </c>
      <c r="G4" s="45">
        <v>18035163638</v>
      </c>
      <c r="H4" s="40"/>
      <c r="I4" s="40"/>
      <c r="J4" s="74"/>
      <c r="K4" s="40"/>
      <c r="L4" s="78">
        <v>9280</v>
      </c>
      <c r="M4" s="76">
        <v>264</v>
      </c>
      <c r="N4" s="76">
        <v>66</v>
      </c>
      <c r="O4" s="76">
        <v>9.9</v>
      </c>
      <c r="P4" s="76">
        <v>180</v>
      </c>
      <c r="Q4" s="96">
        <f>ROUND(SUM(M4:P4),2)</f>
        <v>519.9</v>
      </c>
      <c r="R4" s="78">
        <v>0</v>
      </c>
      <c r="S4" s="97">
        <f>L4</f>
        <v>9280</v>
      </c>
      <c r="T4" s="98">
        <v>5000</v>
      </c>
      <c r="U4" s="98">
        <f>Q4</f>
        <v>519.9</v>
      </c>
      <c r="V4" s="78">
        <v>1000</v>
      </c>
      <c r="W4" s="78"/>
      <c r="X4" s="78">
        <v>1000</v>
      </c>
      <c r="Y4" s="78"/>
      <c r="Z4" s="78"/>
      <c r="AA4" s="78"/>
      <c r="AB4" s="97">
        <f>ROUND(SUM(V4:AA4),2)</f>
        <v>2000</v>
      </c>
      <c r="AC4" s="97">
        <f>R4</f>
        <v>0</v>
      </c>
      <c r="AD4" s="100">
        <f>ROUND(S4-T4-U4-AB4-AC4,2)</f>
        <v>1760.1</v>
      </c>
      <c r="AE4" s="101">
        <f>ROUND(MAX((AD4)*{0.03;0.1;0.2;0.25;0.3;0.35;0.45}-{0;2520;16920;31920;52920;85920;181920},0),2)</f>
        <v>52.8</v>
      </c>
      <c r="AF4" s="102">
        <v>0</v>
      </c>
      <c r="AG4" s="102">
        <f>IF((AE4-AF4)&lt;0,0,AE4-AF4)</f>
        <v>52.8</v>
      </c>
      <c r="AH4" s="109">
        <f>ROUND(IF((L4-Q4-AG4)&lt;0,0,(L4-Q4-AG4)),2)</f>
        <v>8707.3</v>
      </c>
      <c r="AI4" s="110"/>
      <c r="AJ4" s="109">
        <f>AH4+AI4</f>
        <v>8707.3</v>
      </c>
      <c r="AK4" s="111"/>
      <c r="AL4" s="109">
        <f>AJ4+AG4+AK4</f>
        <v>8760.1</v>
      </c>
      <c r="AM4" s="111"/>
      <c r="AN4" s="111"/>
      <c r="AO4" s="111" t="s">
        <v>240</v>
      </c>
      <c r="AP4" s="111" t="s">
        <v>241</v>
      </c>
      <c r="AQ4" s="111" t="s">
        <v>242</v>
      </c>
      <c r="AR4" s="117"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7" t="str">
        <f>IF(SUMPRODUCT(N(E$1:E$8=E4))&gt;1,"重复","不")</f>
        <v>不</v>
      </c>
      <c r="AT4" s="117" t="str">
        <f>IF(SUMPRODUCT(N(AO$1:AO$8=AO4))&gt;1,"重复","不")</f>
        <v>重复</v>
      </c>
    </row>
    <row r="5" s="12" customFormat="1" ht="18" customHeight="1" spans="1:46">
      <c r="A5" s="36">
        <v>2</v>
      </c>
      <c r="B5" s="37" t="s">
        <v>187</v>
      </c>
      <c r="C5" s="37" t="s">
        <v>61</v>
      </c>
      <c r="D5" s="37" t="s">
        <v>188</v>
      </c>
      <c r="E5" s="37" t="s">
        <v>62</v>
      </c>
      <c r="F5" s="38" t="s">
        <v>189</v>
      </c>
      <c r="G5" s="45">
        <v>13944441728</v>
      </c>
      <c r="H5" s="40"/>
      <c r="I5" s="40"/>
      <c r="J5" s="74"/>
      <c r="K5" s="40"/>
      <c r="L5" s="78">
        <v>7000</v>
      </c>
      <c r="M5" s="76">
        <v>268.81</v>
      </c>
      <c r="N5" s="76">
        <v>10.08</v>
      </c>
      <c r="O5" s="76">
        <v>61.06</v>
      </c>
      <c r="P5" s="76">
        <v>79</v>
      </c>
      <c r="Q5" s="96">
        <f>ROUND(SUM(M5:P5),2)</f>
        <v>418.95</v>
      </c>
      <c r="R5" s="78">
        <v>0</v>
      </c>
      <c r="S5" s="97">
        <f>L5</f>
        <v>7000</v>
      </c>
      <c r="T5" s="98">
        <v>5000</v>
      </c>
      <c r="U5" s="98">
        <f>Q5</f>
        <v>418.95</v>
      </c>
      <c r="V5" s="78"/>
      <c r="W5" s="78"/>
      <c r="X5" s="78">
        <v>1000</v>
      </c>
      <c r="Y5" s="78"/>
      <c r="Z5" s="78"/>
      <c r="AA5" s="78"/>
      <c r="AB5" s="97">
        <f>ROUND(SUM(V5:AA5),2)</f>
        <v>1000</v>
      </c>
      <c r="AC5" s="97">
        <f>R5</f>
        <v>0</v>
      </c>
      <c r="AD5" s="100">
        <f>ROUND(S5-T5-U5-AB5-AC5,2)</f>
        <v>581.05</v>
      </c>
      <c r="AE5" s="101">
        <f>ROUND(MAX((AD5)*{0.03;0.1;0.2;0.25;0.3;0.35;0.45}-{0;2520;16920;31920;52920;85920;181920},0),2)</f>
        <v>17.43</v>
      </c>
      <c r="AF5" s="102">
        <v>0</v>
      </c>
      <c r="AG5" s="102">
        <f>IF((AE5-AF5)&lt;0,0,AE5-AF5)</f>
        <v>17.43</v>
      </c>
      <c r="AH5" s="109">
        <f>ROUND(IF((L5-Q5-AG5)&lt;0,0,(L5-Q5-AG5)),2)</f>
        <v>6563.62</v>
      </c>
      <c r="AI5" s="110"/>
      <c r="AJ5" s="109">
        <f>AH5+AI5</f>
        <v>6563.62</v>
      </c>
      <c r="AK5" s="111"/>
      <c r="AL5" s="109">
        <f>AJ5+AG5+AK5</f>
        <v>6581.05</v>
      </c>
      <c r="AM5" s="111"/>
      <c r="AN5" s="111"/>
      <c r="AO5" s="111" t="s">
        <v>240</v>
      </c>
      <c r="AP5" s="111" t="s">
        <v>241</v>
      </c>
      <c r="AQ5" s="111" t="s">
        <v>242</v>
      </c>
      <c r="AR5" s="117"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117" t="str">
        <f>IF(SUMPRODUCT(N(E$1:E$8=E5))&gt;1,"重复","不")</f>
        <v>不</v>
      </c>
      <c r="AT5" s="117" t="str">
        <f>IF(SUMPRODUCT(N(AO$1:AO$8=AO5))&gt;1,"重复","不")</f>
        <v>重复</v>
      </c>
    </row>
    <row r="6" s="12" customFormat="1" ht="18" customHeight="1" spans="1:46">
      <c r="A6" s="36">
        <v>3</v>
      </c>
      <c r="B6" s="37" t="s">
        <v>187</v>
      </c>
      <c r="C6" s="37" t="s">
        <v>104</v>
      </c>
      <c r="D6" s="37" t="s">
        <v>188</v>
      </c>
      <c r="E6" s="398" t="s">
        <v>105</v>
      </c>
      <c r="F6" s="38" t="str">
        <f>IF(MOD(MID(E6,17,1),2)=1,"男","女")</f>
        <v>女</v>
      </c>
      <c r="G6" s="45">
        <v>15360550807</v>
      </c>
      <c r="H6" s="40"/>
      <c r="I6" s="40"/>
      <c r="J6" s="74"/>
      <c r="K6" s="40"/>
      <c r="L6" s="78">
        <v>5700</v>
      </c>
      <c r="M6" s="76">
        <v>367.04</v>
      </c>
      <c r="N6" s="76">
        <v>123.5</v>
      </c>
      <c r="O6" s="76">
        <v>4.2</v>
      </c>
      <c r="P6" s="76">
        <v>105</v>
      </c>
      <c r="Q6" s="96">
        <f>ROUND(SUM(M6:P6),2)</f>
        <v>599.74</v>
      </c>
      <c r="R6" s="78">
        <v>0</v>
      </c>
      <c r="S6" s="97">
        <f>L6</f>
        <v>5700</v>
      </c>
      <c r="T6" s="98">
        <v>5000</v>
      </c>
      <c r="U6" s="98">
        <f>Q6</f>
        <v>599.74</v>
      </c>
      <c r="V6" s="78"/>
      <c r="W6" s="78"/>
      <c r="X6" s="78"/>
      <c r="Y6" s="78">
        <v>1500</v>
      </c>
      <c r="Z6" s="78"/>
      <c r="AA6" s="78"/>
      <c r="AB6" s="97">
        <f>ROUND(SUM(V6:AA6),2)</f>
        <v>1500</v>
      </c>
      <c r="AC6" s="97">
        <f>R6</f>
        <v>0</v>
      </c>
      <c r="AD6" s="100">
        <f>ROUND(S6-T6-U6-AB6-AC6,2)</f>
        <v>-1399.74</v>
      </c>
      <c r="AE6" s="101">
        <f>ROUND(MAX((AD6)*{0.03;0.1;0.2;0.25;0.3;0.35;0.45}-{0;2520;16920;31920;52920;85920;181920},0),2)</f>
        <v>0</v>
      </c>
      <c r="AF6" s="102">
        <v>0</v>
      </c>
      <c r="AG6" s="102">
        <f>IF((AE6-AF6)&lt;0,0,AE6-AF6)</f>
        <v>0</v>
      </c>
      <c r="AH6" s="109">
        <f>ROUND(IF((L6-Q6-AG6)&lt;0,0,(L6-Q6-AG6)),2)</f>
        <v>5100.26</v>
      </c>
      <c r="AI6" s="110"/>
      <c r="AJ6" s="109">
        <f>AH6+AI6</f>
        <v>5100.26</v>
      </c>
      <c r="AK6" s="111"/>
      <c r="AL6" s="109">
        <f>AJ6+AG6+AK6</f>
        <v>5100.26</v>
      </c>
      <c r="AM6" s="111"/>
      <c r="AN6" s="111"/>
      <c r="AO6" s="111" t="s">
        <v>240</v>
      </c>
      <c r="AP6" s="111" t="s">
        <v>241</v>
      </c>
      <c r="AQ6" s="111" t="s">
        <v>242</v>
      </c>
      <c r="AR6" s="117"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117" t="str">
        <f>IF(SUMPRODUCT(N(E$1:E$8=E6))&gt;1,"重复","不")</f>
        <v>不</v>
      </c>
      <c r="AT6" s="117" t="str">
        <f>IF(SUMPRODUCT(N(AO$1:AO$8=AO6))&gt;1,"重复","不")</f>
        <v>重复</v>
      </c>
    </row>
    <row r="7" s="12" customFormat="1" ht="18" customHeight="1" spans="1:46">
      <c r="A7" s="36">
        <v>4</v>
      </c>
      <c r="B7" s="37" t="s">
        <v>187</v>
      </c>
      <c r="C7" s="37" t="s">
        <v>243</v>
      </c>
      <c r="D7" s="37" t="s">
        <v>188</v>
      </c>
      <c r="E7" s="398" t="s">
        <v>244</v>
      </c>
      <c r="F7" s="38" t="s">
        <v>189</v>
      </c>
      <c r="G7" s="45">
        <v>18607383005</v>
      </c>
      <c r="H7" s="40"/>
      <c r="I7" s="40"/>
      <c r="J7" s="74"/>
      <c r="K7" s="40"/>
      <c r="L7" s="78">
        <v>31000</v>
      </c>
      <c r="M7" s="76">
        <f>320</f>
        <v>320</v>
      </c>
      <c r="N7" s="76">
        <f>80</f>
        <v>80</v>
      </c>
      <c r="O7" s="76">
        <f>12</f>
        <v>12</v>
      </c>
      <c r="P7" s="76">
        <v>200</v>
      </c>
      <c r="Q7" s="96">
        <f>ROUND(SUM(M7:P7),2)</f>
        <v>612</v>
      </c>
      <c r="R7" s="78">
        <v>0</v>
      </c>
      <c r="S7" s="97">
        <f>L7</f>
        <v>31000</v>
      </c>
      <c r="T7" s="98">
        <v>5000</v>
      </c>
      <c r="U7" s="98">
        <f>Q7</f>
        <v>612</v>
      </c>
      <c r="V7" s="78">
        <v>2000</v>
      </c>
      <c r="W7" s="78">
        <v>1000</v>
      </c>
      <c r="X7" s="78"/>
      <c r="Y7" s="78"/>
      <c r="Z7" s="78"/>
      <c r="AA7" s="78"/>
      <c r="AB7" s="97">
        <f>ROUND(SUM(V7:AA7),2)</f>
        <v>3000</v>
      </c>
      <c r="AC7" s="97">
        <f>R7</f>
        <v>0</v>
      </c>
      <c r="AD7" s="100">
        <f>ROUND(S7-T7-U7-AB7-AC7,2)</f>
        <v>22388</v>
      </c>
      <c r="AE7" s="101">
        <f>ROUND(MAX((AD7)*{0.03;0.1;0.2;0.25;0.3;0.35;0.45}-{0;2520;16920;31920;52920;85920;181920},0),2)</f>
        <v>671.64</v>
      </c>
      <c r="AF7" s="102">
        <v>0</v>
      </c>
      <c r="AG7" s="102">
        <f>IF((AE7-AF7)&lt;0,0,AE7-AF7)</f>
        <v>671.64</v>
      </c>
      <c r="AH7" s="109">
        <f>ROUND(IF((L7-Q7-AG7)&lt;0,0,(L7-Q7-AG7)),2)</f>
        <v>29716.36</v>
      </c>
      <c r="AI7" s="110"/>
      <c r="AJ7" s="109">
        <f>AH7+AI7</f>
        <v>29716.36</v>
      </c>
      <c r="AK7" s="111"/>
      <c r="AL7" s="109">
        <f>AJ7+AG7+AK7</f>
        <v>30388</v>
      </c>
      <c r="AM7" s="111"/>
      <c r="AN7" s="111"/>
      <c r="AO7" s="111" t="s">
        <v>240</v>
      </c>
      <c r="AP7" s="111" t="s">
        <v>241</v>
      </c>
      <c r="AQ7" s="111" t="s">
        <v>242</v>
      </c>
      <c r="AR7" s="117" t="str">
        <f>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117" t="str">
        <f>IF(SUMPRODUCT(N(E$1:E$8=E7))&gt;1,"重复","不")</f>
        <v>不</v>
      </c>
      <c r="AT7" s="117" t="str">
        <f>IF(SUMPRODUCT(N(AO$1:AO$8=AO7))&gt;1,"重复","不")</f>
        <v>重复</v>
      </c>
    </row>
    <row r="8" s="12" customFormat="1" ht="18" customHeight="1" spans="1:46">
      <c r="A8" s="36">
        <v>5</v>
      </c>
      <c r="B8" s="37" t="s">
        <v>187</v>
      </c>
      <c r="C8" s="37" t="s">
        <v>245</v>
      </c>
      <c r="D8" s="37" t="s">
        <v>188</v>
      </c>
      <c r="E8" s="37" t="s">
        <v>246</v>
      </c>
      <c r="F8" s="38" t="s">
        <v>189</v>
      </c>
      <c r="G8" s="45">
        <v>13373825180</v>
      </c>
      <c r="H8" s="40"/>
      <c r="I8" s="40"/>
      <c r="J8" s="74"/>
      <c r="K8" s="40"/>
      <c r="L8" s="78">
        <v>26739</v>
      </c>
      <c r="M8" s="76">
        <v>261.04</v>
      </c>
      <c r="N8" s="76">
        <v>9.1</v>
      </c>
      <c r="O8" s="76">
        <v>57.18</v>
      </c>
      <c r="P8" s="76">
        <v>85</v>
      </c>
      <c r="Q8" s="96">
        <f>ROUND(SUM(M8:P8),2)</f>
        <v>412.32</v>
      </c>
      <c r="R8" s="78">
        <v>0</v>
      </c>
      <c r="S8" s="97">
        <f>L8</f>
        <v>26739</v>
      </c>
      <c r="T8" s="98">
        <v>5000</v>
      </c>
      <c r="U8" s="98">
        <f>Q8</f>
        <v>412.32</v>
      </c>
      <c r="V8" s="78">
        <v>1000</v>
      </c>
      <c r="W8" s="78">
        <v>1000</v>
      </c>
      <c r="X8" s="78">
        <v>1000</v>
      </c>
      <c r="Y8" s="78"/>
      <c r="Z8" s="78"/>
      <c r="AA8" s="78"/>
      <c r="AB8" s="97">
        <f>ROUND(SUM(V8:AA8),2)</f>
        <v>3000</v>
      </c>
      <c r="AC8" s="97">
        <f>R8</f>
        <v>0</v>
      </c>
      <c r="AD8" s="100">
        <f>ROUND(S8-T8-U8-AB8-AC8,2)</f>
        <v>18326.68</v>
      </c>
      <c r="AE8" s="101">
        <f>ROUND(MAX((AD8)*{0.03;0.1;0.2;0.25;0.3;0.35;0.45}-{0;2520;16920;31920;52920;85920;181920},0),2)</f>
        <v>549.8</v>
      </c>
      <c r="AF8" s="102">
        <v>0</v>
      </c>
      <c r="AG8" s="102">
        <f>IF((AE8-AF8)&lt;0,0,AE8-AF8)</f>
        <v>549.8</v>
      </c>
      <c r="AH8" s="109">
        <f>ROUND(IF((L8-Q8-AG8)&lt;0,0,(L8-Q8-AG8)),2)</f>
        <v>25776.88</v>
      </c>
      <c r="AI8" s="110"/>
      <c r="AJ8" s="109">
        <f>AH8+AI8</f>
        <v>25776.88</v>
      </c>
      <c r="AK8" s="111"/>
      <c r="AL8" s="109">
        <f>AJ8+AG8+AK8</f>
        <v>26326.68</v>
      </c>
      <c r="AM8" s="111"/>
      <c r="AN8" s="111"/>
      <c r="AO8" s="111" t="s">
        <v>240</v>
      </c>
      <c r="AP8" s="111" t="s">
        <v>241</v>
      </c>
      <c r="AQ8" s="111" t="s">
        <v>242</v>
      </c>
      <c r="AR8" s="117" t="str">
        <f>IF(LEN(E8)=18,IF(RIGHT(E8,1)="X",IF(CHOOSE(MOD(SUM(LEFT(RIGHT(E8,18))*7+LEFT(RIGHT(E8,17))*9+LEFT(RIGHT(E8,16))*10+LEFT(RIGHT(E8,15))*5+LEFT(RIGHT(E8,14))*8+LEFT(RIGHT(E8,13))*4+LEFT(RIGHT(E8,12))*2+LEFT(RIGHT(E8,11))*1+LEFT(RIGHT(E8,10))*6+LEFT(RIGHT(E8,9))*3+LEFT(RIGHT(E8,8))*7+LEFT(RIGHT(E8,7))*9+LEFT(RIGHT(E8,6))*10+LEFT(RIGHT(E8,5))*5+LEFT(RIGHT(E8,4))*8+LEFT(RIGHT(E8,3))*4+LEFT(RIGHT(E8,2))*2),11)+1,1,0,"X",9,8,7,6,5,4,3,2)=LEFT(RIGHT(E8,1)),"正确","错误"),IF(CHOOSE(MOD(SUM(LEFT(RIGHT(E8,18))*7+LEFT(RIGHT(E8,17))*9+LEFT(RIGHT(E8,16))*10+LEFT(RIGHT(E8,15))*5+LEFT(RIGHT(E8,14))*8+LEFT(RIGHT(E8,13))*4+LEFT(RIGHT(E8,12))*2+LEFT(RIGHT(E8,11))*1+LEFT(RIGHT(E8,10))*6+LEFT(RIGHT(E8,9))*3+LEFT(RIGHT(E8,8))*7+LEFT(RIGHT(E8,7))*9+LEFT(RIGHT(E8,6))*10+LEFT(RIGHT(E8,5))*5+LEFT(RIGHT(E8,4))*8+LEFT(RIGHT(E8,3))*4+LEFT(RIGHT(E8,2))*2),11)+1,1,0,"X",9,8,7,6,5,4,3,2)=LEFT(RIGHT(E8,1))*1,"正确","错误")),IF(LEN(E8)=15,"老号，请注意！",IF(LEN(E8)=0,"未填写身份证号码","位数不对！")))</f>
        <v>正确</v>
      </c>
      <c r="AS8" s="117" t="str">
        <f>IF(SUMPRODUCT(N(E$1:E$8=E8))&gt;1,"重复","不")</f>
        <v>不</v>
      </c>
      <c r="AT8" s="117" t="str">
        <f>IF(SUMPRODUCT(N(AO$1:AO$8=AO8))&gt;1,"重复","不")</f>
        <v>重复</v>
      </c>
    </row>
    <row r="9" s="13" customFormat="1" ht="18" customHeight="1" spans="1:46">
      <c r="A9" s="46"/>
      <c r="B9" s="47" t="s">
        <v>216</v>
      </c>
      <c r="C9" s="47"/>
      <c r="D9" s="48"/>
      <c r="E9" s="49"/>
      <c r="F9" s="50"/>
      <c r="G9" s="51"/>
      <c r="H9" s="50"/>
      <c r="I9" s="79"/>
      <c r="J9" s="80"/>
      <c r="K9" s="79"/>
      <c r="L9" s="81">
        <f t="shared" ref="L9:AL9" si="0">SUM(L4:L8)</f>
        <v>79719</v>
      </c>
      <c r="M9" s="81">
        <f t="shared" si="0"/>
        <v>1480.89</v>
      </c>
      <c r="N9" s="81">
        <f t="shared" si="0"/>
        <v>288.68</v>
      </c>
      <c r="O9" s="81">
        <f t="shared" si="0"/>
        <v>144.34</v>
      </c>
      <c r="P9" s="81">
        <f t="shared" si="0"/>
        <v>649</v>
      </c>
      <c r="Q9" s="81">
        <f t="shared" si="0"/>
        <v>2562.91</v>
      </c>
      <c r="R9" s="81">
        <f t="shared" si="0"/>
        <v>0</v>
      </c>
      <c r="S9" s="81">
        <f t="shared" si="0"/>
        <v>79719</v>
      </c>
      <c r="T9" s="81">
        <f t="shared" si="0"/>
        <v>25000</v>
      </c>
      <c r="U9" s="81">
        <f t="shared" si="0"/>
        <v>2562.91</v>
      </c>
      <c r="V9" s="81">
        <f t="shared" si="0"/>
        <v>4000</v>
      </c>
      <c r="W9" s="81">
        <f t="shared" si="0"/>
        <v>2000</v>
      </c>
      <c r="X9" s="81">
        <f t="shared" si="0"/>
        <v>3000</v>
      </c>
      <c r="Y9" s="81">
        <f t="shared" si="0"/>
        <v>1500</v>
      </c>
      <c r="Z9" s="81">
        <f t="shared" si="0"/>
        <v>0</v>
      </c>
      <c r="AA9" s="81">
        <f t="shared" si="0"/>
        <v>0</v>
      </c>
      <c r="AB9" s="81">
        <f t="shared" si="0"/>
        <v>10500</v>
      </c>
      <c r="AC9" s="81">
        <f t="shared" si="0"/>
        <v>0</v>
      </c>
      <c r="AD9" s="81">
        <f t="shared" si="0"/>
        <v>41656.09</v>
      </c>
      <c r="AE9" s="81">
        <f t="shared" si="0"/>
        <v>1291.67</v>
      </c>
      <c r="AF9" s="81">
        <f t="shared" si="0"/>
        <v>0</v>
      </c>
      <c r="AG9" s="81">
        <f t="shared" si="0"/>
        <v>1291.67</v>
      </c>
      <c r="AH9" s="81">
        <f t="shared" si="0"/>
        <v>75864.42</v>
      </c>
      <c r="AI9" s="159">
        <f t="shared" si="0"/>
        <v>0</v>
      </c>
      <c r="AJ9" s="81">
        <f t="shared" si="0"/>
        <v>75864.42</v>
      </c>
      <c r="AK9" s="81">
        <f t="shared" si="0"/>
        <v>0</v>
      </c>
      <c r="AL9" s="81">
        <f t="shared" si="0"/>
        <v>77156.09</v>
      </c>
      <c r="AM9" s="112"/>
      <c r="AN9" s="112"/>
      <c r="AO9" s="112"/>
      <c r="AP9" s="112"/>
      <c r="AQ9" s="112"/>
      <c r="AR9" s="50"/>
      <c r="AS9" s="50"/>
      <c r="AT9" s="118"/>
    </row>
    <row r="12" spans="30:30">
      <c r="AD12" s="103"/>
    </row>
    <row r="13" ht="18.75" customHeight="1" spans="2:30">
      <c r="B13" s="52" t="s">
        <v>168</v>
      </c>
      <c r="C13" s="52" t="s">
        <v>217</v>
      </c>
      <c r="D13" s="52" t="s">
        <v>22</v>
      </c>
      <c r="E13" s="52" t="s">
        <v>23</v>
      </c>
      <c r="AD13" s="10"/>
    </row>
    <row r="14" ht="18.75" customHeight="1" spans="2:5">
      <c r="B14" s="53">
        <f>AJ9</f>
        <v>75864.42</v>
      </c>
      <c r="C14" s="53">
        <f>AG9</f>
        <v>1291.67</v>
      </c>
      <c r="D14" s="53">
        <f>AK9</f>
        <v>0</v>
      </c>
      <c r="E14" s="53">
        <f>B14+C14+D14</f>
        <v>77156.09</v>
      </c>
    </row>
    <row r="15" spans="2:5">
      <c r="B15" s="54"/>
      <c r="C15" s="54"/>
      <c r="D15" s="54"/>
      <c r="E15" s="54"/>
    </row>
    <row r="16" s="14" customFormat="1" spans="1:35">
      <c r="A16" s="55" t="s">
        <v>218</v>
      </c>
      <c r="B16" s="56" t="s">
        <v>219</v>
      </c>
      <c r="C16" s="57"/>
      <c r="D16" s="57"/>
      <c r="E16" s="57"/>
      <c r="G16" s="58"/>
      <c r="J16" s="82"/>
      <c r="M16" s="83"/>
      <c r="AI16" s="113"/>
    </row>
    <row r="17" s="14" customFormat="1" spans="1:35">
      <c r="A17" s="59"/>
      <c r="B17" s="60" t="s">
        <v>220</v>
      </c>
      <c r="C17" s="57"/>
      <c r="D17" s="57"/>
      <c r="E17" s="57"/>
      <c r="G17" s="58"/>
      <c r="J17" s="82"/>
      <c r="M17" s="83"/>
      <c r="AI17" s="113"/>
    </row>
    <row r="18" s="14" customFormat="1" spans="1:35">
      <c r="A18" s="56"/>
      <c r="B18" s="60" t="s">
        <v>221</v>
      </c>
      <c r="C18" s="61"/>
      <c r="D18" s="61"/>
      <c r="E18" s="61"/>
      <c r="F18" s="61"/>
      <c r="G18" s="61"/>
      <c r="H18" s="61"/>
      <c r="I18" s="61"/>
      <c r="J18" s="84"/>
      <c r="K18" s="61"/>
      <c r="L18" s="61"/>
      <c r="M18" s="85"/>
      <c r="N18" s="61"/>
      <c r="O18" s="61"/>
      <c r="P18" s="61"/>
      <c r="AI18" s="113"/>
    </row>
    <row r="19" s="14" customFormat="1" customHeight="1" spans="1:35">
      <c r="A19" s="60"/>
      <c r="B19" s="60" t="s">
        <v>222</v>
      </c>
      <c r="C19" s="62"/>
      <c r="D19" s="62"/>
      <c r="E19" s="62"/>
      <c r="F19" s="62"/>
      <c r="G19" s="62"/>
      <c r="H19" s="62"/>
      <c r="I19" s="86"/>
      <c r="J19" s="87"/>
      <c r="K19" s="86"/>
      <c r="L19" s="86"/>
      <c r="M19" s="88"/>
      <c r="N19" s="86"/>
      <c r="O19" s="86"/>
      <c r="P19" s="86"/>
      <c r="AI19" s="113"/>
    </row>
    <row r="20" s="14" customFormat="1" customHeight="1" spans="1:35">
      <c r="A20" s="60"/>
      <c r="B20" s="60" t="s">
        <v>223</v>
      </c>
      <c r="C20" s="62"/>
      <c r="D20" s="62"/>
      <c r="E20" s="62"/>
      <c r="F20" s="62"/>
      <c r="G20" s="62"/>
      <c r="H20" s="62"/>
      <c r="I20" s="62"/>
      <c r="J20" s="89"/>
      <c r="K20" s="62"/>
      <c r="L20" s="86"/>
      <c r="M20" s="88"/>
      <c r="N20" s="86"/>
      <c r="O20" s="86"/>
      <c r="P20" s="86"/>
      <c r="AI20" s="113"/>
    </row>
    <row r="21" s="14" customFormat="1" customHeight="1" spans="1:35">
      <c r="A21" s="60"/>
      <c r="B21" s="60" t="s">
        <v>224</v>
      </c>
      <c r="C21" s="62"/>
      <c r="D21" s="62"/>
      <c r="E21" s="62"/>
      <c r="F21" s="62"/>
      <c r="G21" s="62"/>
      <c r="H21" s="62"/>
      <c r="I21" s="86"/>
      <c r="J21" s="87"/>
      <c r="K21" s="86"/>
      <c r="L21" s="86"/>
      <c r="M21" s="88"/>
      <c r="N21" s="86"/>
      <c r="O21" s="86"/>
      <c r="P21" s="86"/>
      <c r="AI21" s="113"/>
    </row>
    <row r="23" ht="11.25" customHeight="1" spans="2:2">
      <c r="B23" s="63" t="s">
        <v>225</v>
      </c>
    </row>
    <row r="24" spans="2:2">
      <c r="B24" s="64" t="s">
        <v>226</v>
      </c>
    </row>
    <row r="25" spans="2:2">
      <c r="B25" s="64" t="s">
        <v>227</v>
      </c>
    </row>
  </sheetData>
  <autoFilter ref="A3:AT9">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21">
    <cfRule type="duplicateValues" dxfId="3" priority="10" stopIfTrue="1"/>
  </conditionalFormatting>
  <conditionalFormatting sqref="B16:B20">
    <cfRule type="duplicateValues" dxfId="3" priority="13" stopIfTrue="1"/>
  </conditionalFormatting>
  <conditionalFormatting sqref="B24:B25">
    <cfRule type="duplicateValues" dxfId="3" priority="1" stopIfTrue="1"/>
  </conditionalFormatting>
  <conditionalFormatting sqref="C13:C15">
    <cfRule type="duplicateValues" dxfId="3" priority="17" stopIfTrue="1"/>
    <cfRule type="expression" dxfId="4" priority="19" stopIfTrue="1">
      <formula>AND(COUNTIF($B$9:$B$65445,C13)+COUNTIF($B$1:$B$3,C13)&gt;1,NOT(ISBLANK(C13)))</formula>
    </cfRule>
    <cfRule type="expression" dxfId="4" priority="21" stopIfTrue="1">
      <formula>AND(COUNTIF($B$20:$B$65396,C13)+COUNTIF($B$1:$B$19,C13)&gt;1,NOT(ISBLANK(C13)))</formula>
    </cfRule>
    <cfRule type="expression" dxfId="4" priority="23" stopIfTrue="1">
      <formula>AND(COUNTIF($B$9:$B$65434,C13)+COUNTIF($B$1:$B$3,C13)&gt;1,NOT(ISBLANK(C13)))</formula>
    </cfRule>
  </conditionalFormatting>
  <pageMargins left="0.235416666666667" right="0.235416666666667" top="0.747916666666667" bottom="0.747916666666667" header="0.313888888888889" footer="0.313888888888889"/>
  <pageSetup paperSize="9" scale="56" fitToWidth="2" orientation="landscape"/>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AT33"/>
  <sheetViews>
    <sheetView tabSelected="1" workbookViewId="0">
      <pane xSplit="6" ySplit="3" topLeftCell="AC4" activePane="bottomRight" state="frozen"/>
      <selection/>
      <selection pane="topRight"/>
      <selection pane="bottomLeft"/>
      <selection pane="bottomRight" activeCell="AH24" sqref="AH24"/>
    </sheetView>
  </sheetViews>
  <sheetFormatPr defaultColWidth="9" defaultRowHeight="13.5"/>
  <cols>
    <col min="1" max="1" width="4.45" style="15" customWidth="1"/>
    <col min="2" max="2" width="12.6333333333333" style="15" customWidth="1"/>
    <col min="3" max="3" width="10.45" style="15" customWidth="1"/>
    <col min="4" max="4" width="8.725" style="15" customWidth="1"/>
    <col min="5" max="5" width="19.45" style="16" customWidth="1"/>
    <col min="6" max="6" width="9" style="15"/>
    <col min="7" max="7" width="11.9083333333333" style="17" customWidth="1"/>
    <col min="8" max="8" width="4.63333333333333" style="15" hidden="1" customWidth="1"/>
    <col min="9" max="9" width="5.26666666666667" style="15" hidden="1" customWidth="1"/>
    <col min="10" max="10" width="11.725" style="18" customWidth="1"/>
    <col min="11" max="11" width="5.26666666666667" style="15" customWidth="1"/>
    <col min="12" max="12" width="11.725" style="15" customWidth="1"/>
    <col min="13" max="13" width="12.45" style="15" customWidth="1" outlineLevel="1"/>
    <col min="14" max="15" width="9" style="15" customWidth="1" outlineLevel="1"/>
    <col min="16" max="16" width="11.0916666666667" style="15" customWidth="1" outlineLevel="1"/>
    <col min="17" max="17" width="9.725" style="15" customWidth="1"/>
    <col min="18" max="18" width="9.45" style="15" customWidth="1"/>
    <col min="19" max="19" width="13.3666666666667" style="15" customWidth="1"/>
    <col min="20" max="21" width="12.2666666666667" style="15" customWidth="1"/>
    <col min="22" max="27" width="9" style="15" customWidth="1" outlineLevel="1"/>
    <col min="28" max="28" width="11.2666666666667" style="15" customWidth="1"/>
    <col min="29" max="29" width="8.45" style="15" customWidth="1"/>
    <col min="30" max="30" width="15.2666666666667" style="15" customWidth="1"/>
    <col min="31" max="31" width="13.3666666666667" style="15" customWidth="1"/>
    <col min="32" max="32" width="10.725" style="15" customWidth="1"/>
    <col min="33" max="33" width="12.2666666666667" style="15" customWidth="1"/>
    <col min="34" max="34" width="11.45" style="15" customWidth="1"/>
    <col min="35" max="35" width="7.90833333333333" style="19" customWidth="1"/>
    <col min="36" max="36" width="11.45" style="15" customWidth="1"/>
    <col min="37" max="37" width="9" style="15"/>
    <col min="38" max="38" width="11.45" style="15" customWidth="1"/>
    <col min="39" max="40" width="9" style="15" customWidth="1"/>
    <col min="41" max="41" width="19" style="15" customWidth="1"/>
    <col min="42" max="42" width="12.2666666666667" style="15" customWidth="1"/>
    <col min="43" max="43" width="9" style="15"/>
    <col min="44" max="44" width="7" style="15" customWidth="1"/>
    <col min="45" max="45" width="6.725" style="15" customWidth="1"/>
    <col min="46" max="46" width="6.09166666666667" style="15" customWidth="1"/>
    <col min="47" max="16384" width="9" style="15"/>
  </cols>
  <sheetData>
    <row r="1" s="10" customFormat="1" ht="29.25" customHeight="1" spans="1:45">
      <c r="A1" s="20" t="s">
        <v>140</v>
      </c>
      <c r="B1" s="21"/>
      <c r="C1" s="22"/>
      <c r="D1" s="23"/>
      <c r="E1" s="24"/>
      <c r="F1" s="24"/>
      <c r="G1" s="25"/>
      <c r="J1" s="65"/>
      <c r="L1" s="66"/>
      <c r="M1" s="67" t="s">
        <v>141</v>
      </c>
      <c r="N1" s="67"/>
      <c r="O1" s="67"/>
      <c r="P1" s="67"/>
      <c r="Q1" s="90"/>
      <c r="R1" s="90"/>
      <c r="S1" s="90"/>
      <c r="T1" s="90"/>
      <c r="U1" s="90"/>
      <c r="V1" s="90"/>
      <c r="W1" s="90"/>
      <c r="X1" s="90"/>
      <c r="Y1" s="90"/>
      <c r="Z1" s="90"/>
      <c r="AA1" s="90"/>
      <c r="AB1" s="90"/>
      <c r="AC1" s="90"/>
      <c r="AD1" s="66"/>
      <c r="AE1" s="66"/>
      <c r="AF1" s="66"/>
      <c r="AG1" s="66"/>
      <c r="AH1" s="66"/>
      <c r="AI1" s="104"/>
      <c r="AJ1" s="66"/>
      <c r="AK1" s="66"/>
      <c r="AL1" s="66"/>
      <c r="AM1" s="24"/>
      <c r="AN1" s="24"/>
      <c r="AO1" s="114"/>
      <c r="AP1" s="24"/>
      <c r="AQ1" s="24"/>
      <c r="AR1" s="24"/>
      <c r="AS1" s="24"/>
    </row>
    <row r="2" s="11" customFormat="1" ht="20.15" customHeight="1" spans="1:46">
      <c r="A2" s="26" t="s">
        <v>0</v>
      </c>
      <c r="B2" s="27" t="s">
        <v>142</v>
      </c>
      <c r="C2" s="28" t="s">
        <v>143</v>
      </c>
      <c r="D2" s="28" t="s">
        <v>144</v>
      </c>
      <c r="E2" s="29" t="s">
        <v>145</v>
      </c>
      <c r="F2" s="30" t="s">
        <v>146</v>
      </c>
      <c r="G2" s="29" t="s">
        <v>147</v>
      </c>
      <c r="H2" s="29" t="s">
        <v>148</v>
      </c>
      <c r="I2" s="29" t="s">
        <v>149</v>
      </c>
      <c r="J2" s="68" t="s">
        <v>150</v>
      </c>
      <c r="K2" s="29" t="s">
        <v>151</v>
      </c>
      <c r="L2" s="29" t="s">
        <v>152</v>
      </c>
      <c r="M2" s="69" t="s">
        <v>153</v>
      </c>
      <c r="N2" s="70"/>
      <c r="O2" s="70"/>
      <c r="P2" s="71"/>
      <c r="Q2" s="30" t="s">
        <v>154</v>
      </c>
      <c r="R2" s="29" t="s">
        <v>155</v>
      </c>
      <c r="S2" s="30" t="s">
        <v>156</v>
      </c>
      <c r="T2" s="91" t="s">
        <v>157</v>
      </c>
      <c r="U2" s="30" t="s">
        <v>158</v>
      </c>
      <c r="V2" s="92" t="s">
        <v>159</v>
      </c>
      <c r="W2" s="93"/>
      <c r="X2" s="93"/>
      <c r="Y2" s="93"/>
      <c r="Z2" s="93"/>
      <c r="AA2" s="99"/>
      <c r="AB2" s="30" t="s">
        <v>160</v>
      </c>
      <c r="AC2" s="30" t="s">
        <v>161</v>
      </c>
      <c r="AD2" s="91" t="s">
        <v>162</v>
      </c>
      <c r="AE2" s="91" t="s">
        <v>163</v>
      </c>
      <c r="AF2" s="91" t="s">
        <v>164</v>
      </c>
      <c r="AG2" s="91" t="s">
        <v>165</v>
      </c>
      <c r="AH2" s="105" t="s">
        <v>166</v>
      </c>
      <c r="AI2" s="106" t="s">
        <v>167</v>
      </c>
      <c r="AJ2" s="105" t="s">
        <v>168</v>
      </c>
      <c r="AK2" s="28" t="s">
        <v>22</v>
      </c>
      <c r="AL2" s="105" t="s">
        <v>169</v>
      </c>
      <c r="AM2" s="29" t="s">
        <v>170</v>
      </c>
      <c r="AN2" s="29" t="s">
        <v>171</v>
      </c>
      <c r="AO2" s="115" t="s">
        <v>172</v>
      </c>
      <c r="AP2" s="29" t="s">
        <v>173</v>
      </c>
      <c r="AQ2" s="29" t="s">
        <v>174</v>
      </c>
      <c r="AR2" s="30" t="s">
        <v>175</v>
      </c>
      <c r="AS2" s="30" t="s">
        <v>176</v>
      </c>
      <c r="AT2" s="30" t="s">
        <v>177</v>
      </c>
    </row>
    <row r="3" s="11" customFormat="1" ht="27" customHeight="1" spans="1:46">
      <c r="A3" s="31"/>
      <c r="B3" s="32"/>
      <c r="C3" s="33"/>
      <c r="D3" s="33"/>
      <c r="E3" s="34"/>
      <c r="F3" s="35"/>
      <c r="G3" s="34"/>
      <c r="H3" s="34"/>
      <c r="I3" s="34"/>
      <c r="J3" s="72"/>
      <c r="K3" s="34"/>
      <c r="L3" s="34"/>
      <c r="M3" s="73" t="s">
        <v>178</v>
      </c>
      <c r="N3" s="73" t="s">
        <v>179</v>
      </c>
      <c r="O3" s="73" t="s">
        <v>180</v>
      </c>
      <c r="P3" s="73" t="s">
        <v>37</v>
      </c>
      <c r="Q3" s="35"/>
      <c r="R3" s="34"/>
      <c r="S3" s="35"/>
      <c r="T3" s="94"/>
      <c r="U3" s="35"/>
      <c r="V3" s="95" t="s">
        <v>181</v>
      </c>
      <c r="W3" s="95" t="s">
        <v>182</v>
      </c>
      <c r="X3" s="95" t="s">
        <v>183</v>
      </c>
      <c r="Y3" s="95" t="s">
        <v>184</v>
      </c>
      <c r="Z3" s="95" t="s">
        <v>185</v>
      </c>
      <c r="AA3" s="95" t="s">
        <v>186</v>
      </c>
      <c r="AB3" s="35"/>
      <c r="AC3" s="35"/>
      <c r="AD3" s="94"/>
      <c r="AE3" s="94"/>
      <c r="AF3" s="94"/>
      <c r="AG3" s="94"/>
      <c r="AH3" s="107"/>
      <c r="AI3" s="108"/>
      <c r="AJ3" s="107"/>
      <c r="AK3" s="33"/>
      <c r="AL3" s="107"/>
      <c r="AM3" s="34"/>
      <c r="AN3" s="34"/>
      <c r="AO3" s="116"/>
      <c r="AP3" s="34"/>
      <c r="AQ3" s="34"/>
      <c r="AR3" s="35"/>
      <c r="AS3" s="35"/>
      <c r="AT3" s="35"/>
    </row>
    <row r="4" s="12" customFormat="1" ht="18" customHeight="1" spans="1:46">
      <c r="A4" s="36">
        <v>1</v>
      </c>
      <c r="B4" s="37" t="s">
        <v>187</v>
      </c>
      <c r="C4" s="37" t="s">
        <v>43</v>
      </c>
      <c r="D4" s="37" t="s">
        <v>188</v>
      </c>
      <c r="E4" s="37" t="s">
        <v>44</v>
      </c>
      <c r="F4" s="38" t="s">
        <v>189</v>
      </c>
      <c r="G4" s="45">
        <v>18035163638</v>
      </c>
      <c r="H4" s="40"/>
      <c r="I4" s="40"/>
      <c r="J4" s="74"/>
      <c r="K4" s="40"/>
      <c r="L4" s="78">
        <v>10560</v>
      </c>
      <c r="M4" s="76">
        <v>283.84</v>
      </c>
      <c r="N4" s="76">
        <v>70.96</v>
      </c>
      <c r="O4" s="76">
        <v>10.64</v>
      </c>
      <c r="P4" s="76">
        <v>180</v>
      </c>
      <c r="Q4" s="96">
        <f t="shared" ref="Q4:Q16" si="0">ROUND(SUM(M4:P4),2)</f>
        <v>545.44</v>
      </c>
      <c r="R4" s="78">
        <v>0</v>
      </c>
      <c r="S4" s="97">
        <f>L4+IFERROR(VLOOKUP($E:$E,'（居民）工资表-11月'!$E:$S,15,0),0)</f>
        <v>120840</v>
      </c>
      <c r="T4" s="98">
        <f>5000+IFERROR(VLOOKUP($E:$E,'（居民）工资表-11月'!$E:$T,16,0),0)</f>
        <v>60000</v>
      </c>
      <c r="U4" s="98">
        <f>Q4+IFERROR(VLOOKUP($E:$E,'（居民）工资表-11月'!$E:$U,17,0),0)</f>
        <v>6545.28</v>
      </c>
      <c r="V4" s="78">
        <v>12000</v>
      </c>
      <c r="W4" s="78"/>
      <c r="X4" s="78">
        <v>12000</v>
      </c>
      <c r="Y4" s="78"/>
      <c r="Z4" s="78">
        <v>4800</v>
      </c>
      <c r="AA4" s="78"/>
      <c r="AB4" s="97">
        <f t="shared" ref="AB4:AB16" si="1">ROUND(SUM(V4:AA4),2)</f>
        <v>28800</v>
      </c>
      <c r="AC4" s="97">
        <f>R4+IFERROR(VLOOKUP($E:$E,'（居民）工资表-11月'!$E:$AC,25,0),0)</f>
        <v>0</v>
      </c>
      <c r="AD4" s="100">
        <f t="shared" ref="AD4:AD16" si="2">ROUND(S4-T4-U4-AB4-AC4,2)</f>
        <v>25494.72</v>
      </c>
      <c r="AE4" s="101">
        <f>ROUND(MAX((AD4)*{0.03;0.1;0.2;0.25;0.3;0.35;0.45}-{0;2520;16920;31920;52920;85920;181920},0),2)</f>
        <v>764.84</v>
      </c>
      <c r="AF4" s="102">
        <f>IFERROR(VLOOKUP(E:E,'（居民）工资表-11月'!E:AF,28,0)+VLOOKUP(E:E,'（居民）工资表-11月'!E:AG,29,0),0)</f>
        <v>686.4</v>
      </c>
      <c r="AG4" s="102">
        <f t="shared" ref="AG4:AG16" si="3">IF((AE4-AF4)&lt;0,0,AE4-AF4)</f>
        <v>78.4400000000001</v>
      </c>
      <c r="AH4" s="109">
        <f t="shared" ref="AH4:AH16" si="4">ROUND(IF((L4-Q4-AG4)&lt;0,0,(L4-Q4-AG4)),2)</f>
        <v>9936.12</v>
      </c>
      <c r="AI4" s="110"/>
      <c r="AJ4" s="109">
        <f t="shared" ref="AJ4:AJ16" si="5">AH4+AI4</f>
        <v>9936.12</v>
      </c>
      <c r="AK4" s="111"/>
      <c r="AL4" s="109">
        <f t="shared" ref="AL4:AL16" si="6">AJ4+AG4+AK4</f>
        <v>10014.56</v>
      </c>
      <c r="AM4" s="111"/>
      <c r="AN4" s="111"/>
      <c r="AO4" s="111"/>
      <c r="AP4" s="111"/>
      <c r="AQ4" s="111"/>
      <c r="AR4" s="117" t="str">
        <f t="shared" ref="AR4:AR16" si="7">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7" t="str">
        <f>IF(SUMPRODUCT(N(E$1:E$16=E4))&gt;1,"重复","不")</f>
        <v>不</v>
      </c>
      <c r="AT4" s="117" t="str">
        <f>IF(SUMPRODUCT(N(AO$1:AO$16=AO4))&gt;1,"重复","不")</f>
        <v>重复</v>
      </c>
    </row>
    <row r="5" s="12" customFormat="1" ht="18" customHeight="1" spans="1:46">
      <c r="A5" s="36">
        <v>2</v>
      </c>
      <c r="B5" s="37" t="s">
        <v>187</v>
      </c>
      <c r="C5" s="37" t="s">
        <v>61</v>
      </c>
      <c r="D5" s="37" t="s">
        <v>188</v>
      </c>
      <c r="E5" s="37" t="s">
        <v>62</v>
      </c>
      <c r="F5" s="38" t="s">
        <v>189</v>
      </c>
      <c r="G5" s="45">
        <v>13944441728</v>
      </c>
      <c r="H5" s="40"/>
      <c r="I5" s="40"/>
      <c r="J5" s="74"/>
      <c r="K5" s="40"/>
      <c r="L5" s="78">
        <v>7000</v>
      </c>
      <c r="M5" s="76">
        <v>296.26</v>
      </c>
      <c r="N5" s="76">
        <v>72.06</v>
      </c>
      <c r="O5" s="76">
        <v>11.11</v>
      </c>
      <c r="P5" s="76">
        <v>82</v>
      </c>
      <c r="Q5" s="96">
        <f t="shared" si="0"/>
        <v>461.43</v>
      </c>
      <c r="R5" s="78">
        <v>0</v>
      </c>
      <c r="S5" s="97">
        <f>L5+IFERROR(VLOOKUP($E:$E,'（居民）工资表-11月'!$E:$S,15,0),0)</f>
        <v>84000</v>
      </c>
      <c r="T5" s="98">
        <f>5000+IFERROR(VLOOKUP($E:$E,'（居民）工资表-11月'!$E:$T,16,0),0)</f>
        <v>60000</v>
      </c>
      <c r="U5" s="98">
        <f>Q5+IFERROR(VLOOKUP($E:$E,'（居民）工资表-11月'!$E:$U,17,0),0)</f>
        <v>5438.32</v>
      </c>
      <c r="V5" s="78"/>
      <c r="W5" s="78"/>
      <c r="X5" s="78"/>
      <c r="Y5" s="78"/>
      <c r="Z5" s="78"/>
      <c r="AA5" s="78"/>
      <c r="AB5" s="97">
        <f t="shared" si="1"/>
        <v>0</v>
      </c>
      <c r="AC5" s="97">
        <f>R5+IFERROR(VLOOKUP($E:$E,'（居民）工资表-11月'!$E:$AC,25,0),0)</f>
        <v>0</v>
      </c>
      <c r="AD5" s="100">
        <f t="shared" si="2"/>
        <v>18561.68</v>
      </c>
      <c r="AE5" s="101">
        <f>ROUND(MAX((AD5)*{0.03;0.1;0.2;0.25;0.3;0.35;0.45}-{0;2520;16920;31920;52920;85920;181920},0),2)</f>
        <v>556.85</v>
      </c>
      <c r="AF5" s="102">
        <f>IFERROR(VLOOKUP(E:E,'（居民）工资表-11月'!E:AF,28,0)+VLOOKUP(E:E,'（居民）工资表-11月'!E:AG,29,0),0)</f>
        <v>510.69</v>
      </c>
      <c r="AG5" s="102">
        <f t="shared" si="3"/>
        <v>46.16</v>
      </c>
      <c r="AH5" s="109">
        <f t="shared" si="4"/>
        <v>6492.41</v>
      </c>
      <c r="AI5" s="110"/>
      <c r="AJ5" s="109">
        <f t="shared" si="5"/>
        <v>6492.41</v>
      </c>
      <c r="AK5" s="111"/>
      <c r="AL5" s="109">
        <f t="shared" si="6"/>
        <v>6538.57</v>
      </c>
      <c r="AM5" s="111"/>
      <c r="AN5" s="111"/>
      <c r="AO5" s="111"/>
      <c r="AP5" s="111"/>
      <c r="AQ5" s="111"/>
      <c r="AR5" s="117" t="str">
        <f t="shared" si="7"/>
        <v>正确</v>
      </c>
      <c r="AS5" s="117" t="str">
        <f>IF(SUMPRODUCT(N(E$1:E$16=E5))&gt;1,"重复","不")</f>
        <v>不</v>
      </c>
      <c r="AT5" s="117" t="str">
        <f>IF(SUMPRODUCT(N(AO$1:AO$16=AO5))&gt;1,"重复","不")</f>
        <v>重复</v>
      </c>
    </row>
    <row r="6" s="12" customFormat="1" ht="18" customHeight="1" spans="1:46">
      <c r="A6" s="36">
        <v>3</v>
      </c>
      <c r="B6" s="37" t="s">
        <v>187</v>
      </c>
      <c r="C6" s="37" t="s">
        <v>104</v>
      </c>
      <c r="D6" s="37" t="s">
        <v>188</v>
      </c>
      <c r="E6" s="398" t="s">
        <v>105</v>
      </c>
      <c r="F6" s="38" t="s">
        <v>190</v>
      </c>
      <c r="G6" s="45">
        <v>15360550807</v>
      </c>
      <c r="H6" s="40"/>
      <c r="I6" s="40"/>
      <c r="J6" s="74"/>
      <c r="K6" s="40"/>
      <c r="L6" s="78">
        <v>5700</v>
      </c>
      <c r="M6" s="76">
        <v>367.04</v>
      </c>
      <c r="N6" s="76">
        <v>144.28</v>
      </c>
      <c r="O6" s="76">
        <v>4.6</v>
      </c>
      <c r="P6" s="76">
        <v>115</v>
      </c>
      <c r="Q6" s="96">
        <f t="shared" si="0"/>
        <v>630.92</v>
      </c>
      <c r="R6" s="78">
        <v>0</v>
      </c>
      <c r="S6" s="97">
        <f>L6+IFERROR(VLOOKUP($E:$E,'（居民）工资表-11月'!$E:$S,15,0),0)</f>
        <v>68400</v>
      </c>
      <c r="T6" s="98">
        <f>5000+IFERROR(VLOOKUP($E:$E,'（居民）工资表-11月'!$E:$T,16,0),0)</f>
        <v>60000</v>
      </c>
      <c r="U6" s="98">
        <f>Q6+IFERROR(VLOOKUP($E:$E,'（居民）工资表-11月'!$E:$U,17,0),0)</f>
        <v>7545.48</v>
      </c>
      <c r="V6" s="78"/>
      <c r="W6" s="78"/>
      <c r="X6" s="78"/>
      <c r="Y6" s="78"/>
      <c r="Z6" s="78"/>
      <c r="AA6" s="78"/>
      <c r="AB6" s="97">
        <f t="shared" si="1"/>
        <v>0</v>
      </c>
      <c r="AC6" s="97">
        <f>R6+IFERROR(VLOOKUP($E:$E,'（居民）工资表-11月'!$E:$AC,25,0),0)</f>
        <v>0</v>
      </c>
      <c r="AD6" s="100">
        <f t="shared" si="2"/>
        <v>854.52</v>
      </c>
      <c r="AE6" s="101">
        <f>ROUND(MAX((AD6)*{0.03;0.1;0.2;0.25;0.3;0.35;0.45}-{0;2520;16920;31920;52920;85920;181920},0),2)</f>
        <v>25.64</v>
      </c>
      <c r="AF6" s="102">
        <f>IFERROR(VLOOKUP(E:E,'（居民）工资表-11月'!E:AF,28,0)+VLOOKUP(E:E,'（居民）工资表-11月'!E:AG,29,0),0)</f>
        <v>23.56</v>
      </c>
      <c r="AG6" s="102">
        <f t="shared" si="3"/>
        <v>2.08</v>
      </c>
      <c r="AH6" s="109">
        <f t="shared" si="4"/>
        <v>5067</v>
      </c>
      <c r="AI6" s="110"/>
      <c r="AJ6" s="109">
        <f t="shared" si="5"/>
        <v>5067</v>
      </c>
      <c r="AK6" s="111"/>
      <c r="AL6" s="109">
        <f t="shared" si="6"/>
        <v>5069.08</v>
      </c>
      <c r="AM6" s="111"/>
      <c r="AN6" s="111"/>
      <c r="AO6" s="111"/>
      <c r="AP6" s="111"/>
      <c r="AQ6" s="111"/>
      <c r="AR6" s="117" t="str">
        <f t="shared" si="7"/>
        <v>正确</v>
      </c>
      <c r="AS6" s="117" t="str">
        <f>IF(SUMPRODUCT(N(E$1:E$16=E6))&gt;1,"重复","不")</f>
        <v>不</v>
      </c>
      <c r="AT6" s="117" t="str">
        <f>IF(SUMPRODUCT(N(AO$1:AO$16=AO6))&gt;1,"重复","不")</f>
        <v>重复</v>
      </c>
    </row>
    <row r="7" s="12" customFormat="1" ht="18" customHeight="1" spans="1:46">
      <c r="A7" s="36">
        <v>4</v>
      </c>
      <c r="B7" s="37" t="s">
        <v>187</v>
      </c>
      <c r="C7" s="37" t="s">
        <v>109</v>
      </c>
      <c r="D7" s="37" t="s">
        <v>188</v>
      </c>
      <c r="E7" s="398" t="s">
        <v>110</v>
      </c>
      <c r="F7" s="38" t="s">
        <v>189</v>
      </c>
      <c r="G7" s="45" t="s">
        <v>232</v>
      </c>
      <c r="H7" s="40"/>
      <c r="I7" s="40"/>
      <c r="J7" s="74"/>
      <c r="K7" s="40"/>
      <c r="L7" s="78">
        <v>30060</v>
      </c>
      <c r="M7" s="76">
        <v>521.6</v>
      </c>
      <c r="N7" s="76">
        <v>130.4</v>
      </c>
      <c r="O7" s="76">
        <v>32.6</v>
      </c>
      <c r="P7" s="76">
        <v>181.3</v>
      </c>
      <c r="Q7" s="96">
        <f t="shared" si="0"/>
        <v>865.9</v>
      </c>
      <c r="R7" s="78">
        <v>0</v>
      </c>
      <c r="S7" s="97">
        <f>L7+IFERROR(VLOOKUP($E:$E,'（居民）工资表-11月'!$E:$S,15,0),0)</f>
        <v>109745.22</v>
      </c>
      <c r="T7" s="98">
        <f>5000+IFERROR(VLOOKUP($E:$E,'（居民）工资表-11月'!$E:$T,16,0),0)</f>
        <v>20000</v>
      </c>
      <c r="U7" s="98">
        <f>Q7+IFERROR(VLOOKUP($E:$E,'（居民）工资表-11月'!$E:$U,17,0),0)</f>
        <v>4329.5</v>
      </c>
      <c r="V7" s="78"/>
      <c r="W7" s="78"/>
      <c r="X7" s="78"/>
      <c r="Y7" s="78"/>
      <c r="Z7" s="78"/>
      <c r="AA7" s="78"/>
      <c r="AB7" s="97">
        <f t="shared" si="1"/>
        <v>0</v>
      </c>
      <c r="AC7" s="97">
        <f>R7+IFERROR(VLOOKUP($E:$E,'（居民）工资表-11月'!$E:$AC,25,0),0)</f>
        <v>0</v>
      </c>
      <c r="AD7" s="100">
        <f t="shared" si="2"/>
        <v>85415.72</v>
      </c>
      <c r="AE7" s="101">
        <f>ROUND(MAX((AD7)*{0.03;0.1;0.2;0.25;0.3;0.35;0.45}-{0;2520;16920;31920;52920;85920;181920},0),2)</f>
        <v>6021.57</v>
      </c>
      <c r="AF7" s="102">
        <f>IFERROR(VLOOKUP(E:E,'（居民）工资表-11月'!E:AF,28,0)+VLOOKUP(E:E,'（居民）工资表-11月'!E:AG,29,0),0)</f>
        <v>3602.16</v>
      </c>
      <c r="AG7" s="102">
        <f t="shared" si="3"/>
        <v>2419.41</v>
      </c>
      <c r="AH7" s="109">
        <f t="shared" si="4"/>
        <v>26774.69</v>
      </c>
      <c r="AI7" s="110"/>
      <c r="AJ7" s="109">
        <f t="shared" si="5"/>
        <v>26774.69</v>
      </c>
      <c r="AK7" s="111"/>
      <c r="AL7" s="109">
        <f t="shared" si="6"/>
        <v>29194.1</v>
      </c>
      <c r="AM7" s="111"/>
      <c r="AN7" s="111"/>
      <c r="AO7" s="111"/>
      <c r="AP7" s="111"/>
      <c r="AQ7" s="111"/>
      <c r="AR7" s="117" t="str">
        <f t="shared" si="7"/>
        <v>正确</v>
      </c>
      <c r="AS7" s="117" t="str">
        <f>IF(SUMPRODUCT(N(E$1:E$16=E7))&gt;1,"重复","不")</f>
        <v>不</v>
      </c>
      <c r="AT7" s="117" t="str">
        <f>IF(SUMPRODUCT(N(AO$1:AO$16=AO7))&gt;1,"重复","不")</f>
        <v>重复</v>
      </c>
    </row>
    <row r="8" s="12" customFormat="1" ht="18" customHeight="1" spans="1:46">
      <c r="A8" s="36">
        <v>5</v>
      </c>
      <c r="B8" s="37" t="s">
        <v>187</v>
      </c>
      <c r="C8" s="37" t="s">
        <v>113</v>
      </c>
      <c r="D8" s="37" t="s">
        <v>188</v>
      </c>
      <c r="E8" s="398" t="s">
        <v>114</v>
      </c>
      <c r="F8" s="38" t="s">
        <v>189</v>
      </c>
      <c r="G8" s="45" t="s">
        <v>231</v>
      </c>
      <c r="H8" s="40"/>
      <c r="I8" s="40"/>
      <c r="J8" s="74"/>
      <c r="K8" s="40"/>
      <c r="L8" s="78">
        <v>6000</v>
      </c>
      <c r="M8" s="76">
        <v>274.4</v>
      </c>
      <c r="N8" s="76">
        <v>76.6</v>
      </c>
      <c r="O8" s="76">
        <v>17.15</v>
      </c>
      <c r="P8" s="76">
        <v>75</v>
      </c>
      <c r="Q8" s="96">
        <f t="shared" si="0"/>
        <v>443.15</v>
      </c>
      <c r="R8" s="78">
        <v>0</v>
      </c>
      <c r="S8" s="97">
        <f>L8+IFERROR(VLOOKUP($E:$E,'（居民）工资表-11月'!$E:$S,15,0),0)</f>
        <v>20079.93</v>
      </c>
      <c r="T8" s="98">
        <f>5000+IFERROR(VLOOKUP($E:$E,'（居民）工资表-11月'!$E:$T,16,0),0)</f>
        <v>25000</v>
      </c>
      <c r="U8" s="98">
        <f>Q8+IFERROR(VLOOKUP($E:$E,'（居民）工资表-11月'!$E:$U,17,0),0)</f>
        <v>2001.17</v>
      </c>
      <c r="V8" s="78"/>
      <c r="W8" s="78"/>
      <c r="X8" s="78"/>
      <c r="Y8" s="78"/>
      <c r="Z8" s="78"/>
      <c r="AA8" s="78"/>
      <c r="AB8" s="97">
        <f t="shared" si="1"/>
        <v>0</v>
      </c>
      <c r="AC8" s="97">
        <f>R8+IFERROR(VLOOKUP($E:$E,'（居民）工资表-11月'!$E:$AC,25,0),0)</f>
        <v>0</v>
      </c>
      <c r="AD8" s="100">
        <f t="shared" si="2"/>
        <v>-6921.24</v>
      </c>
      <c r="AE8" s="101">
        <f>ROUND(MAX((AD8)*{0.03;0.1;0.2;0.25;0.3;0.35;0.45}-{0;2520;16920;31920;52920;85920;181920},0),2)</f>
        <v>0</v>
      </c>
      <c r="AF8" s="102">
        <f>IFERROR(VLOOKUP(E:E,'（居民）工资表-11月'!E:AF,28,0)+VLOOKUP(E:E,'（居民）工资表-11月'!E:AG,29,0),0)</f>
        <v>0</v>
      </c>
      <c r="AG8" s="102">
        <f t="shared" si="3"/>
        <v>0</v>
      </c>
      <c r="AH8" s="109">
        <f t="shared" si="4"/>
        <v>5556.85</v>
      </c>
      <c r="AI8" s="110"/>
      <c r="AJ8" s="109">
        <f t="shared" si="5"/>
        <v>5556.85</v>
      </c>
      <c r="AK8" s="111"/>
      <c r="AL8" s="109">
        <f t="shared" si="6"/>
        <v>5556.85</v>
      </c>
      <c r="AM8" s="111"/>
      <c r="AN8" s="111"/>
      <c r="AO8" s="111"/>
      <c r="AP8" s="111"/>
      <c r="AQ8" s="111"/>
      <c r="AR8" s="117" t="str">
        <f t="shared" si="7"/>
        <v>正确</v>
      </c>
      <c r="AS8" s="117" t="str">
        <f>IF(SUMPRODUCT(N(E$1:E$16=E8))&gt;1,"重复","不")</f>
        <v>不</v>
      </c>
      <c r="AT8" s="117" t="str">
        <f>IF(SUMPRODUCT(N(AO$1:AO$16=AO8))&gt;1,"重复","不")</f>
        <v>重复</v>
      </c>
    </row>
    <row r="9" s="12" customFormat="1" ht="18" customHeight="1" spans="1:46">
      <c r="A9" s="36">
        <v>6</v>
      </c>
      <c r="B9" s="37" t="s">
        <v>187</v>
      </c>
      <c r="C9" s="37" t="s">
        <v>117</v>
      </c>
      <c r="D9" s="37" t="s">
        <v>188</v>
      </c>
      <c r="E9" s="398" t="s">
        <v>118</v>
      </c>
      <c r="F9" s="38" t="s">
        <v>189</v>
      </c>
      <c r="G9" s="45">
        <v>19356875630</v>
      </c>
      <c r="H9" s="40"/>
      <c r="I9" s="40"/>
      <c r="J9" s="74"/>
      <c r="K9" s="40"/>
      <c r="L9" s="78">
        <v>6500</v>
      </c>
      <c r="M9" s="76">
        <v>274.4</v>
      </c>
      <c r="N9" s="76">
        <v>74.6</v>
      </c>
      <c r="O9" s="76">
        <v>17.15</v>
      </c>
      <c r="P9" s="76">
        <v>85</v>
      </c>
      <c r="Q9" s="96">
        <f t="shared" si="0"/>
        <v>451.15</v>
      </c>
      <c r="R9" s="78">
        <v>0</v>
      </c>
      <c r="S9" s="97">
        <f>L9+IFERROR(VLOOKUP($E:$E,'（居民）工资表-11月'!$E:$S,15,0),0)</f>
        <v>21873.92</v>
      </c>
      <c r="T9" s="98">
        <f>5000+IFERROR(VLOOKUP($E:$E,'（居民）工资表-11月'!$E:$T,16,0),0)</f>
        <v>20000</v>
      </c>
      <c r="U9" s="98">
        <f>Q9+IFERROR(VLOOKUP($E:$E,'（居民）工资表-11月'!$E:$U,17,0),0)</f>
        <v>3131.9</v>
      </c>
      <c r="V9" s="78"/>
      <c r="W9" s="78"/>
      <c r="X9" s="78"/>
      <c r="Y9" s="78"/>
      <c r="Z9" s="78"/>
      <c r="AA9" s="78"/>
      <c r="AB9" s="97">
        <f t="shared" si="1"/>
        <v>0</v>
      </c>
      <c r="AC9" s="97">
        <f>R9+IFERROR(VLOOKUP($E:$E,'（居民）工资表-11月'!$E:$AC,25,0),0)</f>
        <v>0</v>
      </c>
      <c r="AD9" s="100">
        <f t="shared" si="2"/>
        <v>-1257.98</v>
      </c>
      <c r="AE9" s="101">
        <f>ROUND(MAX((AD9)*{0.03;0.1;0.2;0.25;0.3;0.35;0.45}-{0;2520;16920;31920;52920;85920;181920},0),2)</f>
        <v>0</v>
      </c>
      <c r="AF9" s="102">
        <f>IFERROR(VLOOKUP(E:E,'（居民）工资表-11月'!E:AF,28,0)+VLOOKUP(E:E,'（居民）工资表-11月'!E:AG,29,0),0)</f>
        <v>0</v>
      </c>
      <c r="AG9" s="102">
        <f t="shared" si="3"/>
        <v>0</v>
      </c>
      <c r="AH9" s="109">
        <f t="shared" si="4"/>
        <v>6048.85</v>
      </c>
      <c r="AI9" s="110"/>
      <c r="AJ9" s="109">
        <f t="shared" si="5"/>
        <v>6048.85</v>
      </c>
      <c r="AK9" s="111"/>
      <c r="AL9" s="109">
        <f t="shared" si="6"/>
        <v>6048.85</v>
      </c>
      <c r="AM9" s="111"/>
      <c r="AN9" s="111"/>
      <c r="AO9" s="111"/>
      <c r="AP9" s="111"/>
      <c r="AQ9" s="111"/>
      <c r="AR9" s="117" t="str">
        <f t="shared" si="7"/>
        <v>正确</v>
      </c>
      <c r="AS9" s="117" t="str">
        <f>IF(SUMPRODUCT(N(E$1:E$16=E9))&gt;1,"重复","不")</f>
        <v>不</v>
      </c>
      <c r="AT9" s="117" t="str">
        <f>IF(SUMPRODUCT(N(AO$1:AO$16=AO9))&gt;1,"重复","不")</f>
        <v>重复</v>
      </c>
    </row>
    <row r="10" s="12" customFormat="1" ht="18" customHeight="1" spans="1:46">
      <c r="A10" s="36">
        <v>7</v>
      </c>
      <c r="B10" s="37" t="s">
        <v>187</v>
      </c>
      <c r="C10" s="37" t="s">
        <v>129</v>
      </c>
      <c r="D10" s="37" t="s">
        <v>188</v>
      </c>
      <c r="E10" s="398" t="s">
        <v>130</v>
      </c>
      <c r="F10" s="38" t="s">
        <v>189</v>
      </c>
      <c r="G10" s="45">
        <v>13973652684</v>
      </c>
      <c r="H10" s="40"/>
      <c r="I10" s="40"/>
      <c r="J10" s="74"/>
      <c r="K10" s="40"/>
      <c r="L10" s="78">
        <v>6500</v>
      </c>
      <c r="M10" s="76">
        <v>288.32</v>
      </c>
      <c r="N10" s="76">
        <v>73.52</v>
      </c>
      <c r="O10" s="76">
        <v>10.81</v>
      </c>
      <c r="P10" s="76">
        <v>100</v>
      </c>
      <c r="Q10" s="96">
        <f t="shared" si="0"/>
        <v>472.65</v>
      </c>
      <c r="R10" s="78">
        <v>0</v>
      </c>
      <c r="S10" s="97">
        <f>L10+IFERROR(VLOOKUP($E:$E,'（居民）工资表-11月'!$E:$S,15,0),0)</f>
        <v>20517.39</v>
      </c>
      <c r="T10" s="98">
        <f>5000+IFERROR(VLOOKUP($E:$E,'（居民）工资表-11月'!$E:$T,16,0),0)</f>
        <v>20000</v>
      </c>
      <c r="U10" s="98">
        <f>Q10+IFERROR(VLOOKUP($E:$E,'（居民）工资表-11月'!$E:$U,17,0),0)</f>
        <v>2363.25</v>
      </c>
      <c r="V10" s="78"/>
      <c r="W10" s="78"/>
      <c r="X10" s="78"/>
      <c r="Y10" s="78"/>
      <c r="Z10" s="78"/>
      <c r="AA10" s="78"/>
      <c r="AB10" s="97">
        <f t="shared" si="1"/>
        <v>0</v>
      </c>
      <c r="AC10" s="97">
        <f>R10+IFERROR(VLOOKUP($E:$E,'（居民）工资表-11月'!$E:$AC,25,0),0)</f>
        <v>0</v>
      </c>
      <c r="AD10" s="100">
        <f t="shared" si="2"/>
        <v>-1845.86</v>
      </c>
      <c r="AE10" s="101">
        <f>ROUND(MAX((AD10)*{0.03;0.1;0.2;0.25;0.3;0.35;0.45}-{0;2520;16920;31920;52920;85920;181920},0),2)</f>
        <v>0</v>
      </c>
      <c r="AF10" s="102">
        <f>IFERROR(VLOOKUP(E:E,'（居民）工资表-11月'!E:AF,28,0)+VLOOKUP(E:E,'（居民）工资表-11月'!E:AG,29,0),0)</f>
        <v>0</v>
      </c>
      <c r="AG10" s="102">
        <f t="shared" si="3"/>
        <v>0</v>
      </c>
      <c r="AH10" s="109">
        <f t="shared" si="4"/>
        <v>6027.35</v>
      </c>
      <c r="AI10" s="110"/>
      <c r="AJ10" s="109">
        <f t="shared" si="5"/>
        <v>6027.35</v>
      </c>
      <c r="AK10" s="111"/>
      <c r="AL10" s="109">
        <f t="shared" si="6"/>
        <v>6027.35</v>
      </c>
      <c r="AM10" s="111"/>
      <c r="AN10" s="111"/>
      <c r="AO10" s="111"/>
      <c r="AP10" s="111"/>
      <c r="AQ10" s="111"/>
      <c r="AR10" s="117" t="str">
        <f t="shared" si="7"/>
        <v>正确</v>
      </c>
      <c r="AS10" s="117" t="str">
        <f>IF(SUMPRODUCT(N(E$1:E$16=E10))&gt;1,"重复","不")</f>
        <v>不</v>
      </c>
      <c r="AT10" s="117" t="str">
        <f>IF(SUMPRODUCT(N(AO$1:AO$16=AO10))&gt;1,"重复","不")</f>
        <v>重复</v>
      </c>
    </row>
    <row r="11" s="12" customFormat="1" ht="18" customHeight="1" spans="1:46">
      <c r="A11" s="36">
        <v>8</v>
      </c>
      <c r="B11" s="37" t="s">
        <v>187</v>
      </c>
      <c r="C11" s="37" t="s">
        <v>132</v>
      </c>
      <c r="D11" s="37" t="s">
        <v>188</v>
      </c>
      <c r="E11" s="398" t="s">
        <v>133</v>
      </c>
      <c r="F11" s="38" t="s">
        <v>189</v>
      </c>
      <c r="G11" s="45" t="s">
        <v>230</v>
      </c>
      <c r="H11" s="40"/>
      <c r="I11" s="40"/>
      <c r="J11" s="74"/>
      <c r="K11" s="40"/>
      <c r="L11" s="78">
        <v>5500</v>
      </c>
      <c r="M11" s="76">
        <v>316.56</v>
      </c>
      <c r="N11" s="76">
        <v>84.14</v>
      </c>
      <c r="O11" s="76">
        <v>19.79</v>
      </c>
      <c r="P11" s="76">
        <v>105</v>
      </c>
      <c r="Q11" s="96">
        <f t="shared" si="0"/>
        <v>525.49</v>
      </c>
      <c r="R11" s="78">
        <v>0</v>
      </c>
      <c r="S11" s="97">
        <f>L11+IFERROR(VLOOKUP($E:$E,'（居民）工资表-11月'!$E:$S,15,0),0)</f>
        <v>16500</v>
      </c>
      <c r="T11" s="98">
        <f>5000+IFERROR(VLOOKUP($E:$E,'（居民）工资表-11月'!$E:$T,16,0),0)</f>
        <v>15000</v>
      </c>
      <c r="U11" s="98">
        <f>Q11+IFERROR(VLOOKUP($E:$E,'（居民）工资表-11月'!$E:$U,17,0),0)</f>
        <v>1847.37</v>
      </c>
      <c r="V11" s="78"/>
      <c r="W11" s="78"/>
      <c r="X11" s="78"/>
      <c r="Y11" s="78"/>
      <c r="Z11" s="78"/>
      <c r="AA11" s="78"/>
      <c r="AB11" s="97">
        <f t="shared" si="1"/>
        <v>0</v>
      </c>
      <c r="AC11" s="97">
        <f>R11+IFERROR(VLOOKUP($E:$E,'（居民）工资表-11月'!$E:$AC,25,0),0)</f>
        <v>0</v>
      </c>
      <c r="AD11" s="100">
        <f t="shared" si="2"/>
        <v>-347.37</v>
      </c>
      <c r="AE11" s="101">
        <f>ROUND(MAX((AD11)*{0.03;0.1;0.2;0.25;0.3;0.35;0.45}-{0;2520;16920;31920;52920;85920;181920},0),2)</f>
        <v>0</v>
      </c>
      <c r="AF11" s="102">
        <f>IFERROR(VLOOKUP(E:E,'（居民）工资表-11月'!E:AF,28,0)+VLOOKUP(E:E,'（居民）工资表-11月'!E:AG,29,0),0)</f>
        <v>0.05</v>
      </c>
      <c r="AG11" s="102">
        <f t="shared" si="3"/>
        <v>0</v>
      </c>
      <c r="AH11" s="109">
        <f t="shared" si="4"/>
        <v>4974.51</v>
      </c>
      <c r="AI11" s="110"/>
      <c r="AJ11" s="109">
        <f t="shared" si="5"/>
        <v>4974.51</v>
      </c>
      <c r="AK11" s="111"/>
      <c r="AL11" s="109">
        <f t="shared" si="6"/>
        <v>4974.51</v>
      </c>
      <c r="AM11" s="111"/>
      <c r="AN11" s="111"/>
      <c r="AO11" s="111"/>
      <c r="AP11" s="111"/>
      <c r="AQ11" s="111"/>
      <c r="AR11" s="117" t="str">
        <f t="shared" si="7"/>
        <v>正确</v>
      </c>
      <c r="AS11" s="117" t="str">
        <f>IF(SUMPRODUCT(N(E$1:E$16=E11))&gt;1,"重复","不")</f>
        <v>不</v>
      </c>
      <c r="AT11" s="117" t="str">
        <f>IF(SUMPRODUCT(N(AO$1:AO$16=AO11))&gt;1,"重复","不")</f>
        <v>重复</v>
      </c>
    </row>
    <row r="12" s="12" customFormat="1" ht="18" customHeight="1" spans="1:46">
      <c r="A12" s="36">
        <v>8</v>
      </c>
      <c r="B12" s="37" t="s">
        <v>187</v>
      </c>
      <c r="C12" s="37" t="s">
        <v>137</v>
      </c>
      <c r="D12" s="37" t="s">
        <v>188</v>
      </c>
      <c r="E12" s="398" t="s">
        <v>138</v>
      </c>
      <c r="F12" s="38" t="s">
        <v>190</v>
      </c>
      <c r="G12" s="45" t="s">
        <v>238</v>
      </c>
      <c r="H12" s="40"/>
      <c r="I12" s="40"/>
      <c r="J12" s="74"/>
      <c r="K12" s="40"/>
      <c r="L12" s="78">
        <v>4598.8</v>
      </c>
      <c r="M12" s="76">
        <v>352</v>
      </c>
      <c r="N12" s="76">
        <v>110</v>
      </c>
      <c r="O12" s="76">
        <v>22</v>
      </c>
      <c r="P12" s="76">
        <v>109</v>
      </c>
      <c r="Q12" s="96">
        <f t="shared" si="0"/>
        <v>593</v>
      </c>
      <c r="R12" s="78">
        <v>0</v>
      </c>
      <c r="S12" s="97">
        <f>L12+IFERROR(VLOOKUP($E:$E,'（居民）工资表-11月'!$E:$S,15,0),0)</f>
        <v>7796.4</v>
      </c>
      <c r="T12" s="98">
        <f>5000+IFERROR(VLOOKUP($E:$E,'（居民）工资表-11月'!$E:$T,16,0),0)</f>
        <v>10000</v>
      </c>
      <c r="U12" s="98">
        <f>Q12+IFERROR(VLOOKUP($E:$E,'（居民）工资表-11月'!$E:$U,17,0),0)</f>
        <v>1779</v>
      </c>
      <c r="V12" s="78"/>
      <c r="W12" s="78"/>
      <c r="X12" s="78"/>
      <c r="Y12" s="78"/>
      <c r="Z12" s="78"/>
      <c r="AA12" s="78"/>
      <c r="AB12" s="97">
        <f t="shared" si="1"/>
        <v>0</v>
      </c>
      <c r="AC12" s="97">
        <f>R12+IFERROR(VLOOKUP($E:$E,'（居民）工资表-11月'!$E:$AC,25,0),0)</f>
        <v>0</v>
      </c>
      <c r="AD12" s="100">
        <f t="shared" si="2"/>
        <v>-3982.6</v>
      </c>
      <c r="AE12" s="101">
        <f>ROUND(MAX((AD12)*{0.03;0.1;0.2;0.25;0.3;0.35;0.45}-{0;2520;16920;31920;52920;85920;181920},0),2)</f>
        <v>0</v>
      </c>
      <c r="AF12" s="102">
        <f>IFERROR(VLOOKUP(E:E,'（居民）工资表-11月'!E:AF,28,0)+VLOOKUP(E:E,'（居民）工资表-11月'!E:AG,29,0),0)</f>
        <v>0</v>
      </c>
      <c r="AG12" s="102">
        <f t="shared" si="3"/>
        <v>0</v>
      </c>
      <c r="AH12" s="109">
        <f t="shared" si="4"/>
        <v>4005.8</v>
      </c>
      <c r="AI12" s="110"/>
      <c r="AJ12" s="109">
        <f t="shared" si="5"/>
        <v>4005.8</v>
      </c>
      <c r="AK12" s="111"/>
      <c r="AL12" s="109">
        <f t="shared" si="6"/>
        <v>4005.8</v>
      </c>
      <c r="AM12" s="111"/>
      <c r="AN12" s="111"/>
      <c r="AO12" s="111"/>
      <c r="AP12" s="111"/>
      <c r="AQ12" s="111"/>
      <c r="AR12" s="117" t="str">
        <f t="shared" si="7"/>
        <v>正确</v>
      </c>
      <c r="AS12" s="117" t="str">
        <f>IF(SUMPRODUCT(N(E$1:E$16=E12))&gt;1,"重复","不")</f>
        <v>不</v>
      </c>
      <c r="AT12" s="117" t="str">
        <f>IF(SUMPRODUCT(N(AO$1:AO$16=AO12))&gt;1,"重复","不")</f>
        <v>重复</v>
      </c>
    </row>
    <row r="13" s="12" customFormat="1" ht="18" customHeight="1" spans="1:46">
      <c r="A13" s="36">
        <v>8</v>
      </c>
      <c r="B13" s="37" t="s">
        <v>187</v>
      </c>
      <c r="C13" s="37" t="s">
        <v>126</v>
      </c>
      <c r="D13" s="37" t="s">
        <v>188</v>
      </c>
      <c r="E13" s="398" t="s">
        <v>127</v>
      </c>
      <c r="F13" s="38" t="s">
        <v>189</v>
      </c>
      <c r="G13" s="45">
        <v>18356553626</v>
      </c>
      <c r="H13" s="40"/>
      <c r="I13" s="40"/>
      <c r="J13" s="74"/>
      <c r="K13" s="40"/>
      <c r="L13" s="78">
        <v>1460.87</v>
      </c>
      <c r="M13" s="76">
        <v>306.56</v>
      </c>
      <c r="N13" s="76">
        <v>104.45</v>
      </c>
      <c r="O13" s="76">
        <v>19.16</v>
      </c>
      <c r="P13" s="76">
        <v>75</v>
      </c>
      <c r="Q13" s="96">
        <f t="shared" si="0"/>
        <v>505.17</v>
      </c>
      <c r="R13" s="78">
        <v>0</v>
      </c>
      <c r="S13" s="97">
        <f>L13+IFERROR(VLOOKUP($E:$E,'（居民）工资表-11月'!$E:$S,15,0),0)</f>
        <v>1460.87</v>
      </c>
      <c r="T13" s="98">
        <f>5000+IFERROR(VLOOKUP($E:$E,'（居民）工资表-11月'!$E:$T,16,0),0)</f>
        <v>5000</v>
      </c>
      <c r="U13" s="98">
        <f>Q13+IFERROR(VLOOKUP($E:$E,'（居民）工资表-11月'!$E:$U,17,0),0)</f>
        <v>505.17</v>
      </c>
      <c r="V13" s="78"/>
      <c r="W13" s="78"/>
      <c r="X13" s="78"/>
      <c r="Y13" s="78"/>
      <c r="Z13" s="78"/>
      <c r="AA13" s="78"/>
      <c r="AB13" s="97">
        <f t="shared" si="1"/>
        <v>0</v>
      </c>
      <c r="AC13" s="97">
        <f>R13+IFERROR(VLOOKUP($E:$E,'（居民）工资表-11月'!$E:$AC,25,0),0)</f>
        <v>0</v>
      </c>
      <c r="AD13" s="100">
        <f t="shared" si="2"/>
        <v>-4044.3</v>
      </c>
      <c r="AE13" s="101">
        <f>ROUND(MAX((AD13)*{0.03;0.1;0.2;0.25;0.3;0.35;0.45}-{0;2520;16920;31920;52920;85920;181920},0),2)</f>
        <v>0</v>
      </c>
      <c r="AF13" s="102">
        <f>IFERROR(VLOOKUP(E:E,'（居民）工资表-11月'!E:AF,28,0)+VLOOKUP(E:E,'（居民）工资表-11月'!E:AG,29,0),0)</f>
        <v>0</v>
      </c>
      <c r="AG13" s="102">
        <f t="shared" si="3"/>
        <v>0</v>
      </c>
      <c r="AH13" s="109">
        <f t="shared" si="4"/>
        <v>955.7</v>
      </c>
      <c r="AI13" s="110"/>
      <c r="AJ13" s="109">
        <f t="shared" si="5"/>
        <v>955.7</v>
      </c>
      <c r="AK13" s="111"/>
      <c r="AL13" s="109">
        <f t="shared" si="6"/>
        <v>955.7</v>
      </c>
      <c r="AM13" s="111"/>
      <c r="AN13" s="111"/>
      <c r="AO13" s="111"/>
      <c r="AP13" s="111"/>
      <c r="AQ13" s="111"/>
      <c r="AR13" s="117" t="str">
        <f t="shared" si="7"/>
        <v>正确</v>
      </c>
      <c r="AS13" s="117" t="str">
        <f>IF(SUMPRODUCT(N(E$1:E$16=E13))&gt;1,"重复","不")</f>
        <v>不</v>
      </c>
      <c r="AT13" s="117" t="str">
        <f>IF(SUMPRODUCT(N(AO$1:AO$16=AO13))&gt;1,"重复","不")</f>
        <v>重复</v>
      </c>
    </row>
    <row r="14" s="12" customFormat="1" ht="18" customHeight="1" spans="1:46">
      <c r="A14" s="36">
        <v>8</v>
      </c>
      <c r="B14" s="37" t="s">
        <v>187</v>
      </c>
      <c r="C14" s="37" t="s">
        <v>121</v>
      </c>
      <c r="D14" s="37" t="s">
        <v>188</v>
      </c>
      <c r="E14" s="398" t="s">
        <v>122</v>
      </c>
      <c r="F14" s="38" t="s">
        <v>189</v>
      </c>
      <c r="G14" s="45">
        <v>18326897140</v>
      </c>
      <c r="H14" s="40"/>
      <c r="I14" s="40"/>
      <c r="J14" s="74"/>
      <c r="K14" s="40"/>
      <c r="L14" s="78">
        <v>1147.83</v>
      </c>
      <c r="M14" s="76">
        <v>274.4</v>
      </c>
      <c r="N14" s="76">
        <v>74.6</v>
      </c>
      <c r="O14" s="76">
        <v>17.15</v>
      </c>
      <c r="P14" s="76">
        <v>85</v>
      </c>
      <c r="Q14" s="96">
        <f t="shared" si="0"/>
        <v>451.15</v>
      </c>
      <c r="R14" s="78">
        <v>0</v>
      </c>
      <c r="S14" s="97">
        <f>L14+IFERROR(VLOOKUP($E:$E,'（居民）工资表-11月'!$E:$S,15,0),0)</f>
        <v>1147.83</v>
      </c>
      <c r="T14" s="98">
        <f>5000+IFERROR(VLOOKUP($E:$E,'（居民）工资表-11月'!$E:$T,16,0),0)</f>
        <v>5000</v>
      </c>
      <c r="U14" s="98">
        <f>Q14+IFERROR(VLOOKUP($E:$E,'（居民）工资表-11月'!$E:$U,17,0),0)</f>
        <v>451.15</v>
      </c>
      <c r="V14" s="78"/>
      <c r="W14" s="78"/>
      <c r="X14" s="78"/>
      <c r="Y14" s="78"/>
      <c r="Z14" s="78"/>
      <c r="AA14" s="78"/>
      <c r="AB14" s="97">
        <f t="shared" si="1"/>
        <v>0</v>
      </c>
      <c r="AC14" s="97">
        <f>R14+IFERROR(VLOOKUP($E:$E,'（居民）工资表-11月'!$E:$AC,25,0),0)</f>
        <v>0</v>
      </c>
      <c r="AD14" s="100">
        <f t="shared" si="2"/>
        <v>-4303.32</v>
      </c>
      <c r="AE14" s="101">
        <f>ROUND(MAX((AD14)*{0.03;0.1;0.2;0.25;0.3;0.35;0.45}-{0;2520;16920;31920;52920;85920;181920},0),2)</f>
        <v>0</v>
      </c>
      <c r="AF14" s="102">
        <f>IFERROR(VLOOKUP(E:E,'（居民）工资表-11月'!E:AF,28,0)+VLOOKUP(E:E,'（居民）工资表-11月'!E:AG,29,0),0)</f>
        <v>0</v>
      </c>
      <c r="AG14" s="102">
        <f t="shared" si="3"/>
        <v>0</v>
      </c>
      <c r="AH14" s="109">
        <f t="shared" si="4"/>
        <v>696.68</v>
      </c>
      <c r="AI14" s="110"/>
      <c r="AJ14" s="109">
        <f t="shared" si="5"/>
        <v>696.68</v>
      </c>
      <c r="AK14" s="111"/>
      <c r="AL14" s="109">
        <f t="shared" si="6"/>
        <v>696.68</v>
      </c>
      <c r="AM14" s="111"/>
      <c r="AN14" s="111"/>
      <c r="AO14" s="111"/>
      <c r="AP14" s="111"/>
      <c r="AQ14" s="111"/>
      <c r="AR14" s="117" t="str">
        <f t="shared" si="7"/>
        <v>正确</v>
      </c>
      <c r="AS14" s="117" t="str">
        <f>IF(SUMPRODUCT(N(E$1:E$16=E14))&gt;1,"重复","不")</f>
        <v>不</v>
      </c>
      <c r="AT14" s="117" t="str">
        <f>IF(SUMPRODUCT(N(AO$1:AO$16=AO14))&gt;1,"重复","不")</f>
        <v>重复</v>
      </c>
    </row>
    <row r="15" s="12" customFormat="1" ht="18" customHeight="1" spans="1:46">
      <c r="A15" s="36">
        <v>8</v>
      </c>
      <c r="B15" s="37" t="s">
        <v>187</v>
      </c>
      <c r="C15" s="37" t="s">
        <v>119</v>
      </c>
      <c r="D15" s="37" t="s">
        <v>188</v>
      </c>
      <c r="E15" s="398" t="s">
        <v>120</v>
      </c>
      <c r="F15" s="38" t="s">
        <v>189</v>
      </c>
      <c r="G15" s="45">
        <v>17201857014</v>
      </c>
      <c r="H15" s="40"/>
      <c r="I15" s="40"/>
      <c r="J15" s="74"/>
      <c r="K15" s="40"/>
      <c r="L15" s="78">
        <v>1530.43</v>
      </c>
      <c r="M15" s="76">
        <v>274.4</v>
      </c>
      <c r="N15" s="76">
        <v>74.6</v>
      </c>
      <c r="O15" s="76">
        <v>17.15</v>
      </c>
      <c r="P15" s="76">
        <v>85</v>
      </c>
      <c r="Q15" s="96">
        <f t="shared" si="0"/>
        <v>451.15</v>
      </c>
      <c r="R15" s="78">
        <v>0</v>
      </c>
      <c r="S15" s="97">
        <f>L15+IFERROR(VLOOKUP($E:$E,'（居民）工资表-11月'!$E:$S,15,0),0)</f>
        <v>1530.43</v>
      </c>
      <c r="T15" s="98">
        <f>5000+IFERROR(VLOOKUP($E:$E,'（居民）工资表-11月'!$E:$T,16,0),0)</f>
        <v>5000</v>
      </c>
      <c r="U15" s="98">
        <f>Q15+IFERROR(VLOOKUP($E:$E,'（居民）工资表-11月'!$E:$U,17,0),0)</f>
        <v>451.15</v>
      </c>
      <c r="V15" s="78"/>
      <c r="W15" s="78"/>
      <c r="X15" s="78"/>
      <c r="Y15" s="78"/>
      <c r="Z15" s="78"/>
      <c r="AA15" s="78"/>
      <c r="AB15" s="97">
        <f t="shared" si="1"/>
        <v>0</v>
      </c>
      <c r="AC15" s="97">
        <f>R15+IFERROR(VLOOKUP($E:$E,'（居民）工资表-11月'!$E:$AC,25,0),0)</f>
        <v>0</v>
      </c>
      <c r="AD15" s="100">
        <f t="shared" si="2"/>
        <v>-3920.72</v>
      </c>
      <c r="AE15" s="101">
        <f>ROUND(MAX((AD15)*{0.03;0.1;0.2;0.25;0.3;0.35;0.45}-{0;2520;16920;31920;52920;85920;181920},0),2)</f>
        <v>0</v>
      </c>
      <c r="AF15" s="102">
        <f>IFERROR(VLOOKUP(E:E,'（居民）工资表-11月'!E:AF,28,0)+VLOOKUP(E:E,'（居民）工资表-11月'!E:AG,29,0),0)</f>
        <v>0</v>
      </c>
      <c r="AG15" s="102">
        <f t="shared" si="3"/>
        <v>0</v>
      </c>
      <c r="AH15" s="109">
        <f t="shared" si="4"/>
        <v>1079.28</v>
      </c>
      <c r="AI15" s="110"/>
      <c r="AJ15" s="109">
        <f t="shared" si="5"/>
        <v>1079.28</v>
      </c>
      <c r="AK15" s="111"/>
      <c r="AL15" s="109">
        <f t="shared" si="6"/>
        <v>1079.28</v>
      </c>
      <c r="AM15" s="111"/>
      <c r="AN15" s="111"/>
      <c r="AO15" s="111"/>
      <c r="AP15" s="111"/>
      <c r="AQ15" s="111"/>
      <c r="AR15" s="117" t="str">
        <f t="shared" si="7"/>
        <v>正确</v>
      </c>
      <c r="AS15" s="117" t="str">
        <f>IF(SUMPRODUCT(N(E$1:E$16=E15))&gt;1,"重复","不")</f>
        <v>不</v>
      </c>
      <c r="AT15" s="117" t="str">
        <f>IF(SUMPRODUCT(N(AO$1:AO$16=AO15))&gt;1,"重复","不")</f>
        <v>重复</v>
      </c>
    </row>
    <row r="16" s="12" customFormat="1" ht="18" customHeight="1" spans="1:46">
      <c r="A16" s="36">
        <v>9</v>
      </c>
      <c r="B16" s="37" t="s">
        <v>187</v>
      </c>
      <c r="C16" s="37" t="s">
        <v>247</v>
      </c>
      <c r="D16" s="37" t="s">
        <v>188</v>
      </c>
      <c r="E16" s="398" t="s">
        <v>125</v>
      </c>
      <c r="F16" s="38" t="s">
        <v>190</v>
      </c>
      <c r="G16" s="45" t="s">
        <v>248</v>
      </c>
      <c r="H16" s="40"/>
      <c r="I16" s="40"/>
      <c r="J16" s="74"/>
      <c r="K16" s="40"/>
      <c r="L16" s="78">
        <v>2191.3</v>
      </c>
      <c r="M16" s="76">
        <v>613.12</v>
      </c>
      <c r="N16" s="76">
        <v>208.9</v>
      </c>
      <c r="O16" s="76">
        <v>38.32</v>
      </c>
      <c r="P16" s="76">
        <v>150</v>
      </c>
      <c r="Q16" s="96">
        <f t="shared" si="0"/>
        <v>1010.34</v>
      </c>
      <c r="R16" s="78">
        <v>0</v>
      </c>
      <c r="S16" s="97">
        <f>L16+IFERROR(VLOOKUP($E:$E,'（居民）工资表-11月'!$E:$S,15,0),0)</f>
        <v>2191.3</v>
      </c>
      <c r="T16" s="98">
        <f>5000+IFERROR(VLOOKUP($E:$E,'（居民）工资表-11月'!$E:$T,16,0),0)</f>
        <v>5000</v>
      </c>
      <c r="U16" s="98">
        <f>Q16+IFERROR(VLOOKUP($E:$E,'（居民）工资表-11月'!$E:$U,17,0),0)</f>
        <v>1010.34</v>
      </c>
      <c r="V16" s="78"/>
      <c r="W16" s="78"/>
      <c r="X16" s="78"/>
      <c r="Y16" s="78"/>
      <c r="Z16" s="78"/>
      <c r="AA16" s="78"/>
      <c r="AB16" s="97">
        <f t="shared" si="1"/>
        <v>0</v>
      </c>
      <c r="AC16" s="97">
        <f>R16+IFERROR(VLOOKUP($E:$E,'（居民）工资表-11月'!$E:$AC,25,0),0)</f>
        <v>0</v>
      </c>
      <c r="AD16" s="100">
        <f t="shared" si="2"/>
        <v>-3819.04</v>
      </c>
      <c r="AE16" s="101">
        <f>ROUND(MAX((AD16)*{0.03;0.1;0.2;0.25;0.3;0.35;0.45}-{0;2520;16920;31920;52920;85920;181920},0),2)</f>
        <v>0</v>
      </c>
      <c r="AF16" s="102">
        <f>IFERROR(VLOOKUP(E:E,'（居民）工资表-11月'!E:AF,28,0)+VLOOKUP(E:E,'（居民）工资表-11月'!E:AG,29,0),0)</f>
        <v>0</v>
      </c>
      <c r="AG16" s="102">
        <f t="shared" si="3"/>
        <v>0</v>
      </c>
      <c r="AH16" s="109">
        <f t="shared" si="4"/>
        <v>1180.96</v>
      </c>
      <c r="AI16" s="110"/>
      <c r="AJ16" s="109">
        <f t="shared" si="5"/>
        <v>1180.96</v>
      </c>
      <c r="AK16" s="111"/>
      <c r="AL16" s="109">
        <f t="shared" si="6"/>
        <v>1180.96</v>
      </c>
      <c r="AM16" s="111"/>
      <c r="AN16" s="111"/>
      <c r="AO16" s="111"/>
      <c r="AP16" s="111"/>
      <c r="AQ16" s="111"/>
      <c r="AR16" s="117" t="str">
        <f t="shared" si="7"/>
        <v>正确</v>
      </c>
      <c r="AS16" s="117" t="str">
        <f>IF(SUMPRODUCT(N(E$1:E$16=E16))&gt;1,"重复","不")</f>
        <v>不</v>
      </c>
      <c r="AT16" s="117" t="str">
        <f>IF(SUMPRODUCT(N(AO$1:AO$16=AO16))&gt;1,"重复","不")</f>
        <v>重复</v>
      </c>
    </row>
    <row r="17" s="13" customFormat="1" ht="18" customHeight="1" spans="1:46">
      <c r="A17" s="46"/>
      <c r="B17" s="47" t="s">
        <v>216</v>
      </c>
      <c r="C17" s="47"/>
      <c r="D17" s="48"/>
      <c r="E17" s="49"/>
      <c r="F17" s="50"/>
      <c r="G17" s="51"/>
      <c r="H17" s="50"/>
      <c r="I17" s="79"/>
      <c r="J17" s="80"/>
      <c r="K17" s="79"/>
      <c r="L17" s="81">
        <f t="shared" ref="L17:AL17" si="8">SUM(L4:L16)</f>
        <v>88749.23</v>
      </c>
      <c r="M17" s="81">
        <f t="shared" si="8"/>
        <v>4442.9</v>
      </c>
      <c r="N17" s="81">
        <f t="shared" si="8"/>
        <v>1299.11</v>
      </c>
      <c r="O17" s="81">
        <f t="shared" si="8"/>
        <v>237.63</v>
      </c>
      <c r="P17" s="81">
        <f t="shared" si="8"/>
        <v>1427.3</v>
      </c>
      <c r="Q17" s="81">
        <f t="shared" si="8"/>
        <v>7406.94</v>
      </c>
      <c r="R17" s="81">
        <f t="shared" si="8"/>
        <v>0</v>
      </c>
      <c r="S17" s="81">
        <f t="shared" si="8"/>
        <v>476083.29</v>
      </c>
      <c r="T17" s="81">
        <f t="shared" si="8"/>
        <v>310000</v>
      </c>
      <c r="U17" s="81">
        <f t="shared" si="8"/>
        <v>37399.08</v>
      </c>
      <c r="V17" s="81">
        <f t="shared" si="8"/>
        <v>12000</v>
      </c>
      <c r="W17" s="81">
        <f t="shared" si="8"/>
        <v>0</v>
      </c>
      <c r="X17" s="81">
        <f t="shared" si="8"/>
        <v>12000</v>
      </c>
      <c r="Y17" s="81">
        <f t="shared" si="8"/>
        <v>0</v>
      </c>
      <c r="Z17" s="81">
        <f t="shared" si="8"/>
        <v>4800</v>
      </c>
      <c r="AA17" s="81">
        <f t="shared" si="8"/>
        <v>0</v>
      </c>
      <c r="AB17" s="81">
        <f t="shared" si="8"/>
        <v>28800</v>
      </c>
      <c r="AC17" s="81">
        <f t="shared" si="8"/>
        <v>0</v>
      </c>
      <c r="AD17" s="81">
        <f t="shared" si="8"/>
        <v>99884.21</v>
      </c>
      <c r="AE17" s="81">
        <f t="shared" si="8"/>
        <v>7368.9</v>
      </c>
      <c r="AF17" s="81">
        <f t="shared" si="8"/>
        <v>4822.86</v>
      </c>
      <c r="AG17" s="81">
        <f t="shared" si="8"/>
        <v>2546.09</v>
      </c>
      <c r="AH17" s="81">
        <f t="shared" si="8"/>
        <v>78796.2</v>
      </c>
      <c r="AI17" s="159">
        <f t="shared" si="8"/>
        <v>0</v>
      </c>
      <c r="AJ17" s="81">
        <f t="shared" si="8"/>
        <v>78796.2</v>
      </c>
      <c r="AK17" s="81">
        <f t="shared" si="8"/>
        <v>0</v>
      </c>
      <c r="AL17" s="81">
        <f t="shared" si="8"/>
        <v>81342.29</v>
      </c>
      <c r="AM17" s="112"/>
      <c r="AN17" s="112"/>
      <c r="AO17" s="112"/>
      <c r="AP17" s="112"/>
      <c r="AQ17" s="112"/>
      <c r="AR17" s="50"/>
      <c r="AS17" s="50"/>
      <c r="AT17" s="118"/>
    </row>
    <row r="20" spans="30:30">
      <c r="AD20" s="103"/>
    </row>
    <row r="21" ht="18.75" customHeight="1" spans="2:30">
      <c r="B21" s="52" t="s">
        <v>168</v>
      </c>
      <c r="C21" s="52" t="s">
        <v>217</v>
      </c>
      <c r="D21" s="52" t="s">
        <v>22</v>
      </c>
      <c r="E21" s="52" t="s">
        <v>23</v>
      </c>
      <c r="AD21" s="10"/>
    </row>
    <row r="22" ht="18.75" customHeight="1" spans="2:5">
      <c r="B22" s="53">
        <f>AJ17</f>
        <v>78796.2</v>
      </c>
      <c r="C22" s="53">
        <f>AG17</f>
        <v>2546.09</v>
      </c>
      <c r="D22" s="53">
        <f>AK17</f>
        <v>0</v>
      </c>
      <c r="E22" s="53">
        <f>B22+C22+D22</f>
        <v>81342.29</v>
      </c>
    </row>
    <row r="23" spans="2:5">
      <c r="B23" s="54"/>
      <c r="C23" s="54"/>
      <c r="D23" s="54"/>
      <c r="E23" s="54"/>
    </row>
    <row r="24" s="14" customFormat="1" spans="1:35">
      <c r="A24" s="55" t="s">
        <v>218</v>
      </c>
      <c r="B24" s="56" t="s">
        <v>219</v>
      </c>
      <c r="C24" s="57"/>
      <c r="D24" s="57"/>
      <c r="E24" s="57"/>
      <c r="G24" s="58"/>
      <c r="J24" s="82"/>
      <c r="M24" s="83"/>
      <c r="AI24" s="113"/>
    </row>
    <row r="25" s="14" customFormat="1" spans="1:35">
      <c r="A25" s="59"/>
      <c r="B25" s="60" t="s">
        <v>220</v>
      </c>
      <c r="C25" s="57"/>
      <c r="D25" s="57"/>
      <c r="E25" s="57"/>
      <c r="G25" s="58"/>
      <c r="J25" s="82"/>
      <c r="M25" s="83"/>
      <c r="AI25" s="113"/>
    </row>
    <row r="26" s="14" customFormat="1" spans="1:35">
      <c r="A26" s="56"/>
      <c r="B26" s="60" t="s">
        <v>221</v>
      </c>
      <c r="C26" s="61"/>
      <c r="D26" s="61"/>
      <c r="E26" s="61"/>
      <c r="F26" s="61"/>
      <c r="G26" s="61"/>
      <c r="H26" s="61"/>
      <c r="I26" s="61"/>
      <c r="J26" s="84"/>
      <c r="K26" s="61"/>
      <c r="L26" s="61"/>
      <c r="M26" s="85"/>
      <c r="N26" s="61"/>
      <c r="O26" s="61"/>
      <c r="P26" s="61"/>
      <c r="AI26" s="113"/>
    </row>
    <row r="27" s="14" customFormat="1" customHeight="1" spans="1:35">
      <c r="A27" s="60"/>
      <c r="B27" s="60" t="s">
        <v>222</v>
      </c>
      <c r="C27" s="62"/>
      <c r="D27" s="62"/>
      <c r="E27" s="62"/>
      <c r="F27" s="62"/>
      <c r="G27" s="62"/>
      <c r="H27" s="62"/>
      <c r="I27" s="86"/>
      <c r="J27" s="87"/>
      <c r="K27" s="86"/>
      <c r="L27" s="86"/>
      <c r="M27" s="88"/>
      <c r="N27" s="86"/>
      <c r="O27" s="86"/>
      <c r="P27" s="86"/>
      <c r="AI27" s="113"/>
    </row>
    <row r="28" s="14" customFormat="1" customHeight="1" spans="1:35">
      <c r="A28" s="60"/>
      <c r="B28" s="60" t="s">
        <v>223</v>
      </c>
      <c r="C28" s="62"/>
      <c r="D28" s="62"/>
      <c r="E28" s="62"/>
      <c r="F28" s="62"/>
      <c r="G28" s="62"/>
      <c r="H28" s="62"/>
      <c r="I28" s="62"/>
      <c r="J28" s="89"/>
      <c r="K28" s="62"/>
      <c r="L28" s="86"/>
      <c r="M28" s="88"/>
      <c r="N28" s="86"/>
      <c r="O28" s="86"/>
      <c r="P28" s="86"/>
      <c r="AI28" s="113"/>
    </row>
    <row r="29" s="14" customFormat="1" customHeight="1" spans="1:35">
      <c r="A29" s="60"/>
      <c r="B29" s="60" t="s">
        <v>224</v>
      </c>
      <c r="C29" s="62"/>
      <c r="D29" s="62"/>
      <c r="E29" s="62"/>
      <c r="F29" s="62"/>
      <c r="G29" s="62"/>
      <c r="H29" s="62"/>
      <c r="I29" s="86"/>
      <c r="J29" s="87"/>
      <c r="K29" s="86"/>
      <c r="L29" s="86"/>
      <c r="M29" s="88"/>
      <c r="N29" s="86"/>
      <c r="O29" s="86"/>
      <c r="P29" s="86"/>
      <c r="AI29" s="113"/>
    </row>
    <row r="31" ht="11.25" customHeight="1" spans="2:2">
      <c r="B31" s="63" t="s">
        <v>225</v>
      </c>
    </row>
    <row r="32" spans="2:2">
      <c r="B32" s="64" t="s">
        <v>226</v>
      </c>
    </row>
    <row r="33" spans="2:2">
      <c r="B33" s="64" t="s">
        <v>227</v>
      </c>
    </row>
  </sheetData>
  <autoFilter ref="A3:AT17">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29">
    <cfRule type="duplicateValues" dxfId="3" priority="2" stopIfTrue="1"/>
  </conditionalFormatting>
  <conditionalFormatting sqref="B24:B28">
    <cfRule type="duplicateValues" dxfId="3" priority="3" stopIfTrue="1"/>
  </conditionalFormatting>
  <conditionalFormatting sqref="B32:B33">
    <cfRule type="duplicateValues" dxfId="3" priority="1" stopIfTrue="1"/>
  </conditionalFormatting>
  <conditionalFormatting sqref="C21:C23">
    <cfRule type="duplicateValues" dxfId="3" priority="4" stopIfTrue="1"/>
    <cfRule type="expression" dxfId="4" priority="5" stopIfTrue="1">
      <formula>AND(COUNTIF($B$17:$B$65453,C21)+COUNTIF($B$1:$B$3,C21)&gt;1,NOT(ISBLANK(C21)))</formula>
    </cfRule>
    <cfRule type="expression" dxfId="4" priority="6" stopIfTrue="1">
      <formula>AND(COUNTIF($B$28:$B$65404,C21)+COUNTIF($B$1:$B$27,C21)&gt;1,NOT(ISBLANK(C21)))</formula>
    </cfRule>
    <cfRule type="expression" dxfId="4" priority="7" stopIfTrue="1">
      <formula>AND(COUNTIF($B$17:$B$65442,C21)+COUNTIF($B$1:$B$3,C21)&gt;1,NOT(ISBLANK(C21)))</formula>
    </cfRule>
  </conditionalFormatting>
  <pageMargins left="0.235416666666667" right="0.235416666666667" top="0.747916666666667" bottom="0.747916666666667" header="0.313888888888889" footer="0.313888888888889"/>
  <pageSetup paperSize="9" scale="56" fitToWidth="2" orientation="landscape"/>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O6"/>
  <sheetViews>
    <sheetView topLeftCell="J1" workbookViewId="0">
      <selection activeCell="L6" sqref="L6"/>
    </sheetView>
  </sheetViews>
  <sheetFormatPr defaultColWidth="9" defaultRowHeight="12" outlineLevelRow="5"/>
  <cols>
    <col min="1" max="1" width="4.90833333333333" style="140" hidden="1" customWidth="1"/>
    <col min="2" max="2" width="10.725" style="140" hidden="1" customWidth="1"/>
    <col min="3" max="3" width="10.6333333333333" style="140" hidden="1" customWidth="1"/>
    <col min="4" max="4" width="13.3666666666667" style="140" hidden="1" customWidth="1"/>
    <col min="5" max="5" width="9.63333333333333" style="140" hidden="1" customWidth="1"/>
    <col min="6" max="6" width="9.09166666666667" style="140" hidden="1" customWidth="1"/>
    <col min="7" max="7" width="7.90833333333333" style="140" hidden="1" customWidth="1"/>
    <col min="8" max="9" width="5" style="140" hidden="1" customWidth="1"/>
    <col min="10" max="10" width="8" style="140" customWidth="1"/>
    <col min="11" max="11" width="20.45" style="140" customWidth="1"/>
    <col min="12" max="12" width="11.6333333333333" style="140" customWidth="1"/>
    <col min="13" max="13" width="6.63333333333333" style="140" customWidth="1"/>
    <col min="14" max="14" width="5.90833333333333" style="140" customWidth="1"/>
    <col min="15" max="15" width="5.63333333333333" style="140" customWidth="1"/>
    <col min="16" max="16" width="7.63333333333333" style="140" customWidth="1"/>
    <col min="17" max="17" width="11.725" style="140" customWidth="1"/>
    <col min="18" max="18" width="6.63333333333333" style="140" customWidth="1"/>
    <col min="19" max="19" width="9.90833333333333" style="140" customWidth="1"/>
    <col min="20" max="20" width="7.90833333333333" style="140" customWidth="1"/>
    <col min="21" max="21" width="10.45" style="140" customWidth="1"/>
    <col min="22" max="22" width="7.90833333333333" style="140" customWidth="1"/>
    <col min="23" max="23" width="8" style="140" customWidth="1"/>
    <col min="24" max="24" width="7.09166666666667" style="140" customWidth="1"/>
    <col min="25" max="25" width="7.36666666666667" style="140" customWidth="1"/>
    <col min="26" max="26" width="7.45" style="140" customWidth="1"/>
    <col min="27" max="27" width="9.725" style="140" customWidth="1"/>
    <col min="28" max="28" width="12.725" style="140" customWidth="1"/>
    <col min="29" max="29" width="10" style="140" customWidth="1"/>
    <col min="30" max="30" width="9" style="140"/>
    <col min="31" max="31" width="15" style="140" customWidth="1"/>
    <col min="32" max="32" width="19.6333333333333" style="140" customWidth="1"/>
    <col min="33" max="33" width="9.36666666666667" style="140" customWidth="1"/>
    <col min="34" max="34" width="12.3666666666667" style="140" customWidth="1"/>
    <col min="35" max="35" width="9" style="140"/>
    <col min="36" max="36" width="12.2666666666667" style="140" customWidth="1"/>
    <col min="37" max="37" width="18.45" style="140" customWidth="1"/>
    <col min="38" max="38" width="14.2666666666667" style="140" customWidth="1"/>
    <col min="39" max="39" width="11.45" style="140" customWidth="1"/>
    <col min="40" max="40" width="13.9083333333333" style="140" customWidth="1"/>
    <col min="41" max="41" width="13.6333333333333" style="140" customWidth="1"/>
    <col min="42" max="16384" width="9" style="140"/>
  </cols>
  <sheetData>
    <row r="1" s="138" customFormat="1" ht="16.5" spans="1:41">
      <c r="A1" s="141" t="s">
        <v>0</v>
      </c>
      <c r="B1" s="141" t="s">
        <v>249</v>
      </c>
      <c r="C1" s="142" t="s">
        <v>4</v>
      </c>
      <c r="D1" s="141" t="s">
        <v>250</v>
      </c>
      <c r="E1" s="141" t="s">
        <v>251</v>
      </c>
      <c r="F1" s="143" t="s">
        <v>1</v>
      </c>
      <c r="G1" s="141" t="s">
        <v>252</v>
      </c>
      <c r="H1" s="141" t="s">
        <v>3</v>
      </c>
      <c r="I1" s="141" t="s">
        <v>253</v>
      </c>
      <c r="J1" s="143" t="s">
        <v>5</v>
      </c>
      <c r="K1" s="143" t="s">
        <v>254</v>
      </c>
      <c r="L1" s="143" t="s">
        <v>255</v>
      </c>
      <c r="M1" s="143" t="s">
        <v>256</v>
      </c>
      <c r="N1" s="143" t="s">
        <v>257</v>
      </c>
      <c r="O1" s="143" t="s">
        <v>258</v>
      </c>
      <c r="P1" s="143" t="s">
        <v>259</v>
      </c>
      <c r="Q1" s="143" t="s">
        <v>260</v>
      </c>
      <c r="R1" s="143" t="s">
        <v>261</v>
      </c>
      <c r="S1" s="149" t="s">
        <v>262</v>
      </c>
      <c r="T1" s="150" t="s">
        <v>263</v>
      </c>
      <c r="U1" s="150"/>
      <c r="V1" s="150"/>
      <c r="W1" s="150"/>
      <c r="X1" s="150"/>
      <c r="Y1" s="150"/>
      <c r="Z1" s="149" t="s">
        <v>264</v>
      </c>
      <c r="AA1" s="153" t="s">
        <v>265</v>
      </c>
      <c r="AB1" s="153"/>
      <c r="AC1" s="153"/>
      <c r="AD1" s="141" t="s">
        <v>266</v>
      </c>
      <c r="AE1" s="141" t="s">
        <v>267</v>
      </c>
      <c r="AF1" s="141" t="s">
        <v>268</v>
      </c>
      <c r="AG1" s="141" t="s">
        <v>269</v>
      </c>
      <c r="AH1" s="141" t="s">
        <v>270</v>
      </c>
      <c r="AI1" s="141" t="s">
        <v>271</v>
      </c>
      <c r="AJ1" s="141" t="s">
        <v>24</v>
      </c>
      <c r="AK1" s="155" t="s">
        <v>272</v>
      </c>
      <c r="AL1" s="156" t="s">
        <v>273</v>
      </c>
      <c r="AM1" s="156" t="s">
        <v>274</v>
      </c>
      <c r="AN1" s="157" t="s">
        <v>275</v>
      </c>
      <c r="AO1" s="157" t="s">
        <v>276</v>
      </c>
    </row>
    <row r="2" s="139" customFormat="1" ht="33" spans="1:41">
      <c r="A2" s="144"/>
      <c r="B2" s="144"/>
      <c r="C2" s="142"/>
      <c r="D2" s="144"/>
      <c r="E2" s="144"/>
      <c r="F2" s="145"/>
      <c r="G2" s="146"/>
      <c r="H2" s="147"/>
      <c r="I2" s="147"/>
      <c r="J2" s="148"/>
      <c r="K2" s="148"/>
      <c r="L2" s="148"/>
      <c r="M2" s="148"/>
      <c r="N2" s="145"/>
      <c r="O2" s="145"/>
      <c r="P2" s="145"/>
      <c r="Q2" s="145"/>
      <c r="R2" s="145"/>
      <c r="S2" s="151"/>
      <c r="T2" s="150" t="s">
        <v>277</v>
      </c>
      <c r="U2" s="150" t="s">
        <v>278</v>
      </c>
      <c r="V2" s="150" t="s">
        <v>279</v>
      </c>
      <c r="W2" s="150" t="s">
        <v>280</v>
      </c>
      <c r="X2" s="150" t="s">
        <v>281</v>
      </c>
      <c r="Y2" s="150" t="s">
        <v>282</v>
      </c>
      <c r="Z2" s="151"/>
      <c r="AA2" s="150" t="s">
        <v>283</v>
      </c>
      <c r="AB2" s="150" t="s">
        <v>284</v>
      </c>
      <c r="AC2" s="150" t="s">
        <v>285</v>
      </c>
      <c r="AD2" s="144"/>
      <c r="AE2" s="144"/>
      <c r="AF2" s="144"/>
      <c r="AG2" s="144"/>
      <c r="AH2" s="144"/>
      <c r="AI2" s="144"/>
      <c r="AJ2" s="144"/>
      <c r="AK2" s="155"/>
      <c r="AL2" s="156" t="s">
        <v>286</v>
      </c>
      <c r="AM2" s="156"/>
      <c r="AN2" s="157"/>
      <c r="AO2" s="158"/>
    </row>
    <row r="3" spans="6:29">
      <c r="F3" s="140" t="s">
        <v>287</v>
      </c>
      <c r="J3" s="140" t="s">
        <v>124</v>
      </c>
      <c r="K3" s="399" t="s">
        <v>125</v>
      </c>
      <c r="L3" s="140" t="s">
        <v>248</v>
      </c>
      <c r="M3" s="140" t="s">
        <v>288</v>
      </c>
      <c r="N3" s="140" t="s">
        <v>123</v>
      </c>
      <c r="O3" s="140" t="s">
        <v>123</v>
      </c>
      <c r="Q3" s="152">
        <v>44880</v>
      </c>
      <c r="R3" s="140" t="s">
        <v>123</v>
      </c>
      <c r="S3" s="140" t="s">
        <v>289</v>
      </c>
      <c r="T3" s="140">
        <v>202212</v>
      </c>
      <c r="U3" s="140">
        <v>3832</v>
      </c>
      <c r="V3" s="140">
        <v>3430</v>
      </c>
      <c r="W3" s="140">
        <v>3832</v>
      </c>
      <c r="X3" s="140">
        <v>3832</v>
      </c>
      <c r="AA3" s="140">
        <v>202212</v>
      </c>
      <c r="AB3" s="154">
        <v>0.05</v>
      </c>
      <c r="AC3" s="140">
        <v>1500</v>
      </c>
    </row>
    <row r="4" spans="6:29">
      <c r="F4" s="140" t="s">
        <v>287</v>
      </c>
      <c r="J4" s="140" t="s">
        <v>126</v>
      </c>
      <c r="K4" s="399" t="s">
        <v>127</v>
      </c>
      <c r="L4" s="140">
        <v>18356553626</v>
      </c>
      <c r="M4" s="140" t="s">
        <v>288</v>
      </c>
      <c r="N4" s="140" t="s">
        <v>123</v>
      </c>
      <c r="O4" s="140" t="s">
        <v>123</v>
      </c>
      <c r="Q4" s="152">
        <v>44883</v>
      </c>
      <c r="R4" s="140" t="s">
        <v>123</v>
      </c>
      <c r="S4" s="140" t="s">
        <v>289</v>
      </c>
      <c r="T4" s="140">
        <v>202301</v>
      </c>
      <c r="U4" s="140">
        <v>3832</v>
      </c>
      <c r="V4" s="140">
        <v>3430</v>
      </c>
      <c r="W4" s="140">
        <v>3832</v>
      </c>
      <c r="X4" s="140">
        <v>3832</v>
      </c>
      <c r="AA4" s="140">
        <v>202301</v>
      </c>
      <c r="AB4" s="154">
        <v>0.05</v>
      </c>
      <c r="AC4" s="140">
        <v>1500</v>
      </c>
    </row>
    <row r="5" spans="6:29">
      <c r="F5" s="140" t="s">
        <v>287</v>
      </c>
      <c r="J5" s="140" t="s">
        <v>119</v>
      </c>
      <c r="K5" s="399" t="s">
        <v>120</v>
      </c>
      <c r="L5" s="140">
        <v>17201857014</v>
      </c>
      <c r="M5" s="140" t="s">
        <v>288</v>
      </c>
      <c r="N5" s="140" t="s">
        <v>116</v>
      </c>
      <c r="O5" s="140" t="s">
        <v>116</v>
      </c>
      <c r="Q5" s="152">
        <v>44881</v>
      </c>
      <c r="R5" s="140" t="s">
        <v>116</v>
      </c>
      <c r="S5" s="140" t="s">
        <v>289</v>
      </c>
      <c r="T5" s="140">
        <v>202301</v>
      </c>
      <c r="U5" s="140">
        <v>3430</v>
      </c>
      <c r="V5" s="140">
        <v>3430</v>
      </c>
      <c r="W5" s="140">
        <v>3430</v>
      </c>
      <c r="X5" s="140">
        <v>3430</v>
      </c>
      <c r="AA5" s="140">
        <v>202301</v>
      </c>
      <c r="AB5" s="154">
        <v>0.1</v>
      </c>
      <c r="AC5" s="140">
        <v>1700</v>
      </c>
    </row>
    <row r="6" spans="6:29">
      <c r="F6" s="140" t="s">
        <v>287</v>
      </c>
      <c r="J6" s="140" t="s">
        <v>121</v>
      </c>
      <c r="K6" s="399" t="s">
        <v>122</v>
      </c>
      <c r="L6" s="140">
        <v>18326897140</v>
      </c>
      <c r="M6" s="140" t="s">
        <v>288</v>
      </c>
      <c r="N6" s="140" t="s">
        <v>116</v>
      </c>
      <c r="O6" s="140" t="s">
        <v>116</v>
      </c>
      <c r="Q6" s="152">
        <v>44883</v>
      </c>
      <c r="R6" s="140" t="s">
        <v>116</v>
      </c>
      <c r="S6" s="140" t="s">
        <v>289</v>
      </c>
      <c r="T6" s="140">
        <v>202301</v>
      </c>
      <c r="U6" s="140">
        <v>3430</v>
      </c>
      <c r="V6" s="140">
        <v>3430</v>
      </c>
      <c r="W6" s="140">
        <v>3430</v>
      </c>
      <c r="X6" s="140">
        <v>3430</v>
      </c>
      <c r="AA6" s="140">
        <v>202301</v>
      </c>
      <c r="AB6" s="154">
        <v>0.1</v>
      </c>
      <c r="AC6" s="140">
        <v>1700</v>
      </c>
    </row>
  </sheetData>
  <mergeCells count="34">
    <mergeCell ref="T1:Y1"/>
    <mergeCell ref="AA1:AC1"/>
    <mergeCell ref="A1:A2"/>
    <mergeCell ref="B1:B2"/>
    <mergeCell ref="C1:C2"/>
    <mergeCell ref="D1:D2"/>
    <mergeCell ref="E1:E2"/>
    <mergeCell ref="F1:F2"/>
    <mergeCell ref="G1:G2"/>
    <mergeCell ref="H1:H2"/>
    <mergeCell ref="I1:I2"/>
    <mergeCell ref="J1:J2"/>
    <mergeCell ref="K1:K2"/>
    <mergeCell ref="L1:L2"/>
    <mergeCell ref="M1:M2"/>
    <mergeCell ref="N1:N2"/>
    <mergeCell ref="O1:O2"/>
    <mergeCell ref="P1:P2"/>
    <mergeCell ref="Q1:Q2"/>
    <mergeCell ref="R1:R2"/>
    <mergeCell ref="S1:S2"/>
    <mergeCell ref="Z1:Z2"/>
    <mergeCell ref="AD1:AD2"/>
    <mergeCell ref="AE1:AE2"/>
    <mergeCell ref="AF1:AF2"/>
    <mergeCell ref="AG1:AG2"/>
    <mergeCell ref="AH1:AH2"/>
    <mergeCell ref="AI1:AI2"/>
    <mergeCell ref="AJ1:AJ2"/>
    <mergeCell ref="AK1:AK2"/>
    <mergeCell ref="AL1:AL2"/>
    <mergeCell ref="AM1:AM2"/>
    <mergeCell ref="AN1:AN2"/>
    <mergeCell ref="AO1:AO2"/>
  </mergeCells>
  <dataValidations count="3">
    <dataValidation type="list" allowBlank="1" showInputMessage="1" showErrorMessage="1" sqref="P3">
      <formula1>"本地城镇,本地农村,外地城镇,外地农村"</formula1>
    </dataValidation>
    <dataValidation type="list" allowBlank="1" showInputMessage="1" showErrorMessage="1" sqref="Z3 S3:S6">
      <formula1>"新参,调入"</formula1>
    </dataValidation>
    <dataValidation type="list" allowBlank="1" showInputMessage="1" showErrorMessage="1" sqref="H3:H64365">
      <formula1>#REF!</formula1>
    </dataValidation>
  </dataValidations>
  <pageMargins left="0.7" right="0.7" top="0.75" bottom="0.75" header="0.3" footer="0.3"/>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T29"/>
  <sheetViews>
    <sheetView workbookViewId="0">
      <pane xSplit="6" ySplit="3" topLeftCell="AD4" activePane="bottomRight" state="frozen"/>
      <selection/>
      <selection pane="topRight"/>
      <selection pane="bottomLeft"/>
      <selection pane="bottomRight" activeCell="AH9" sqref="AH9"/>
    </sheetView>
  </sheetViews>
  <sheetFormatPr defaultColWidth="9" defaultRowHeight="13.5"/>
  <cols>
    <col min="1" max="1" width="4.45" style="15" customWidth="1"/>
    <col min="2" max="2" width="12.6333333333333" style="15" customWidth="1"/>
    <col min="3" max="3" width="10.45" style="15" customWidth="1"/>
    <col min="4" max="4" width="8.725" style="15" customWidth="1"/>
    <col min="5" max="5" width="19.45" style="16" customWidth="1"/>
    <col min="6" max="6" width="9" style="15"/>
    <col min="7" max="7" width="11.9083333333333" style="17" customWidth="1"/>
    <col min="8" max="8" width="4.63333333333333" style="15" hidden="1" customWidth="1"/>
    <col min="9" max="9" width="5.26666666666667" style="15" hidden="1" customWidth="1"/>
    <col min="10" max="10" width="11.725" style="18" customWidth="1"/>
    <col min="11" max="11" width="5.26666666666667" style="15" customWidth="1"/>
    <col min="12" max="12" width="11.725" style="15" customWidth="1"/>
    <col min="13" max="13" width="9.45" style="15" customWidth="1" outlineLevel="1"/>
    <col min="14" max="15" width="9" style="15" customWidth="1" outlineLevel="1"/>
    <col min="16" max="16" width="11.0916666666667" style="15" customWidth="1" outlineLevel="1"/>
    <col min="17" max="17" width="9.725" style="15" customWidth="1"/>
    <col min="18" max="18" width="9.45" style="15" customWidth="1"/>
    <col min="19" max="19" width="11.45" style="15" customWidth="1"/>
    <col min="20" max="21" width="12.2666666666667" style="15" customWidth="1"/>
    <col min="22" max="27" width="9" style="15" customWidth="1" outlineLevel="1"/>
    <col min="28" max="28" width="11.2666666666667" style="15" customWidth="1"/>
    <col min="29" max="29" width="8.45" style="15" customWidth="1"/>
    <col min="30" max="30" width="15.2666666666667" style="15" customWidth="1"/>
    <col min="31" max="31" width="14" style="15" customWidth="1"/>
    <col min="32" max="32" width="10.725" style="15" customWidth="1"/>
    <col min="33" max="33" width="12.2666666666667" style="15" customWidth="1"/>
    <col min="34" max="34" width="11.45" style="15" customWidth="1"/>
    <col min="35" max="35" width="7.90833333333333" style="19" customWidth="1"/>
    <col min="36" max="36" width="11.45" style="15" customWidth="1"/>
    <col min="37" max="37" width="9" style="15"/>
    <col min="38" max="38" width="11.45" style="15" customWidth="1"/>
    <col min="39" max="40" width="9" style="15" customWidth="1"/>
    <col min="41" max="41" width="19" style="15" customWidth="1"/>
    <col min="42" max="42" width="12.2666666666667" style="15" customWidth="1"/>
    <col min="43" max="43" width="9" style="15"/>
    <col min="44" max="44" width="7" style="15" customWidth="1"/>
    <col min="45" max="45" width="6.725" style="15" customWidth="1"/>
    <col min="46" max="46" width="6.09166666666667" style="15" customWidth="1"/>
    <col min="47" max="16384" width="9" style="15"/>
  </cols>
  <sheetData>
    <row r="1" s="10" customFormat="1" ht="29.25" customHeight="1" spans="1:45">
      <c r="A1" s="20" t="s">
        <v>140</v>
      </c>
      <c r="B1" s="21"/>
      <c r="C1" s="22"/>
      <c r="D1" s="23"/>
      <c r="E1" s="24"/>
      <c r="F1" s="24"/>
      <c r="G1" s="25"/>
      <c r="J1" s="65"/>
      <c r="L1" s="66"/>
      <c r="M1" s="67" t="s">
        <v>141</v>
      </c>
      <c r="N1" s="67"/>
      <c r="O1" s="67"/>
      <c r="P1" s="67"/>
      <c r="Q1" s="90"/>
      <c r="R1" s="90"/>
      <c r="S1" s="90"/>
      <c r="T1" s="90"/>
      <c r="U1" s="90">
        <f>U4/2</f>
        <v>519.9</v>
      </c>
      <c r="V1" s="90"/>
      <c r="W1" s="90"/>
      <c r="X1" s="90"/>
      <c r="Y1" s="90"/>
      <c r="Z1" s="90"/>
      <c r="AA1" s="90"/>
      <c r="AB1" s="90"/>
      <c r="AC1" s="90"/>
      <c r="AD1" s="66"/>
      <c r="AE1" s="66"/>
      <c r="AF1" s="66"/>
      <c r="AG1" s="66"/>
      <c r="AH1" s="66"/>
      <c r="AI1" s="104"/>
      <c r="AJ1" s="66"/>
      <c r="AK1" s="66"/>
      <c r="AL1" s="66"/>
      <c r="AM1" s="24"/>
      <c r="AN1" s="24"/>
      <c r="AO1" s="114"/>
      <c r="AP1" s="24"/>
      <c r="AQ1" s="24"/>
      <c r="AR1" s="24"/>
      <c r="AS1" s="24"/>
    </row>
    <row r="2" s="11" customFormat="1" ht="20.15" customHeight="1" spans="1:46">
      <c r="A2" s="26" t="s">
        <v>0</v>
      </c>
      <c r="B2" s="27" t="s">
        <v>142</v>
      </c>
      <c r="C2" s="28" t="s">
        <v>143</v>
      </c>
      <c r="D2" s="28" t="s">
        <v>144</v>
      </c>
      <c r="E2" s="29" t="s">
        <v>145</v>
      </c>
      <c r="F2" s="30" t="s">
        <v>146</v>
      </c>
      <c r="G2" s="29" t="s">
        <v>147</v>
      </c>
      <c r="H2" s="29" t="s">
        <v>148</v>
      </c>
      <c r="I2" s="29" t="s">
        <v>149</v>
      </c>
      <c r="J2" s="68" t="s">
        <v>150</v>
      </c>
      <c r="K2" s="29" t="s">
        <v>151</v>
      </c>
      <c r="L2" s="29" t="s">
        <v>152</v>
      </c>
      <c r="M2" s="69" t="s">
        <v>153</v>
      </c>
      <c r="N2" s="70"/>
      <c r="O2" s="70"/>
      <c r="P2" s="71"/>
      <c r="Q2" s="30" t="s">
        <v>154</v>
      </c>
      <c r="R2" s="29" t="s">
        <v>155</v>
      </c>
      <c r="S2" s="30" t="s">
        <v>156</v>
      </c>
      <c r="T2" s="91" t="s">
        <v>157</v>
      </c>
      <c r="U2" s="30" t="s">
        <v>158</v>
      </c>
      <c r="V2" s="92" t="s">
        <v>159</v>
      </c>
      <c r="W2" s="93"/>
      <c r="X2" s="93"/>
      <c r="Y2" s="93"/>
      <c r="Z2" s="93"/>
      <c r="AA2" s="99"/>
      <c r="AB2" s="30" t="s">
        <v>160</v>
      </c>
      <c r="AC2" s="30" t="s">
        <v>161</v>
      </c>
      <c r="AD2" s="91" t="s">
        <v>162</v>
      </c>
      <c r="AE2" s="91" t="s">
        <v>163</v>
      </c>
      <c r="AF2" s="91" t="s">
        <v>164</v>
      </c>
      <c r="AG2" s="91" t="s">
        <v>165</v>
      </c>
      <c r="AH2" s="105" t="s">
        <v>166</v>
      </c>
      <c r="AI2" s="106" t="s">
        <v>167</v>
      </c>
      <c r="AJ2" s="105" t="s">
        <v>168</v>
      </c>
      <c r="AK2" s="28" t="s">
        <v>22</v>
      </c>
      <c r="AL2" s="105" t="s">
        <v>169</v>
      </c>
      <c r="AM2" s="29" t="s">
        <v>170</v>
      </c>
      <c r="AN2" s="29" t="s">
        <v>171</v>
      </c>
      <c r="AO2" s="115" t="s">
        <v>172</v>
      </c>
      <c r="AP2" s="29" t="s">
        <v>173</v>
      </c>
      <c r="AQ2" s="29" t="s">
        <v>174</v>
      </c>
      <c r="AR2" s="30" t="s">
        <v>175</v>
      </c>
      <c r="AS2" s="30" t="s">
        <v>176</v>
      </c>
      <c r="AT2" s="30" t="s">
        <v>177</v>
      </c>
    </row>
    <row r="3" s="11" customFormat="1" ht="27" customHeight="1" spans="1:46">
      <c r="A3" s="31"/>
      <c r="B3" s="32"/>
      <c r="C3" s="33"/>
      <c r="D3" s="33"/>
      <c r="E3" s="34"/>
      <c r="F3" s="35"/>
      <c r="G3" s="34"/>
      <c r="H3" s="34"/>
      <c r="I3" s="34"/>
      <c r="J3" s="72"/>
      <c r="K3" s="34"/>
      <c r="L3" s="34"/>
      <c r="M3" s="73" t="s">
        <v>178</v>
      </c>
      <c r="N3" s="73" t="s">
        <v>179</v>
      </c>
      <c r="O3" s="73" t="s">
        <v>180</v>
      </c>
      <c r="P3" s="73" t="s">
        <v>37</v>
      </c>
      <c r="Q3" s="35"/>
      <c r="R3" s="34"/>
      <c r="S3" s="35"/>
      <c r="T3" s="94"/>
      <c r="U3" s="35"/>
      <c r="V3" s="95" t="s">
        <v>181</v>
      </c>
      <c r="W3" s="95" t="s">
        <v>182</v>
      </c>
      <c r="X3" s="95" t="s">
        <v>183</v>
      </c>
      <c r="Y3" s="95" t="s">
        <v>184</v>
      </c>
      <c r="Z3" s="95" t="s">
        <v>185</v>
      </c>
      <c r="AA3" s="95" t="s">
        <v>186</v>
      </c>
      <c r="AB3" s="35"/>
      <c r="AC3" s="35"/>
      <c r="AD3" s="94"/>
      <c r="AE3" s="94"/>
      <c r="AF3" s="94"/>
      <c r="AG3" s="94"/>
      <c r="AH3" s="107"/>
      <c r="AI3" s="108"/>
      <c r="AJ3" s="107"/>
      <c r="AK3" s="33"/>
      <c r="AL3" s="107"/>
      <c r="AM3" s="34"/>
      <c r="AN3" s="34"/>
      <c r="AO3" s="116"/>
      <c r="AP3" s="34"/>
      <c r="AQ3" s="34"/>
      <c r="AR3" s="35"/>
      <c r="AS3" s="35"/>
      <c r="AT3" s="35"/>
    </row>
    <row r="4" s="12" customFormat="1" ht="18" customHeight="1" spans="1:46">
      <c r="A4" s="36">
        <v>1</v>
      </c>
      <c r="B4" s="37" t="s">
        <v>187</v>
      </c>
      <c r="C4" s="37" t="s">
        <v>43</v>
      </c>
      <c r="D4" s="37" t="s">
        <v>188</v>
      </c>
      <c r="E4" s="37" t="s">
        <v>44</v>
      </c>
      <c r="F4" s="38" t="s">
        <v>189</v>
      </c>
      <c r="G4" s="45">
        <v>18035163638</v>
      </c>
      <c r="H4" s="40"/>
      <c r="I4" s="40"/>
      <c r="J4" s="74"/>
      <c r="K4" s="40"/>
      <c r="L4" s="78">
        <v>8490</v>
      </c>
      <c r="M4" s="76">
        <v>264</v>
      </c>
      <c r="N4" s="76">
        <v>66</v>
      </c>
      <c r="O4" s="76">
        <v>9.9</v>
      </c>
      <c r="P4" s="76">
        <v>180</v>
      </c>
      <c r="Q4" s="96">
        <f t="shared" ref="Q4:Q12" si="0">ROUND(SUM(M4:P4),2)</f>
        <v>519.9</v>
      </c>
      <c r="R4" s="78">
        <v>0</v>
      </c>
      <c r="S4" s="97">
        <f>L4+IFERROR(VLOOKUP($E:$E,'（居民）工资表-1月'!$E:$S,15,0),0)</f>
        <v>17770</v>
      </c>
      <c r="T4" s="98">
        <f>5000+IFERROR(VLOOKUP($E:$E,'（居民）工资表-1月'!$E:$T,16,0),0)</f>
        <v>10000</v>
      </c>
      <c r="U4" s="98">
        <f>Q4+IFERROR(VLOOKUP($E:$E,'（居民）工资表-1月'!$E:$U,17,0),0)</f>
        <v>1039.8</v>
      </c>
      <c r="V4" s="137">
        <v>2000</v>
      </c>
      <c r="W4" s="137"/>
      <c r="X4" s="137">
        <v>2000</v>
      </c>
      <c r="Y4" s="137"/>
      <c r="Z4" s="137"/>
      <c r="AA4" s="137"/>
      <c r="AB4" s="97">
        <f>ROUND(SUM(V4:AA4),2)</f>
        <v>4000</v>
      </c>
      <c r="AC4" s="97">
        <f>R4+IFERROR(VLOOKUP($E:$E,'（居民）工资表-1月'!$E:$AC,25,0),0)</f>
        <v>0</v>
      </c>
      <c r="AD4" s="100">
        <f t="shared" ref="AD4:AD12" si="1">ROUND(S4-T4-U4-AB4-AC4,2)</f>
        <v>2730.2</v>
      </c>
      <c r="AE4" s="101">
        <f>ROUND(MAX((AD4)*{0.03;0.1;0.2;0.25;0.3;0.35;0.45}-{0;2520;16920;31920;52920;85920;181920},0),2)</f>
        <v>81.91</v>
      </c>
      <c r="AF4" s="102">
        <f>IFERROR(VLOOKUP(E:E,'（居民）工资表-1月'!E:AF,28,0)+VLOOKUP(E:E,'（居民）工资表-1月'!E:AG,29,0),0)</f>
        <v>52.8</v>
      </c>
      <c r="AG4" s="102">
        <f t="shared" ref="AG4:AG12" si="2">IF((AE4-AF4)&lt;0,0,AE4-AF4)</f>
        <v>29.11</v>
      </c>
      <c r="AH4" s="109">
        <f t="shared" ref="AH4:AH12" si="3">ROUND(IF((L4-Q4-AG4)&lt;0,0,(L4-Q4-AG4)),2)</f>
        <v>7940.99</v>
      </c>
      <c r="AI4" s="110"/>
      <c r="AJ4" s="109">
        <f t="shared" ref="AJ4:AJ12" si="4">AH4+AI4</f>
        <v>7940.99</v>
      </c>
      <c r="AK4" s="111"/>
      <c r="AL4" s="109">
        <f t="shared" ref="AL4:AL12" si="5">AJ4+AG4+AK4</f>
        <v>7970.1</v>
      </c>
      <c r="AM4" s="111"/>
      <c r="AN4" s="111"/>
      <c r="AO4" s="111"/>
      <c r="AP4" s="111"/>
      <c r="AQ4" s="111"/>
      <c r="AR4" s="117" t="str">
        <f t="shared" ref="AR4:AR12" si="6">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7" t="str">
        <f t="shared" ref="AS4:AS12" si="7">IF(SUMPRODUCT(N(E$1:E$8=E4))&gt;1,"重复","不")</f>
        <v>不</v>
      </c>
      <c r="AT4" s="117" t="str">
        <f t="shared" ref="AT4:AT12" si="8">IF(SUMPRODUCT(N(AO$1:AO$8=AO4))&gt;1,"重复","不")</f>
        <v>重复</v>
      </c>
    </row>
    <row r="5" s="12" customFormat="1" ht="18" customHeight="1" spans="1:46">
      <c r="A5" s="36">
        <v>2</v>
      </c>
      <c r="B5" s="37" t="s">
        <v>187</v>
      </c>
      <c r="C5" s="37" t="s">
        <v>61</v>
      </c>
      <c r="D5" s="37" t="s">
        <v>188</v>
      </c>
      <c r="E5" s="37" t="s">
        <v>62</v>
      </c>
      <c r="F5" s="38" t="s">
        <v>189</v>
      </c>
      <c r="G5" s="45">
        <v>13944441728</v>
      </c>
      <c r="H5" s="40"/>
      <c r="I5" s="40"/>
      <c r="J5" s="74"/>
      <c r="K5" s="40"/>
      <c r="L5" s="78">
        <v>7000</v>
      </c>
      <c r="M5" s="76">
        <v>268.81</v>
      </c>
      <c r="N5" s="76">
        <v>61.06</v>
      </c>
      <c r="O5" s="76">
        <v>10.08</v>
      </c>
      <c r="P5" s="76">
        <v>79</v>
      </c>
      <c r="Q5" s="96">
        <f t="shared" si="0"/>
        <v>418.95</v>
      </c>
      <c r="R5" s="78">
        <v>0</v>
      </c>
      <c r="S5" s="97">
        <f>L5+IFERROR(VLOOKUP($E:$E,'（居民）工资表-1月'!$E:$S,15,0),0)</f>
        <v>14000</v>
      </c>
      <c r="T5" s="98">
        <f>5000+IFERROR(VLOOKUP($E:$E,'（居民）工资表-1月'!$E:$T,16,0),0)</f>
        <v>10000</v>
      </c>
      <c r="U5" s="98">
        <f>Q5+IFERROR(VLOOKUP($E:$E,'（居民）工资表-1月'!$E:$U,17,0),0)</f>
        <v>837.9</v>
      </c>
      <c r="V5" s="137"/>
      <c r="W5" s="137"/>
      <c r="X5" s="137">
        <v>2000</v>
      </c>
      <c r="Y5" s="137"/>
      <c r="Z5" s="137"/>
      <c r="AA5" s="137"/>
      <c r="AB5" s="97">
        <f t="shared" ref="AB5:AB12" si="9">ROUND(SUM(V5:AA5),2)</f>
        <v>2000</v>
      </c>
      <c r="AC5" s="97">
        <f>R5+IFERROR(VLOOKUP($E:$E,'（居民）工资表-1月'!$E:$AC,25,0),0)</f>
        <v>0</v>
      </c>
      <c r="AD5" s="100">
        <f t="shared" si="1"/>
        <v>1162.1</v>
      </c>
      <c r="AE5" s="101">
        <f>ROUND(MAX((AD5)*{0.03;0.1;0.2;0.25;0.3;0.35;0.45}-{0;2520;16920;31920;52920;85920;181920},0),2)</f>
        <v>34.86</v>
      </c>
      <c r="AF5" s="102">
        <f>IFERROR(VLOOKUP(E:E,'（居民）工资表-1月'!E:AF,28,0)+VLOOKUP(E:E,'（居民）工资表-1月'!E:AG,29,0),0)</f>
        <v>17.43</v>
      </c>
      <c r="AG5" s="102">
        <f t="shared" si="2"/>
        <v>17.43</v>
      </c>
      <c r="AH5" s="109">
        <f t="shared" si="3"/>
        <v>6563.62</v>
      </c>
      <c r="AI5" s="110"/>
      <c r="AJ5" s="109">
        <f t="shared" si="4"/>
        <v>6563.62</v>
      </c>
      <c r="AK5" s="111"/>
      <c r="AL5" s="109">
        <f t="shared" si="5"/>
        <v>6581.05</v>
      </c>
      <c r="AM5" s="111"/>
      <c r="AN5" s="111"/>
      <c r="AO5" s="111"/>
      <c r="AP5" s="111"/>
      <c r="AQ5" s="111"/>
      <c r="AR5" s="117" t="str">
        <f t="shared" si="6"/>
        <v>正确</v>
      </c>
      <c r="AS5" s="117" t="str">
        <f t="shared" si="7"/>
        <v>不</v>
      </c>
      <c r="AT5" s="117" t="str">
        <f t="shared" si="8"/>
        <v>重复</v>
      </c>
    </row>
    <row r="6" s="12" customFormat="1" ht="18" customHeight="1" spans="1:46">
      <c r="A6" s="36">
        <v>3</v>
      </c>
      <c r="B6" s="37" t="s">
        <v>187</v>
      </c>
      <c r="C6" s="37" t="s">
        <v>104</v>
      </c>
      <c r="D6" s="37" t="s">
        <v>188</v>
      </c>
      <c r="E6" s="398" t="s">
        <v>105</v>
      </c>
      <c r="F6" s="38" t="str">
        <f>IF(MOD(MID(E6,17,1),2)=1,"男","女")</f>
        <v>女</v>
      </c>
      <c r="G6" s="45">
        <v>15360550807</v>
      </c>
      <c r="H6" s="40"/>
      <c r="I6" s="40"/>
      <c r="J6" s="74"/>
      <c r="K6" s="40"/>
      <c r="L6" s="78">
        <v>5700</v>
      </c>
      <c r="M6" s="76">
        <v>367.04</v>
      </c>
      <c r="N6" s="76">
        <v>176.06</v>
      </c>
      <c r="O6" s="76">
        <v>5</v>
      </c>
      <c r="P6" s="76">
        <v>155.92</v>
      </c>
      <c r="Q6" s="96">
        <f t="shared" si="0"/>
        <v>704.02</v>
      </c>
      <c r="R6" s="78">
        <v>0</v>
      </c>
      <c r="S6" s="97">
        <f>L6+IFERROR(VLOOKUP($E:$E,'（居民）工资表-1月'!$E:$S,15,0),0)</f>
        <v>11400</v>
      </c>
      <c r="T6" s="98">
        <f>5000+IFERROR(VLOOKUP($E:$E,'（居民）工资表-1月'!$E:$T,16,0),0)</f>
        <v>10000</v>
      </c>
      <c r="U6" s="98">
        <f>Q6+IFERROR(VLOOKUP($E:$E,'（居民）工资表-1月'!$E:$U,17,0),0)</f>
        <v>1303.76</v>
      </c>
      <c r="V6" s="137"/>
      <c r="W6" s="137"/>
      <c r="X6" s="137"/>
      <c r="Y6" s="137">
        <v>3000</v>
      </c>
      <c r="Z6" s="137"/>
      <c r="AA6" s="137"/>
      <c r="AB6" s="97">
        <f t="shared" si="9"/>
        <v>3000</v>
      </c>
      <c r="AC6" s="97">
        <f>R6+IFERROR(VLOOKUP($E:$E,'（居民）工资表-1月'!$E:$AC,25,0),0)</f>
        <v>0</v>
      </c>
      <c r="AD6" s="100">
        <f t="shared" si="1"/>
        <v>-2903.76</v>
      </c>
      <c r="AE6" s="101">
        <f>ROUND(MAX((AD6)*{0.03;0.1;0.2;0.25;0.3;0.35;0.45}-{0;2520;16920;31920;52920;85920;181920},0),2)</f>
        <v>0</v>
      </c>
      <c r="AF6" s="102">
        <f>IFERROR(VLOOKUP(E:E,'（居民）工资表-1月'!E:AF,28,0)+VLOOKUP(E:E,'（居民）工资表-1月'!E:AG,29,0),0)</f>
        <v>0</v>
      </c>
      <c r="AG6" s="102">
        <f t="shared" si="2"/>
        <v>0</v>
      </c>
      <c r="AH6" s="109">
        <f t="shared" si="3"/>
        <v>4995.98</v>
      </c>
      <c r="AI6" s="110"/>
      <c r="AJ6" s="109">
        <f t="shared" si="4"/>
        <v>4995.98</v>
      </c>
      <c r="AK6" s="111"/>
      <c r="AL6" s="109">
        <f t="shared" si="5"/>
        <v>4995.98</v>
      </c>
      <c r="AM6" s="111"/>
      <c r="AN6" s="111"/>
      <c r="AO6" s="111"/>
      <c r="AP6" s="111"/>
      <c r="AQ6" s="111"/>
      <c r="AR6" s="117" t="str">
        <f t="shared" si="6"/>
        <v>正确</v>
      </c>
      <c r="AS6" s="117" t="str">
        <f t="shared" si="7"/>
        <v>不</v>
      </c>
      <c r="AT6" s="117" t="str">
        <f t="shared" si="8"/>
        <v>重复</v>
      </c>
    </row>
    <row r="7" s="12" customFormat="1" ht="18" customHeight="1" spans="1:46">
      <c r="A7" s="36">
        <v>4</v>
      </c>
      <c r="B7" s="37" t="s">
        <v>187</v>
      </c>
      <c r="C7" s="37" t="s">
        <v>243</v>
      </c>
      <c r="D7" s="37" t="s">
        <v>188</v>
      </c>
      <c r="E7" s="398" t="s">
        <v>244</v>
      </c>
      <c r="F7" s="38" t="s">
        <v>189</v>
      </c>
      <c r="G7" s="45">
        <v>18607383005</v>
      </c>
      <c r="H7" s="40"/>
      <c r="I7" s="40"/>
      <c r="J7" s="74"/>
      <c r="K7" s="40"/>
      <c r="L7" s="78">
        <v>29000</v>
      </c>
      <c r="M7" s="76">
        <v>320</v>
      </c>
      <c r="N7" s="76">
        <v>210</v>
      </c>
      <c r="O7" s="76">
        <v>12</v>
      </c>
      <c r="P7" s="76">
        <v>330</v>
      </c>
      <c r="Q7" s="96">
        <f t="shared" si="0"/>
        <v>872</v>
      </c>
      <c r="R7" s="78">
        <v>0</v>
      </c>
      <c r="S7" s="97">
        <f>L7+IFERROR(VLOOKUP($E:$E,'（居民）工资表-1月'!$E:$S,15,0),0)</f>
        <v>60000</v>
      </c>
      <c r="T7" s="98">
        <f>5000+IFERROR(VLOOKUP($E:$E,'（居民）工资表-1月'!$E:$T,16,0),0)</f>
        <v>10000</v>
      </c>
      <c r="U7" s="98">
        <f>Q7+IFERROR(VLOOKUP($E:$E,'（居民）工资表-1月'!$E:$U,17,0),0)</f>
        <v>1484</v>
      </c>
      <c r="V7" s="137">
        <v>4000</v>
      </c>
      <c r="W7" s="137">
        <v>2000</v>
      </c>
      <c r="X7" s="137"/>
      <c r="Y7" s="137"/>
      <c r="Z7" s="137"/>
      <c r="AA7" s="137"/>
      <c r="AB7" s="97">
        <f t="shared" si="9"/>
        <v>6000</v>
      </c>
      <c r="AC7" s="97">
        <f>R7+IFERROR(VLOOKUP($E:$E,'（居民）工资表-1月'!$E:$AC,25,0),0)</f>
        <v>0</v>
      </c>
      <c r="AD7" s="100">
        <f t="shared" si="1"/>
        <v>42516</v>
      </c>
      <c r="AE7" s="101">
        <f>ROUND(MAX((AD7)*{0.03;0.1;0.2;0.25;0.3;0.35;0.45}-{0;2520;16920;31920;52920;85920;181920},0),2)</f>
        <v>1731.6</v>
      </c>
      <c r="AF7" s="102">
        <f>IFERROR(VLOOKUP(E:E,'（居民）工资表-1月'!E:AF,28,0)+VLOOKUP(E:E,'（居民）工资表-1月'!E:AG,29,0),0)</f>
        <v>671.64</v>
      </c>
      <c r="AG7" s="102">
        <f t="shared" si="2"/>
        <v>1059.96</v>
      </c>
      <c r="AH7" s="109">
        <f t="shared" si="3"/>
        <v>27068.04</v>
      </c>
      <c r="AI7" s="110"/>
      <c r="AJ7" s="109">
        <f t="shared" si="4"/>
        <v>27068.04</v>
      </c>
      <c r="AK7" s="111"/>
      <c r="AL7" s="109">
        <f t="shared" si="5"/>
        <v>28128</v>
      </c>
      <c r="AM7" s="111"/>
      <c r="AN7" s="111"/>
      <c r="AO7" s="111"/>
      <c r="AP7" s="111"/>
      <c r="AQ7" s="111"/>
      <c r="AR7" s="117" t="str">
        <f t="shared" si="6"/>
        <v>正确</v>
      </c>
      <c r="AS7" s="117" t="str">
        <f t="shared" si="7"/>
        <v>不</v>
      </c>
      <c r="AT7" s="117" t="str">
        <f t="shared" si="8"/>
        <v>重复</v>
      </c>
    </row>
    <row r="8" s="12" customFormat="1" ht="18" customHeight="1" spans="1:46">
      <c r="A8" s="36">
        <v>5</v>
      </c>
      <c r="B8" s="37" t="s">
        <v>187</v>
      </c>
      <c r="C8" s="37" t="s">
        <v>245</v>
      </c>
      <c r="D8" s="37" t="s">
        <v>188</v>
      </c>
      <c r="E8" s="37" t="s">
        <v>246</v>
      </c>
      <c r="F8" s="38" t="s">
        <v>189</v>
      </c>
      <c r="G8" s="45">
        <v>13373825180</v>
      </c>
      <c r="H8" s="40"/>
      <c r="I8" s="40"/>
      <c r="J8" s="74"/>
      <c r="K8" s="40"/>
      <c r="L8" s="78">
        <v>30739</v>
      </c>
      <c r="M8" s="76">
        <v>266.24</v>
      </c>
      <c r="N8" s="76">
        <v>228.02</v>
      </c>
      <c r="O8" s="76">
        <v>12.75</v>
      </c>
      <c r="P8" s="76">
        <v>247.5</v>
      </c>
      <c r="Q8" s="96">
        <f t="shared" si="0"/>
        <v>754.51</v>
      </c>
      <c r="R8" s="78">
        <v>0</v>
      </c>
      <c r="S8" s="97">
        <f>L8+IFERROR(VLOOKUP($E:$E,'（居民）工资表-1月'!$E:$S,15,0),0)</f>
        <v>57478</v>
      </c>
      <c r="T8" s="98">
        <f>5000+IFERROR(VLOOKUP($E:$E,'（居民）工资表-1月'!$E:$T,16,0),0)</f>
        <v>10000</v>
      </c>
      <c r="U8" s="98">
        <f>Q8+IFERROR(VLOOKUP($E:$E,'（居民）工资表-1月'!$E:$U,17,0),0)</f>
        <v>1166.83</v>
      </c>
      <c r="V8" s="137">
        <v>2000</v>
      </c>
      <c r="W8" s="137">
        <v>2000</v>
      </c>
      <c r="X8" s="137">
        <v>2000</v>
      </c>
      <c r="Y8" s="137"/>
      <c r="Z8" s="137"/>
      <c r="AA8" s="137"/>
      <c r="AB8" s="97">
        <f t="shared" si="9"/>
        <v>6000</v>
      </c>
      <c r="AC8" s="97">
        <f>R8+IFERROR(VLOOKUP($E:$E,'（居民）工资表-1月'!$E:$AC,25,0),0)</f>
        <v>0</v>
      </c>
      <c r="AD8" s="100">
        <f t="shared" si="1"/>
        <v>40311.17</v>
      </c>
      <c r="AE8" s="101">
        <f>ROUND(MAX((AD8)*{0.03;0.1;0.2;0.25;0.3;0.35;0.45}-{0;2520;16920;31920;52920;85920;181920},0),2)</f>
        <v>1511.12</v>
      </c>
      <c r="AF8" s="102">
        <f>IFERROR(VLOOKUP(E:E,'（居民）工资表-1月'!E:AF,28,0)+VLOOKUP(E:E,'（居民）工资表-1月'!E:AG,29,0),0)</f>
        <v>549.8</v>
      </c>
      <c r="AG8" s="102">
        <f t="shared" si="2"/>
        <v>961.32</v>
      </c>
      <c r="AH8" s="109">
        <f t="shared" si="3"/>
        <v>29023.17</v>
      </c>
      <c r="AI8" s="110"/>
      <c r="AJ8" s="109">
        <f t="shared" si="4"/>
        <v>29023.17</v>
      </c>
      <c r="AK8" s="111"/>
      <c r="AL8" s="109">
        <f t="shared" si="5"/>
        <v>29984.49</v>
      </c>
      <c r="AM8" s="111"/>
      <c r="AN8" s="111"/>
      <c r="AO8" s="111"/>
      <c r="AP8" s="111"/>
      <c r="AQ8" s="111"/>
      <c r="AR8" s="117" t="str">
        <f t="shared" si="6"/>
        <v>正确</v>
      </c>
      <c r="AS8" s="117" t="str">
        <f t="shared" si="7"/>
        <v>不</v>
      </c>
      <c r="AT8" s="117" t="str">
        <f t="shared" si="8"/>
        <v>重复</v>
      </c>
    </row>
    <row r="9" s="12" customFormat="1" ht="18" customHeight="1" spans="1:46">
      <c r="A9" s="36">
        <v>6</v>
      </c>
      <c r="B9" s="37" t="s">
        <v>187</v>
      </c>
      <c r="C9" s="37" t="s">
        <v>191</v>
      </c>
      <c r="D9" s="37" t="s">
        <v>188</v>
      </c>
      <c r="E9" s="37" t="s">
        <v>192</v>
      </c>
      <c r="F9" s="38" t="s">
        <v>189</v>
      </c>
      <c r="G9" s="45">
        <v>18037463616</v>
      </c>
      <c r="H9" s="40"/>
      <c r="I9" s="40"/>
      <c r="J9" s="74"/>
      <c r="K9" s="40"/>
      <c r="L9" s="78">
        <v>14200</v>
      </c>
      <c r="M9" s="76">
        <v>508.64</v>
      </c>
      <c r="N9" s="76">
        <v>127.16</v>
      </c>
      <c r="O9" s="76">
        <v>19.08</v>
      </c>
      <c r="P9" s="76">
        <v>215.58</v>
      </c>
      <c r="Q9" s="96">
        <f t="shared" si="0"/>
        <v>870.46</v>
      </c>
      <c r="R9" s="78">
        <v>0</v>
      </c>
      <c r="S9" s="97">
        <f>L9+IFERROR(VLOOKUP($E:$E,'（居民）工资表-1月'!$E:$S,15,0),0)</f>
        <v>14200</v>
      </c>
      <c r="T9" s="98">
        <f>5000+IFERROR(VLOOKUP($E:$E,'（居民）工资表-1月'!$E:$T,16,0),0)</f>
        <v>5000</v>
      </c>
      <c r="U9" s="98">
        <f>Q9+IFERROR(VLOOKUP($E:$E,'（居民）工资表-1月'!$E:$U,17,0),0)</f>
        <v>870.46</v>
      </c>
      <c r="V9" s="137"/>
      <c r="W9" s="137"/>
      <c r="X9" s="137"/>
      <c r="Y9" s="137"/>
      <c r="Z9" s="137"/>
      <c r="AA9" s="137"/>
      <c r="AB9" s="97">
        <f t="shared" si="9"/>
        <v>0</v>
      </c>
      <c r="AC9" s="97">
        <f>R9+IFERROR(VLOOKUP($E:$E,'（居民）工资表-1月'!$E:$AC,25,0),0)</f>
        <v>0</v>
      </c>
      <c r="AD9" s="100">
        <f t="shared" si="1"/>
        <v>8329.54</v>
      </c>
      <c r="AE9" s="101">
        <f>ROUND(MAX((AD9)*{0.03;0.1;0.2;0.25;0.3;0.35;0.45}-{0;2520;16920;31920;52920;85920;181920},0),2)</f>
        <v>249.89</v>
      </c>
      <c r="AF9" s="102">
        <f>IFERROR(VLOOKUP(E:E,'（居民）工资表-1月'!E:AF,28,0)+VLOOKUP(E:E,'（居民）工资表-1月'!E:AG,29,0),0)</f>
        <v>0</v>
      </c>
      <c r="AG9" s="102">
        <f t="shared" si="2"/>
        <v>249.89</v>
      </c>
      <c r="AH9" s="109">
        <f t="shared" si="3"/>
        <v>13079.65</v>
      </c>
      <c r="AI9" s="110"/>
      <c r="AJ9" s="109">
        <f t="shared" si="4"/>
        <v>13079.65</v>
      </c>
      <c r="AK9" s="111"/>
      <c r="AL9" s="109">
        <f t="shared" si="5"/>
        <v>13329.54</v>
      </c>
      <c r="AM9" s="111"/>
      <c r="AN9" s="111"/>
      <c r="AO9" s="111"/>
      <c r="AP9" s="111"/>
      <c r="AQ9" s="111"/>
      <c r="AR9" s="117" t="str">
        <f t="shared" si="6"/>
        <v>正确</v>
      </c>
      <c r="AS9" s="117" t="str">
        <f t="shared" si="7"/>
        <v>不</v>
      </c>
      <c r="AT9" s="117" t="str">
        <f t="shared" si="8"/>
        <v>重复</v>
      </c>
    </row>
    <row r="10" s="12" customFormat="1" ht="18" customHeight="1" spans="1:46">
      <c r="A10" s="36">
        <v>7</v>
      </c>
      <c r="B10" s="37" t="s">
        <v>187</v>
      </c>
      <c r="C10" s="37" t="s">
        <v>193</v>
      </c>
      <c r="D10" s="37" t="s">
        <v>188</v>
      </c>
      <c r="E10" s="398" t="s">
        <v>194</v>
      </c>
      <c r="F10" s="38" t="s">
        <v>189</v>
      </c>
      <c r="G10" s="45">
        <v>18500634358</v>
      </c>
      <c r="H10" s="40"/>
      <c r="I10" s="40"/>
      <c r="J10" s="74"/>
      <c r="K10" s="40"/>
      <c r="L10" s="78">
        <v>14500</v>
      </c>
      <c r="M10" s="76">
        <v>508.64</v>
      </c>
      <c r="N10" s="76">
        <v>127.16</v>
      </c>
      <c r="O10" s="76">
        <v>19.08</v>
      </c>
      <c r="P10" s="76">
        <v>215.58</v>
      </c>
      <c r="Q10" s="96">
        <f t="shared" si="0"/>
        <v>870.46</v>
      </c>
      <c r="R10" s="78">
        <v>0</v>
      </c>
      <c r="S10" s="97">
        <f>L10+IFERROR(VLOOKUP($E:$E,'（居民）工资表-1月'!$E:$S,15,0),0)</f>
        <v>14500</v>
      </c>
      <c r="T10" s="98">
        <f>5000+IFERROR(VLOOKUP($E:$E,'（居民）工资表-1月'!$E:$T,16,0),0)</f>
        <v>5000</v>
      </c>
      <c r="U10" s="98">
        <f>Q10+IFERROR(VLOOKUP($E:$E,'（居民）工资表-1月'!$E:$U,17,0),0)</f>
        <v>870.46</v>
      </c>
      <c r="V10" s="137"/>
      <c r="W10" s="137"/>
      <c r="X10" s="137"/>
      <c r="Y10" s="137"/>
      <c r="Z10" s="137"/>
      <c r="AA10" s="137"/>
      <c r="AB10" s="97">
        <f t="shared" si="9"/>
        <v>0</v>
      </c>
      <c r="AC10" s="97">
        <f>R10+IFERROR(VLOOKUP($E:$E,'（居民）工资表-1月'!$E:$AC,25,0),0)</f>
        <v>0</v>
      </c>
      <c r="AD10" s="100">
        <f t="shared" si="1"/>
        <v>8629.54</v>
      </c>
      <c r="AE10" s="101">
        <f>ROUND(MAX((AD10)*{0.03;0.1;0.2;0.25;0.3;0.35;0.45}-{0;2520;16920;31920;52920;85920;181920},0),2)</f>
        <v>258.89</v>
      </c>
      <c r="AF10" s="102">
        <f>IFERROR(VLOOKUP(E:E,'（居民）工资表-1月'!E:AF,28,0)+VLOOKUP(E:E,'（居民）工资表-1月'!E:AG,29,0),0)</f>
        <v>0</v>
      </c>
      <c r="AG10" s="102">
        <f t="shared" si="2"/>
        <v>258.89</v>
      </c>
      <c r="AH10" s="109">
        <f t="shared" si="3"/>
        <v>13370.65</v>
      </c>
      <c r="AI10" s="110"/>
      <c r="AJ10" s="109">
        <f t="shared" si="4"/>
        <v>13370.65</v>
      </c>
      <c r="AK10" s="111"/>
      <c r="AL10" s="109">
        <f t="shared" si="5"/>
        <v>13629.54</v>
      </c>
      <c r="AM10" s="111"/>
      <c r="AN10" s="111"/>
      <c r="AO10" s="111"/>
      <c r="AP10" s="111"/>
      <c r="AQ10" s="111"/>
      <c r="AR10" s="117" t="str">
        <f t="shared" si="6"/>
        <v>正确</v>
      </c>
      <c r="AS10" s="117" t="str">
        <f t="shared" si="7"/>
        <v>不</v>
      </c>
      <c r="AT10" s="117" t="str">
        <f t="shared" si="8"/>
        <v>重复</v>
      </c>
    </row>
    <row r="11" s="12" customFormat="1" ht="18" customHeight="1" spans="1:46">
      <c r="A11" s="36">
        <v>8</v>
      </c>
      <c r="B11" s="37" t="s">
        <v>187</v>
      </c>
      <c r="C11" s="37" t="s">
        <v>195</v>
      </c>
      <c r="D11" s="37" t="s">
        <v>188</v>
      </c>
      <c r="E11" s="37" t="s">
        <v>196</v>
      </c>
      <c r="F11" s="38" t="s">
        <v>189</v>
      </c>
      <c r="G11" s="45">
        <v>18738169923</v>
      </c>
      <c r="H11" s="40"/>
      <c r="I11" s="40"/>
      <c r="J11" s="74"/>
      <c r="K11" s="40"/>
      <c r="L11" s="78">
        <v>12000</v>
      </c>
      <c r="M11" s="76">
        <v>508.64</v>
      </c>
      <c r="N11" s="76">
        <v>127.16</v>
      </c>
      <c r="O11" s="76">
        <v>19.08</v>
      </c>
      <c r="P11" s="76">
        <v>317.58</v>
      </c>
      <c r="Q11" s="96">
        <f t="shared" si="0"/>
        <v>972.46</v>
      </c>
      <c r="R11" s="78">
        <v>0</v>
      </c>
      <c r="S11" s="97">
        <f>L11+IFERROR(VLOOKUP($E:$E,'（居民）工资表-1月'!$E:$S,15,0),0)</f>
        <v>12000</v>
      </c>
      <c r="T11" s="98">
        <f>5000+IFERROR(VLOOKUP($E:$E,'（居民）工资表-1月'!$E:$T,16,0),0)</f>
        <v>5000</v>
      </c>
      <c r="U11" s="98">
        <f>Q11+IFERROR(VLOOKUP($E:$E,'（居民）工资表-1月'!$E:$U,17,0),0)</f>
        <v>972.46</v>
      </c>
      <c r="V11" s="137"/>
      <c r="W11" s="137"/>
      <c r="X11" s="137"/>
      <c r="Y11" s="137"/>
      <c r="Z11" s="137"/>
      <c r="AA11" s="137"/>
      <c r="AB11" s="97">
        <f t="shared" si="9"/>
        <v>0</v>
      </c>
      <c r="AC11" s="97">
        <f>R11+IFERROR(VLOOKUP($E:$E,'（居民）工资表-1月'!$E:$AC,25,0),0)</f>
        <v>0</v>
      </c>
      <c r="AD11" s="100">
        <f t="shared" si="1"/>
        <v>6027.54</v>
      </c>
      <c r="AE11" s="101">
        <f>ROUND(MAX((AD11)*{0.03;0.1;0.2;0.25;0.3;0.35;0.45}-{0;2520;16920;31920;52920;85920;181920},0),2)</f>
        <v>180.83</v>
      </c>
      <c r="AF11" s="102">
        <f>IFERROR(VLOOKUP(E:E,'（居民）工资表-1月'!E:AF,28,0)+VLOOKUP(E:E,'（居民）工资表-1月'!E:AG,29,0),0)</f>
        <v>0</v>
      </c>
      <c r="AG11" s="102">
        <f t="shared" si="2"/>
        <v>180.83</v>
      </c>
      <c r="AH11" s="109">
        <f t="shared" si="3"/>
        <v>10846.71</v>
      </c>
      <c r="AI11" s="110"/>
      <c r="AJ11" s="109">
        <f t="shared" si="4"/>
        <v>10846.71</v>
      </c>
      <c r="AK11" s="111"/>
      <c r="AL11" s="109">
        <f t="shared" si="5"/>
        <v>11027.54</v>
      </c>
      <c r="AM11" s="111"/>
      <c r="AN11" s="111"/>
      <c r="AO11" s="111"/>
      <c r="AP11" s="111"/>
      <c r="AQ11" s="111"/>
      <c r="AR11" s="117" t="str">
        <f t="shared" si="6"/>
        <v>正确</v>
      </c>
      <c r="AS11" s="117" t="str">
        <f t="shared" si="7"/>
        <v>不</v>
      </c>
      <c r="AT11" s="117" t="str">
        <f t="shared" si="8"/>
        <v>重复</v>
      </c>
    </row>
    <row r="12" s="12" customFormat="1" ht="18" customHeight="1" spans="1:46">
      <c r="A12" s="36">
        <v>9</v>
      </c>
      <c r="B12" s="37" t="s">
        <v>187</v>
      </c>
      <c r="C12" s="37" t="s">
        <v>206</v>
      </c>
      <c r="D12" s="37" t="s">
        <v>188</v>
      </c>
      <c r="E12" s="37" t="s">
        <v>207</v>
      </c>
      <c r="F12" s="38" t="s">
        <v>189</v>
      </c>
      <c r="G12" s="45">
        <v>15001138812</v>
      </c>
      <c r="H12" s="40"/>
      <c r="I12" s="40"/>
      <c r="J12" s="74"/>
      <c r="K12" s="40"/>
      <c r="L12" s="78">
        <v>10000</v>
      </c>
      <c r="M12" s="76">
        <v>508.64</v>
      </c>
      <c r="N12" s="76">
        <v>127.16</v>
      </c>
      <c r="O12" s="76">
        <v>19.08</v>
      </c>
      <c r="P12" s="76">
        <v>215.58</v>
      </c>
      <c r="Q12" s="96">
        <f t="shared" si="0"/>
        <v>870.46</v>
      </c>
      <c r="R12" s="78">
        <v>0</v>
      </c>
      <c r="S12" s="97">
        <f>L12+IFERROR(VLOOKUP($E:$E,'（居民）工资表-1月'!$E:$S,15,0),0)</f>
        <v>10000</v>
      </c>
      <c r="T12" s="98">
        <f>5000+IFERROR(VLOOKUP($E:$E,'（居民）工资表-1月'!$E:$T,16,0),0)</f>
        <v>5000</v>
      </c>
      <c r="U12" s="98">
        <f>Q12+IFERROR(VLOOKUP($E:$E,'（居民）工资表-1月'!$E:$U,17,0),0)</f>
        <v>870.46</v>
      </c>
      <c r="V12" s="137"/>
      <c r="W12" s="137"/>
      <c r="X12" s="137"/>
      <c r="Y12" s="137"/>
      <c r="Z12" s="137"/>
      <c r="AA12" s="137"/>
      <c r="AB12" s="97">
        <f t="shared" si="9"/>
        <v>0</v>
      </c>
      <c r="AC12" s="97">
        <f>R12+IFERROR(VLOOKUP($E:$E,'（居民）工资表-1月'!$E:$AC,25,0),0)</f>
        <v>0</v>
      </c>
      <c r="AD12" s="100">
        <f t="shared" si="1"/>
        <v>4129.54</v>
      </c>
      <c r="AE12" s="101">
        <f>ROUND(MAX((AD12)*{0.03;0.1;0.2;0.25;0.3;0.35;0.45}-{0;2520;16920;31920;52920;85920;181920},0),2)</f>
        <v>123.89</v>
      </c>
      <c r="AF12" s="102">
        <f>IFERROR(VLOOKUP(E:E,'（居民）工资表-1月'!E:AF,28,0)+VLOOKUP(E:E,'（居民）工资表-1月'!E:AG,29,0),0)</f>
        <v>0</v>
      </c>
      <c r="AG12" s="102">
        <f t="shared" si="2"/>
        <v>123.89</v>
      </c>
      <c r="AH12" s="109">
        <f t="shared" si="3"/>
        <v>9005.65</v>
      </c>
      <c r="AI12" s="110"/>
      <c r="AJ12" s="109">
        <f t="shared" si="4"/>
        <v>9005.65</v>
      </c>
      <c r="AK12" s="111"/>
      <c r="AL12" s="109">
        <f t="shared" si="5"/>
        <v>9129.54</v>
      </c>
      <c r="AM12" s="111"/>
      <c r="AN12" s="111"/>
      <c r="AO12" s="111"/>
      <c r="AP12" s="111"/>
      <c r="AQ12" s="111"/>
      <c r="AR12" s="117" t="str">
        <f t="shared" si="6"/>
        <v>正确</v>
      </c>
      <c r="AS12" s="117" t="str">
        <f t="shared" si="7"/>
        <v>不</v>
      </c>
      <c r="AT12" s="117" t="str">
        <f t="shared" si="8"/>
        <v>重复</v>
      </c>
    </row>
    <row r="13" s="13" customFormat="1" ht="18" customHeight="1" spans="1:46">
      <c r="A13" s="46"/>
      <c r="B13" s="47" t="s">
        <v>216</v>
      </c>
      <c r="C13" s="47"/>
      <c r="D13" s="48"/>
      <c r="E13" s="49"/>
      <c r="F13" s="50"/>
      <c r="G13" s="51"/>
      <c r="H13" s="50"/>
      <c r="I13" s="79"/>
      <c r="J13" s="80"/>
      <c r="K13" s="79"/>
      <c r="L13" s="81">
        <f>SUM(L4:L12)</f>
        <v>131629</v>
      </c>
      <c r="M13" s="81">
        <f t="shared" ref="M13:AL13" si="10">SUM(M4:M12)</f>
        <v>3520.65</v>
      </c>
      <c r="N13" s="81">
        <f t="shared" si="10"/>
        <v>1249.78</v>
      </c>
      <c r="O13" s="81">
        <f t="shared" si="10"/>
        <v>126.05</v>
      </c>
      <c r="P13" s="81">
        <f t="shared" si="10"/>
        <v>1956.74</v>
      </c>
      <c r="Q13" s="81">
        <f t="shared" si="10"/>
        <v>6853.22</v>
      </c>
      <c r="R13" s="81">
        <f t="shared" si="10"/>
        <v>0</v>
      </c>
      <c r="S13" s="81">
        <f t="shared" si="10"/>
        <v>211348</v>
      </c>
      <c r="T13" s="81">
        <f t="shared" si="10"/>
        <v>70000</v>
      </c>
      <c r="U13" s="81">
        <f t="shared" si="10"/>
        <v>9416.13</v>
      </c>
      <c r="V13" s="81">
        <f t="shared" si="10"/>
        <v>8000</v>
      </c>
      <c r="W13" s="81">
        <f t="shared" si="10"/>
        <v>4000</v>
      </c>
      <c r="X13" s="81">
        <f t="shared" si="10"/>
        <v>6000</v>
      </c>
      <c r="Y13" s="81">
        <f t="shared" si="10"/>
        <v>3000</v>
      </c>
      <c r="Z13" s="81">
        <f t="shared" si="10"/>
        <v>0</v>
      </c>
      <c r="AA13" s="81">
        <f t="shared" si="10"/>
        <v>0</v>
      </c>
      <c r="AB13" s="81">
        <f t="shared" si="10"/>
        <v>21000</v>
      </c>
      <c r="AC13" s="81">
        <f t="shared" si="10"/>
        <v>0</v>
      </c>
      <c r="AD13" s="81">
        <f t="shared" si="10"/>
        <v>110931.87</v>
      </c>
      <c r="AE13" s="81">
        <f t="shared" si="10"/>
        <v>4172.99</v>
      </c>
      <c r="AF13" s="81">
        <f t="shared" si="10"/>
        <v>1291.67</v>
      </c>
      <c r="AG13" s="81">
        <f t="shared" si="10"/>
        <v>2881.32</v>
      </c>
      <c r="AH13" s="81">
        <f t="shared" si="10"/>
        <v>121894.46</v>
      </c>
      <c r="AI13" s="81">
        <f t="shared" si="10"/>
        <v>0</v>
      </c>
      <c r="AJ13" s="81">
        <f t="shared" si="10"/>
        <v>121894.46</v>
      </c>
      <c r="AK13" s="81">
        <f t="shared" si="10"/>
        <v>0</v>
      </c>
      <c r="AL13" s="81">
        <f t="shared" si="10"/>
        <v>124775.78</v>
      </c>
      <c r="AM13" s="112"/>
      <c r="AN13" s="112"/>
      <c r="AO13" s="112"/>
      <c r="AP13" s="112"/>
      <c r="AQ13" s="112"/>
      <c r="AR13" s="50"/>
      <c r="AS13" s="50"/>
      <c r="AT13" s="118"/>
    </row>
    <row r="16" spans="30:30">
      <c r="AD16" s="103"/>
    </row>
    <row r="17" ht="18.75" customHeight="1" spans="2:30">
      <c r="B17" s="52" t="s">
        <v>168</v>
      </c>
      <c r="C17" s="52" t="s">
        <v>217</v>
      </c>
      <c r="D17" s="52" t="s">
        <v>22</v>
      </c>
      <c r="E17" s="52" t="s">
        <v>23</v>
      </c>
      <c r="AD17" s="10"/>
    </row>
    <row r="18" ht="18.75" customHeight="1" spans="2:5">
      <c r="B18" s="53">
        <f>AJ13</f>
        <v>121894.46</v>
      </c>
      <c r="C18" s="53">
        <f>AG13</f>
        <v>2881.32</v>
      </c>
      <c r="D18" s="53">
        <f>AK13</f>
        <v>0</v>
      </c>
      <c r="E18" s="53">
        <f>B18+C18+D18</f>
        <v>124775.78</v>
      </c>
    </row>
    <row r="19" spans="2:5">
      <c r="B19" s="54"/>
      <c r="C19" s="54"/>
      <c r="D19" s="54"/>
      <c r="E19" s="54"/>
    </row>
    <row r="20" s="14" customFormat="1" spans="1:35">
      <c r="A20" s="55" t="s">
        <v>218</v>
      </c>
      <c r="B20" s="56" t="s">
        <v>219</v>
      </c>
      <c r="C20" s="57"/>
      <c r="D20" s="57"/>
      <c r="E20" s="57"/>
      <c r="G20" s="58"/>
      <c r="J20" s="82"/>
      <c r="M20" s="83"/>
      <c r="AI20" s="113"/>
    </row>
    <row r="21" s="14" customFormat="1" spans="1:35">
      <c r="A21" s="59"/>
      <c r="B21" s="60" t="s">
        <v>220</v>
      </c>
      <c r="C21" s="57"/>
      <c r="D21" s="57"/>
      <c r="E21" s="57"/>
      <c r="G21" s="58"/>
      <c r="J21" s="82"/>
      <c r="M21" s="83"/>
      <c r="AI21" s="113"/>
    </row>
    <row r="22" s="14" customFormat="1" spans="1:35">
      <c r="A22" s="56"/>
      <c r="B22" s="60" t="s">
        <v>221</v>
      </c>
      <c r="C22" s="61"/>
      <c r="D22" s="61"/>
      <c r="E22" s="61"/>
      <c r="F22" s="61"/>
      <c r="G22" s="61"/>
      <c r="H22" s="61"/>
      <c r="I22" s="61"/>
      <c r="J22" s="84"/>
      <c r="K22" s="61"/>
      <c r="L22" s="61"/>
      <c r="M22" s="85"/>
      <c r="N22" s="61"/>
      <c r="O22" s="61"/>
      <c r="P22" s="61"/>
      <c r="AI22" s="113"/>
    </row>
    <row r="23" s="14" customFormat="1" customHeight="1" spans="1:35">
      <c r="A23" s="60"/>
      <c r="B23" s="60" t="s">
        <v>222</v>
      </c>
      <c r="C23" s="62"/>
      <c r="D23" s="62"/>
      <c r="E23" s="62"/>
      <c r="F23" s="62"/>
      <c r="G23" s="62"/>
      <c r="H23" s="62"/>
      <c r="I23" s="86"/>
      <c r="J23" s="87"/>
      <c r="K23" s="86"/>
      <c r="L23" s="86"/>
      <c r="M23" s="88"/>
      <c r="N23" s="86"/>
      <c r="O23" s="86"/>
      <c r="P23" s="86"/>
      <c r="AI23" s="113"/>
    </row>
    <row r="24" s="14" customFormat="1" customHeight="1" spans="1:35">
      <c r="A24" s="60"/>
      <c r="B24" s="60" t="s">
        <v>223</v>
      </c>
      <c r="C24" s="62"/>
      <c r="D24" s="62"/>
      <c r="E24" s="62"/>
      <c r="F24" s="62"/>
      <c r="G24" s="62"/>
      <c r="H24" s="62"/>
      <c r="I24" s="62"/>
      <c r="J24" s="89"/>
      <c r="K24" s="62"/>
      <c r="L24" s="86"/>
      <c r="M24" s="88"/>
      <c r="N24" s="86"/>
      <c r="O24" s="86"/>
      <c r="P24" s="86"/>
      <c r="AI24" s="113"/>
    </row>
    <row r="25" s="14" customFormat="1" customHeight="1" spans="1:35">
      <c r="A25" s="60"/>
      <c r="B25" s="60" t="s">
        <v>224</v>
      </c>
      <c r="C25" s="62"/>
      <c r="D25" s="62"/>
      <c r="E25" s="62"/>
      <c r="F25" s="62"/>
      <c r="G25" s="62"/>
      <c r="H25" s="62"/>
      <c r="I25" s="86"/>
      <c r="J25" s="87"/>
      <c r="K25" s="86"/>
      <c r="L25" s="86"/>
      <c r="M25" s="88"/>
      <c r="N25" s="86"/>
      <c r="O25" s="86"/>
      <c r="P25" s="86"/>
      <c r="AI25" s="113"/>
    </row>
    <row r="27" ht="11.25" customHeight="1" spans="2:2">
      <c r="B27" s="63" t="s">
        <v>225</v>
      </c>
    </row>
    <row r="28" spans="2:2">
      <c r="B28" s="64" t="s">
        <v>226</v>
      </c>
    </row>
    <row r="29" spans="2:2">
      <c r="B29" s="64" t="s">
        <v>227</v>
      </c>
    </row>
  </sheetData>
  <autoFilter ref="A3:AT13">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25">
    <cfRule type="duplicateValues" dxfId="3" priority="2" stopIfTrue="1"/>
  </conditionalFormatting>
  <conditionalFormatting sqref="B20:B24">
    <cfRule type="duplicateValues" dxfId="3" priority="3" stopIfTrue="1"/>
  </conditionalFormatting>
  <conditionalFormatting sqref="B28:B29">
    <cfRule type="duplicateValues" dxfId="3" priority="1" stopIfTrue="1"/>
  </conditionalFormatting>
  <conditionalFormatting sqref="C17:C19">
    <cfRule type="duplicateValues" dxfId="3" priority="4" stopIfTrue="1"/>
    <cfRule type="expression" dxfId="4" priority="5" stopIfTrue="1">
      <formula>AND(COUNTIF($B$13:$B$65449,C17)+COUNTIF($B$1:$B$3,C17)&gt;1,NOT(ISBLANK(C17)))</formula>
    </cfRule>
    <cfRule type="expression" dxfId="4" priority="6" stopIfTrue="1">
      <formula>AND(COUNTIF($B$24:$B$65400,C17)+COUNTIF($B$1:$B$23,C17)&gt;1,NOT(ISBLANK(C17)))</formula>
    </cfRule>
    <cfRule type="expression" dxfId="4" priority="7" stopIfTrue="1">
      <formula>AND(COUNTIF($B$13:$B$65438,C17)+COUNTIF($B$1:$B$3,C17)&gt;1,NOT(ISBLANK(C17)))</formula>
    </cfRule>
  </conditionalFormatting>
  <pageMargins left="0.235416666666667" right="0.235416666666667" top="0.747916666666667" bottom="0.747916666666667" header="0.313888888888889" footer="0.313888888888889"/>
  <pageSetup paperSize="9" scale="40" fitToWidth="2" orientation="landscape"/>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AT30"/>
  <sheetViews>
    <sheetView workbookViewId="0">
      <pane xSplit="6" ySplit="3" topLeftCell="T4" activePane="bottomRight" state="frozen"/>
      <selection/>
      <selection pane="topRight"/>
      <selection pane="bottomLeft"/>
      <selection pane="bottomRight" activeCell="X9" sqref="X9"/>
    </sheetView>
  </sheetViews>
  <sheetFormatPr defaultColWidth="9" defaultRowHeight="13.5"/>
  <cols>
    <col min="1" max="1" width="4.45" style="15" customWidth="1"/>
    <col min="2" max="2" width="12.6333333333333" style="15" customWidth="1"/>
    <col min="3" max="3" width="10.45" style="15" customWidth="1"/>
    <col min="4" max="4" width="8.725" style="15" customWidth="1"/>
    <col min="5" max="5" width="19.45" style="16" customWidth="1"/>
    <col min="6" max="6" width="9" style="15"/>
    <col min="7" max="7" width="11.9083333333333" style="17" customWidth="1"/>
    <col min="8" max="8" width="4.63333333333333" style="15" hidden="1" customWidth="1"/>
    <col min="9" max="9" width="5.26666666666667" style="15" hidden="1" customWidth="1"/>
    <col min="10" max="10" width="11.725" style="18" customWidth="1"/>
    <col min="11" max="11" width="5.26666666666667" style="15" customWidth="1"/>
    <col min="12" max="12" width="11.725" style="15" customWidth="1"/>
    <col min="13" max="13" width="9.45" style="15" customWidth="1" outlineLevel="1"/>
    <col min="14" max="15" width="9" style="15" customWidth="1" outlineLevel="1"/>
    <col min="16" max="16" width="11.0916666666667" style="15" customWidth="1" outlineLevel="1"/>
    <col min="17" max="17" width="9.725" style="15" customWidth="1"/>
    <col min="18" max="18" width="9.45" style="15" customWidth="1"/>
    <col min="19" max="19" width="11.45" style="15" customWidth="1"/>
    <col min="20" max="21" width="12.2666666666667" style="15" customWidth="1"/>
    <col min="22" max="27" width="9" style="15" customWidth="1" outlineLevel="1"/>
    <col min="28" max="28" width="11.2666666666667" style="15" customWidth="1"/>
    <col min="29" max="29" width="8.45" style="15" customWidth="1"/>
    <col min="30" max="30" width="15.2666666666667" style="15" customWidth="1"/>
    <col min="31" max="31" width="14" style="15" customWidth="1"/>
    <col min="32" max="32" width="10.725" style="15" customWidth="1"/>
    <col min="33" max="33" width="12.2666666666667" style="15" customWidth="1"/>
    <col min="34" max="34" width="11.45" style="15" customWidth="1"/>
    <col min="35" max="35" width="7.90833333333333" style="19" customWidth="1"/>
    <col min="36" max="36" width="11.45" style="15" customWidth="1"/>
    <col min="37" max="37" width="9" style="15"/>
    <col min="38" max="38" width="11.45" style="15" customWidth="1"/>
    <col min="39" max="40" width="9" style="15" customWidth="1"/>
    <col min="41" max="41" width="19" style="15" customWidth="1"/>
    <col min="42" max="42" width="12.2666666666667" style="15" customWidth="1"/>
    <col min="43" max="43" width="9" style="15"/>
    <col min="44" max="44" width="7" style="15" customWidth="1"/>
    <col min="45" max="45" width="6.725" style="15" customWidth="1"/>
    <col min="46" max="46" width="6.09166666666667" style="15" customWidth="1"/>
    <col min="47" max="16384" width="9" style="15"/>
  </cols>
  <sheetData>
    <row r="1" s="10" customFormat="1" ht="29.25" customHeight="1" spans="1:45">
      <c r="A1" s="20" t="s">
        <v>140</v>
      </c>
      <c r="B1" s="21"/>
      <c r="C1" s="22"/>
      <c r="D1" s="23"/>
      <c r="E1" s="24"/>
      <c r="F1" s="24"/>
      <c r="G1" s="25"/>
      <c r="J1" s="65"/>
      <c r="L1" s="66"/>
      <c r="M1" s="67" t="s">
        <v>141</v>
      </c>
      <c r="N1" s="67"/>
      <c r="O1" s="67"/>
      <c r="P1" s="67"/>
      <c r="Q1" s="90"/>
      <c r="R1" s="90"/>
      <c r="S1" s="90"/>
      <c r="T1" s="90"/>
      <c r="U1" s="90"/>
      <c r="V1" s="90"/>
      <c r="W1" s="90"/>
      <c r="X1" s="90"/>
      <c r="Y1" s="90"/>
      <c r="Z1" s="90"/>
      <c r="AA1" s="90"/>
      <c r="AB1" s="90"/>
      <c r="AC1" s="90"/>
      <c r="AD1" s="66"/>
      <c r="AE1" s="66"/>
      <c r="AF1" s="66"/>
      <c r="AG1" s="66"/>
      <c r="AH1" s="66"/>
      <c r="AI1" s="104"/>
      <c r="AJ1" s="66"/>
      <c r="AK1" s="66"/>
      <c r="AL1" s="66"/>
      <c r="AM1" s="24"/>
      <c r="AN1" s="24"/>
      <c r="AO1" s="114"/>
      <c r="AP1" s="24"/>
      <c r="AQ1" s="24"/>
      <c r="AR1" s="24"/>
      <c r="AS1" s="24"/>
    </row>
    <row r="2" s="11" customFormat="1" ht="20.15" customHeight="1" spans="1:46">
      <c r="A2" s="26" t="s">
        <v>0</v>
      </c>
      <c r="B2" s="27" t="s">
        <v>142</v>
      </c>
      <c r="C2" s="28" t="s">
        <v>143</v>
      </c>
      <c r="D2" s="28" t="s">
        <v>144</v>
      </c>
      <c r="E2" s="29" t="s">
        <v>145</v>
      </c>
      <c r="F2" s="30" t="s">
        <v>146</v>
      </c>
      <c r="G2" s="29" t="s">
        <v>147</v>
      </c>
      <c r="H2" s="29" t="s">
        <v>148</v>
      </c>
      <c r="I2" s="29" t="s">
        <v>149</v>
      </c>
      <c r="J2" s="68" t="s">
        <v>150</v>
      </c>
      <c r="K2" s="29" t="s">
        <v>151</v>
      </c>
      <c r="L2" s="29" t="s">
        <v>152</v>
      </c>
      <c r="M2" s="69" t="s">
        <v>153</v>
      </c>
      <c r="N2" s="70"/>
      <c r="O2" s="70"/>
      <c r="P2" s="71"/>
      <c r="Q2" s="30" t="s">
        <v>154</v>
      </c>
      <c r="R2" s="29" t="s">
        <v>155</v>
      </c>
      <c r="S2" s="30" t="s">
        <v>156</v>
      </c>
      <c r="T2" s="91" t="s">
        <v>157</v>
      </c>
      <c r="U2" s="30" t="s">
        <v>158</v>
      </c>
      <c r="V2" s="92" t="s">
        <v>159</v>
      </c>
      <c r="W2" s="93"/>
      <c r="X2" s="93"/>
      <c r="Y2" s="93"/>
      <c r="Z2" s="93"/>
      <c r="AA2" s="99"/>
      <c r="AB2" s="30" t="s">
        <v>160</v>
      </c>
      <c r="AC2" s="30" t="s">
        <v>161</v>
      </c>
      <c r="AD2" s="91" t="s">
        <v>162</v>
      </c>
      <c r="AE2" s="91" t="s">
        <v>163</v>
      </c>
      <c r="AF2" s="91" t="s">
        <v>164</v>
      </c>
      <c r="AG2" s="91" t="s">
        <v>165</v>
      </c>
      <c r="AH2" s="105" t="s">
        <v>166</v>
      </c>
      <c r="AI2" s="106" t="s">
        <v>167</v>
      </c>
      <c r="AJ2" s="105" t="s">
        <v>168</v>
      </c>
      <c r="AK2" s="28" t="s">
        <v>22</v>
      </c>
      <c r="AL2" s="105" t="s">
        <v>169</v>
      </c>
      <c r="AM2" s="29" t="s">
        <v>170</v>
      </c>
      <c r="AN2" s="29" t="s">
        <v>171</v>
      </c>
      <c r="AO2" s="115" t="s">
        <v>172</v>
      </c>
      <c r="AP2" s="29" t="s">
        <v>173</v>
      </c>
      <c r="AQ2" s="29" t="s">
        <v>174</v>
      </c>
      <c r="AR2" s="30" t="s">
        <v>175</v>
      </c>
      <c r="AS2" s="30" t="s">
        <v>176</v>
      </c>
      <c r="AT2" s="30" t="s">
        <v>177</v>
      </c>
    </row>
    <row r="3" s="11" customFormat="1" ht="27" customHeight="1" spans="1:46">
      <c r="A3" s="31"/>
      <c r="B3" s="32"/>
      <c r="C3" s="33"/>
      <c r="D3" s="33"/>
      <c r="E3" s="34"/>
      <c r="F3" s="35"/>
      <c r="G3" s="34"/>
      <c r="H3" s="34"/>
      <c r="I3" s="34"/>
      <c r="J3" s="72"/>
      <c r="K3" s="34"/>
      <c r="L3" s="34"/>
      <c r="M3" s="73" t="s">
        <v>178</v>
      </c>
      <c r="N3" s="73" t="s">
        <v>179</v>
      </c>
      <c r="O3" s="73" t="s">
        <v>180</v>
      </c>
      <c r="P3" s="73" t="s">
        <v>37</v>
      </c>
      <c r="Q3" s="35"/>
      <c r="R3" s="34"/>
      <c r="S3" s="35"/>
      <c r="T3" s="94"/>
      <c r="U3" s="35"/>
      <c r="V3" s="95" t="s">
        <v>181</v>
      </c>
      <c r="W3" s="95" t="s">
        <v>182</v>
      </c>
      <c r="X3" s="95" t="s">
        <v>183</v>
      </c>
      <c r="Y3" s="95" t="s">
        <v>184</v>
      </c>
      <c r="Z3" s="95" t="s">
        <v>185</v>
      </c>
      <c r="AA3" s="95" t="s">
        <v>186</v>
      </c>
      <c r="AB3" s="35"/>
      <c r="AC3" s="35"/>
      <c r="AD3" s="94"/>
      <c r="AE3" s="94"/>
      <c r="AF3" s="94"/>
      <c r="AG3" s="94"/>
      <c r="AH3" s="107"/>
      <c r="AI3" s="108"/>
      <c r="AJ3" s="107"/>
      <c r="AK3" s="33"/>
      <c r="AL3" s="107"/>
      <c r="AM3" s="34"/>
      <c r="AN3" s="34"/>
      <c r="AO3" s="116"/>
      <c r="AP3" s="34"/>
      <c r="AQ3" s="34"/>
      <c r="AR3" s="35"/>
      <c r="AS3" s="35"/>
      <c r="AT3" s="35"/>
    </row>
    <row r="4" s="12" customFormat="1" ht="18" customHeight="1" spans="1:46">
      <c r="A4" s="36">
        <v>1</v>
      </c>
      <c r="B4" s="37" t="s">
        <v>187</v>
      </c>
      <c r="C4" s="37" t="s">
        <v>43</v>
      </c>
      <c r="D4" s="37" t="s">
        <v>188</v>
      </c>
      <c r="E4" s="37" t="s">
        <v>44</v>
      </c>
      <c r="F4" s="38" t="s">
        <v>189</v>
      </c>
      <c r="G4" s="45">
        <v>18035163638</v>
      </c>
      <c r="H4" s="40"/>
      <c r="I4" s="40"/>
      <c r="J4" s="74"/>
      <c r="K4" s="40"/>
      <c r="L4" s="78">
        <v>8000</v>
      </c>
      <c r="M4" s="76">
        <v>264</v>
      </c>
      <c r="N4" s="76">
        <v>66</v>
      </c>
      <c r="O4" s="76">
        <v>9.9</v>
      </c>
      <c r="P4" s="76">
        <v>180</v>
      </c>
      <c r="Q4" s="96">
        <f>ROUND(SUM(M4:P4),2)</f>
        <v>519.9</v>
      </c>
      <c r="R4" s="78">
        <v>0</v>
      </c>
      <c r="S4" s="97">
        <f>L4+IFERROR(VLOOKUP($E:$E,'（居民）工资表-2月'!$E:$S,15,0),0)</f>
        <v>25770</v>
      </c>
      <c r="T4" s="98">
        <f>5000+IFERROR(VLOOKUP($E:$E,'（居民）工资表-2月'!$E:$T,16,0),0)</f>
        <v>15000</v>
      </c>
      <c r="U4" s="98">
        <f>Q4+IFERROR(VLOOKUP($E:$E,'（居民）工资表-2月'!$E:$U,17,0),0)</f>
        <v>1559.7</v>
      </c>
      <c r="V4" s="78">
        <v>3000</v>
      </c>
      <c r="W4" s="78"/>
      <c r="X4" s="78">
        <v>3000</v>
      </c>
      <c r="Y4" s="78"/>
      <c r="Z4" s="78"/>
      <c r="AA4" s="78"/>
      <c r="AB4" s="97">
        <f>ROUND(SUM(V4:AA4),2)</f>
        <v>6000</v>
      </c>
      <c r="AC4" s="97">
        <f>R4+IFERROR(VLOOKUP($E:$E,'（居民）工资表-2月'!$E:$AC,25,0),0)</f>
        <v>0</v>
      </c>
      <c r="AD4" s="100">
        <f>ROUND(S4-T4-U4-AB4-AC4,2)</f>
        <v>3210.3</v>
      </c>
      <c r="AE4" s="101">
        <f>ROUND(MAX((AD4)*{0.03;0.1;0.2;0.25;0.3;0.35;0.45}-{0;2520;16920;31920;52920;85920;181920},0),2)</f>
        <v>96.31</v>
      </c>
      <c r="AF4" s="102">
        <f>IFERROR(VLOOKUP(E:E,'（居民）工资表-2月'!E:AF,28,0)+VLOOKUP(E:E,'（居民）工资表-2月'!E:AG,29,0),0)</f>
        <v>81.91</v>
      </c>
      <c r="AG4" s="102">
        <f>IF((AE4-AF4)&lt;0,0,AE4-AF4)</f>
        <v>14.4</v>
      </c>
      <c r="AH4" s="109">
        <f>ROUND(IF((L4-Q4-AG4)&lt;0,0,(L4-Q4-AG4)),2)</f>
        <v>7465.7</v>
      </c>
      <c r="AI4" s="110"/>
      <c r="AJ4" s="109">
        <f>AH4+AI4</f>
        <v>7465.7</v>
      </c>
      <c r="AK4" s="111"/>
      <c r="AL4" s="109">
        <f>AJ4+AG4+AK4</f>
        <v>7480.1</v>
      </c>
      <c r="AM4" s="111"/>
      <c r="AN4" s="111"/>
      <c r="AO4" s="111"/>
      <c r="AP4" s="111"/>
      <c r="AQ4" s="111"/>
      <c r="AR4" s="117"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7" t="str">
        <f>IF(SUMPRODUCT(N(E$1:E$5=E4))&gt;1,"重复","不")</f>
        <v>不</v>
      </c>
      <c r="AT4" s="117" t="str">
        <f>IF(SUMPRODUCT(N(AO$1:AO$5=AO4))&gt;1,"重复","不")</f>
        <v>重复</v>
      </c>
    </row>
    <row r="5" s="12" customFormat="1" ht="18" customHeight="1" spans="1:46">
      <c r="A5" s="36">
        <v>2</v>
      </c>
      <c r="B5" s="37" t="s">
        <v>187</v>
      </c>
      <c r="C5" s="37" t="s">
        <v>61</v>
      </c>
      <c r="D5" s="37" t="s">
        <v>188</v>
      </c>
      <c r="E5" s="37" t="s">
        <v>62</v>
      </c>
      <c r="F5" s="38" t="s">
        <v>189</v>
      </c>
      <c r="G5" s="45">
        <v>13944441728</v>
      </c>
      <c r="H5" s="40"/>
      <c r="I5" s="40"/>
      <c r="J5" s="74"/>
      <c r="K5" s="40"/>
      <c r="L5" s="78">
        <v>7000</v>
      </c>
      <c r="M5" s="76">
        <v>268.81</v>
      </c>
      <c r="N5" s="76">
        <v>61.06</v>
      </c>
      <c r="O5" s="76">
        <v>10.08</v>
      </c>
      <c r="P5" s="76">
        <v>79</v>
      </c>
      <c r="Q5" s="96">
        <f>ROUND(SUM(M5:P5),2)</f>
        <v>418.95</v>
      </c>
      <c r="R5" s="78">
        <v>0</v>
      </c>
      <c r="S5" s="97">
        <f>L5+IFERROR(VLOOKUP($E:$E,'（居民）工资表-2月'!$E:$S,15,0),0)</f>
        <v>21000</v>
      </c>
      <c r="T5" s="98">
        <f>5000+IFERROR(VLOOKUP($E:$E,'（居民）工资表-2月'!$E:$T,16,0),0)</f>
        <v>15000</v>
      </c>
      <c r="U5" s="98">
        <f>Q5+IFERROR(VLOOKUP($E:$E,'（居民）工资表-2月'!$E:$U,17,0),0)</f>
        <v>1256.85</v>
      </c>
      <c r="V5" s="78"/>
      <c r="W5" s="78"/>
      <c r="X5" s="78">
        <v>3000</v>
      </c>
      <c r="Y5" s="78"/>
      <c r="Z5" s="78"/>
      <c r="AA5" s="78"/>
      <c r="AB5" s="97">
        <f>ROUND(SUM(V5:AA5),2)</f>
        <v>3000</v>
      </c>
      <c r="AC5" s="97">
        <f>R5+IFERROR(VLOOKUP($E:$E,'（居民）工资表-2月'!$E:$AC,25,0),0)</f>
        <v>0</v>
      </c>
      <c r="AD5" s="100">
        <f>ROUND(S5-T5-U5-AB5-AC5,2)</f>
        <v>1743.15</v>
      </c>
      <c r="AE5" s="101">
        <f>ROUND(MAX((AD5)*{0.03;0.1;0.2;0.25;0.3;0.35;0.45}-{0;2520;16920;31920;52920;85920;181920},0),2)</f>
        <v>52.29</v>
      </c>
      <c r="AF5" s="102">
        <f>IFERROR(VLOOKUP(E:E,'（居民）工资表-2月'!E:AF,28,0)+VLOOKUP(E:E,'（居民）工资表-2月'!E:AG,29,0),0)</f>
        <v>34.86</v>
      </c>
      <c r="AG5" s="102">
        <f>IF((AE5-AF5)&lt;0,0,AE5-AF5)</f>
        <v>17.43</v>
      </c>
      <c r="AH5" s="109">
        <f>ROUND(IF((L5-Q5-AG5)&lt;0,0,(L5-Q5-AG5)),2)</f>
        <v>6563.62</v>
      </c>
      <c r="AI5" s="110"/>
      <c r="AJ5" s="109">
        <f>AH5+AI5</f>
        <v>6563.62</v>
      </c>
      <c r="AK5" s="111"/>
      <c r="AL5" s="109">
        <f>AJ5+AG5+AK5</f>
        <v>6581.05</v>
      </c>
      <c r="AM5" s="111"/>
      <c r="AN5" s="111"/>
      <c r="AO5" s="111"/>
      <c r="AP5" s="111"/>
      <c r="AQ5" s="111"/>
      <c r="AR5" s="117"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117" t="str">
        <f>IF(SUMPRODUCT(N(E$1:E$5=E5))&gt;1,"重复","不")</f>
        <v>不</v>
      </c>
      <c r="AT5" s="117" t="str">
        <f>IF(SUMPRODUCT(N(AO$1:AO$5=AO5))&gt;1,"重复","不")</f>
        <v>重复</v>
      </c>
    </row>
    <row r="6" s="12" customFormat="1" ht="18" customHeight="1" spans="1:46">
      <c r="A6" s="36">
        <v>3</v>
      </c>
      <c r="B6" s="37" t="s">
        <v>187</v>
      </c>
      <c r="C6" s="37" t="s">
        <v>104</v>
      </c>
      <c r="D6" s="37" t="s">
        <v>188</v>
      </c>
      <c r="E6" s="398" t="s">
        <v>105</v>
      </c>
      <c r="F6" s="38" t="str">
        <f>IF(MOD(MID(E6,17,1),2)=1,"男","女")</f>
        <v>女</v>
      </c>
      <c r="G6" s="45">
        <v>15360550807</v>
      </c>
      <c r="H6" s="40"/>
      <c r="I6" s="40"/>
      <c r="J6" s="74"/>
      <c r="K6" s="40"/>
      <c r="L6" s="78">
        <v>5700</v>
      </c>
      <c r="M6" s="76">
        <v>367.04</v>
      </c>
      <c r="N6" s="76">
        <v>135.14</v>
      </c>
      <c r="O6" s="76">
        <v>4.6</v>
      </c>
      <c r="P6" s="76">
        <v>84.08</v>
      </c>
      <c r="Q6" s="96">
        <f t="shared" ref="Q6:Q12" si="0">ROUND(SUM(M6:P6),2)</f>
        <v>590.86</v>
      </c>
      <c r="R6" s="78">
        <v>0</v>
      </c>
      <c r="S6" s="97">
        <f>L6+IFERROR(VLOOKUP($E:$E,'（居民）工资表-2月'!$E:$S,15,0),0)</f>
        <v>17100</v>
      </c>
      <c r="T6" s="98">
        <f>5000+IFERROR(VLOOKUP($E:$E,'（居民）工资表-2月'!$E:$T,16,0),0)</f>
        <v>15000</v>
      </c>
      <c r="U6" s="98">
        <f>Q6+IFERROR(VLOOKUP($E:$E,'（居民）工资表-2月'!$E:$U,17,0),0)</f>
        <v>1894.62</v>
      </c>
      <c r="V6" s="78"/>
      <c r="W6" s="78"/>
      <c r="X6" s="78"/>
      <c r="Y6" s="78">
        <v>4500</v>
      </c>
      <c r="Z6" s="78"/>
      <c r="AA6" s="78"/>
      <c r="AB6" s="97">
        <f t="shared" ref="AB6:AB12" si="1">ROUND(SUM(V6:AA6),2)</f>
        <v>4500</v>
      </c>
      <c r="AC6" s="97">
        <f>R6+IFERROR(VLOOKUP($E:$E,'（居民）工资表-2月'!$E:$AC,25,0),0)</f>
        <v>0</v>
      </c>
      <c r="AD6" s="100">
        <f t="shared" ref="AD6:AD12" si="2">ROUND(S6-T6-U6-AB6-AC6,2)</f>
        <v>-4294.62</v>
      </c>
      <c r="AE6" s="101">
        <f>ROUND(MAX((AD6)*{0.03;0.1;0.2;0.25;0.3;0.35;0.45}-{0;2520;16920;31920;52920;85920;181920},0),2)</f>
        <v>0</v>
      </c>
      <c r="AF6" s="102">
        <f>IFERROR(VLOOKUP(E:E,'（居民）工资表-2月'!E:AF,28,0)+VLOOKUP(E:E,'（居民）工资表-2月'!E:AG,29,0),0)</f>
        <v>0</v>
      </c>
      <c r="AG6" s="102">
        <f t="shared" ref="AG6:AG12" si="3">IF((AE6-AF6)&lt;0,0,AE6-AF6)</f>
        <v>0</v>
      </c>
      <c r="AH6" s="109">
        <f t="shared" ref="AH6:AH12" si="4">ROUND(IF((L6-Q6-AG6)&lt;0,0,(L6-Q6-AG6)),2)</f>
        <v>5109.14</v>
      </c>
      <c r="AI6" s="110"/>
      <c r="AJ6" s="109">
        <f t="shared" ref="AJ6:AJ12" si="5">AH6+AI6</f>
        <v>5109.14</v>
      </c>
      <c r="AK6" s="111"/>
      <c r="AL6" s="109">
        <f t="shared" ref="AL6:AL12" si="6">AJ6+AG6+AK6</f>
        <v>5109.14</v>
      </c>
      <c r="AM6" s="111"/>
      <c r="AN6" s="111"/>
      <c r="AO6" s="111"/>
      <c r="AP6" s="111"/>
      <c r="AQ6" s="111"/>
      <c r="AR6" s="117" t="str">
        <f t="shared" ref="AR6:AR12" si="7">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117" t="str">
        <f t="shared" ref="AS6:AS12" si="8">IF(SUMPRODUCT(N(E$1:E$5=E6))&gt;1,"重复","不")</f>
        <v>不</v>
      </c>
      <c r="AT6" s="117" t="str">
        <f t="shared" ref="AT6:AT12" si="9">IF(SUMPRODUCT(N(AO$1:AO$5=AO6))&gt;1,"重复","不")</f>
        <v>重复</v>
      </c>
    </row>
    <row r="7" s="12" customFormat="1" ht="18" customHeight="1" spans="1:46">
      <c r="A7" s="36">
        <v>4</v>
      </c>
      <c r="B7" s="37" t="s">
        <v>187</v>
      </c>
      <c r="C7" s="37" t="s">
        <v>243</v>
      </c>
      <c r="D7" s="37" t="s">
        <v>188</v>
      </c>
      <c r="E7" s="398" t="s">
        <v>244</v>
      </c>
      <c r="F7" s="38" t="s">
        <v>189</v>
      </c>
      <c r="G7" s="45">
        <v>18607383005</v>
      </c>
      <c r="H7" s="40"/>
      <c r="I7" s="40"/>
      <c r="J7" s="74"/>
      <c r="K7" s="40"/>
      <c r="L7" s="78">
        <v>25000</v>
      </c>
      <c r="M7" s="76">
        <v>320</v>
      </c>
      <c r="N7" s="76">
        <v>80</v>
      </c>
      <c r="O7" s="76">
        <v>12</v>
      </c>
      <c r="P7" s="76">
        <v>70</v>
      </c>
      <c r="Q7" s="96">
        <f t="shared" si="0"/>
        <v>482</v>
      </c>
      <c r="R7" s="78">
        <v>0</v>
      </c>
      <c r="S7" s="97">
        <f>L7+IFERROR(VLOOKUP($E:$E,'（居民）工资表-2月'!$E:$S,15,0),0)</f>
        <v>85000</v>
      </c>
      <c r="T7" s="98">
        <f>5000+IFERROR(VLOOKUP($E:$E,'（居民）工资表-2月'!$E:$T,16,0),0)</f>
        <v>15000</v>
      </c>
      <c r="U7" s="98">
        <f>Q7+IFERROR(VLOOKUP($E:$E,'（居民）工资表-2月'!$E:$U,17,0),0)</f>
        <v>1966</v>
      </c>
      <c r="V7" s="78">
        <v>6000</v>
      </c>
      <c r="W7" s="78">
        <v>3000</v>
      </c>
      <c r="X7" s="78"/>
      <c r="Y7" s="78"/>
      <c r="Z7" s="78"/>
      <c r="AA7" s="78"/>
      <c r="AB7" s="97">
        <f t="shared" si="1"/>
        <v>9000</v>
      </c>
      <c r="AC7" s="97">
        <f>R7+IFERROR(VLOOKUP($E:$E,'（居民）工资表-2月'!$E:$AC,25,0),0)</f>
        <v>0</v>
      </c>
      <c r="AD7" s="100">
        <f t="shared" si="2"/>
        <v>59034</v>
      </c>
      <c r="AE7" s="101">
        <f>ROUND(MAX((AD7)*{0.03;0.1;0.2;0.25;0.3;0.35;0.45}-{0;2520;16920;31920;52920;85920;181920},0),2)</f>
        <v>3383.4</v>
      </c>
      <c r="AF7" s="102">
        <f>IFERROR(VLOOKUP(E:E,'（居民）工资表-2月'!E:AF,28,0)+VLOOKUP(E:E,'（居民）工资表-2月'!E:AG,29,0),0)</f>
        <v>1731.6</v>
      </c>
      <c r="AG7" s="102">
        <f t="shared" si="3"/>
        <v>1651.8</v>
      </c>
      <c r="AH7" s="109">
        <f t="shared" si="4"/>
        <v>22866.2</v>
      </c>
      <c r="AI7" s="110"/>
      <c r="AJ7" s="109">
        <f t="shared" si="5"/>
        <v>22866.2</v>
      </c>
      <c r="AK7" s="111"/>
      <c r="AL7" s="109">
        <f t="shared" si="6"/>
        <v>24518</v>
      </c>
      <c r="AM7" s="111"/>
      <c r="AN7" s="111"/>
      <c r="AO7" s="111"/>
      <c r="AP7" s="111"/>
      <c r="AQ7" s="111"/>
      <c r="AR7" s="117" t="str">
        <f t="shared" si="7"/>
        <v>正确</v>
      </c>
      <c r="AS7" s="117" t="str">
        <f t="shared" si="8"/>
        <v>不</v>
      </c>
      <c r="AT7" s="117" t="str">
        <f t="shared" si="9"/>
        <v>重复</v>
      </c>
    </row>
    <row r="8" s="12" customFormat="1" ht="18" customHeight="1" spans="1:46">
      <c r="A8" s="36">
        <v>5</v>
      </c>
      <c r="B8" s="37" t="s">
        <v>187</v>
      </c>
      <c r="C8" s="37" t="s">
        <v>245</v>
      </c>
      <c r="D8" s="37" t="s">
        <v>188</v>
      </c>
      <c r="E8" s="37" t="s">
        <v>246</v>
      </c>
      <c r="F8" s="38" t="s">
        <v>189</v>
      </c>
      <c r="G8" s="45">
        <v>13373825180</v>
      </c>
      <c r="H8" s="40"/>
      <c r="I8" s="40"/>
      <c r="J8" s="74"/>
      <c r="K8" s="40"/>
      <c r="L8" s="78">
        <f>26739+77.5</f>
        <v>26816.5</v>
      </c>
      <c r="M8" s="76">
        <v>363.84</v>
      </c>
      <c r="N8" s="76">
        <v>90.96</v>
      </c>
      <c r="O8" s="76">
        <v>13.64</v>
      </c>
      <c r="P8" s="76"/>
      <c r="Q8" s="96">
        <f t="shared" si="0"/>
        <v>468.44</v>
      </c>
      <c r="R8" s="78">
        <v>0</v>
      </c>
      <c r="S8" s="97">
        <f>L8+IFERROR(VLOOKUP($E:$E,'（居民）工资表-2月'!$E:$S,15,0),0)</f>
        <v>84294.5</v>
      </c>
      <c r="T8" s="98">
        <f>5000+IFERROR(VLOOKUP($E:$E,'（居民）工资表-2月'!$E:$T,16,0),0)</f>
        <v>15000</v>
      </c>
      <c r="U8" s="98">
        <f>Q8+IFERROR(VLOOKUP($E:$E,'（居民）工资表-2月'!$E:$U,17,0),0)</f>
        <v>1635.27</v>
      </c>
      <c r="V8" s="78">
        <v>3000</v>
      </c>
      <c r="W8" s="78">
        <v>3000</v>
      </c>
      <c r="X8" s="78">
        <v>3000</v>
      </c>
      <c r="Y8" s="78"/>
      <c r="Z8" s="78"/>
      <c r="AA8" s="78"/>
      <c r="AB8" s="97">
        <f t="shared" si="1"/>
        <v>9000</v>
      </c>
      <c r="AC8" s="97">
        <f>R8+IFERROR(VLOOKUP($E:$E,'（居民）工资表-2月'!$E:$AC,25,0),0)</f>
        <v>0</v>
      </c>
      <c r="AD8" s="100">
        <f t="shared" si="2"/>
        <v>58659.23</v>
      </c>
      <c r="AE8" s="101">
        <f>ROUND(MAX((AD8)*{0.03;0.1;0.2;0.25;0.3;0.35;0.45}-{0;2520;16920;31920;52920;85920;181920},0),2)</f>
        <v>3345.92</v>
      </c>
      <c r="AF8" s="102">
        <f>IFERROR(VLOOKUP(E:E,'（居民）工资表-2月'!E:AF,28,0)+VLOOKUP(E:E,'（居民）工资表-2月'!E:AG,29,0),0)</f>
        <v>1511.12</v>
      </c>
      <c r="AG8" s="102">
        <f t="shared" si="3"/>
        <v>1834.8</v>
      </c>
      <c r="AH8" s="109">
        <f t="shared" si="4"/>
        <v>24513.26</v>
      </c>
      <c r="AI8" s="110"/>
      <c r="AJ8" s="109">
        <f t="shared" si="5"/>
        <v>24513.26</v>
      </c>
      <c r="AK8" s="111"/>
      <c r="AL8" s="109">
        <f t="shared" si="6"/>
        <v>26348.06</v>
      </c>
      <c r="AM8" s="111"/>
      <c r="AN8" s="111"/>
      <c r="AO8" s="111"/>
      <c r="AP8" s="111"/>
      <c r="AQ8" s="111"/>
      <c r="AR8" s="117" t="str">
        <f t="shared" si="7"/>
        <v>正确</v>
      </c>
      <c r="AS8" s="117" t="str">
        <f t="shared" si="8"/>
        <v>不</v>
      </c>
      <c r="AT8" s="117" t="str">
        <f t="shared" si="9"/>
        <v>重复</v>
      </c>
    </row>
    <row r="9" s="12" customFormat="1" ht="18" customHeight="1" spans="1:46">
      <c r="A9" s="36">
        <v>6</v>
      </c>
      <c r="B9" s="37" t="s">
        <v>187</v>
      </c>
      <c r="C9" s="37" t="s">
        <v>191</v>
      </c>
      <c r="D9" s="37" t="s">
        <v>188</v>
      </c>
      <c r="E9" s="37" t="s">
        <v>192</v>
      </c>
      <c r="F9" s="38" t="s">
        <v>189</v>
      </c>
      <c r="G9" s="45">
        <v>18037463616</v>
      </c>
      <c r="H9" s="40"/>
      <c r="I9" s="40"/>
      <c r="J9" s="74"/>
      <c r="K9" s="40"/>
      <c r="L9" s="78">
        <v>13572.63</v>
      </c>
      <c r="M9" s="76">
        <v>255.76</v>
      </c>
      <c r="N9" s="76">
        <v>65.02</v>
      </c>
      <c r="O9" s="76">
        <v>9.59</v>
      </c>
      <c r="P9" s="76">
        <v>445.06</v>
      </c>
      <c r="Q9" s="96">
        <f t="shared" si="0"/>
        <v>775.43</v>
      </c>
      <c r="R9" s="78">
        <v>0</v>
      </c>
      <c r="S9" s="97">
        <f>L9+IFERROR(VLOOKUP($E:$E,'（居民）工资表-2月'!$E:$S,15,0),0)</f>
        <v>27772.63</v>
      </c>
      <c r="T9" s="98">
        <f>5000+IFERROR(VLOOKUP($E:$E,'（居民）工资表-2月'!$E:$T,16,0),0)</f>
        <v>10000</v>
      </c>
      <c r="U9" s="98">
        <f>Q9+IFERROR(VLOOKUP($E:$E,'（居民）工资表-2月'!$E:$U,17,0),0)</f>
        <v>1645.89</v>
      </c>
      <c r="V9" s="78"/>
      <c r="W9" s="78"/>
      <c r="X9" s="78"/>
      <c r="Y9" s="78"/>
      <c r="Z9" s="78"/>
      <c r="AA9" s="78"/>
      <c r="AB9" s="97">
        <f t="shared" si="1"/>
        <v>0</v>
      </c>
      <c r="AC9" s="97">
        <f>R9+IFERROR(VLOOKUP($E:$E,'（居民）工资表-2月'!$E:$AC,25,0),0)</f>
        <v>0</v>
      </c>
      <c r="AD9" s="100">
        <f t="shared" si="2"/>
        <v>16126.74</v>
      </c>
      <c r="AE9" s="101">
        <f>ROUND(MAX((AD9)*{0.03;0.1;0.2;0.25;0.3;0.35;0.45}-{0;2520;16920;31920;52920;85920;181920},0),2)</f>
        <v>483.8</v>
      </c>
      <c r="AF9" s="102">
        <f>IFERROR(VLOOKUP(E:E,'（居民）工资表-2月'!E:AF,28,0)+VLOOKUP(E:E,'（居民）工资表-2月'!E:AG,29,0),0)</f>
        <v>249.89</v>
      </c>
      <c r="AG9" s="102">
        <f t="shared" si="3"/>
        <v>233.91</v>
      </c>
      <c r="AH9" s="109">
        <f t="shared" si="4"/>
        <v>12563.29</v>
      </c>
      <c r="AI9" s="110"/>
      <c r="AJ9" s="109">
        <f t="shared" si="5"/>
        <v>12563.29</v>
      </c>
      <c r="AK9" s="111"/>
      <c r="AL9" s="109">
        <f t="shared" si="6"/>
        <v>12797.2</v>
      </c>
      <c r="AM9" s="111"/>
      <c r="AN9" s="111"/>
      <c r="AO9" s="111"/>
      <c r="AP9" s="111"/>
      <c r="AQ9" s="111"/>
      <c r="AR9" s="117" t="str">
        <f t="shared" si="7"/>
        <v>正确</v>
      </c>
      <c r="AS9" s="117" t="str">
        <f t="shared" si="8"/>
        <v>不</v>
      </c>
      <c r="AT9" s="117" t="str">
        <f t="shared" si="9"/>
        <v>重复</v>
      </c>
    </row>
    <row r="10" s="12" customFormat="1" ht="18" customHeight="1" spans="1:46">
      <c r="A10" s="36">
        <v>7</v>
      </c>
      <c r="B10" s="37" t="s">
        <v>187</v>
      </c>
      <c r="C10" s="37" t="s">
        <v>193</v>
      </c>
      <c r="D10" s="37" t="s">
        <v>188</v>
      </c>
      <c r="E10" s="398" t="s">
        <v>194</v>
      </c>
      <c r="F10" s="38" t="s">
        <v>189</v>
      </c>
      <c r="G10" s="45">
        <v>18500634358</v>
      </c>
      <c r="H10" s="40"/>
      <c r="I10" s="40"/>
      <c r="J10" s="74"/>
      <c r="K10" s="40"/>
      <c r="L10" s="78">
        <v>14620</v>
      </c>
      <c r="M10" s="76">
        <v>255.76</v>
      </c>
      <c r="N10" s="76">
        <v>65.02</v>
      </c>
      <c r="O10" s="76">
        <v>9.59</v>
      </c>
      <c r="P10" s="76">
        <v>445.06</v>
      </c>
      <c r="Q10" s="96">
        <f t="shared" si="0"/>
        <v>775.43</v>
      </c>
      <c r="R10" s="78">
        <v>0</v>
      </c>
      <c r="S10" s="97">
        <f>L10+IFERROR(VLOOKUP($E:$E,'（居民）工资表-2月'!$E:$S,15,0),0)</f>
        <v>29120</v>
      </c>
      <c r="T10" s="98">
        <f>5000+IFERROR(VLOOKUP($E:$E,'（居民）工资表-2月'!$E:$T,16,0),0)</f>
        <v>10000</v>
      </c>
      <c r="U10" s="98">
        <f>Q10+IFERROR(VLOOKUP($E:$E,'（居民）工资表-2月'!$E:$U,17,0),0)</f>
        <v>1645.89</v>
      </c>
      <c r="V10" s="78"/>
      <c r="W10" s="78"/>
      <c r="X10" s="78"/>
      <c r="Y10" s="78"/>
      <c r="Z10" s="78"/>
      <c r="AA10" s="78"/>
      <c r="AB10" s="97">
        <f t="shared" si="1"/>
        <v>0</v>
      </c>
      <c r="AC10" s="97">
        <f>R10+IFERROR(VLOOKUP($E:$E,'（居民）工资表-2月'!$E:$AC,25,0),0)</f>
        <v>0</v>
      </c>
      <c r="AD10" s="100">
        <f t="shared" si="2"/>
        <v>17474.11</v>
      </c>
      <c r="AE10" s="101">
        <f>ROUND(MAX((AD10)*{0.03;0.1;0.2;0.25;0.3;0.35;0.45}-{0;2520;16920;31920;52920;85920;181920},0),2)</f>
        <v>524.22</v>
      </c>
      <c r="AF10" s="102">
        <f>IFERROR(VLOOKUP(E:E,'（居民）工资表-2月'!E:AF,28,0)+VLOOKUP(E:E,'（居民）工资表-2月'!E:AG,29,0),0)</f>
        <v>258.89</v>
      </c>
      <c r="AG10" s="102">
        <f t="shared" si="3"/>
        <v>265.33</v>
      </c>
      <c r="AH10" s="109">
        <f t="shared" si="4"/>
        <v>13579.24</v>
      </c>
      <c r="AI10" s="110"/>
      <c r="AJ10" s="109">
        <f t="shared" si="5"/>
        <v>13579.24</v>
      </c>
      <c r="AK10" s="111"/>
      <c r="AL10" s="109">
        <f t="shared" si="6"/>
        <v>13844.57</v>
      </c>
      <c r="AM10" s="111"/>
      <c r="AN10" s="111"/>
      <c r="AO10" s="111"/>
      <c r="AP10" s="111"/>
      <c r="AQ10" s="111"/>
      <c r="AR10" s="117" t="str">
        <f t="shared" si="7"/>
        <v>正确</v>
      </c>
      <c r="AS10" s="117" t="str">
        <f t="shared" si="8"/>
        <v>不</v>
      </c>
      <c r="AT10" s="117" t="str">
        <f t="shared" si="9"/>
        <v>重复</v>
      </c>
    </row>
    <row r="11" s="12" customFormat="1" ht="18" customHeight="1" spans="1:46">
      <c r="A11" s="36">
        <v>8</v>
      </c>
      <c r="B11" s="37" t="s">
        <v>187</v>
      </c>
      <c r="C11" s="37" t="s">
        <v>195</v>
      </c>
      <c r="D11" s="37" t="s">
        <v>188</v>
      </c>
      <c r="E11" s="37" t="s">
        <v>196</v>
      </c>
      <c r="F11" s="38" t="s">
        <v>189</v>
      </c>
      <c r="G11" s="45">
        <v>18738169923</v>
      </c>
      <c r="H11" s="40"/>
      <c r="I11" s="40"/>
      <c r="J11" s="74"/>
      <c r="K11" s="40"/>
      <c r="L11" s="78">
        <v>12120</v>
      </c>
      <c r="M11" s="76">
        <v>254.32</v>
      </c>
      <c r="N11" s="76">
        <v>64.66</v>
      </c>
      <c r="O11" s="76">
        <v>9.54</v>
      </c>
      <c r="P11" s="76">
        <v>445.38</v>
      </c>
      <c r="Q11" s="96">
        <f t="shared" si="0"/>
        <v>773.9</v>
      </c>
      <c r="R11" s="78">
        <v>0</v>
      </c>
      <c r="S11" s="97">
        <f>L11+IFERROR(VLOOKUP($E:$E,'（居民）工资表-2月'!$E:$S,15,0),0)</f>
        <v>24120</v>
      </c>
      <c r="T11" s="98">
        <f>5000+IFERROR(VLOOKUP($E:$E,'（居民）工资表-2月'!$E:$T,16,0),0)</f>
        <v>10000</v>
      </c>
      <c r="U11" s="98">
        <f>Q11+IFERROR(VLOOKUP($E:$E,'（居民）工资表-2月'!$E:$U,17,0),0)</f>
        <v>1746.36</v>
      </c>
      <c r="V11" s="78"/>
      <c r="W11" s="78"/>
      <c r="X11" s="78"/>
      <c r="Y11" s="78"/>
      <c r="Z11" s="78"/>
      <c r="AA11" s="78"/>
      <c r="AB11" s="97">
        <f t="shared" si="1"/>
        <v>0</v>
      </c>
      <c r="AC11" s="97">
        <f>R11+IFERROR(VLOOKUP($E:$E,'（居民）工资表-2月'!$E:$AC,25,0),0)</f>
        <v>0</v>
      </c>
      <c r="AD11" s="100">
        <f t="shared" si="2"/>
        <v>12373.64</v>
      </c>
      <c r="AE11" s="101">
        <f>ROUND(MAX((AD11)*{0.03;0.1;0.2;0.25;0.3;0.35;0.45}-{0;2520;16920;31920;52920;85920;181920},0),2)</f>
        <v>371.21</v>
      </c>
      <c r="AF11" s="102">
        <f>IFERROR(VLOOKUP(E:E,'（居民）工资表-2月'!E:AF,28,0)+VLOOKUP(E:E,'（居民）工资表-2月'!E:AG,29,0),0)</f>
        <v>180.83</v>
      </c>
      <c r="AG11" s="102">
        <f t="shared" si="3"/>
        <v>190.38</v>
      </c>
      <c r="AH11" s="109">
        <f t="shared" si="4"/>
        <v>11155.72</v>
      </c>
      <c r="AI11" s="110"/>
      <c r="AJ11" s="109">
        <f t="shared" si="5"/>
        <v>11155.72</v>
      </c>
      <c r="AK11" s="111"/>
      <c r="AL11" s="109">
        <f t="shared" si="6"/>
        <v>11346.1</v>
      </c>
      <c r="AM11" s="111"/>
      <c r="AN11" s="111"/>
      <c r="AO11" s="111"/>
      <c r="AP11" s="111"/>
      <c r="AQ11" s="111"/>
      <c r="AR11" s="117" t="str">
        <f t="shared" si="7"/>
        <v>正确</v>
      </c>
      <c r="AS11" s="117" t="str">
        <f t="shared" si="8"/>
        <v>不</v>
      </c>
      <c r="AT11" s="117" t="str">
        <f t="shared" si="9"/>
        <v>重复</v>
      </c>
    </row>
    <row r="12" s="12" customFormat="1" ht="18" customHeight="1" spans="1:46">
      <c r="A12" s="36">
        <v>9</v>
      </c>
      <c r="B12" s="37" t="s">
        <v>187</v>
      </c>
      <c r="C12" s="37" t="s">
        <v>206</v>
      </c>
      <c r="D12" s="37" t="s">
        <v>188</v>
      </c>
      <c r="E12" s="37" t="s">
        <v>207</v>
      </c>
      <c r="F12" s="38" t="s">
        <v>189</v>
      </c>
      <c r="G12" s="45">
        <v>15001138812</v>
      </c>
      <c r="H12" s="40"/>
      <c r="I12" s="40"/>
      <c r="J12" s="74"/>
      <c r="K12" s="40"/>
      <c r="L12" s="78">
        <v>10120</v>
      </c>
      <c r="M12" s="76">
        <v>254.32</v>
      </c>
      <c r="N12" s="76">
        <v>64.66</v>
      </c>
      <c r="O12" s="76">
        <v>9.54</v>
      </c>
      <c r="P12" s="76">
        <v>547.38</v>
      </c>
      <c r="Q12" s="96">
        <f t="shared" si="0"/>
        <v>875.9</v>
      </c>
      <c r="R12" s="78">
        <v>0</v>
      </c>
      <c r="S12" s="97">
        <f>L12+IFERROR(VLOOKUP($E:$E,'（居民）工资表-2月'!$E:$S,15,0),0)</f>
        <v>20120</v>
      </c>
      <c r="T12" s="98">
        <f>5000+IFERROR(VLOOKUP($E:$E,'（居民）工资表-2月'!$E:$T,16,0),0)</f>
        <v>10000</v>
      </c>
      <c r="U12" s="98">
        <f>Q12+IFERROR(VLOOKUP($E:$E,'（居民）工资表-2月'!$E:$U,17,0),0)</f>
        <v>1746.36</v>
      </c>
      <c r="V12" s="78"/>
      <c r="W12" s="78"/>
      <c r="X12" s="78"/>
      <c r="Y12" s="78"/>
      <c r="Z12" s="78"/>
      <c r="AA12" s="78"/>
      <c r="AB12" s="97">
        <f t="shared" si="1"/>
        <v>0</v>
      </c>
      <c r="AC12" s="97">
        <f>R12+IFERROR(VLOOKUP($E:$E,'（居民）工资表-2月'!$E:$AC,25,0),0)</f>
        <v>0</v>
      </c>
      <c r="AD12" s="100">
        <f t="shared" si="2"/>
        <v>8373.64</v>
      </c>
      <c r="AE12" s="101">
        <f>ROUND(MAX((AD12)*{0.03;0.1;0.2;0.25;0.3;0.35;0.45}-{0;2520;16920;31920;52920;85920;181920},0),2)</f>
        <v>251.21</v>
      </c>
      <c r="AF12" s="102">
        <f>IFERROR(VLOOKUP(E:E,'（居民）工资表-2月'!E:AF,28,0)+VLOOKUP(E:E,'（居民）工资表-2月'!E:AG,29,0),0)</f>
        <v>123.89</v>
      </c>
      <c r="AG12" s="102">
        <f t="shared" si="3"/>
        <v>127.32</v>
      </c>
      <c r="AH12" s="109">
        <f t="shared" si="4"/>
        <v>9116.78</v>
      </c>
      <c r="AI12" s="110"/>
      <c r="AJ12" s="109">
        <f t="shared" si="5"/>
        <v>9116.78</v>
      </c>
      <c r="AK12" s="111"/>
      <c r="AL12" s="109">
        <f t="shared" si="6"/>
        <v>9244.1</v>
      </c>
      <c r="AM12" s="111"/>
      <c r="AN12" s="111"/>
      <c r="AO12" s="111"/>
      <c r="AP12" s="111"/>
      <c r="AQ12" s="111"/>
      <c r="AR12" s="117" t="str">
        <f t="shared" si="7"/>
        <v>正确</v>
      </c>
      <c r="AS12" s="117" t="str">
        <f t="shared" si="8"/>
        <v>不</v>
      </c>
      <c r="AT12" s="117" t="str">
        <f t="shared" si="9"/>
        <v>重复</v>
      </c>
    </row>
    <row r="13" s="12" customFormat="1" ht="18" customHeight="1" spans="1:46">
      <c r="A13" s="36"/>
      <c r="B13" s="37"/>
      <c r="C13" s="133"/>
      <c r="D13" s="37"/>
      <c r="E13" s="134"/>
      <c r="F13" s="38"/>
      <c r="G13" s="39"/>
      <c r="H13" s="135"/>
      <c r="I13" s="135"/>
      <c r="J13" s="136"/>
      <c r="K13" s="135"/>
      <c r="L13" s="75"/>
      <c r="M13" s="75"/>
      <c r="N13" s="75"/>
      <c r="O13" s="75"/>
      <c r="P13" s="75"/>
      <c r="Q13" s="96"/>
      <c r="R13" s="78"/>
      <c r="S13" s="97"/>
      <c r="T13" s="98"/>
      <c r="U13" s="98"/>
      <c r="V13" s="78"/>
      <c r="W13" s="78"/>
      <c r="X13" s="78"/>
      <c r="Y13" s="78"/>
      <c r="Z13" s="78"/>
      <c r="AA13" s="78"/>
      <c r="AB13" s="97"/>
      <c r="AC13" s="97"/>
      <c r="AD13" s="100"/>
      <c r="AE13" s="101"/>
      <c r="AF13" s="102"/>
      <c r="AG13" s="102"/>
      <c r="AH13" s="109"/>
      <c r="AI13" s="110"/>
      <c r="AJ13" s="109"/>
      <c r="AK13" s="111"/>
      <c r="AL13" s="109"/>
      <c r="AM13" s="111"/>
      <c r="AN13" s="111"/>
      <c r="AO13" s="111"/>
      <c r="AP13" s="111"/>
      <c r="AQ13" s="111"/>
      <c r="AR13" s="117"/>
      <c r="AS13" s="117"/>
      <c r="AT13" s="117"/>
    </row>
    <row r="14" s="13" customFormat="1" ht="18" customHeight="1" spans="1:46">
      <c r="A14" s="46"/>
      <c r="B14" s="47" t="s">
        <v>216</v>
      </c>
      <c r="C14" s="47"/>
      <c r="D14" s="48"/>
      <c r="E14" s="49"/>
      <c r="F14" s="50"/>
      <c r="G14" s="51"/>
      <c r="H14" s="50"/>
      <c r="I14" s="79"/>
      <c r="J14" s="80"/>
      <c r="K14" s="79"/>
      <c r="L14" s="81">
        <f>SUM(L4:L13)</f>
        <v>122949.13</v>
      </c>
      <c r="M14" s="81">
        <f t="shared" ref="M14:AL14" si="10">SUM(M4:M13)</f>
        <v>2603.85</v>
      </c>
      <c r="N14" s="81">
        <f t="shared" si="10"/>
        <v>692.52</v>
      </c>
      <c r="O14" s="81">
        <f t="shared" si="10"/>
        <v>88.48</v>
      </c>
      <c r="P14" s="81">
        <f t="shared" si="10"/>
        <v>2295.96</v>
      </c>
      <c r="Q14" s="81">
        <f t="shared" si="10"/>
        <v>5680.81</v>
      </c>
      <c r="R14" s="81">
        <f t="shared" si="10"/>
        <v>0</v>
      </c>
      <c r="S14" s="81">
        <f t="shared" si="10"/>
        <v>334297.13</v>
      </c>
      <c r="T14" s="81">
        <f t="shared" si="10"/>
        <v>115000</v>
      </c>
      <c r="U14" s="81">
        <f t="shared" si="10"/>
        <v>15096.94</v>
      </c>
      <c r="V14" s="81">
        <f t="shared" si="10"/>
        <v>12000</v>
      </c>
      <c r="W14" s="81">
        <f t="shared" si="10"/>
        <v>6000</v>
      </c>
      <c r="X14" s="81">
        <f t="shared" si="10"/>
        <v>9000</v>
      </c>
      <c r="Y14" s="81">
        <f t="shared" si="10"/>
        <v>4500</v>
      </c>
      <c r="Z14" s="81">
        <f t="shared" si="10"/>
        <v>0</v>
      </c>
      <c r="AA14" s="81">
        <f t="shared" si="10"/>
        <v>0</v>
      </c>
      <c r="AB14" s="81">
        <f t="shared" si="10"/>
        <v>31500</v>
      </c>
      <c r="AC14" s="81">
        <f t="shared" si="10"/>
        <v>0</v>
      </c>
      <c r="AD14" s="81">
        <f t="shared" si="10"/>
        <v>172700.19</v>
      </c>
      <c r="AE14" s="81">
        <f t="shared" si="10"/>
        <v>8508.36</v>
      </c>
      <c r="AF14" s="81">
        <f t="shared" si="10"/>
        <v>4172.99</v>
      </c>
      <c r="AG14" s="81">
        <f t="shared" si="10"/>
        <v>4335.37</v>
      </c>
      <c r="AH14" s="81">
        <f t="shared" si="10"/>
        <v>112932.95</v>
      </c>
      <c r="AI14" s="81">
        <f t="shared" si="10"/>
        <v>0</v>
      </c>
      <c r="AJ14" s="81">
        <f t="shared" si="10"/>
        <v>112932.95</v>
      </c>
      <c r="AK14" s="81">
        <f t="shared" si="10"/>
        <v>0</v>
      </c>
      <c r="AL14" s="81">
        <f t="shared" si="10"/>
        <v>117268.32</v>
      </c>
      <c r="AM14" s="112"/>
      <c r="AN14" s="112"/>
      <c r="AO14" s="112"/>
      <c r="AP14" s="112"/>
      <c r="AQ14" s="112"/>
      <c r="AR14" s="50"/>
      <c r="AS14" s="50"/>
      <c r="AT14" s="118"/>
    </row>
    <row r="17" spans="30:30">
      <c r="AD17" s="103"/>
    </row>
    <row r="18" ht="18.75" customHeight="1" spans="2:30">
      <c r="B18" s="52" t="s">
        <v>168</v>
      </c>
      <c r="C18" s="52" t="s">
        <v>217</v>
      </c>
      <c r="D18" s="52" t="s">
        <v>22</v>
      </c>
      <c r="E18" s="52" t="s">
        <v>23</v>
      </c>
      <c r="AD18" s="10"/>
    </row>
    <row r="19" ht="18.75" customHeight="1" spans="2:5">
      <c r="B19" s="53">
        <f>AJ14</f>
        <v>112932.95</v>
      </c>
      <c r="C19" s="53">
        <f>AG14</f>
        <v>4335.37</v>
      </c>
      <c r="D19" s="53">
        <f>AK14</f>
        <v>0</v>
      </c>
      <c r="E19" s="53">
        <f>B19+C19+D19</f>
        <v>117268.32</v>
      </c>
    </row>
    <row r="20" spans="2:5">
      <c r="B20" s="54"/>
      <c r="C20" s="54"/>
      <c r="D20" s="54"/>
      <c r="E20" s="54">
        <f>社保1!BC19</f>
        <v>24047.26</v>
      </c>
    </row>
    <row r="21" s="14" customFormat="1" spans="1:35">
      <c r="A21" s="55" t="s">
        <v>218</v>
      </c>
      <c r="B21" s="56" t="s">
        <v>219</v>
      </c>
      <c r="C21" s="57"/>
      <c r="D21" s="57"/>
      <c r="E21" s="57"/>
      <c r="G21" s="58"/>
      <c r="J21" s="82"/>
      <c r="M21" s="83"/>
      <c r="AI21" s="113"/>
    </row>
    <row r="22" s="14" customFormat="1" spans="1:35">
      <c r="A22" s="59"/>
      <c r="B22" s="60" t="s">
        <v>220</v>
      </c>
      <c r="C22" s="57"/>
      <c r="D22" s="57"/>
      <c r="E22" s="57"/>
      <c r="G22" s="58"/>
      <c r="J22" s="82"/>
      <c r="M22" s="83"/>
      <c r="AI22" s="113"/>
    </row>
    <row r="23" s="14" customFormat="1" spans="1:35">
      <c r="A23" s="56"/>
      <c r="B23" s="60" t="s">
        <v>221</v>
      </c>
      <c r="C23" s="61"/>
      <c r="D23" s="61"/>
      <c r="E23" s="61"/>
      <c r="F23" s="61"/>
      <c r="G23" s="61"/>
      <c r="H23" s="61"/>
      <c r="I23" s="61"/>
      <c r="J23" s="84"/>
      <c r="K23" s="61"/>
      <c r="L23" s="61"/>
      <c r="M23" s="85"/>
      <c r="N23" s="61"/>
      <c r="O23" s="61"/>
      <c r="P23" s="61"/>
      <c r="AI23" s="113"/>
    </row>
    <row r="24" s="14" customFormat="1" customHeight="1" spans="1:35">
      <c r="A24" s="60"/>
      <c r="B24" s="60" t="s">
        <v>222</v>
      </c>
      <c r="C24" s="62"/>
      <c r="D24" s="62"/>
      <c r="E24" s="62"/>
      <c r="F24" s="62"/>
      <c r="G24" s="62"/>
      <c r="H24" s="62"/>
      <c r="I24" s="86"/>
      <c r="J24" s="87"/>
      <c r="K24" s="86"/>
      <c r="L24" s="86"/>
      <c r="M24" s="88"/>
      <c r="N24" s="86"/>
      <c r="O24" s="86"/>
      <c r="P24" s="86"/>
      <c r="AI24" s="113"/>
    </row>
    <row r="25" s="14" customFormat="1" customHeight="1" spans="1:35">
      <c r="A25" s="60"/>
      <c r="B25" s="60" t="s">
        <v>223</v>
      </c>
      <c r="C25" s="62"/>
      <c r="D25" s="62"/>
      <c r="E25" s="62"/>
      <c r="F25" s="62"/>
      <c r="G25" s="62"/>
      <c r="H25" s="62"/>
      <c r="I25" s="62"/>
      <c r="J25" s="89"/>
      <c r="K25" s="62"/>
      <c r="L25" s="86"/>
      <c r="M25" s="88"/>
      <c r="N25" s="86"/>
      <c r="O25" s="86"/>
      <c r="P25" s="86"/>
      <c r="AI25" s="113"/>
    </row>
    <row r="26" s="14" customFormat="1" customHeight="1" spans="1:35">
      <c r="A26" s="60"/>
      <c r="B26" s="60" t="s">
        <v>224</v>
      </c>
      <c r="C26" s="62"/>
      <c r="D26" s="62"/>
      <c r="E26" s="62"/>
      <c r="F26" s="62"/>
      <c r="G26" s="62"/>
      <c r="H26" s="62"/>
      <c r="I26" s="86"/>
      <c r="J26" s="87"/>
      <c r="K26" s="86"/>
      <c r="L26" s="86"/>
      <c r="M26" s="88"/>
      <c r="N26" s="86"/>
      <c r="O26" s="86"/>
      <c r="P26" s="86"/>
      <c r="AI26" s="113"/>
    </row>
    <row r="28" ht="11.25" customHeight="1" spans="2:2">
      <c r="B28" s="63" t="s">
        <v>225</v>
      </c>
    </row>
    <row r="29" spans="2:2">
      <c r="B29" s="64" t="s">
        <v>226</v>
      </c>
    </row>
    <row r="30" spans="2:2">
      <c r="B30" s="64" t="s">
        <v>227</v>
      </c>
    </row>
  </sheetData>
  <autoFilter ref="A3:AT14">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26">
    <cfRule type="duplicateValues" dxfId="3" priority="2" stopIfTrue="1"/>
  </conditionalFormatting>
  <conditionalFormatting sqref="B21:B25">
    <cfRule type="duplicateValues" dxfId="3" priority="3" stopIfTrue="1"/>
  </conditionalFormatting>
  <conditionalFormatting sqref="B29:B30">
    <cfRule type="duplicateValues" dxfId="3" priority="1" stopIfTrue="1"/>
  </conditionalFormatting>
  <conditionalFormatting sqref="C18:C20">
    <cfRule type="duplicateValues" dxfId="3" priority="4" stopIfTrue="1"/>
    <cfRule type="expression" dxfId="4" priority="5" stopIfTrue="1">
      <formula>AND(COUNTIF($B$14:$B$65450,C18)+COUNTIF($B$1:$B$3,C18)&gt;1,NOT(ISBLANK(C18)))</formula>
    </cfRule>
    <cfRule type="expression" dxfId="4" priority="6" stopIfTrue="1">
      <formula>AND(COUNTIF($B$25:$B$65401,C18)+COUNTIF($B$1:$B$24,C18)&gt;1,NOT(ISBLANK(C18)))</formula>
    </cfRule>
    <cfRule type="expression" dxfId="4" priority="7" stopIfTrue="1">
      <formula>AND(COUNTIF($B$14:$B$65439,C18)+COUNTIF($B$1:$B$3,C18)&gt;1,NOT(ISBLANK(C18)))</formula>
    </cfRule>
  </conditionalFormatting>
  <pageMargins left="0.235416666666667" right="0.235416666666667" top="0.747916666666667" bottom="0.747916666666667" header="0.313888888888889" footer="0.313888888888889"/>
  <pageSetup paperSize="9" scale="56" fitToWidth="2" orientation="landscape"/>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AT34"/>
  <sheetViews>
    <sheetView workbookViewId="0">
      <pane xSplit="6" ySplit="3" topLeftCell="U4" activePane="bottomRight" state="frozen"/>
      <selection/>
      <selection pane="topRight"/>
      <selection pane="bottomLeft"/>
      <selection pane="bottomRight" activeCell="F18" sqref="F18"/>
    </sheetView>
  </sheetViews>
  <sheetFormatPr defaultColWidth="9" defaultRowHeight="13.5"/>
  <cols>
    <col min="1" max="1" width="4.45" style="15" customWidth="1"/>
    <col min="2" max="2" width="12.6333333333333" style="15" customWidth="1"/>
    <col min="3" max="3" width="10.45" style="15" customWidth="1"/>
    <col min="4" max="4" width="8.725" style="15" customWidth="1"/>
    <col min="5" max="5" width="19.45" style="16" customWidth="1"/>
    <col min="6" max="6" width="9" style="15"/>
    <col min="7" max="7" width="11.9083333333333" style="17" customWidth="1"/>
    <col min="8" max="8" width="4.63333333333333" style="15" hidden="1" customWidth="1"/>
    <col min="9" max="9" width="5.26666666666667" style="15" hidden="1" customWidth="1"/>
    <col min="10" max="10" width="11.725" style="18" customWidth="1"/>
    <col min="11" max="11" width="5.26666666666667" style="15" customWidth="1"/>
    <col min="12" max="12" width="11.725" style="15" customWidth="1"/>
    <col min="13" max="13" width="9.90833333333333" style="15" customWidth="1" outlineLevel="1"/>
    <col min="14" max="15" width="9" style="15" customWidth="1" outlineLevel="1"/>
    <col min="16" max="16" width="11.0916666666667" style="15" customWidth="1" outlineLevel="1"/>
    <col min="17" max="17" width="9.725" style="15" customWidth="1"/>
    <col min="18" max="18" width="9.45" style="15" customWidth="1"/>
    <col min="19" max="19" width="11.45" style="15" customWidth="1"/>
    <col min="20" max="21" width="12.2666666666667" style="15" customWidth="1"/>
    <col min="22" max="27" width="9" style="15" customWidth="1" outlineLevel="1"/>
    <col min="28" max="28" width="11.2666666666667" style="15" customWidth="1"/>
    <col min="29" max="29" width="8.45" style="15" customWidth="1"/>
    <col min="30" max="30" width="15.2666666666667" style="15" customWidth="1"/>
    <col min="31" max="31" width="14" style="15" customWidth="1"/>
    <col min="32" max="32" width="10.725" style="15" customWidth="1"/>
    <col min="33" max="33" width="12.2666666666667" style="15" customWidth="1"/>
    <col min="34" max="34" width="11.45" style="15" customWidth="1"/>
    <col min="35" max="35" width="7.90833333333333" style="19" customWidth="1"/>
    <col min="36" max="36" width="11.45" style="15" customWidth="1"/>
    <col min="37" max="37" width="9" style="15"/>
    <col min="38" max="38" width="11.45" style="15" customWidth="1"/>
    <col min="39" max="40" width="9" style="15" customWidth="1"/>
    <col min="41" max="41" width="19" style="15" customWidth="1"/>
    <col min="42" max="42" width="12.2666666666667" style="15" customWidth="1"/>
    <col min="43" max="43" width="9" style="15"/>
    <col min="44" max="44" width="7" style="15" customWidth="1"/>
    <col min="45" max="45" width="6.725" style="15" customWidth="1"/>
    <col min="46" max="46" width="6.09166666666667" style="15" customWidth="1"/>
    <col min="47" max="16384" width="9" style="15"/>
  </cols>
  <sheetData>
    <row r="1" s="10" customFormat="1" ht="29.25" customHeight="1" spans="1:45">
      <c r="A1" s="20" t="s">
        <v>140</v>
      </c>
      <c r="B1" s="21"/>
      <c r="C1" s="22"/>
      <c r="D1" s="23"/>
      <c r="E1" s="24"/>
      <c r="F1" s="24"/>
      <c r="G1" s="25"/>
      <c r="J1" s="65"/>
      <c r="L1" s="66"/>
      <c r="M1" s="67" t="s">
        <v>141</v>
      </c>
      <c r="N1" s="67"/>
      <c r="O1" s="67"/>
      <c r="P1" s="67"/>
      <c r="Q1" s="90"/>
      <c r="R1" s="90"/>
      <c r="S1" s="90"/>
      <c r="T1" s="90"/>
      <c r="U1" s="90"/>
      <c r="V1" s="90"/>
      <c r="W1" s="90"/>
      <c r="X1" s="90"/>
      <c r="Y1" s="90"/>
      <c r="Z1" s="90"/>
      <c r="AA1" s="90"/>
      <c r="AB1" s="90"/>
      <c r="AC1" s="90"/>
      <c r="AD1" s="66"/>
      <c r="AE1" s="66"/>
      <c r="AF1" s="66"/>
      <c r="AG1" s="66"/>
      <c r="AH1" s="66"/>
      <c r="AI1" s="104"/>
      <c r="AJ1" s="66"/>
      <c r="AK1" s="66"/>
      <c r="AL1" s="66"/>
      <c r="AM1" s="24"/>
      <c r="AN1" s="24"/>
      <c r="AO1" s="114"/>
      <c r="AP1" s="24"/>
      <c r="AQ1" s="24"/>
      <c r="AR1" s="24"/>
      <c r="AS1" s="24"/>
    </row>
    <row r="2" s="11" customFormat="1" ht="20.15" customHeight="1" spans="1:46">
      <c r="A2" s="26" t="s">
        <v>0</v>
      </c>
      <c r="B2" s="27" t="s">
        <v>142</v>
      </c>
      <c r="C2" s="28" t="s">
        <v>143</v>
      </c>
      <c r="D2" s="28" t="s">
        <v>144</v>
      </c>
      <c r="E2" s="29" t="s">
        <v>145</v>
      </c>
      <c r="F2" s="30" t="s">
        <v>146</v>
      </c>
      <c r="G2" s="29" t="s">
        <v>147</v>
      </c>
      <c r="H2" s="29" t="s">
        <v>148</v>
      </c>
      <c r="I2" s="29" t="s">
        <v>149</v>
      </c>
      <c r="J2" s="68" t="s">
        <v>150</v>
      </c>
      <c r="K2" s="29" t="s">
        <v>151</v>
      </c>
      <c r="L2" s="29" t="s">
        <v>152</v>
      </c>
      <c r="M2" s="69" t="s">
        <v>153</v>
      </c>
      <c r="N2" s="70"/>
      <c r="O2" s="70"/>
      <c r="P2" s="71"/>
      <c r="Q2" s="30" t="s">
        <v>154</v>
      </c>
      <c r="R2" s="29" t="s">
        <v>155</v>
      </c>
      <c r="S2" s="30" t="s">
        <v>156</v>
      </c>
      <c r="T2" s="91" t="s">
        <v>157</v>
      </c>
      <c r="U2" s="30" t="s">
        <v>158</v>
      </c>
      <c r="V2" s="92" t="s">
        <v>159</v>
      </c>
      <c r="W2" s="93"/>
      <c r="X2" s="93"/>
      <c r="Y2" s="93"/>
      <c r="Z2" s="93"/>
      <c r="AA2" s="99"/>
      <c r="AB2" s="30" t="s">
        <v>160</v>
      </c>
      <c r="AC2" s="30" t="s">
        <v>161</v>
      </c>
      <c r="AD2" s="91" t="s">
        <v>162</v>
      </c>
      <c r="AE2" s="91" t="s">
        <v>163</v>
      </c>
      <c r="AF2" s="91" t="s">
        <v>164</v>
      </c>
      <c r="AG2" s="91" t="s">
        <v>165</v>
      </c>
      <c r="AH2" s="105" t="s">
        <v>166</v>
      </c>
      <c r="AI2" s="106" t="s">
        <v>167</v>
      </c>
      <c r="AJ2" s="105" t="s">
        <v>168</v>
      </c>
      <c r="AK2" s="28" t="s">
        <v>22</v>
      </c>
      <c r="AL2" s="105" t="s">
        <v>169</v>
      </c>
      <c r="AM2" s="29" t="s">
        <v>170</v>
      </c>
      <c r="AN2" s="29" t="s">
        <v>171</v>
      </c>
      <c r="AO2" s="115" t="s">
        <v>172</v>
      </c>
      <c r="AP2" s="29" t="s">
        <v>173</v>
      </c>
      <c r="AQ2" s="29" t="s">
        <v>174</v>
      </c>
      <c r="AR2" s="30" t="s">
        <v>175</v>
      </c>
      <c r="AS2" s="30" t="s">
        <v>176</v>
      </c>
      <c r="AT2" s="30" t="s">
        <v>177</v>
      </c>
    </row>
    <row r="3" s="11" customFormat="1" ht="27" customHeight="1" spans="1:46">
      <c r="A3" s="31"/>
      <c r="B3" s="32"/>
      <c r="C3" s="33"/>
      <c r="D3" s="33"/>
      <c r="E3" s="34"/>
      <c r="F3" s="35"/>
      <c r="G3" s="34"/>
      <c r="H3" s="34"/>
      <c r="I3" s="34"/>
      <c r="J3" s="72"/>
      <c r="K3" s="34"/>
      <c r="L3" s="34"/>
      <c r="M3" s="73" t="s">
        <v>178</v>
      </c>
      <c r="N3" s="73" t="s">
        <v>179</v>
      </c>
      <c r="O3" s="73" t="s">
        <v>180</v>
      </c>
      <c r="P3" s="73" t="s">
        <v>37</v>
      </c>
      <c r="Q3" s="35"/>
      <c r="R3" s="34"/>
      <c r="S3" s="35"/>
      <c r="T3" s="94"/>
      <c r="U3" s="35"/>
      <c r="V3" s="95" t="s">
        <v>181</v>
      </c>
      <c r="W3" s="95" t="s">
        <v>182</v>
      </c>
      <c r="X3" s="95" t="s">
        <v>183</v>
      </c>
      <c r="Y3" s="95" t="s">
        <v>184</v>
      </c>
      <c r="Z3" s="95" t="s">
        <v>185</v>
      </c>
      <c r="AA3" s="95" t="s">
        <v>186</v>
      </c>
      <c r="AB3" s="35"/>
      <c r="AC3" s="35"/>
      <c r="AD3" s="94"/>
      <c r="AE3" s="94"/>
      <c r="AF3" s="94"/>
      <c r="AG3" s="94"/>
      <c r="AH3" s="107"/>
      <c r="AI3" s="108"/>
      <c r="AJ3" s="107"/>
      <c r="AK3" s="33"/>
      <c r="AL3" s="107"/>
      <c r="AM3" s="34"/>
      <c r="AN3" s="34"/>
      <c r="AO3" s="116"/>
      <c r="AP3" s="34"/>
      <c r="AQ3" s="34"/>
      <c r="AR3" s="35"/>
      <c r="AS3" s="35"/>
      <c r="AT3" s="35"/>
    </row>
    <row r="4" s="12" customFormat="1" ht="18" customHeight="1" spans="1:46">
      <c r="A4" s="36">
        <v>1</v>
      </c>
      <c r="B4" s="37" t="s">
        <v>187</v>
      </c>
      <c r="C4" s="37" t="s">
        <v>43</v>
      </c>
      <c r="D4" s="37" t="s">
        <v>188</v>
      </c>
      <c r="E4" s="37" t="s">
        <v>44</v>
      </c>
      <c r="F4" s="38" t="s">
        <v>189</v>
      </c>
      <c r="G4" s="39">
        <v>18035163638</v>
      </c>
      <c r="H4" s="40"/>
      <c r="I4" s="40"/>
      <c r="J4" s="74"/>
      <c r="K4" s="40"/>
      <c r="L4" s="75">
        <v>11010</v>
      </c>
      <c r="M4" s="76">
        <v>264</v>
      </c>
      <c r="N4" s="76">
        <v>9.9</v>
      </c>
      <c r="O4" s="76">
        <v>66</v>
      </c>
      <c r="P4" s="76">
        <v>180</v>
      </c>
      <c r="Q4" s="96">
        <f t="shared" ref="Q4:Q16" si="0">ROUND(SUM(M4:P4),2)</f>
        <v>519.9</v>
      </c>
      <c r="R4" s="78">
        <v>0</v>
      </c>
      <c r="S4" s="97">
        <f>L4+IFERROR(VLOOKUP($E:$E,'（居民）工资表-3月'!$E:$S,15,0),0)</f>
        <v>36780</v>
      </c>
      <c r="T4" s="98">
        <f>5000+IFERROR(VLOOKUP($E:$E,'（居民）工资表-3月'!$E:$T,16,0),0)</f>
        <v>20000</v>
      </c>
      <c r="U4" s="98">
        <f>Q4+IFERROR(VLOOKUP($E:$E,'（居民）工资表-3月'!$E:$U,17,0),0)</f>
        <v>2079.6</v>
      </c>
      <c r="V4" s="78">
        <v>4000</v>
      </c>
      <c r="W4" s="78"/>
      <c r="X4" s="78">
        <v>4000</v>
      </c>
      <c r="Y4" s="78"/>
      <c r="Z4" s="78"/>
      <c r="AA4" s="78"/>
      <c r="AB4" s="97">
        <f t="shared" ref="AB4:AB16" si="1">ROUND(SUM(V4:AA4),2)</f>
        <v>8000</v>
      </c>
      <c r="AC4" s="97">
        <f>R4+IFERROR(VLOOKUP($E:$E,'（居民）工资表-3月'!$E:$AC,25,0),0)</f>
        <v>0</v>
      </c>
      <c r="AD4" s="100">
        <f t="shared" ref="AD4:AD16" si="2">ROUND(S4-T4-U4-AB4-AC4,2)</f>
        <v>6700.4</v>
      </c>
      <c r="AE4" s="101">
        <f>ROUND(MAX((AD4)*{0.03;0.1;0.2;0.25;0.3;0.35;0.45}-{0;2520;16920;31920;52920;85920;181920},0),2)</f>
        <v>201.01</v>
      </c>
      <c r="AF4" s="102">
        <f>IFERROR(VLOOKUP(E:E,'（居民）工资表-3月'!E:AF,28,0)+VLOOKUP(E:E,'（居民）工资表-3月'!E:AG,29,0),0)</f>
        <v>96.31</v>
      </c>
      <c r="AG4" s="102">
        <f t="shared" ref="AG4:AG16" si="3">IF((AE4-AF4)&lt;0,0,AE4-AF4)</f>
        <v>104.7</v>
      </c>
      <c r="AH4" s="109">
        <f t="shared" ref="AH4:AH16" si="4">ROUND(IF((L4-Q4-AG4)&lt;0,0,(L4-Q4-AG4)),2)</f>
        <v>10385.4</v>
      </c>
      <c r="AI4" s="110"/>
      <c r="AJ4" s="109">
        <f t="shared" ref="AJ4:AJ16" si="5">AH4+AI4</f>
        <v>10385.4</v>
      </c>
      <c r="AK4" s="111"/>
      <c r="AL4" s="109">
        <f t="shared" ref="AL4:AL16" si="6">AJ4+AG4+AK4</f>
        <v>10490.1</v>
      </c>
      <c r="AM4" s="111"/>
      <c r="AN4" s="111"/>
      <c r="AO4" s="111"/>
      <c r="AP4" s="111"/>
      <c r="AQ4" s="111"/>
      <c r="AR4" s="117" t="str">
        <f t="shared" ref="AR4:AR12" si="7">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7" t="str">
        <f t="shared" ref="AS4:AS12" si="8">IF(SUMPRODUCT(N(E$1:E$6=E4))&gt;1,"重复","不")</f>
        <v>不</v>
      </c>
      <c r="AT4" s="117" t="str">
        <f t="shared" ref="AT4:AT12" si="9">IF(SUMPRODUCT(N(AO$1:AO$6=AO4))&gt;1,"重复","不")</f>
        <v>重复</v>
      </c>
    </row>
    <row r="5" s="12" customFormat="1" ht="18" customHeight="1" spans="1:46">
      <c r="A5" s="36">
        <v>2</v>
      </c>
      <c r="B5" s="37" t="s">
        <v>187</v>
      </c>
      <c r="C5" s="37" t="s">
        <v>61</v>
      </c>
      <c r="D5" s="37" t="s">
        <v>188</v>
      </c>
      <c r="E5" s="37" t="s">
        <v>62</v>
      </c>
      <c r="F5" s="38" t="s">
        <v>189</v>
      </c>
      <c r="G5" s="39">
        <v>13944441728</v>
      </c>
      <c r="H5" s="40"/>
      <c r="I5" s="40"/>
      <c r="J5" s="74"/>
      <c r="K5" s="40"/>
      <c r="L5" s="75">
        <v>7000</v>
      </c>
      <c r="M5" s="76">
        <v>268.81</v>
      </c>
      <c r="N5" s="76">
        <v>10.08</v>
      </c>
      <c r="O5" s="76">
        <v>105.06</v>
      </c>
      <c r="P5" s="76">
        <v>91</v>
      </c>
      <c r="Q5" s="96">
        <f t="shared" si="0"/>
        <v>474.95</v>
      </c>
      <c r="R5" s="78">
        <v>0</v>
      </c>
      <c r="S5" s="97">
        <f>L5+IFERROR(VLOOKUP($E:$E,'（居民）工资表-3月'!$E:$S,15,0),0)</f>
        <v>28000</v>
      </c>
      <c r="T5" s="98">
        <f>5000+IFERROR(VLOOKUP($E:$E,'（居民）工资表-3月'!$E:$T,16,0),0)</f>
        <v>20000</v>
      </c>
      <c r="U5" s="98">
        <f>Q5+IFERROR(VLOOKUP($E:$E,'（居民）工资表-3月'!$E:$U,17,0),0)</f>
        <v>1731.8</v>
      </c>
      <c r="V5" s="78"/>
      <c r="W5" s="78"/>
      <c r="X5" s="78">
        <v>4000</v>
      </c>
      <c r="Y5" s="78"/>
      <c r="Z5" s="78"/>
      <c r="AA5" s="78"/>
      <c r="AB5" s="97">
        <f t="shared" si="1"/>
        <v>4000</v>
      </c>
      <c r="AC5" s="97">
        <f>R5+IFERROR(VLOOKUP($E:$E,'（居民）工资表-3月'!$E:$AC,25,0),0)</f>
        <v>0</v>
      </c>
      <c r="AD5" s="100">
        <f t="shared" si="2"/>
        <v>2268.2</v>
      </c>
      <c r="AE5" s="101">
        <f>ROUND(MAX((AD5)*{0.03;0.1;0.2;0.25;0.3;0.35;0.45}-{0;2520;16920;31920;52920;85920;181920},0),2)</f>
        <v>68.05</v>
      </c>
      <c r="AF5" s="102">
        <f>IFERROR(VLOOKUP(E:E,'（居民）工资表-3月'!E:AF,28,0)+VLOOKUP(E:E,'（居民）工资表-3月'!E:AG,29,0),0)</f>
        <v>52.29</v>
      </c>
      <c r="AG5" s="102">
        <f t="shared" si="3"/>
        <v>15.76</v>
      </c>
      <c r="AH5" s="109">
        <f t="shared" si="4"/>
        <v>6509.29</v>
      </c>
      <c r="AI5" s="110"/>
      <c r="AJ5" s="109">
        <f t="shared" si="5"/>
        <v>6509.29</v>
      </c>
      <c r="AK5" s="111"/>
      <c r="AL5" s="109">
        <f t="shared" si="6"/>
        <v>6525.05</v>
      </c>
      <c r="AM5" s="111"/>
      <c r="AN5" s="111"/>
      <c r="AO5" s="111"/>
      <c r="AP5" s="111"/>
      <c r="AQ5" s="111"/>
      <c r="AR5" s="117" t="str">
        <f t="shared" si="7"/>
        <v>正确</v>
      </c>
      <c r="AS5" s="117" t="str">
        <f t="shared" si="8"/>
        <v>不</v>
      </c>
      <c r="AT5" s="117" t="str">
        <f t="shared" si="9"/>
        <v>重复</v>
      </c>
    </row>
    <row r="6" s="12" customFormat="1" ht="18" customHeight="1" spans="1:46">
      <c r="A6" s="36">
        <v>3</v>
      </c>
      <c r="B6" s="37" t="s">
        <v>187</v>
      </c>
      <c r="C6" s="37" t="s">
        <v>104</v>
      </c>
      <c r="D6" s="37" t="s">
        <v>188</v>
      </c>
      <c r="E6" s="398" t="s">
        <v>105</v>
      </c>
      <c r="F6" s="38" t="str">
        <f>IF(MOD(MID(E6,17,1),2)=1,"男","女")</f>
        <v>女</v>
      </c>
      <c r="G6" s="39">
        <v>15360550807</v>
      </c>
      <c r="H6" s="40"/>
      <c r="I6" s="40"/>
      <c r="J6" s="74"/>
      <c r="K6" s="40"/>
      <c r="L6" s="75">
        <v>5700</v>
      </c>
      <c r="M6" s="76">
        <v>367.04</v>
      </c>
      <c r="N6" s="76">
        <v>4.6</v>
      </c>
      <c r="O6" s="76">
        <v>135.14</v>
      </c>
      <c r="P6" s="76">
        <v>115</v>
      </c>
      <c r="Q6" s="96">
        <f t="shared" si="0"/>
        <v>621.78</v>
      </c>
      <c r="R6" s="78">
        <v>0</v>
      </c>
      <c r="S6" s="97">
        <f>L6+IFERROR(VLOOKUP($E:$E,'（居民）工资表-3月'!$E:$S,15,0),0)</f>
        <v>22800</v>
      </c>
      <c r="T6" s="98">
        <f>5000+IFERROR(VLOOKUP($E:$E,'（居民）工资表-3月'!$E:$T,16,0),0)</f>
        <v>20000</v>
      </c>
      <c r="U6" s="98">
        <f>Q6+IFERROR(VLOOKUP($E:$E,'（居民）工资表-3月'!$E:$U,17,0),0)</f>
        <v>2516.4</v>
      </c>
      <c r="V6" s="78"/>
      <c r="W6" s="78"/>
      <c r="X6" s="78"/>
      <c r="Y6" s="78">
        <v>6000</v>
      </c>
      <c r="Z6" s="78"/>
      <c r="AA6" s="78"/>
      <c r="AB6" s="97">
        <f t="shared" si="1"/>
        <v>6000</v>
      </c>
      <c r="AC6" s="97">
        <f>R6+IFERROR(VLOOKUP($E:$E,'（居民）工资表-3月'!$E:$AC,25,0),0)</f>
        <v>0</v>
      </c>
      <c r="AD6" s="100">
        <f t="shared" si="2"/>
        <v>-5716.4</v>
      </c>
      <c r="AE6" s="101">
        <f>ROUND(MAX((AD6)*{0.03;0.1;0.2;0.25;0.3;0.35;0.45}-{0;2520;16920;31920;52920;85920;181920},0),2)</f>
        <v>0</v>
      </c>
      <c r="AF6" s="102">
        <f>IFERROR(VLOOKUP(E:E,'（居民）工资表-3月'!E:AF,28,0)+VLOOKUP(E:E,'（居民）工资表-3月'!E:AG,29,0),0)</f>
        <v>0</v>
      </c>
      <c r="AG6" s="102">
        <f t="shared" si="3"/>
        <v>0</v>
      </c>
      <c r="AH6" s="109">
        <f t="shared" si="4"/>
        <v>5078.22</v>
      </c>
      <c r="AI6" s="110"/>
      <c r="AJ6" s="109">
        <f t="shared" si="5"/>
        <v>5078.22</v>
      </c>
      <c r="AK6" s="111"/>
      <c r="AL6" s="109">
        <f t="shared" si="6"/>
        <v>5078.22</v>
      </c>
      <c r="AM6" s="111"/>
      <c r="AN6" s="111"/>
      <c r="AO6" s="111"/>
      <c r="AP6" s="111"/>
      <c r="AQ6" s="111"/>
      <c r="AR6" s="117" t="str">
        <f t="shared" si="7"/>
        <v>正确</v>
      </c>
      <c r="AS6" s="117" t="str">
        <f t="shared" si="8"/>
        <v>不</v>
      </c>
      <c r="AT6" s="117" t="str">
        <f t="shared" si="9"/>
        <v>重复</v>
      </c>
    </row>
    <row r="7" s="12" customFormat="1" ht="18" customHeight="1" spans="1:46">
      <c r="A7" s="36">
        <v>4</v>
      </c>
      <c r="B7" s="37" t="s">
        <v>187</v>
      </c>
      <c r="C7" s="37" t="s">
        <v>243</v>
      </c>
      <c r="D7" s="37" t="s">
        <v>188</v>
      </c>
      <c r="E7" s="398" t="s">
        <v>244</v>
      </c>
      <c r="F7" s="38" t="s">
        <v>189</v>
      </c>
      <c r="G7" s="39">
        <v>18607383005</v>
      </c>
      <c r="H7" s="40"/>
      <c r="I7" s="40"/>
      <c r="J7" s="74"/>
      <c r="K7" s="40"/>
      <c r="L7" s="75">
        <v>25000</v>
      </c>
      <c r="M7" s="76">
        <v>320</v>
      </c>
      <c r="N7" s="76">
        <v>12</v>
      </c>
      <c r="O7" s="76">
        <v>80</v>
      </c>
      <c r="P7" s="76">
        <v>200</v>
      </c>
      <c r="Q7" s="96">
        <f t="shared" si="0"/>
        <v>612</v>
      </c>
      <c r="R7" s="78">
        <v>0</v>
      </c>
      <c r="S7" s="97">
        <f>L7+IFERROR(VLOOKUP($E:$E,'（居民）工资表-3月'!$E:$S,15,0),0)</f>
        <v>110000</v>
      </c>
      <c r="T7" s="98">
        <f>5000+IFERROR(VLOOKUP($E:$E,'（居民）工资表-3月'!$E:$T,16,0),0)</f>
        <v>20000</v>
      </c>
      <c r="U7" s="98">
        <f>Q7+IFERROR(VLOOKUP($E:$E,'（居民）工资表-3月'!$E:$U,17,0),0)</f>
        <v>2578</v>
      </c>
      <c r="V7" s="78">
        <v>8000</v>
      </c>
      <c r="W7" s="78">
        <v>4000</v>
      </c>
      <c r="X7" s="78"/>
      <c r="Y7" s="78"/>
      <c r="Z7" s="78"/>
      <c r="AA7" s="78"/>
      <c r="AB7" s="97">
        <f t="shared" si="1"/>
        <v>12000</v>
      </c>
      <c r="AC7" s="97">
        <f>R7+IFERROR(VLOOKUP($E:$E,'（居民）工资表-3月'!$E:$AC,25,0),0)</f>
        <v>0</v>
      </c>
      <c r="AD7" s="100">
        <f t="shared" si="2"/>
        <v>75422</v>
      </c>
      <c r="AE7" s="101">
        <f>ROUND(MAX((AD7)*{0.03;0.1;0.2;0.25;0.3;0.35;0.45}-{0;2520;16920;31920;52920;85920;181920},0),2)</f>
        <v>5022.2</v>
      </c>
      <c r="AF7" s="102">
        <f>IFERROR(VLOOKUP(E:E,'（居民）工资表-3月'!E:AF,28,0)+VLOOKUP(E:E,'（居民）工资表-3月'!E:AG,29,0),0)</f>
        <v>3383.4</v>
      </c>
      <c r="AG7" s="102">
        <f t="shared" si="3"/>
        <v>1638.8</v>
      </c>
      <c r="AH7" s="109">
        <f t="shared" si="4"/>
        <v>22749.2</v>
      </c>
      <c r="AI7" s="110"/>
      <c r="AJ7" s="109">
        <f t="shared" si="5"/>
        <v>22749.2</v>
      </c>
      <c r="AK7" s="111"/>
      <c r="AL7" s="109">
        <f t="shared" si="6"/>
        <v>24388</v>
      </c>
      <c r="AM7" s="111"/>
      <c r="AN7" s="111"/>
      <c r="AO7" s="111"/>
      <c r="AP7" s="111"/>
      <c r="AQ7" s="111"/>
      <c r="AR7" s="117" t="str">
        <f t="shared" si="7"/>
        <v>正确</v>
      </c>
      <c r="AS7" s="117" t="str">
        <f t="shared" si="8"/>
        <v>不</v>
      </c>
      <c r="AT7" s="117" t="str">
        <f t="shared" si="9"/>
        <v>重复</v>
      </c>
    </row>
    <row r="8" s="12" customFormat="1" ht="18" customHeight="1" spans="1:46">
      <c r="A8" s="36">
        <v>5</v>
      </c>
      <c r="B8" s="37" t="s">
        <v>187</v>
      </c>
      <c r="C8" s="37" t="s">
        <v>245</v>
      </c>
      <c r="D8" s="37" t="s">
        <v>188</v>
      </c>
      <c r="E8" s="37" t="s">
        <v>246</v>
      </c>
      <c r="F8" s="38" t="s">
        <v>189</v>
      </c>
      <c r="G8" s="39">
        <v>13373825180</v>
      </c>
      <c r="H8" s="40"/>
      <c r="I8" s="40"/>
      <c r="J8" s="74"/>
      <c r="K8" s="40"/>
      <c r="L8" s="75">
        <v>28739</v>
      </c>
      <c r="M8" s="76">
        <v>296</v>
      </c>
      <c r="N8" s="76">
        <v>11.1</v>
      </c>
      <c r="O8" s="76">
        <v>74</v>
      </c>
      <c r="P8" s="76">
        <v>85</v>
      </c>
      <c r="Q8" s="96">
        <f t="shared" si="0"/>
        <v>466.1</v>
      </c>
      <c r="R8" s="78">
        <v>0</v>
      </c>
      <c r="S8" s="97">
        <f>L8+IFERROR(VLOOKUP($E:$E,'（居民）工资表-3月'!$E:$S,15,0),0)</f>
        <v>113033.5</v>
      </c>
      <c r="T8" s="98">
        <f>5000+IFERROR(VLOOKUP($E:$E,'（居民）工资表-3月'!$E:$T,16,0),0)</f>
        <v>20000</v>
      </c>
      <c r="U8" s="98">
        <f>Q8+IFERROR(VLOOKUP($E:$E,'（居民）工资表-3月'!$E:$U,17,0),0)</f>
        <v>2101.37</v>
      </c>
      <c r="V8" s="78">
        <v>4000</v>
      </c>
      <c r="W8" s="78">
        <v>4000</v>
      </c>
      <c r="X8" s="78">
        <v>4000</v>
      </c>
      <c r="Y8" s="78"/>
      <c r="Z8" s="78"/>
      <c r="AA8" s="78"/>
      <c r="AB8" s="97">
        <f t="shared" si="1"/>
        <v>12000</v>
      </c>
      <c r="AC8" s="97">
        <f>R8+IFERROR(VLOOKUP($E:$E,'（居民）工资表-3月'!$E:$AC,25,0),0)</f>
        <v>0</v>
      </c>
      <c r="AD8" s="100">
        <f t="shared" si="2"/>
        <v>78932.13</v>
      </c>
      <c r="AE8" s="101">
        <f>ROUND(MAX((AD8)*{0.03;0.1;0.2;0.25;0.3;0.35;0.45}-{0;2520;16920;31920;52920;85920;181920},0),2)</f>
        <v>5373.21</v>
      </c>
      <c r="AF8" s="102">
        <f>IFERROR(VLOOKUP(E:E,'（居民）工资表-3月'!E:AF,28,0)+VLOOKUP(E:E,'（居民）工资表-3月'!E:AG,29,0),0)</f>
        <v>3345.92</v>
      </c>
      <c r="AG8" s="102">
        <f t="shared" si="3"/>
        <v>2027.29</v>
      </c>
      <c r="AH8" s="109">
        <f t="shared" si="4"/>
        <v>26245.61</v>
      </c>
      <c r="AI8" s="110"/>
      <c r="AJ8" s="109">
        <f t="shared" si="5"/>
        <v>26245.61</v>
      </c>
      <c r="AK8" s="111"/>
      <c r="AL8" s="109">
        <f t="shared" si="6"/>
        <v>28272.9</v>
      </c>
      <c r="AM8" s="111"/>
      <c r="AN8" s="111"/>
      <c r="AO8" s="111"/>
      <c r="AP8" s="111"/>
      <c r="AQ8" s="111"/>
      <c r="AR8" s="117" t="str">
        <f t="shared" si="7"/>
        <v>正确</v>
      </c>
      <c r="AS8" s="117" t="str">
        <f t="shared" si="8"/>
        <v>不</v>
      </c>
      <c r="AT8" s="117" t="str">
        <f t="shared" si="9"/>
        <v>重复</v>
      </c>
    </row>
    <row r="9" s="119" customFormat="1" ht="18" customHeight="1" spans="1:46">
      <c r="A9" s="120">
        <v>6</v>
      </c>
      <c r="B9" s="41" t="s">
        <v>187</v>
      </c>
      <c r="C9" s="41" t="s">
        <v>191</v>
      </c>
      <c r="D9" s="41" t="s">
        <v>188</v>
      </c>
      <c r="E9" s="41" t="s">
        <v>192</v>
      </c>
      <c r="F9" s="42" t="s">
        <v>189</v>
      </c>
      <c r="G9" s="43">
        <v>18037463616</v>
      </c>
      <c r="H9" s="44"/>
      <c r="I9" s="44"/>
      <c r="J9" s="77"/>
      <c r="K9" s="44"/>
      <c r="L9" s="121">
        <v>14320</v>
      </c>
      <c r="M9" s="122">
        <v>254.32</v>
      </c>
      <c r="N9" s="122">
        <v>9.54</v>
      </c>
      <c r="O9" s="122">
        <v>63.94</v>
      </c>
      <c r="P9" s="122">
        <v>254.32</v>
      </c>
      <c r="Q9" s="123">
        <f t="shared" si="0"/>
        <v>582.12</v>
      </c>
      <c r="R9" s="123">
        <v>0</v>
      </c>
      <c r="S9" s="124">
        <f>L9+IFERROR(VLOOKUP($E:$E,'（居民）工资表-3月'!$E:$S,15,0),0)</f>
        <v>42092.63</v>
      </c>
      <c r="T9" s="125">
        <f>5000+IFERROR(VLOOKUP($E:$E,'（居民）工资表-3月'!$E:$T,16,0),0)</f>
        <v>15000</v>
      </c>
      <c r="U9" s="125">
        <f>Q9+IFERROR(VLOOKUP($E:$E,'（居民）工资表-3月'!$E:$U,17,0),0)</f>
        <v>2228.01</v>
      </c>
      <c r="V9" s="123"/>
      <c r="W9" s="123"/>
      <c r="X9" s="123">
        <v>3000</v>
      </c>
      <c r="Y9" s="123"/>
      <c r="Z9" s="123"/>
      <c r="AA9" s="123"/>
      <c r="AB9" s="124">
        <f t="shared" si="1"/>
        <v>3000</v>
      </c>
      <c r="AC9" s="124">
        <f>R9+IFERROR(VLOOKUP($E:$E,'（居民）工资表-3月'!$E:$AC,25,0),0)</f>
        <v>0</v>
      </c>
      <c r="AD9" s="126">
        <f t="shared" si="2"/>
        <v>21864.62</v>
      </c>
      <c r="AE9" s="127">
        <f>ROUND(MAX((AD9)*{0.03;0.1;0.2;0.25;0.3;0.35;0.45}-{0;2520;16920;31920;52920;85920;181920},0),2)</f>
        <v>655.94</v>
      </c>
      <c r="AF9" s="128">
        <f>IFERROR(VLOOKUP(E:E,'（居民）工资表-3月'!E:AF,28,0)+VLOOKUP(E:E,'（居民）工资表-3月'!E:AG,29,0),0)</f>
        <v>483.8</v>
      </c>
      <c r="AG9" s="128">
        <f t="shared" si="3"/>
        <v>172.14</v>
      </c>
      <c r="AH9" s="129">
        <f t="shared" si="4"/>
        <v>13565.74</v>
      </c>
      <c r="AI9" s="130"/>
      <c r="AJ9" s="129">
        <f t="shared" si="5"/>
        <v>13565.74</v>
      </c>
      <c r="AK9" s="129"/>
      <c r="AL9" s="129">
        <f t="shared" si="6"/>
        <v>13737.88</v>
      </c>
      <c r="AM9" s="129"/>
      <c r="AN9" s="129"/>
      <c r="AO9" s="129"/>
      <c r="AP9" s="129"/>
      <c r="AQ9" s="129"/>
      <c r="AR9" s="132" t="str">
        <f t="shared" si="7"/>
        <v>正确</v>
      </c>
      <c r="AS9" s="132" t="str">
        <f t="shared" si="8"/>
        <v>不</v>
      </c>
      <c r="AT9" s="132" t="str">
        <f t="shared" si="9"/>
        <v>重复</v>
      </c>
    </row>
    <row r="10" s="12" customFormat="1" ht="18" customHeight="1" spans="1:46">
      <c r="A10" s="36">
        <v>7</v>
      </c>
      <c r="B10" s="37" t="s">
        <v>187</v>
      </c>
      <c r="C10" s="37" t="s">
        <v>193</v>
      </c>
      <c r="D10" s="37" t="s">
        <v>188</v>
      </c>
      <c r="E10" s="398" t="s">
        <v>194</v>
      </c>
      <c r="F10" s="38" t="s">
        <v>189</v>
      </c>
      <c r="G10" s="39">
        <v>18500634358</v>
      </c>
      <c r="H10" s="40"/>
      <c r="I10" s="40"/>
      <c r="J10" s="74"/>
      <c r="K10" s="40"/>
      <c r="L10" s="75">
        <v>14920</v>
      </c>
      <c r="M10" s="76">
        <v>254.32</v>
      </c>
      <c r="N10" s="76">
        <v>9.54</v>
      </c>
      <c r="O10" s="76">
        <v>63.94</v>
      </c>
      <c r="P10" s="76">
        <v>254.32</v>
      </c>
      <c r="Q10" s="96">
        <f t="shared" si="0"/>
        <v>582.12</v>
      </c>
      <c r="R10" s="78">
        <v>0</v>
      </c>
      <c r="S10" s="97">
        <f>L10+IFERROR(VLOOKUP($E:$E,'（居民）工资表-3月'!$E:$S,15,0),0)</f>
        <v>44040</v>
      </c>
      <c r="T10" s="98">
        <f>5000+IFERROR(VLOOKUP($E:$E,'（居民）工资表-3月'!$E:$T,16,0),0)</f>
        <v>15000</v>
      </c>
      <c r="U10" s="98">
        <f>Q10+IFERROR(VLOOKUP($E:$E,'（居民）工资表-3月'!$E:$U,17,0),0)</f>
        <v>2228.01</v>
      </c>
      <c r="V10" s="78"/>
      <c r="W10" s="78"/>
      <c r="X10" s="78"/>
      <c r="Y10" s="78"/>
      <c r="Z10" s="78"/>
      <c r="AA10" s="78"/>
      <c r="AB10" s="97">
        <f t="shared" si="1"/>
        <v>0</v>
      </c>
      <c r="AC10" s="97">
        <f>R10+IFERROR(VLOOKUP($E:$E,'（居民）工资表-3月'!$E:$AC,25,0),0)</f>
        <v>0</v>
      </c>
      <c r="AD10" s="100">
        <f t="shared" si="2"/>
        <v>26811.99</v>
      </c>
      <c r="AE10" s="101">
        <f>ROUND(MAX((AD10)*{0.03;0.1;0.2;0.25;0.3;0.35;0.45}-{0;2520;16920;31920;52920;85920;181920},0),2)</f>
        <v>804.36</v>
      </c>
      <c r="AF10" s="102">
        <f>IFERROR(VLOOKUP(E:E,'（居民）工资表-3月'!E:AF,28,0)+VLOOKUP(E:E,'（居民）工资表-3月'!E:AG,29,0),0)</f>
        <v>524.22</v>
      </c>
      <c r="AG10" s="102">
        <f t="shared" si="3"/>
        <v>280.14</v>
      </c>
      <c r="AH10" s="109">
        <f t="shared" si="4"/>
        <v>14057.74</v>
      </c>
      <c r="AI10" s="110"/>
      <c r="AJ10" s="109">
        <f t="shared" si="5"/>
        <v>14057.74</v>
      </c>
      <c r="AK10" s="111"/>
      <c r="AL10" s="109">
        <f t="shared" si="6"/>
        <v>14337.88</v>
      </c>
      <c r="AM10" s="111"/>
      <c r="AN10" s="111"/>
      <c r="AO10" s="111"/>
      <c r="AP10" s="111"/>
      <c r="AQ10" s="111"/>
      <c r="AR10" s="117" t="str">
        <f t="shared" si="7"/>
        <v>正确</v>
      </c>
      <c r="AS10" s="117" t="str">
        <f t="shared" si="8"/>
        <v>不</v>
      </c>
      <c r="AT10" s="117" t="str">
        <f t="shared" si="9"/>
        <v>重复</v>
      </c>
    </row>
    <row r="11" s="12" customFormat="1" ht="18" customHeight="1" spans="1:46">
      <c r="A11" s="36">
        <v>8</v>
      </c>
      <c r="B11" s="37" t="s">
        <v>187</v>
      </c>
      <c r="C11" s="37" t="s">
        <v>195</v>
      </c>
      <c r="D11" s="37" t="s">
        <v>188</v>
      </c>
      <c r="E11" s="37" t="s">
        <v>196</v>
      </c>
      <c r="F11" s="38" t="s">
        <v>189</v>
      </c>
      <c r="G11" s="39">
        <v>18738169923</v>
      </c>
      <c r="H11" s="40"/>
      <c r="I11" s="40"/>
      <c r="J11" s="74"/>
      <c r="K11" s="40"/>
      <c r="L11" s="75">
        <v>12420</v>
      </c>
      <c r="M11" s="76">
        <v>254.32</v>
      </c>
      <c r="N11" s="76">
        <v>9.54</v>
      </c>
      <c r="O11" s="76">
        <v>63.94</v>
      </c>
      <c r="P11" s="76">
        <v>254.32</v>
      </c>
      <c r="Q11" s="96">
        <f t="shared" si="0"/>
        <v>582.12</v>
      </c>
      <c r="R11" s="78">
        <v>0</v>
      </c>
      <c r="S11" s="97">
        <f>L11+IFERROR(VLOOKUP($E:$E,'（居民）工资表-3月'!$E:$S,15,0),0)</f>
        <v>36540</v>
      </c>
      <c r="T11" s="98">
        <f>5000+IFERROR(VLOOKUP($E:$E,'（居民）工资表-3月'!$E:$T,16,0),0)</f>
        <v>15000</v>
      </c>
      <c r="U11" s="98">
        <f>Q11+IFERROR(VLOOKUP($E:$E,'（居民）工资表-3月'!$E:$U,17,0),0)</f>
        <v>2328.48</v>
      </c>
      <c r="V11" s="78"/>
      <c r="W11" s="78"/>
      <c r="X11" s="78"/>
      <c r="Y11" s="78"/>
      <c r="Z11" s="78"/>
      <c r="AA11" s="78"/>
      <c r="AB11" s="97">
        <f t="shared" si="1"/>
        <v>0</v>
      </c>
      <c r="AC11" s="97">
        <f>R11+IFERROR(VLOOKUP($E:$E,'（居民）工资表-3月'!$E:$AC,25,0),0)</f>
        <v>0</v>
      </c>
      <c r="AD11" s="100">
        <f t="shared" si="2"/>
        <v>19211.52</v>
      </c>
      <c r="AE11" s="101">
        <f>ROUND(MAX((AD11)*{0.03;0.1;0.2;0.25;0.3;0.35;0.45}-{0;2520;16920;31920;52920;85920;181920},0),2)</f>
        <v>576.35</v>
      </c>
      <c r="AF11" s="102">
        <f>IFERROR(VLOOKUP(E:E,'（居民）工资表-3月'!E:AF,28,0)+VLOOKUP(E:E,'（居民）工资表-3月'!E:AG,29,0),0)</f>
        <v>371.21</v>
      </c>
      <c r="AG11" s="102">
        <f t="shared" si="3"/>
        <v>205.14</v>
      </c>
      <c r="AH11" s="109">
        <f t="shared" si="4"/>
        <v>11632.74</v>
      </c>
      <c r="AI11" s="110"/>
      <c r="AJ11" s="109">
        <f t="shared" si="5"/>
        <v>11632.74</v>
      </c>
      <c r="AK11" s="111"/>
      <c r="AL11" s="109">
        <f t="shared" si="6"/>
        <v>11837.88</v>
      </c>
      <c r="AM11" s="111"/>
      <c r="AN11" s="111"/>
      <c r="AO11" s="111"/>
      <c r="AP11" s="111"/>
      <c r="AQ11" s="111"/>
      <c r="AR11" s="117" t="str">
        <f t="shared" si="7"/>
        <v>正确</v>
      </c>
      <c r="AS11" s="117" t="str">
        <f t="shared" si="8"/>
        <v>不</v>
      </c>
      <c r="AT11" s="117" t="str">
        <f t="shared" si="9"/>
        <v>重复</v>
      </c>
    </row>
    <row r="12" s="12" customFormat="1" ht="18" customHeight="1" spans="1:46">
      <c r="A12" s="36">
        <v>9</v>
      </c>
      <c r="B12" s="37" t="s">
        <v>187</v>
      </c>
      <c r="C12" s="37" t="s">
        <v>197</v>
      </c>
      <c r="D12" s="37" t="s">
        <v>188</v>
      </c>
      <c r="E12" s="37" t="s">
        <v>198</v>
      </c>
      <c r="F12" s="38" t="s">
        <v>189</v>
      </c>
      <c r="G12" s="39" t="s">
        <v>199</v>
      </c>
      <c r="H12" s="40"/>
      <c r="I12" s="40"/>
      <c r="J12" s="74"/>
      <c r="K12" s="40"/>
      <c r="L12" s="75">
        <v>18014.74</v>
      </c>
      <c r="M12" s="76">
        <v>508.64</v>
      </c>
      <c r="N12" s="76">
        <v>19.08</v>
      </c>
      <c r="O12" s="76">
        <v>127.88</v>
      </c>
      <c r="P12" s="76">
        <v>508.64</v>
      </c>
      <c r="Q12" s="96">
        <f t="shared" si="0"/>
        <v>1164.24</v>
      </c>
      <c r="R12" s="78">
        <v>0</v>
      </c>
      <c r="S12" s="97">
        <f>L12+IFERROR(VLOOKUP($E:$E,'（居民）工资表-3月'!$E:$S,15,0),0)</f>
        <v>18014.74</v>
      </c>
      <c r="T12" s="98">
        <f>5000+IFERROR(VLOOKUP($E:$E,'（居民）工资表-3月'!$E:$T,16,0),0)</f>
        <v>5000</v>
      </c>
      <c r="U12" s="98">
        <f>Q12+IFERROR(VLOOKUP($E:$E,'（居民）工资表-3月'!$E:$U,17,0),0)</f>
        <v>1164.24</v>
      </c>
      <c r="V12" s="78"/>
      <c r="W12" s="78"/>
      <c r="X12" s="78"/>
      <c r="Y12" s="78"/>
      <c r="Z12" s="78"/>
      <c r="AA12" s="78"/>
      <c r="AB12" s="97">
        <f t="shared" si="1"/>
        <v>0</v>
      </c>
      <c r="AC12" s="97">
        <f>R12+IFERROR(VLOOKUP($E:$E,'（居民）工资表-3月'!$E:$AC,25,0),0)</f>
        <v>0</v>
      </c>
      <c r="AD12" s="100">
        <f t="shared" si="2"/>
        <v>11850.5</v>
      </c>
      <c r="AE12" s="101">
        <f>ROUND(MAX((AD12)*{0.03;0.1;0.2;0.25;0.3;0.35;0.45}-{0;2520;16920;31920;52920;85920;181920},0),2)</f>
        <v>355.52</v>
      </c>
      <c r="AF12" s="102">
        <f>IFERROR(VLOOKUP(E:E,'（居民）工资表-3月'!E:AF,28,0)+VLOOKUP(E:E,'（居民）工资表-3月'!E:AG,29,0),0)</f>
        <v>0</v>
      </c>
      <c r="AG12" s="102">
        <f t="shared" si="3"/>
        <v>355.52</v>
      </c>
      <c r="AH12" s="109">
        <f t="shared" si="4"/>
        <v>16494.98</v>
      </c>
      <c r="AI12" s="110"/>
      <c r="AJ12" s="109">
        <f t="shared" si="5"/>
        <v>16494.98</v>
      </c>
      <c r="AK12" s="111"/>
      <c r="AL12" s="109">
        <f t="shared" si="6"/>
        <v>16850.5</v>
      </c>
      <c r="AM12" s="111"/>
      <c r="AN12" s="111"/>
      <c r="AO12" s="111"/>
      <c r="AP12" s="111"/>
      <c r="AQ12" s="111"/>
      <c r="AR12" s="117" t="str">
        <f t="shared" si="7"/>
        <v>正确</v>
      </c>
      <c r="AS12" s="117" t="str">
        <f t="shared" si="8"/>
        <v>不</v>
      </c>
      <c r="AT12" s="117" t="str">
        <f t="shared" si="9"/>
        <v>重复</v>
      </c>
    </row>
    <row r="13" s="12" customFormat="1" ht="18" customHeight="1" spans="1:46">
      <c r="A13" s="36">
        <v>10</v>
      </c>
      <c r="B13" s="37" t="s">
        <v>187</v>
      </c>
      <c r="C13" s="37" t="s">
        <v>200</v>
      </c>
      <c r="D13" s="37" t="s">
        <v>188</v>
      </c>
      <c r="E13" s="37" t="s">
        <v>201</v>
      </c>
      <c r="F13" s="38" t="s">
        <v>189</v>
      </c>
      <c r="G13" s="39" t="s">
        <v>202</v>
      </c>
      <c r="H13" s="40"/>
      <c r="I13" s="40"/>
      <c r="J13" s="74"/>
      <c r="K13" s="40"/>
      <c r="L13" s="75">
        <v>15117.39</v>
      </c>
      <c r="M13" s="76">
        <v>508.64</v>
      </c>
      <c r="N13" s="76">
        <v>19.08</v>
      </c>
      <c r="O13" s="76">
        <v>127.88</v>
      </c>
      <c r="P13" s="76">
        <v>508.64</v>
      </c>
      <c r="Q13" s="96">
        <f t="shared" si="0"/>
        <v>1164.24</v>
      </c>
      <c r="R13" s="78">
        <v>0</v>
      </c>
      <c r="S13" s="97">
        <f>L13+IFERROR(VLOOKUP($E:$E,'（居民）工资表-3月'!$E:$S,15,0),0)</f>
        <v>15117.39</v>
      </c>
      <c r="T13" s="98">
        <f>5000+IFERROR(VLOOKUP($E:$E,'（居民）工资表-3月'!$E:$T,16,0),0)</f>
        <v>5000</v>
      </c>
      <c r="U13" s="98">
        <f>Q13+IFERROR(VLOOKUP($E:$E,'（居民）工资表-3月'!$E:$U,17,0),0)</f>
        <v>1164.24</v>
      </c>
      <c r="V13" s="78"/>
      <c r="W13" s="78"/>
      <c r="X13" s="78"/>
      <c r="Y13" s="78"/>
      <c r="Z13" s="78"/>
      <c r="AA13" s="78"/>
      <c r="AB13" s="97">
        <f t="shared" si="1"/>
        <v>0</v>
      </c>
      <c r="AC13" s="97">
        <f>R13+IFERROR(VLOOKUP($E:$E,'（居民）工资表-3月'!$E:$AC,25,0),0)</f>
        <v>0</v>
      </c>
      <c r="AD13" s="100">
        <f t="shared" si="2"/>
        <v>8953.15</v>
      </c>
      <c r="AE13" s="101">
        <f>ROUND(MAX((AD13)*{0.03;0.1;0.2;0.25;0.3;0.35;0.45}-{0;2520;16920;31920;52920;85920;181920},0),2)</f>
        <v>268.59</v>
      </c>
      <c r="AF13" s="102">
        <f>IFERROR(VLOOKUP(E:E,'（居民）工资表-3月'!E:AF,28,0)+VLOOKUP(E:E,'（居民）工资表-3月'!E:AG,29,0),0)</f>
        <v>0</v>
      </c>
      <c r="AG13" s="102">
        <f t="shared" si="3"/>
        <v>268.59</v>
      </c>
      <c r="AH13" s="109">
        <f t="shared" si="4"/>
        <v>13684.56</v>
      </c>
      <c r="AI13" s="110"/>
      <c r="AJ13" s="109">
        <f t="shared" si="5"/>
        <v>13684.56</v>
      </c>
      <c r="AK13" s="111"/>
      <c r="AL13" s="109">
        <f t="shared" si="6"/>
        <v>13953.15</v>
      </c>
      <c r="AM13" s="111"/>
      <c r="AN13" s="111"/>
      <c r="AO13" s="111"/>
      <c r="AP13" s="111"/>
      <c r="AQ13" s="111"/>
      <c r="AR13" s="117"/>
      <c r="AS13" s="117"/>
      <c r="AT13" s="117"/>
    </row>
    <row r="14" s="12" customFormat="1" ht="18" customHeight="1" spans="1:46">
      <c r="A14" s="36">
        <v>11</v>
      </c>
      <c r="B14" s="37" t="s">
        <v>187</v>
      </c>
      <c r="C14" s="37" t="s">
        <v>203</v>
      </c>
      <c r="D14" s="37" t="s">
        <v>188</v>
      </c>
      <c r="E14" s="37" t="s">
        <v>204</v>
      </c>
      <c r="F14" s="38" t="s">
        <v>189</v>
      </c>
      <c r="G14" s="39" t="s">
        <v>205</v>
      </c>
      <c r="H14" s="40"/>
      <c r="I14" s="40"/>
      <c r="J14" s="74"/>
      <c r="K14" s="40"/>
      <c r="L14" s="75">
        <v>11152.17</v>
      </c>
      <c r="M14" s="76">
        <v>508.64</v>
      </c>
      <c r="N14" s="76">
        <v>19.08</v>
      </c>
      <c r="O14" s="76">
        <v>127.88</v>
      </c>
      <c r="P14" s="76">
        <v>508.64</v>
      </c>
      <c r="Q14" s="96">
        <f t="shared" si="0"/>
        <v>1164.24</v>
      </c>
      <c r="R14" s="78">
        <v>0</v>
      </c>
      <c r="S14" s="97">
        <f>L14+IFERROR(VLOOKUP($E:$E,'（居民）工资表-3月'!$E:$S,15,0),0)</f>
        <v>11152.17</v>
      </c>
      <c r="T14" s="98">
        <f>5000+IFERROR(VLOOKUP($E:$E,'（居民）工资表-3月'!$E:$T,16,0),0)</f>
        <v>5000</v>
      </c>
      <c r="U14" s="98">
        <f>Q14+IFERROR(VLOOKUP($E:$E,'（居民）工资表-3月'!$E:$U,17,0),0)</f>
        <v>1164.24</v>
      </c>
      <c r="V14" s="78"/>
      <c r="W14" s="78"/>
      <c r="X14" s="78"/>
      <c r="Y14" s="78"/>
      <c r="Z14" s="78"/>
      <c r="AA14" s="78"/>
      <c r="AB14" s="97">
        <f t="shared" si="1"/>
        <v>0</v>
      </c>
      <c r="AC14" s="97">
        <f>R14+IFERROR(VLOOKUP($E:$E,'（居民）工资表-3月'!$E:$AC,25,0),0)</f>
        <v>0</v>
      </c>
      <c r="AD14" s="100">
        <f t="shared" si="2"/>
        <v>4987.93</v>
      </c>
      <c r="AE14" s="101">
        <f>ROUND(MAX((AD14)*{0.03;0.1;0.2;0.25;0.3;0.35;0.45}-{0;2520;16920;31920;52920;85920;181920},0),2)</f>
        <v>149.64</v>
      </c>
      <c r="AF14" s="102">
        <f>IFERROR(VLOOKUP(E:E,'（居民）工资表-3月'!E:AF,28,0)+VLOOKUP(E:E,'（居民）工资表-3月'!E:AG,29,0),0)</f>
        <v>0</v>
      </c>
      <c r="AG14" s="102">
        <f t="shared" si="3"/>
        <v>149.64</v>
      </c>
      <c r="AH14" s="109">
        <f t="shared" si="4"/>
        <v>9838.29</v>
      </c>
      <c r="AI14" s="110"/>
      <c r="AJ14" s="109">
        <f t="shared" si="5"/>
        <v>9838.29</v>
      </c>
      <c r="AK14" s="111"/>
      <c r="AL14" s="109">
        <f t="shared" si="6"/>
        <v>9987.93</v>
      </c>
      <c r="AM14" s="111"/>
      <c r="AN14" s="111"/>
      <c r="AO14" s="111"/>
      <c r="AP14" s="111"/>
      <c r="AQ14" s="111"/>
      <c r="AR14" s="117"/>
      <c r="AS14" s="117"/>
      <c r="AT14" s="117"/>
    </row>
    <row r="15" s="12" customFormat="1" ht="17" customHeight="1" spans="1:46">
      <c r="A15" s="36">
        <v>12</v>
      </c>
      <c r="B15" s="37" t="s">
        <v>187</v>
      </c>
      <c r="C15" s="37" t="s">
        <v>206</v>
      </c>
      <c r="D15" s="37" t="s">
        <v>188</v>
      </c>
      <c r="E15" s="37" t="s">
        <v>207</v>
      </c>
      <c r="F15" s="38" t="s">
        <v>189</v>
      </c>
      <c r="G15" s="39">
        <v>15001138812</v>
      </c>
      <c r="H15" s="40"/>
      <c r="I15" s="40"/>
      <c r="J15" s="74"/>
      <c r="K15" s="40"/>
      <c r="L15" s="75">
        <v>10420</v>
      </c>
      <c r="M15" s="76">
        <v>254.32</v>
      </c>
      <c r="N15" s="76">
        <v>9.54</v>
      </c>
      <c r="O15" s="76">
        <v>63.94</v>
      </c>
      <c r="P15" s="76">
        <v>254.32</v>
      </c>
      <c r="Q15" s="96">
        <f t="shared" si="0"/>
        <v>582.12</v>
      </c>
      <c r="R15" s="78">
        <v>0</v>
      </c>
      <c r="S15" s="97">
        <f>L15+IFERROR(VLOOKUP($E:$E,'（居民）工资表-3月'!$E:$S,15,0),0)</f>
        <v>30540</v>
      </c>
      <c r="T15" s="98">
        <f>5000+IFERROR(VLOOKUP($E:$E,'（居民）工资表-3月'!$E:$T,16,0),0)</f>
        <v>15000</v>
      </c>
      <c r="U15" s="98">
        <f>Q15+IFERROR(VLOOKUP($E:$E,'（居民）工资表-3月'!$E:$U,17,0),0)</f>
        <v>2328.48</v>
      </c>
      <c r="V15" s="78"/>
      <c r="W15" s="78"/>
      <c r="X15" s="78"/>
      <c r="Y15" s="78"/>
      <c r="Z15" s="78"/>
      <c r="AA15" s="78"/>
      <c r="AB15" s="97">
        <f t="shared" si="1"/>
        <v>0</v>
      </c>
      <c r="AC15" s="97">
        <f>R15+IFERROR(VLOOKUP($E:$E,'（居民）工资表-3月'!$E:$AC,25,0),0)</f>
        <v>0</v>
      </c>
      <c r="AD15" s="100">
        <f t="shared" si="2"/>
        <v>13211.52</v>
      </c>
      <c r="AE15" s="101">
        <f>ROUND(MAX((AD15)*{0.03;0.1;0.2;0.25;0.3;0.35;0.45}-{0;2520;16920;31920;52920;85920;181920},0),2)</f>
        <v>396.35</v>
      </c>
      <c r="AF15" s="102">
        <f>IFERROR(VLOOKUP(E:E,'（居民）工资表-3月'!E:AF,28,0)+VLOOKUP(E:E,'（居民）工资表-3月'!E:AG,29,0),0)</f>
        <v>251.21</v>
      </c>
      <c r="AG15" s="102">
        <f t="shared" si="3"/>
        <v>145.14</v>
      </c>
      <c r="AH15" s="109">
        <f t="shared" si="4"/>
        <v>9692.74</v>
      </c>
      <c r="AI15" s="110"/>
      <c r="AJ15" s="109">
        <f t="shared" si="5"/>
        <v>9692.74</v>
      </c>
      <c r="AK15" s="111"/>
      <c r="AL15" s="109">
        <f t="shared" si="6"/>
        <v>9837.88</v>
      </c>
      <c r="AM15" s="111"/>
      <c r="AN15" s="111"/>
      <c r="AO15" s="111"/>
      <c r="AP15" s="111"/>
      <c r="AQ15" s="111"/>
      <c r="AR15" s="117"/>
      <c r="AS15" s="117"/>
      <c r="AT15" s="117"/>
    </row>
    <row r="16" s="12" customFormat="1" ht="17" customHeight="1" spans="1:46">
      <c r="A16" s="36">
        <v>13</v>
      </c>
      <c r="B16" s="37" t="s">
        <v>187</v>
      </c>
      <c r="C16" s="37" t="s">
        <v>208</v>
      </c>
      <c r="D16" s="37" t="s">
        <v>188</v>
      </c>
      <c r="E16" s="37" t="s">
        <v>209</v>
      </c>
      <c r="F16" s="38" t="s">
        <v>189</v>
      </c>
      <c r="G16" s="39">
        <v>15333903368</v>
      </c>
      <c r="H16" s="40"/>
      <c r="I16" s="40"/>
      <c r="J16" s="74"/>
      <c r="K16" s="40"/>
      <c r="L16" s="75">
        <v>5869.57</v>
      </c>
      <c r="M16" s="76"/>
      <c r="N16" s="76"/>
      <c r="O16" s="76"/>
      <c r="P16" s="76"/>
      <c r="Q16" s="96">
        <f t="shared" si="0"/>
        <v>0</v>
      </c>
      <c r="R16" s="78">
        <v>0</v>
      </c>
      <c r="S16" s="97">
        <f>L16+IFERROR(VLOOKUP($E:$E,'（居民）工资表-3月'!$E:$S,15,0),0)</f>
        <v>5869.57</v>
      </c>
      <c r="T16" s="98">
        <f>5000+IFERROR(VLOOKUP($E:$E,'（居民）工资表-3月'!$E:$T,16,0),0)</f>
        <v>5000</v>
      </c>
      <c r="U16" s="98">
        <f>Q16+IFERROR(VLOOKUP($E:$E,'（居民）工资表-3月'!$E:$U,17,0),0)</f>
        <v>0</v>
      </c>
      <c r="V16" s="78"/>
      <c r="W16" s="78"/>
      <c r="X16" s="78"/>
      <c r="Y16" s="78"/>
      <c r="Z16" s="78"/>
      <c r="AA16" s="78"/>
      <c r="AB16" s="97">
        <f t="shared" si="1"/>
        <v>0</v>
      </c>
      <c r="AC16" s="97">
        <f>R16+IFERROR(VLOOKUP($E:$E,'（居民）工资表-3月'!$E:$AC,25,0),0)</f>
        <v>0</v>
      </c>
      <c r="AD16" s="100">
        <f t="shared" si="2"/>
        <v>869.57</v>
      </c>
      <c r="AE16" s="101">
        <f>ROUND(MAX((AD16)*{0.03;0.1;0.2;0.25;0.3;0.35;0.45}-{0;2520;16920;31920;52920;85920;181920},0),2)</f>
        <v>26.09</v>
      </c>
      <c r="AF16" s="102">
        <f>IFERROR(VLOOKUP(E:E,'（居民）工资表-3月'!E:AF,28,0)+VLOOKUP(E:E,'（居民）工资表-3月'!E:AG,29,0),0)</f>
        <v>0</v>
      </c>
      <c r="AG16" s="102">
        <f t="shared" si="3"/>
        <v>26.09</v>
      </c>
      <c r="AH16" s="109">
        <f t="shared" si="4"/>
        <v>5843.48</v>
      </c>
      <c r="AI16" s="110"/>
      <c r="AJ16" s="109">
        <f t="shared" si="5"/>
        <v>5843.48</v>
      </c>
      <c r="AK16" s="111"/>
      <c r="AL16" s="109">
        <f t="shared" si="6"/>
        <v>5869.57</v>
      </c>
      <c r="AM16" s="111"/>
      <c r="AN16" s="111"/>
      <c r="AO16" s="111"/>
      <c r="AP16" s="111"/>
      <c r="AQ16" s="111"/>
      <c r="AR16" s="117"/>
      <c r="AS16" s="117"/>
      <c r="AT16" s="117"/>
    </row>
    <row r="17" s="12" customFormat="1" ht="18" customHeight="1" spans="1:46">
      <c r="A17" s="36"/>
      <c r="B17" s="37"/>
      <c r="C17" s="37"/>
      <c r="D17" s="37"/>
      <c r="E17" s="37"/>
      <c r="F17" s="38"/>
      <c r="G17" s="45"/>
      <c r="H17" s="40"/>
      <c r="I17" s="40"/>
      <c r="J17" s="74"/>
      <c r="K17" s="40"/>
      <c r="L17" s="78"/>
      <c r="M17" s="76"/>
      <c r="N17" s="76"/>
      <c r="O17" s="76"/>
      <c r="P17" s="76"/>
      <c r="Q17" s="96"/>
      <c r="R17" s="78"/>
      <c r="S17" s="97"/>
      <c r="T17" s="98"/>
      <c r="U17" s="98"/>
      <c r="V17" s="78"/>
      <c r="W17" s="78"/>
      <c r="X17" s="78"/>
      <c r="Y17" s="78"/>
      <c r="Z17" s="78"/>
      <c r="AA17" s="78"/>
      <c r="AB17" s="97"/>
      <c r="AC17" s="97"/>
      <c r="AD17" s="100"/>
      <c r="AE17" s="101"/>
      <c r="AF17" s="102"/>
      <c r="AG17" s="102"/>
      <c r="AH17" s="109"/>
      <c r="AI17" s="110"/>
      <c r="AJ17" s="109"/>
      <c r="AK17" s="111"/>
      <c r="AL17" s="109"/>
      <c r="AM17" s="111"/>
      <c r="AN17" s="111"/>
      <c r="AO17" s="111"/>
      <c r="AP17" s="111"/>
      <c r="AQ17" s="111"/>
      <c r="AR17" s="117"/>
      <c r="AS17" s="117"/>
      <c r="AT17" s="117"/>
    </row>
    <row r="18" s="13" customFormat="1" ht="18" customHeight="1" spans="1:46">
      <c r="A18" s="46"/>
      <c r="B18" s="47" t="s">
        <v>216</v>
      </c>
      <c r="C18" s="47"/>
      <c r="D18" s="48"/>
      <c r="E18" s="49"/>
      <c r="F18" s="50"/>
      <c r="G18" s="51"/>
      <c r="H18" s="50"/>
      <c r="I18" s="79"/>
      <c r="J18" s="80"/>
      <c r="K18" s="79"/>
      <c r="L18" s="81">
        <f>SUM(L4:L17)</f>
        <v>179682.87</v>
      </c>
      <c r="M18" s="81">
        <f t="shared" ref="M18:AL18" si="10">SUM(M4:M17)</f>
        <v>4059.05</v>
      </c>
      <c r="N18" s="81">
        <f t="shared" si="10"/>
        <v>143.08</v>
      </c>
      <c r="O18" s="81">
        <f t="shared" si="10"/>
        <v>1099.6</v>
      </c>
      <c r="P18" s="81">
        <f t="shared" si="10"/>
        <v>3214.2</v>
      </c>
      <c r="Q18" s="81">
        <f t="shared" si="10"/>
        <v>8515.93</v>
      </c>
      <c r="R18" s="81">
        <f t="shared" si="10"/>
        <v>0</v>
      </c>
      <c r="S18" s="81">
        <f t="shared" si="10"/>
        <v>513980</v>
      </c>
      <c r="T18" s="81">
        <f t="shared" si="10"/>
        <v>180000</v>
      </c>
      <c r="U18" s="81">
        <f t="shared" si="10"/>
        <v>23612.87</v>
      </c>
      <c r="V18" s="81">
        <f t="shared" si="10"/>
        <v>16000</v>
      </c>
      <c r="W18" s="81">
        <f t="shared" si="10"/>
        <v>8000</v>
      </c>
      <c r="X18" s="81">
        <f t="shared" si="10"/>
        <v>15000</v>
      </c>
      <c r="Y18" s="81">
        <f t="shared" si="10"/>
        <v>6000</v>
      </c>
      <c r="Z18" s="81">
        <f t="shared" si="10"/>
        <v>0</v>
      </c>
      <c r="AA18" s="81">
        <f t="shared" si="10"/>
        <v>0</v>
      </c>
      <c r="AB18" s="81">
        <f t="shared" si="10"/>
        <v>45000</v>
      </c>
      <c r="AC18" s="81">
        <f t="shared" si="10"/>
        <v>0</v>
      </c>
      <c r="AD18" s="81">
        <f t="shared" si="10"/>
        <v>265367.13</v>
      </c>
      <c r="AE18" s="81">
        <f t="shared" si="10"/>
        <v>13897.31</v>
      </c>
      <c r="AF18" s="81">
        <f t="shared" si="10"/>
        <v>8508.36</v>
      </c>
      <c r="AG18" s="81">
        <f t="shared" si="10"/>
        <v>5388.95</v>
      </c>
      <c r="AH18" s="81">
        <f t="shared" si="10"/>
        <v>165777.99</v>
      </c>
      <c r="AI18" s="81">
        <f t="shared" si="10"/>
        <v>0</v>
      </c>
      <c r="AJ18" s="81">
        <f t="shared" si="10"/>
        <v>165777.99</v>
      </c>
      <c r="AK18" s="81">
        <f t="shared" si="10"/>
        <v>0</v>
      </c>
      <c r="AL18" s="81">
        <f t="shared" si="10"/>
        <v>171166.94</v>
      </c>
      <c r="AM18" s="112"/>
      <c r="AN18" s="112"/>
      <c r="AO18" s="112"/>
      <c r="AP18" s="112"/>
      <c r="AQ18" s="112"/>
      <c r="AR18" s="50"/>
      <c r="AS18" s="50"/>
      <c r="AT18" s="118"/>
    </row>
    <row r="21" spans="30:30">
      <c r="AD21" s="103"/>
    </row>
    <row r="22" ht="18.75" customHeight="1" spans="2:33">
      <c r="B22" s="52" t="s">
        <v>168</v>
      </c>
      <c r="C22" s="52" t="s">
        <v>217</v>
      </c>
      <c r="D22" s="52" t="s">
        <v>22</v>
      </c>
      <c r="E22" s="52" t="s">
        <v>23</v>
      </c>
      <c r="AD22" s="10"/>
      <c r="AG22" s="131"/>
    </row>
    <row r="23" ht="18.75" customHeight="1" spans="2:5">
      <c r="B23" s="53">
        <f>AJ18</f>
        <v>165777.99</v>
      </c>
      <c r="C23" s="53">
        <f>AG18</f>
        <v>5388.95</v>
      </c>
      <c r="D23" s="53">
        <f>AK18</f>
        <v>0</v>
      </c>
      <c r="E23" s="53">
        <f>B23+C23+D23</f>
        <v>171166.94</v>
      </c>
    </row>
    <row r="24" spans="2:5">
      <c r="B24" s="54"/>
      <c r="C24" s="54"/>
      <c r="D24" s="54"/>
      <c r="E24" s="54">
        <f>社保1!BC19</f>
        <v>24047.26</v>
      </c>
    </row>
    <row r="25" s="14" customFormat="1" spans="1:35">
      <c r="A25" s="55" t="s">
        <v>218</v>
      </c>
      <c r="B25" s="56" t="s">
        <v>219</v>
      </c>
      <c r="C25" s="57"/>
      <c r="D25" s="57"/>
      <c r="E25" s="57"/>
      <c r="G25" s="58"/>
      <c r="J25" s="82"/>
      <c r="M25" s="83"/>
      <c r="AI25" s="113"/>
    </row>
    <row r="26" s="14" customFormat="1" spans="1:35">
      <c r="A26" s="59"/>
      <c r="B26" s="60" t="s">
        <v>220</v>
      </c>
      <c r="C26" s="57"/>
      <c r="D26" s="57"/>
      <c r="E26" s="57"/>
      <c r="G26" s="58"/>
      <c r="J26" s="82"/>
      <c r="M26" s="83"/>
      <c r="AI26" s="113"/>
    </row>
    <row r="27" s="14" customFormat="1" spans="1:35">
      <c r="A27" s="56"/>
      <c r="B27" s="60" t="s">
        <v>221</v>
      </c>
      <c r="C27" s="61"/>
      <c r="D27" s="61"/>
      <c r="E27" s="61"/>
      <c r="F27" s="61"/>
      <c r="G27" s="61"/>
      <c r="H27" s="61"/>
      <c r="I27" s="61"/>
      <c r="J27" s="84"/>
      <c r="K27" s="61"/>
      <c r="L27" s="61"/>
      <c r="M27" s="85"/>
      <c r="N27" s="61"/>
      <c r="O27" s="61"/>
      <c r="P27" s="61"/>
      <c r="AI27" s="113"/>
    </row>
    <row r="28" s="14" customFormat="1" customHeight="1" spans="1:35">
      <c r="A28" s="60"/>
      <c r="B28" s="60" t="s">
        <v>222</v>
      </c>
      <c r="C28" s="62"/>
      <c r="D28" s="62"/>
      <c r="E28" s="62"/>
      <c r="F28" s="62"/>
      <c r="G28" s="62"/>
      <c r="H28" s="62"/>
      <c r="I28" s="86"/>
      <c r="J28" s="87"/>
      <c r="K28" s="86"/>
      <c r="L28" s="86"/>
      <c r="M28" s="88"/>
      <c r="N28" s="86"/>
      <c r="O28" s="86"/>
      <c r="P28" s="86"/>
      <c r="AI28" s="113"/>
    </row>
    <row r="29" s="14" customFormat="1" customHeight="1" spans="1:35">
      <c r="A29" s="60"/>
      <c r="B29" s="60" t="s">
        <v>223</v>
      </c>
      <c r="C29" s="62"/>
      <c r="D29" s="62"/>
      <c r="E29" s="62"/>
      <c r="F29" s="62"/>
      <c r="G29" s="62"/>
      <c r="H29" s="62"/>
      <c r="I29" s="62"/>
      <c r="J29" s="89"/>
      <c r="K29" s="62"/>
      <c r="L29" s="86"/>
      <c r="M29" s="88"/>
      <c r="N29" s="86"/>
      <c r="O29" s="86"/>
      <c r="P29" s="86"/>
      <c r="AI29" s="113"/>
    </row>
    <row r="30" s="14" customFormat="1" customHeight="1" spans="1:35">
      <c r="A30" s="60"/>
      <c r="B30" s="60" t="s">
        <v>224</v>
      </c>
      <c r="C30" s="62"/>
      <c r="D30" s="62"/>
      <c r="E30" s="62"/>
      <c r="F30" s="62"/>
      <c r="G30" s="62"/>
      <c r="H30" s="62"/>
      <c r="I30" s="86"/>
      <c r="J30" s="87"/>
      <c r="K30" s="86"/>
      <c r="L30" s="86"/>
      <c r="M30" s="88"/>
      <c r="N30" s="86"/>
      <c r="O30" s="86"/>
      <c r="P30" s="86"/>
      <c r="AI30" s="113"/>
    </row>
    <row r="32" ht="11.25" customHeight="1" spans="2:2">
      <c r="B32" s="63" t="s">
        <v>225</v>
      </c>
    </row>
    <row r="33" spans="2:2">
      <c r="B33" s="64" t="s">
        <v>226</v>
      </c>
    </row>
    <row r="34" spans="2:2">
      <c r="B34" s="64" t="s">
        <v>227</v>
      </c>
    </row>
  </sheetData>
  <autoFilter ref="A3:AT18">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30">
    <cfRule type="duplicateValues" dxfId="3" priority="2" stopIfTrue="1"/>
  </conditionalFormatting>
  <conditionalFormatting sqref="B25:B29">
    <cfRule type="duplicateValues" dxfId="3" priority="3" stopIfTrue="1"/>
  </conditionalFormatting>
  <conditionalFormatting sqref="B33:B34">
    <cfRule type="duplicateValues" dxfId="3" priority="1" stopIfTrue="1"/>
  </conditionalFormatting>
  <conditionalFormatting sqref="C22:C24">
    <cfRule type="duplicateValues" dxfId="3" priority="4" stopIfTrue="1"/>
    <cfRule type="expression" dxfId="4" priority="5" stopIfTrue="1">
      <formula>AND(COUNTIF($B$18:$B$65454,C22)+COUNTIF($B$1:$B$3,C22)&gt;1,NOT(ISBLANK(C22)))</formula>
    </cfRule>
    <cfRule type="expression" dxfId="4" priority="6" stopIfTrue="1">
      <formula>AND(COUNTIF($B$29:$B$65405,C22)+COUNTIF($B$1:$B$28,C22)&gt;1,NOT(ISBLANK(C22)))</formula>
    </cfRule>
    <cfRule type="expression" dxfId="4" priority="7" stopIfTrue="1">
      <formula>AND(COUNTIF($B$18:$B$65443,C22)+COUNTIF($B$1:$B$3,C22)&gt;1,NOT(ISBLANK(C22)))</formula>
    </cfRule>
  </conditionalFormatting>
  <pageMargins left="0.235416666666667" right="0.235416666666667" top="0.747916666666667" bottom="0.747916666666667" header="0.313888888888889" footer="0.313888888888889"/>
  <pageSetup paperSize="9" scale="56" fitToWidth="2" orientation="landscape"/>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AT38"/>
  <sheetViews>
    <sheetView workbookViewId="0">
      <pane xSplit="6" ySplit="3" topLeftCell="U4" activePane="bottomRight" state="frozen"/>
      <selection/>
      <selection pane="topRight"/>
      <selection pane="bottomLeft"/>
      <selection pane="bottomRight" activeCell="V8" sqref="V7:W8"/>
    </sheetView>
  </sheetViews>
  <sheetFormatPr defaultColWidth="9" defaultRowHeight="13.5"/>
  <cols>
    <col min="1" max="1" width="4.45" style="15" customWidth="1"/>
    <col min="2" max="2" width="12.6333333333333" style="15" customWidth="1"/>
    <col min="3" max="3" width="10.45" style="15" customWidth="1"/>
    <col min="4" max="4" width="8.725" style="15" customWidth="1"/>
    <col min="5" max="5" width="19.45" style="16" customWidth="1"/>
    <col min="6" max="6" width="9" style="15"/>
    <col min="7" max="7" width="11.9083333333333" style="17" customWidth="1"/>
    <col min="8" max="8" width="4.63333333333333" style="15" hidden="1" customWidth="1"/>
    <col min="9" max="9" width="5.26666666666667" style="15" hidden="1" customWidth="1"/>
    <col min="10" max="10" width="11.725" style="18" customWidth="1"/>
    <col min="11" max="11" width="5.26666666666667" style="15" customWidth="1"/>
    <col min="12" max="12" width="11.725" style="15" customWidth="1"/>
    <col min="13" max="13" width="9.725" style="15" customWidth="1" outlineLevel="1"/>
    <col min="14" max="15" width="9" style="15" customWidth="1" outlineLevel="1"/>
    <col min="16" max="16" width="11.0916666666667" style="15" customWidth="1" outlineLevel="1"/>
    <col min="17" max="17" width="9.725" style="15" customWidth="1"/>
    <col min="18" max="18" width="9.45" style="15" customWidth="1"/>
    <col min="19" max="19" width="14.0916666666667" style="15" customWidth="1"/>
    <col min="20" max="21" width="12.2666666666667" style="15" customWidth="1"/>
    <col min="22" max="27" width="9" style="15" customWidth="1" outlineLevel="1"/>
    <col min="28" max="28" width="11.2666666666667" style="15" customWidth="1"/>
    <col min="29" max="29" width="8.45" style="15" customWidth="1"/>
    <col min="30" max="30" width="15.2666666666667" style="15" customWidth="1"/>
    <col min="31" max="31" width="14" style="15" customWidth="1"/>
    <col min="32" max="32" width="10.725" style="15" customWidth="1"/>
    <col min="33" max="33" width="12.2666666666667" style="15" customWidth="1"/>
    <col min="34" max="34" width="11.45" style="15" customWidth="1"/>
    <col min="35" max="35" width="7.90833333333333" style="19" customWidth="1"/>
    <col min="36" max="36" width="11.45" style="15" customWidth="1"/>
    <col min="37" max="37" width="9" style="15"/>
    <col min="38" max="38" width="11.45" style="15" customWidth="1"/>
    <col min="39" max="40" width="9" style="15" customWidth="1"/>
    <col min="41" max="41" width="19" style="15" customWidth="1"/>
    <col min="42" max="42" width="12.2666666666667" style="15" customWidth="1"/>
    <col min="43" max="43" width="9" style="15"/>
    <col min="44" max="44" width="7" style="15" customWidth="1"/>
    <col min="45" max="45" width="6.725" style="15" customWidth="1"/>
    <col min="46" max="46" width="6.09166666666667" style="15" customWidth="1"/>
    <col min="47" max="16384" width="9" style="15"/>
  </cols>
  <sheetData>
    <row r="1" s="10" customFormat="1" ht="29.25" customHeight="1" spans="1:45">
      <c r="A1" s="20" t="s">
        <v>140</v>
      </c>
      <c r="B1" s="21"/>
      <c r="C1" s="22"/>
      <c r="D1" s="23"/>
      <c r="E1" s="24"/>
      <c r="F1" s="24"/>
      <c r="G1" s="25"/>
      <c r="J1" s="65"/>
      <c r="L1" s="66"/>
      <c r="M1" s="67" t="s">
        <v>141</v>
      </c>
      <c r="N1" s="67"/>
      <c r="O1" s="67"/>
      <c r="P1" s="67"/>
      <c r="Q1" s="90"/>
      <c r="R1" s="90"/>
      <c r="S1" s="90"/>
      <c r="T1" s="90"/>
      <c r="U1" s="90"/>
      <c r="V1" s="90"/>
      <c r="W1" s="90"/>
      <c r="X1" s="90"/>
      <c r="Y1" s="90"/>
      <c r="Z1" s="90"/>
      <c r="AA1" s="90"/>
      <c r="AB1" s="90"/>
      <c r="AC1" s="90"/>
      <c r="AD1" s="66"/>
      <c r="AE1" s="66"/>
      <c r="AF1" s="66"/>
      <c r="AG1" s="66"/>
      <c r="AH1" s="66"/>
      <c r="AI1" s="104"/>
      <c r="AJ1" s="66"/>
      <c r="AK1" s="66"/>
      <c r="AL1" s="66"/>
      <c r="AM1" s="24"/>
      <c r="AN1" s="24"/>
      <c r="AO1" s="114"/>
      <c r="AP1" s="24"/>
      <c r="AQ1" s="24"/>
      <c r="AR1" s="24"/>
      <c r="AS1" s="24"/>
    </row>
    <row r="2" s="11" customFormat="1" ht="20.15" customHeight="1" spans="1:46">
      <c r="A2" s="26" t="s">
        <v>0</v>
      </c>
      <c r="B2" s="27" t="s">
        <v>142</v>
      </c>
      <c r="C2" s="28" t="s">
        <v>143</v>
      </c>
      <c r="D2" s="28" t="s">
        <v>144</v>
      </c>
      <c r="E2" s="29" t="s">
        <v>145</v>
      </c>
      <c r="F2" s="30" t="s">
        <v>146</v>
      </c>
      <c r="G2" s="29" t="s">
        <v>147</v>
      </c>
      <c r="H2" s="29" t="s">
        <v>148</v>
      </c>
      <c r="I2" s="29" t="s">
        <v>149</v>
      </c>
      <c r="J2" s="68" t="s">
        <v>150</v>
      </c>
      <c r="K2" s="29" t="s">
        <v>151</v>
      </c>
      <c r="L2" s="29" t="s">
        <v>152</v>
      </c>
      <c r="M2" s="69" t="s">
        <v>153</v>
      </c>
      <c r="N2" s="70"/>
      <c r="O2" s="70"/>
      <c r="P2" s="71"/>
      <c r="Q2" s="30" t="s">
        <v>154</v>
      </c>
      <c r="R2" s="29" t="s">
        <v>155</v>
      </c>
      <c r="S2" s="30" t="s">
        <v>156</v>
      </c>
      <c r="T2" s="91" t="s">
        <v>157</v>
      </c>
      <c r="U2" s="30" t="s">
        <v>158</v>
      </c>
      <c r="V2" s="92" t="s">
        <v>159</v>
      </c>
      <c r="W2" s="93"/>
      <c r="X2" s="93"/>
      <c r="Y2" s="93"/>
      <c r="Z2" s="93"/>
      <c r="AA2" s="99"/>
      <c r="AB2" s="30" t="s">
        <v>160</v>
      </c>
      <c r="AC2" s="30" t="s">
        <v>161</v>
      </c>
      <c r="AD2" s="91" t="s">
        <v>162</v>
      </c>
      <c r="AE2" s="91" t="s">
        <v>163</v>
      </c>
      <c r="AF2" s="91" t="s">
        <v>164</v>
      </c>
      <c r="AG2" s="91" t="s">
        <v>165</v>
      </c>
      <c r="AH2" s="105" t="s">
        <v>166</v>
      </c>
      <c r="AI2" s="106" t="s">
        <v>167</v>
      </c>
      <c r="AJ2" s="105" t="s">
        <v>168</v>
      </c>
      <c r="AK2" s="28" t="s">
        <v>22</v>
      </c>
      <c r="AL2" s="105" t="s">
        <v>169</v>
      </c>
      <c r="AM2" s="29" t="s">
        <v>170</v>
      </c>
      <c r="AN2" s="29" t="s">
        <v>171</v>
      </c>
      <c r="AO2" s="115" t="s">
        <v>172</v>
      </c>
      <c r="AP2" s="29" t="s">
        <v>173</v>
      </c>
      <c r="AQ2" s="29" t="s">
        <v>174</v>
      </c>
      <c r="AR2" s="30" t="s">
        <v>175</v>
      </c>
      <c r="AS2" s="30" t="s">
        <v>176</v>
      </c>
      <c r="AT2" s="30" t="s">
        <v>177</v>
      </c>
    </row>
    <row r="3" s="11" customFormat="1" ht="27" customHeight="1" spans="1:46">
      <c r="A3" s="31"/>
      <c r="B3" s="32"/>
      <c r="C3" s="33"/>
      <c r="D3" s="33"/>
      <c r="E3" s="34"/>
      <c r="F3" s="35"/>
      <c r="G3" s="34"/>
      <c r="H3" s="34"/>
      <c r="I3" s="34"/>
      <c r="J3" s="72"/>
      <c r="K3" s="34"/>
      <c r="L3" s="34"/>
      <c r="M3" s="73" t="s">
        <v>178</v>
      </c>
      <c r="N3" s="73" t="s">
        <v>179</v>
      </c>
      <c r="O3" s="73" t="s">
        <v>180</v>
      </c>
      <c r="P3" s="73" t="s">
        <v>37</v>
      </c>
      <c r="Q3" s="35"/>
      <c r="R3" s="34"/>
      <c r="S3" s="35"/>
      <c r="T3" s="94"/>
      <c r="U3" s="35"/>
      <c r="V3" s="95" t="s">
        <v>181</v>
      </c>
      <c r="W3" s="95" t="s">
        <v>182</v>
      </c>
      <c r="X3" s="95" t="s">
        <v>183</v>
      </c>
      <c r="Y3" s="95" t="s">
        <v>184</v>
      </c>
      <c r="Z3" s="95" t="s">
        <v>185</v>
      </c>
      <c r="AA3" s="95" t="s">
        <v>186</v>
      </c>
      <c r="AB3" s="35"/>
      <c r="AC3" s="35"/>
      <c r="AD3" s="94"/>
      <c r="AE3" s="94"/>
      <c r="AF3" s="94"/>
      <c r="AG3" s="94"/>
      <c r="AH3" s="107"/>
      <c r="AI3" s="108"/>
      <c r="AJ3" s="107"/>
      <c r="AK3" s="33"/>
      <c r="AL3" s="107"/>
      <c r="AM3" s="34"/>
      <c r="AN3" s="34"/>
      <c r="AO3" s="116"/>
      <c r="AP3" s="34"/>
      <c r="AQ3" s="34"/>
      <c r="AR3" s="35"/>
      <c r="AS3" s="35"/>
      <c r="AT3" s="35"/>
    </row>
    <row r="4" s="12" customFormat="1" ht="18" customHeight="1" spans="1:46">
      <c r="A4" s="36">
        <v>1</v>
      </c>
      <c r="B4" s="37" t="s">
        <v>187</v>
      </c>
      <c r="C4" s="37" t="s">
        <v>43</v>
      </c>
      <c r="D4" s="37" t="s">
        <v>188</v>
      </c>
      <c r="E4" s="37" t="s">
        <v>44</v>
      </c>
      <c r="F4" s="38" t="s">
        <v>189</v>
      </c>
      <c r="G4" s="39">
        <v>18035163638</v>
      </c>
      <c r="H4" s="40"/>
      <c r="I4" s="40"/>
      <c r="J4" s="74"/>
      <c r="K4" s="40"/>
      <c r="L4" s="75">
        <v>10870</v>
      </c>
      <c r="M4" s="76">
        <v>264</v>
      </c>
      <c r="N4" s="76">
        <v>66</v>
      </c>
      <c r="O4" s="76">
        <v>9.9</v>
      </c>
      <c r="P4" s="76">
        <v>180</v>
      </c>
      <c r="Q4" s="96">
        <f t="shared" ref="Q4:Q7" si="0">ROUND(SUM(M4:P4),2)</f>
        <v>519.9</v>
      </c>
      <c r="R4" s="78">
        <v>0</v>
      </c>
      <c r="S4" s="97">
        <f>L4+IFERROR(VLOOKUP($E:$E,'（居民）工资表-4月'!$E:$S,15,0),0)</f>
        <v>47650</v>
      </c>
      <c r="T4" s="98">
        <f>5000+IFERROR(VLOOKUP($E:$E,'（居民）工资表-4月'!$E:$T,16,0),0)</f>
        <v>25000</v>
      </c>
      <c r="U4" s="98">
        <f>Q4+IFERROR(VLOOKUP($E:$E,'（居民）工资表-4月'!$E:$U,17,0),0)</f>
        <v>2599.5</v>
      </c>
      <c r="V4" s="78">
        <v>5000</v>
      </c>
      <c r="W4" s="78"/>
      <c r="X4" s="78">
        <v>5000</v>
      </c>
      <c r="Y4" s="78"/>
      <c r="Z4" s="78"/>
      <c r="AA4" s="78"/>
      <c r="AB4" s="97">
        <f t="shared" ref="AB4:AB7" si="1">ROUND(SUM(V4:AA4),2)</f>
        <v>10000</v>
      </c>
      <c r="AC4" s="97">
        <f>R4+IFERROR(VLOOKUP($E:$E,'（居民）工资表-4月'!$E:$AC,25,0),0)</f>
        <v>0</v>
      </c>
      <c r="AD4" s="100">
        <f t="shared" ref="AD4:AD7" si="2">ROUND(S4-T4-U4-AB4-AC4,2)</f>
        <v>10050.5</v>
      </c>
      <c r="AE4" s="101">
        <f>ROUND(MAX((AD4)*{0.03;0.1;0.2;0.25;0.3;0.35;0.45}-{0;2520;16920;31920;52920;85920;181920},0),2)</f>
        <v>301.52</v>
      </c>
      <c r="AF4" s="102">
        <f>IFERROR(VLOOKUP(E:E,'（居民）工资表-4月'!E:AF,28,0)+VLOOKUP(E:E,'（居民）工资表-4月'!E:AG,29,0),0)</f>
        <v>201.01</v>
      </c>
      <c r="AG4" s="102">
        <f t="shared" ref="AG4:AG6" si="3">IF((AE4-AF4)&lt;0,0,AE4-AF4)</f>
        <v>100.51</v>
      </c>
      <c r="AH4" s="109">
        <f t="shared" ref="AH4:AH6" si="4">ROUND(IF((L4-Q4-AG4)&lt;0,0,(L4-Q4-AG4)),2)</f>
        <v>10249.59</v>
      </c>
      <c r="AI4" s="110"/>
      <c r="AJ4" s="109">
        <f t="shared" ref="AJ4:AJ7" si="5">AH4+AI4</f>
        <v>10249.59</v>
      </c>
      <c r="AK4" s="111"/>
      <c r="AL4" s="109">
        <f t="shared" ref="AL4:AL7" si="6">AJ4+AG4+AK4</f>
        <v>10350.1</v>
      </c>
      <c r="AM4" s="111"/>
      <c r="AN4" s="111"/>
      <c r="AO4" s="111"/>
      <c r="AP4" s="111"/>
      <c r="AQ4" s="111"/>
      <c r="AR4" s="117" t="str">
        <f t="shared" ref="AR4:AR7" si="7">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7" t="str">
        <f>IF(SUMPRODUCT(N(E$1:E$7=E4))&gt;1,"重复","不")</f>
        <v>不</v>
      </c>
      <c r="AT4" s="117" t="str">
        <f>IF(SUMPRODUCT(N(AO$1:AO$7=AO4))&gt;1,"重复","不")</f>
        <v>重复</v>
      </c>
    </row>
    <row r="5" s="12" customFormat="1" ht="18" customHeight="1" spans="1:46">
      <c r="A5" s="36">
        <v>2</v>
      </c>
      <c r="B5" s="37" t="s">
        <v>187</v>
      </c>
      <c r="C5" s="37" t="s">
        <v>61</v>
      </c>
      <c r="D5" s="37" t="s">
        <v>188</v>
      </c>
      <c r="E5" s="37" t="s">
        <v>62</v>
      </c>
      <c r="F5" s="38" t="s">
        <v>189</v>
      </c>
      <c r="G5" s="39">
        <v>13944441728</v>
      </c>
      <c r="H5" s="40"/>
      <c r="I5" s="40"/>
      <c r="J5" s="74"/>
      <c r="K5" s="40"/>
      <c r="L5" s="75">
        <v>7000</v>
      </c>
      <c r="M5" s="76">
        <v>268.81</v>
      </c>
      <c r="N5" s="76">
        <v>72.06</v>
      </c>
      <c r="O5" s="76">
        <v>10.08</v>
      </c>
      <c r="P5" s="76">
        <v>82</v>
      </c>
      <c r="Q5" s="96">
        <f t="shared" si="0"/>
        <v>432.95</v>
      </c>
      <c r="R5" s="78">
        <v>0</v>
      </c>
      <c r="S5" s="97">
        <f>L5+IFERROR(VLOOKUP($E:$E,'（居民）工资表-4月'!$E:$S,15,0),0)</f>
        <v>35000</v>
      </c>
      <c r="T5" s="98">
        <f>5000+IFERROR(VLOOKUP($E:$E,'（居民）工资表-4月'!$E:$T,16,0),0)</f>
        <v>25000</v>
      </c>
      <c r="U5" s="98">
        <f>Q5+IFERROR(VLOOKUP($E:$E,'（居民）工资表-4月'!$E:$U,17,0),0)</f>
        <v>2164.75</v>
      </c>
      <c r="V5" s="78"/>
      <c r="W5" s="78"/>
      <c r="X5" s="78">
        <v>5000</v>
      </c>
      <c r="Y5" s="78"/>
      <c r="Z5" s="78"/>
      <c r="AA5" s="78"/>
      <c r="AB5" s="97">
        <f t="shared" si="1"/>
        <v>5000</v>
      </c>
      <c r="AC5" s="97">
        <f>R5+IFERROR(VLOOKUP($E:$E,'（居民）工资表-4月'!$E:$AC,25,0),0)</f>
        <v>0</v>
      </c>
      <c r="AD5" s="100">
        <f t="shared" si="2"/>
        <v>2835.25</v>
      </c>
      <c r="AE5" s="101">
        <f>ROUND(MAX((AD5)*{0.03;0.1;0.2;0.25;0.3;0.35;0.45}-{0;2520;16920;31920;52920;85920;181920},0),2)</f>
        <v>85.06</v>
      </c>
      <c r="AF5" s="102">
        <f>IFERROR(VLOOKUP(E:E,'（居民）工资表-4月'!E:AF,28,0)+VLOOKUP(E:E,'（居民）工资表-4月'!E:AG,29,0),0)</f>
        <v>68.05</v>
      </c>
      <c r="AG5" s="102">
        <f t="shared" si="3"/>
        <v>17.01</v>
      </c>
      <c r="AH5" s="109">
        <f t="shared" si="4"/>
        <v>6550.04</v>
      </c>
      <c r="AI5" s="110"/>
      <c r="AJ5" s="109">
        <f t="shared" si="5"/>
        <v>6550.04</v>
      </c>
      <c r="AK5" s="111"/>
      <c r="AL5" s="109">
        <f t="shared" si="6"/>
        <v>6567.05</v>
      </c>
      <c r="AM5" s="111"/>
      <c r="AN5" s="111"/>
      <c r="AO5" s="111"/>
      <c r="AP5" s="111"/>
      <c r="AQ5" s="111"/>
      <c r="AR5" s="117" t="str">
        <f t="shared" si="7"/>
        <v>正确</v>
      </c>
      <c r="AS5" s="117" t="str">
        <f>IF(SUMPRODUCT(N(E$1:E$7=E5))&gt;1,"重复","不")</f>
        <v>不</v>
      </c>
      <c r="AT5" s="117" t="str">
        <f>IF(SUMPRODUCT(N(AO$1:AO$7=AO5))&gt;1,"重复","不")</f>
        <v>重复</v>
      </c>
    </row>
    <row r="6" s="12" customFormat="1" ht="18" customHeight="1" spans="1:46">
      <c r="A6" s="36">
        <v>3</v>
      </c>
      <c r="B6" s="37" t="s">
        <v>187</v>
      </c>
      <c r="C6" s="37" t="s">
        <v>104</v>
      </c>
      <c r="D6" s="37" t="s">
        <v>188</v>
      </c>
      <c r="E6" s="398" t="s">
        <v>105</v>
      </c>
      <c r="F6" s="38" t="str">
        <f>IF(MOD(MID(E6,17,1),2)=1,"男","女")</f>
        <v>女</v>
      </c>
      <c r="G6" s="39">
        <v>15360550807</v>
      </c>
      <c r="H6" s="40"/>
      <c r="I6" s="40"/>
      <c r="J6" s="74"/>
      <c r="K6" s="40"/>
      <c r="L6" s="75">
        <v>5700</v>
      </c>
      <c r="M6" s="76">
        <v>367.04</v>
      </c>
      <c r="N6" s="76">
        <v>135.14</v>
      </c>
      <c r="O6" s="76">
        <v>4.6</v>
      </c>
      <c r="P6" s="76">
        <v>115</v>
      </c>
      <c r="Q6" s="96">
        <f t="shared" si="0"/>
        <v>621.78</v>
      </c>
      <c r="R6" s="78">
        <v>0</v>
      </c>
      <c r="S6" s="97">
        <f>L6+IFERROR(VLOOKUP($E:$E,'（居民）工资表-4月'!$E:$S,15,0),0)</f>
        <v>28500</v>
      </c>
      <c r="T6" s="98">
        <f>5000+IFERROR(VLOOKUP($E:$E,'（居民）工资表-4月'!$E:$T,16,0),0)</f>
        <v>25000</v>
      </c>
      <c r="U6" s="98">
        <f>Q6+IFERROR(VLOOKUP($E:$E,'（居民）工资表-4月'!$E:$U,17,0),0)</f>
        <v>3138.18</v>
      </c>
      <c r="V6" s="78"/>
      <c r="W6" s="78"/>
      <c r="X6" s="78"/>
      <c r="Y6" s="78">
        <v>7500</v>
      </c>
      <c r="Z6" s="78"/>
      <c r="AA6" s="78"/>
      <c r="AB6" s="97">
        <f t="shared" si="1"/>
        <v>7500</v>
      </c>
      <c r="AC6" s="97">
        <f>R6+IFERROR(VLOOKUP($E:$E,'（居民）工资表-4月'!$E:$AC,25,0),0)</f>
        <v>0</v>
      </c>
      <c r="AD6" s="100">
        <f t="shared" si="2"/>
        <v>-7138.18</v>
      </c>
      <c r="AE6" s="101">
        <f>ROUND(MAX((AD6)*{0.03;0.1;0.2;0.25;0.3;0.35;0.45}-{0;2520;16920;31920;52920;85920;181920},0),2)</f>
        <v>0</v>
      </c>
      <c r="AF6" s="102">
        <f>IFERROR(VLOOKUP(E:E,'（居民）工资表-4月'!E:AF,28,0)+VLOOKUP(E:E,'（居民）工资表-4月'!E:AG,29,0),0)</f>
        <v>0</v>
      </c>
      <c r="AG6" s="102">
        <f t="shared" si="3"/>
        <v>0</v>
      </c>
      <c r="AH6" s="109">
        <f t="shared" si="4"/>
        <v>5078.22</v>
      </c>
      <c r="AI6" s="110"/>
      <c r="AJ6" s="109">
        <f t="shared" si="5"/>
        <v>5078.22</v>
      </c>
      <c r="AK6" s="111"/>
      <c r="AL6" s="109">
        <f t="shared" si="6"/>
        <v>5078.22</v>
      </c>
      <c r="AM6" s="111"/>
      <c r="AN6" s="111"/>
      <c r="AO6" s="111"/>
      <c r="AP6" s="111"/>
      <c r="AQ6" s="111"/>
      <c r="AR6" s="117" t="str">
        <f t="shared" si="7"/>
        <v>正确</v>
      </c>
      <c r="AS6" s="117" t="str">
        <f>IF(SUMPRODUCT(N(E$1:E$7=E6))&gt;1,"重复","不")</f>
        <v>不</v>
      </c>
      <c r="AT6" s="117" t="str">
        <f>IF(SUMPRODUCT(N(AO$1:AO$7=AO6))&gt;1,"重复","不")</f>
        <v>重复</v>
      </c>
    </row>
    <row r="7" s="12" customFormat="1" ht="18" customHeight="1" spans="1:46">
      <c r="A7" s="36">
        <v>4</v>
      </c>
      <c r="B7" s="37" t="s">
        <v>187</v>
      </c>
      <c r="C7" s="37" t="s">
        <v>243</v>
      </c>
      <c r="D7" s="37" t="s">
        <v>188</v>
      </c>
      <c r="E7" s="398" t="s">
        <v>244</v>
      </c>
      <c r="F7" s="38" t="s">
        <v>189</v>
      </c>
      <c r="G7" s="39">
        <v>18607383005</v>
      </c>
      <c r="H7" s="40"/>
      <c r="I7" s="40"/>
      <c r="J7" s="74"/>
      <c r="K7" s="40"/>
      <c r="L7" s="75">
        <v>27000</v>
      </c>
      <c r="M7" s="76">
        <v>320</v>
      </c>
      <c r="N7" s="76">
        <v>80</v>
      </c>
      <c r="O7" s="76">
        <v>12</v>
      </c>
      <c r="P7" s="76">
        <v>200</v>
      </c>
      <c r="Q7" s="96">
        <f t="shared" si="0"/>
        <v>612</v>
      </c>
      <c r="R7" s="78">
        <v>0</v>
      </c>
      <c r="S7" s="97">
        <f>L7+IFERROR(VLOOKUP($E:$E,'（居民）工资表-4月'!$E:$S,15,0),0)</f>
        <v>137000</v>
      </c>
      <c r="T7" s="98">
        <f>5000+IFERROR(VLOOKUP($E:$E,'（居民）工资表-4月'!$E:$T,16,0),0)</f>
        <v>25000</v>
      </c>
      <c r="U7" s="98">
        <f>Q7+IFERROR(VLOOKUP($E:$E,'（居民）工资表-4月'!$E:$U,17,0),0)</f>
        <v>3190</v>
      </c>
      <c r="V7" s="78">
        <v>10000</v>
      </c>
      <c r="W7" s="78">
        <v>5000</v>
      </c>
      <c r="X7" s="78"/>
      <c r="Y7" s="78"/>
      <c r="Z7" s="78"/>
      <c r="AA7" s="78"/>
      <c r="AB7" s="97">
        <f t="shared" si="1"/>
        <v>15000</v>
      </c>
      <c r="AC7" s="97">
        <f>R7+IFERROR(VLOOKUP($E:$E,'（居民）工资表-4月'!$E:$AC,25,0),0)</f>
        <v>0</v>
      </c>
      <c r="AD7" s="100">
        <f t="shared" si="2"/>
        <v>93810</v>
      </c>
      <c r="AE7" s="101">
        <f>ROUND(MAX((AD7)*{0.03;0.1;0.2;0.25;0.3;0.35;0.45}-{0;2520;16920;31920;52920;85920;181920},0),2)</f>
        <v>6861</v>
      </c>
      <c r="AF7" s="102">
        <f>IFERROR(VLOOKUP(E:E,'（居民）工资表-4月'!E:AF,28,0)+VLOOKUP(E:E,'（居民）工资表-4月'!E:AG,29,0),0)</f>
        <v>5022.2</v>
      </c>
      <c r="AG7" s="102">
        <f t="shared" ref="AG7:AG19" si="8">IF((AE7-AF7)&lt;0,0,AE7-AF7)</f>
        <v>1838.8</v>
      </c>
      <c r="AH7" s="109">
        <f t="shared" ref="AH7:AH19" si="9">ROUND(IF((L7-Q7-AG7)&lt;0,0,(L7-Q7-AG7)),2)</f>
        <v>24549.2</v>
      </c>
      <c r="AI7" s="110"/>
      <c r="AJ7" s="109">
        <f t="shared" si="5"/>
        <v>24549.2</v>
      </c>
      <c r="AK7" s="111"/>
      <c r="AL7" s="109">
        <f t="shared" si="6"/>
        <v>26388</v>
      </c>
      <c r="AM7" s="111"/>
      <c r="AN7" s="111"/>
      <c r="AO7" s="111"/>
      <c r="AP7" s="111"/>
      <c r="AQ7" s="111"/>
      <c r="AR7" s="117" t="str">
        <f t="shared" si="7"/>
        <v>正确</v>
      </c>
      <c r="AS7" s="117" t="str">
        <f>IF(SUMPRODUCT(N(E$1:E$7=E7))&gt;1,"重复","不")</f>
        <v>不</v>
      </c>
      <c r="AT7" s="117" t="str">
        <f>IF(SUMPRODUCT(N(AO$1:AO$7=AO7))&gt;1,"重复","不")</f>
        <v>重复</v>
      </c>
    </row>
    <row r="8" s="12" customFormat="1" ht="18" customHeight="1" spans="1:46">
      <c r="A8" s="36">
        <v>5</v>
      </c>
      <c r="B8" s="37" t="s">
        <v>187</v>
      </c>
      <c r="C8" s="37" t="s">
        <v>245</v>
      </c>
      <c r="D8" s="37" t="s">
        <v>188</v>
      </c>
      <c r="E8" s="37" t="s">
        <v>246</v>
      </c>
      <c r="F8" s="38" t="s">
        <v>189</v>
      </c>
      <c r="G8" s="39">
        <v>13373825180</v>
      </c>
      <c r="H8" s="40"/>
      <c r="I8" s="40"/>
      <c r="J8" s="74"/>
      <c r="K8" s="40"/>
      <c r="L8" s="75">
        <v>30739</v>
      </c>
      <c r="M8" s="76">
        <v>296</v>
      </c>
      <c r="N8" s="76">
        <v>74</v>
      </c>
      <c r="O8" s="76">
        <v>11.1</v>
      </c>
      <c r="P8" s="76">
        <v>85</v>
      </c>
      <c r="Q8" s="96">
        <f t="shared" ref="Q8:Q19" si="10">ROUND(SUM(M8:P8),2)</f>
        <v>466.1</v>
      </c>
      <c r="R8" s="78">
        <v>0</v>
      </c>
      <c r="S8" s="97">
        <f>L8+IFERROR(VLOOKUP($E:$E,'（居民）工资表-4月'!$E:$S,15,0),0)</f>
        <v>143772.5</v>
      </c>
      <c r="T8" s="98">
        <f>5000+IFERROR(VLOOKUP($E:$E,'（居民）工资表-4月'!$E:$T,16,0),0)</f>
        <v>25000</v>
      </c>
      <c r="U8" s="98">
        <f>Q8+IFERROR(VLOOKUP($E:$E,'（居民）工资表-4月'!$E:$U,17,0),0)</f>
        <v>2567.47</v>
      </c>
      <c r="V8" s="78">
        <v>5000</v>
      </c>
      <c r="W8" s="78">
        <v>5000</v>
      </c>
      <c r="X8" s="78">
        <v>5000</v>
      </c>
      <c r="Y8" s="78"/>
      <c r="Z8" s="78"/>
      <c r="AA8" s="78"/>
      <c r="AB8" s="97">
        <f t="shared" ref="AB8:AB19" si="11">ROUND(SUM(V8:AA8),2)</f>
        <v>15000</v>
      </c>
      <c r="AC8" s="97">
        <f>R8+IFERROR(VLOOKUP($E:$E,'（居民）工资表-4月'!$E:$AC,25,0),0)</f>
        <v>0</v>
      </c>
      <c r="AD8" s="100">
        <f t="shared" ref="AD8:AD19" si="12">ROUND(S8-T8-U8-AB8-AC8,2)</f>
        <v>101205.03</v>
      </c>
      <c r="AE8" s="101">
        <f>ROUND(MAX((AD8)*{0.03;0.1;0.2;0.25;0.3;0.35;0.45}-{0;2520;16920;31920;52920;85920;181920},0),2)</f>
        <v>7600.5</v>
      </c>
      <c r="AF8" s="102">
        <f>IFERROR(VLOOKUP(E:E,'（居民）工资表-4月'!E:AF,28,0)+VLOOKUP(E:E,'（居民）工资表-4月'!E:AG,29,0),0)</f>
        <v>5373.21</v>
      </c>
      <c r="AG8" s="102">
        <f t="shared" si="8"/>
        <v>2227.29</v>
      </c>
      <c r="AH8" s="109">
        <f t="shared" si="9"/>
        <v>28045.61</v>
      </c>
      <c r="AI8" s="110"/>
      <c r="AJ8" s="109">
        <f t="shared" ref="AJ8:AJ19" si="13">AH8+AI8</f>
        <v>28045.61</v>
      </c>
      <c r="AK8" s="111"/>
      <c r="AL8" s="109">
        <f t="shared" ref="AL8:AL19" si="14">AJ8+AG8+AK8</f>
        <v>30272.9</v>
      </c>
      <c r="AM8" s="111"/>
      <c r="AN8" s="111"/>
      <c r="AO8" s="111"/>
      <c r="AP8" s="111"/>
      <c r="AQ8" s="111"/>
      <c r="AR8" s="117" t="str">
        <f t="shared" ref="AR8:AR19" si="15">IF(LEN(E8)=18,IF(RIGHT(E8,1)="X",IF(CHOOSE(MOD(SUM(LEFT(RIGHT(E8,18))*7+LEFT(RIGHT(E8,17))*9+LEFT(RIGHT(E8,16))*10+LEFT(RIGHT(E8,15))*5+LEFT(RIGHT(E8,14))*8+LEFT(RIGHT(E8,13))*4+LEFT(RIGHT(E8,12))*2+LEFT(RIGHT(E8,11))*1+LEFT(RIGHT(E8,10))*6+LEFT(RIGHT(E8,9))*3+LEFT(RIGHT(E8,8))*7+LEFT(RIGHT(E8,7))*9+LEFT(RIGHT(E8,6))*10+LEFT(RIGHT(E8,5))*5+LEFT(RIGHT(E8,4))*8+LEFT(RIGHT(E8,3))*4+LEFT(RIGHT(E8,2))*2),11)+1,1,0,"X",9,8,7,6,5,4,3,2)=LEFT(RIGHT(E8,1)),"正确","错误"),IF(CHOOSE(MOD(SUM(LEFT(RIGHT(E8,18))*7+LEFT(RIGHT(E8,17))*9+LEFT(RIGHT(E8,16))*10+LEFT(RIGHT(E8,15))*5+LEFT(RIGHT(E8,14))*8+LEFT(RIGHT(E8,13))*4+LEFT(RIGHT(E8,12))*2+LEFT(RIGHT(E8,11))*1+LEFT(RIGHT(E8,10))*6+LEFT(RIGHT(E8,9))*3+LEFT(RIGHT(E8,8))*7+LEFT(RIGHT(E8,7))*9+LEFT(RIGHT(E8,6))*10+LEFT(RIGHT(E8,5))*5+LEFT(RIGHT(E8,4))*8+LEFT(RIGHT(E8,3))*4+LEFT(RIGHT(E8,2))*2),11)+1,1,0,"X",9,8,7,6,5,4,3,2)=LEFT(RIGHT(E8,1))*1,"正确","错误")),IF(LEN(E8)=15,"老号，请注意！",IF(LEN(E8)=0,"未填写身份证号码","位数不对！")))</f>
        <v>正确</v>
      </c>
      <c r="AS8" s="117" t="str">
        <f t="shared" ref="AS8:AS16" si="16">IF(SUMPRODUCT(N(E$1:E$7=E8))&gt;1,"重复","不")</f>
        <v>不</v>
      </c>
      <c r="AT8" s="117" t="str">
        <f t="shared" ref="AT8:AT16" si="17">IF(SUMPRODUCT(N(AO$1:AO$7=AO8))&gt;1,"重复","不")</f>
        <v>重复</v>
      </c>
    </row>
    <row r="9" s="12" customFormat="1" ht="18" customHeight="1" spans="1:46">
      <c r="A9" s="36">
        <v>6</v>
      </c>
      <c r="B9" s="41" t="s">
        <v>187</v>
      </c>
      <c r="C9" s="41" t="s">
        <v>191</v>
      </c>
      <c r="D9" s="41" t="s">
        <v>188</v>
      </c>
      <c r="E9" s="41" t="s">
        <v>192</v>
      </c>
      <c r="F9" s="42" t="s">
        <v>189</v>
      </c>
      <c r="G9" s="43">
        <v>18037463616</v>
      </c>
      <c r="H9" s="44"/>
      <c r="I9" s="44"/>
      <c r="J9" s="77"/>
      <c r="K9" s="44"/>
      <c r="L9" s="75">
        <v>14320</v>
      </c>
      <c r="M9" s="76">
        <v>254.32</v>
      </c>
      <c r="N9" s="76">
        <v>63.94</v>
      </c>
      <c r="O9" s="76">
        <v>9.54</v>
      </c>
      <c r="P9" s="76">
        <v>254.32</v>
      </c>
      <c r="Q9" s="96">
        <f t="shared" si="10"/>
        <v>582.12</v>
      </c>
      <c r="R9" s="78">
        <v>0</v>
      </c>
      <c r="S9" s="97">
        <f>L9+IFERROR(VLOOKUP($E:$E,'（居民）工资表-4月'!$E:$S,15,0),0)</f>
        <v>56412.63</v>
      </c>
      <c r="T9" s="98">
        <f>5000+IFERROR(VLOOKUP($E:$E,'（居民）工资表-4月'!$E:$T,16,0),0)</f>
        <v>20000</v>
      </c>
      <c r="U9" s="98">
        <f>Q9+IFERROR(VLOOKUP($E:$E,'（居民）工资表-4月'!$E:$U,17,0),0)</f>
        <v>2810.13</v>
      </c>
      <c r="V9" s="78"/>
      <c r="W9" s="78"/>
      <c r="X9" s="78">
        <v>4000</v>
      </c>
      <c r="Y9" s="78"/>
      <c r="Z9" s="78"/>
      <c r="AA9" s="78"/>
      <c r="AB9" s="97">
        <f t="shared" si="11"/>
        <v>4000</v>
      </c>
      <c r="AC9" s="97">
        <f>R9+IFERROR(VLOOKUP($E:$E,'（居民）工资表-4月'!$E:$AC,25,0),0)</f>
        <v>0</v>
      </c>
      <c r="AD9" s="100">
        <f t="shared" si="12"/>
        <v>29602.5</v>
      </c>
      <c r="AE9" s="101">
        <f>ROUND(MAX((AD9)*{0.03;0.1;0.2;0.25;0.3;0.35;0.45}-{0;2520;16920;31920;52920;85920;181920},0),2)</f>
        <v>888.08</v>
      </c>
      <c r="AF9" s="102">
        <f>IFERROR(VLOOKUP(E:E,'（居民）工资表-4月'!E:AF,28,0)+VLOOKUP(E:E,'（居民）工资表-4月'!E:AG,29,0),0)</f>
        <v>655.94</v>
      </c>
      <c r="AG9" s="102">
        <f t="shared" si="8"/>
        <v>232.14</v>
      </c>
      <c r="AH9" s="109">
        <f t="shared" si="9"/>
        <v>13505.74</v>
      </c>
      <c r="AI9" s="110"/>
      <c r="AJ9" s="109">
        <f t="shared" si="13"/>
        <v>13505.74</v>
      </c>
      <c r="AK9" s="111"/>
      <c r="AL9" s="109">
        <f t="shared" si="14"/>
        <v>13737.88</v>
      </c>
      <c r="AM9" s="111"/>
      <c r="AN9" s="111"/>
      <c r="AO9" s="111"/>
      <c r="AP9" s="111"/>
      <c r="AQ9" s="111"/>
      <c r="AR9" s="117" t="str">
        <f t="shared" si="15"/>
        <v>正确</v>
      </c>
      <c r="AS9" s="117" t="str">
        <f t="shared" si="16"/>
        <v>不</v>
      </c>
      <c r="AT9" s="117" t="str">
        <f t="shared" si="17"/>
        <v>重复</v>
      </c>
    </row>
    <row r="10" s="12" customFormat="1" ht="18" customHeight="1" spans="1:46">
      <c r="A10" s="36">
        <v>7</v>
      </c>
      <c r="B10" s="37" t="s">
        <v>187</v>
      </c>
      <c r="C10" s="37" t="s">
        <v>193</v>
      </c>
      <c r="D10" s="37" t="s">
        <v>188</v>
      </c>
      <c r="E10" s="398" t="s">
        <v>194</v>
      </c>
      <c r="F10" s="38" t="s">
        <v>189</v>
      </c>
      <c r="G10" s="39">
        <v>18500634358</v>
      </c>
      <c r="H10" s="40"/>
      <c r="I10" s="40"/>
      <c r="J10" s="74"/>
      <c r="K10" s="40"/>
      <c r="L10" s="75">
        <v>14620</v>
      </c>
      <c r="M10" s="76">
        <v>254.32</v>
      </c>
      <c r="N10" s="76">
        <v>63.94</v>
      </c>
      <c r="O10" s="76">
        <v>9.54</v>
      </c>
      <c r="P10" s="76">
        <v>254.32</v>
      </c>
      <c r="Q10" s="96">
        <f t="shared" si="10"/>
        <v>582.12</v>
      </c>
      <c r="R10" s="78">
        <v>0</v>
      </c>
      <c r="S10" s="97">
        <f>L10+IFERROR(VLOOKUP($E:$E,'（居民）工资表-4月'!$E:$S,15,0),0)</f>
        <v>58660</v>
      </c>
      <c r="T10" s="98">
        <f>5000+IFERROR(VLOOKUP($E:$E,'（居民）工资表-4月'!$E:$T,16,0),0)</f>
        <v>20000</v>
      </c>
      <c r="U10" s="98">
        <f>Q10+IFERROR(VLOOKUP($E:$E,'（居民）工资表-4月'!$E:$U,17,0),0)</f>
        <v>2810.13</v>
      </c>
      <c r="V10" s="78"/>
      <c r="W10" s="78"/>
      <c r="X10" s="78"/>
      <c r="Y10" s="78"/>
      <c r="Z10" s="78"/>
      <c r="AA10" s="78"/>
      <c r="AB10" s="97">
        <f t="shared" si="11"/>
        <v>0</v>
      </c>
      <c r="AC10" s="97">
        <f>R10+IFERROR(VLOOKUP($E:$E,'（居民）工资表-4月'!$E:$AC,25,0),0)</f>
        <v>0</v>
      </c>
      <c r="AD10" s="100">
        <f t="shared" si="12"/>
        <v>35849.87</v>
      </c>
      <c r="AE10" s="101">
        <f>ROUND(MAX((AD10)*{0.03;0.1;0.2;0.25;0.3;0.35;0.45}-{0;2520;16920;31920;52920;85920;181920},0),2)</f>
        <v>1075.5</v>
      </c>
      <c r="AF10" s="102">
        <f>IFERROR(VLOOKUP(E:E,'（居民）工资表-4月'!E:AF,28,0)+VLOOKUP(E:E,'（居民）工资表-4月'!E:AG,29,0),0)</f>
        <v>804.36</v>
      </c>
      <c r="AG10" s="102">
        <f t="shared" si="8"/>
        <v>271.14</v>
      </c>
      <c r="AH10" s="109">
        <f t="shared" si="9"/>
        <v>13766.74</v>
      </c>
      <c r="AI10" s="110"/>
      <c r="AJ10" s="109">
        <f t="shared" si="13"/>
        <v>13766.74</v>
      </c>
      <c r="AK10" s="111"/>
      <c r="AL10" s="109">
        <f t="shared" si="14"/>
        <v>14037.88</v>
      </c>
      <c r="AM10" s="111"/>
      <c r="AN10" s="111"/>
      <c r="AO10" s="111"/>
      <c r="AP10" s="111"/>
      <c r="AQ10" s="111"/>
      <c r="AR10" s="117" t="str">
        <f t="shared" si="15"/>
        <v>正确</v>
      </c>
      <c r="AS10" s="117" t="str">
        <f t="shared" si="16"/>
        <v>不</v>
      </c>
      <c r="AT10" s="117" t="str">
        <f t="shared" si="17"/>
        <v>重复</v>
      </c>
    </row>
    <row r="11" s="12" customFormat="1" ht="18" customHeight="1" spans="1:46">
      <c r="A11" s="36">
        <v>8</v>
      </c>
      <c r="B11" s="37" t="s">
        <v>187</v>
      </c>
      <c r="C11" s="37" t="s">
        <v>195</v>
      </c>
      <c r="D11" s="37" t="s">
        <v>188</v>
      </c>
      <c r="E11" s="37" t="s">
        <v>196</v>
      </c>
      <c r="F11" s="38" t="s">
        <v>189</v>
      </c>
      <c r="G11" s="39">
        <v>18738169923</v>
      </c>
      <c r="H11" s="40"/>
      <c r="I11" s="40"/>
      <c r="J11" s="74"/>
      <c r="K11" s="40"/>
      <c r="L11" s="75">
        <v>12120</v>
      </c>
      <c r="M11" s="76">
        <v>254.32</v>
      </c>
      <c r="N11" s="76">
        <v>63.94</v>
      </c>
      <c r="O11" s="76">
        <v>9.54</v>
      </c>
      <c r="P11" s="76">
        <v>254.32</v>
      </c>
      <c r="Q11" s="96">
        <f t="shared" si="10"/>
        <v>582.12</v>
      </c>
      <c r="R11" s="78">
        <v>0</v>
      </c>
      <c r="S11" s="97">
        <f>L11+IFERROR(VLOOKUP($E:$E,'（居民）工资表-4月'!$E:$S,15,0),0)</f>
        <v>48660</v>
      </c>
      <c r="T11" s="98">
        <f>5000+IFERROR(VLOOKUP($E:$E,'（居民）工资表-4月'!$E:$T,16,0),0)</f>
        <v>20000</v>
      </c>
      <c r="U11" s="98">
        <f>Q11+IFERROR(VLOOKUP($E:$E,'（居民）工资表-4月'!$E:$U,17,0),0)</f>
        <v>2910.6</v>
      </c>
      <c r="V11" s="78"/>
      <c r="W11" s="78"/>
      <c r="X11" s="78"/>
      <c r="Y11" s="78"/>
      <c r="Z11" s="78"/>
      <c r="AA11" s="78"/>
      <c r="AB11" s="97">
        <f t="shared" si="11"/>
        <v>0</v>
      </c>
      <c r="AC11" s="97">
        <f>R11+IFERROR(VLOOKUP($E:$E,'（居民）工资表-4月'!$E:$AC,25,0),0)</f>
        <v>0</v>
      </c>
      <c r="AD11" s="100">
        <f t="shared" si="12"/>
        <v>25749.4</v>
      </c>
      <c r="AE11" s="101">
        <f>ROUND(MAX((AD11)*{0.03;0.1;0.2;0.25;0.3;0.35;0.45}-{0;2520;16920;31920;52920;85920;181920},0),2)</f>
        <v>772.48</v>
      </c>
      <c r="AF11" s="102">
        <f>IFERROR(VLOOKUP(E:E,'（居民）工资表-4月'!E:AF,28,0)+VLOOKUP(E:E,'（居民）工资表-4月'!E:AG,29,0),0)</f>
        <v>576.35</v>
      </c>
      <c r="AG11" s="102">
        <f t="shared" si="8"/>
        <v>196.13</v>
      </c>
      <c r="AH11" s="109">
        <f t="shared" si="9"/>
        <v>11341.75</v>
      </c>
      <c r="AI11" s="110"/>
      <c r="AJ11" s="109">
        <f t="shared" si="13"/>
        <v>11341.75</v>
      </c>
      <c r="AK11" s="111"/>
      <c r="AL11" s="109">
        <f t="shared" si="14"/>
        <v>11537.88</v>
      </c>
      <c r="AM11" s="111"/>
      <c r="AN11" s="111"/>
      <c r="AO11" s="111"/>
      <c r="AP11" s="111"/>
      <c r="AQ11" s="111"/>
      <c r="AR11" s="117" t="str">
        <f t="shared" si="15"/>
        <v>正确</v>
      </c>
      <c r="AS11" s="117" t="str">
        <f t="shared" si="16"/>
        <v>不</v>
      </c>
      <c r="AT11" s="117" t="str">
        <f t="shared" si="17"/>
        <v>重复</v>
      </c>
    </row>
    <row r="12" s="12" customFormat="1" ht="18" customHeight="1" spans="1:46">
      <c r="A12" s="36">
        <v>9</v>
      </c>
      <c r="B12" s="37" t="s">
        <v>187</v>
      </c>
      <c r="C12" s="37" t="s">
        <v>197</v>
      </c>
      <c r="D12" s="37" t="s">
        <v>188</v>
      </c>
      <c r="E12" s="37" t="s">
        <v>198</v>
      </c>
      <c r="F12" s="38" t="s">
        <v>189</v>
      </c>
      <c r="G12" s="39" t="s">
        <v>199</v>
      </c>
      <c r="H12" s="40"/>
      <c r="I12" s="40"/>
      <c r="J12" s="74"/>
      <c r="K12" s="40"/>
      <c r="L12" s="75">
        <v>17120</v>
      </c>
      <c r="M12" s="76">
        <v>254.32</v>
      </c>
      <c r="N12" s="76">
        <v>63.94</v>
      </c>
      <c r="O12" s="76">
        <v>9.54</v>
      </c>
      <c r="P12" s="76">
        <v>254.32</v>
      </c>
      <c r="Q12" s="96">
        <f t="shared" si="10"/>
        <v>582.12</v>
      </c>
      <c r="R12" s="78">
        <v>0</v>
      </c>
      <c r="S12" s="97">
        <f>L12+IFERROR(VLOOKUP($E:$E,'（居民）工资表-4月'!$E:$S,15,0),0)</f>
        <v>35134.74</v>
      </c>
      <c r="T12" s="98">
        <f>5000+IFERROR(VLOOKUP($E:$E,'（居民）工资表-4月'!$E:$T,16,0),0)</f>
        <v>10000</v>
      </c>
      <c r="U12" s="98">
        <f>Q12+IFERROR(VLOOKUP($E:$E,'（居民）工资表-4月'!$E:$U,17,0),0)</f>
        <v>1746.36</v>
      </c>
      <c r="V12" s="78"/>
      <c r="W12" s="78"/>
      <c r="X12" s="78"/>
      <c r="Y12" s="78"/>
      <c r="Z12" s="78"/>
      <c r="AA12" s="78"/>
      <c r="AB12" s="97">
        <f t="shared" si="11"/>
        <v>0</v>
      </c>
      <c r="AC12" s="97">
        <f>R12+IFERROR(VLOOKUP($E:$E,'（居民）工资表-4月'!$E:$AC,25,0),0)</f>
        <v>0</v>
      </c>
      <c r="AD12" s="100">
        <f t="shared" si="12"/>
        <v>23388.38</v>
      </c>
      <c r="AE12" s="101">
        <f>ROUND(MAX((AD12)*{0.03;0.1;0.2;0.25;0.3;0.35;0.45}-{0;2520;16920;31920;52920;85920;181920},0),2)</f>
        <v>701.65</v>
      </c>
      <c r="AF12" s="102">
        <f>IFERROR(VLOOKUP(E:E,'（居民）工资表-4月'!E:AF,28,0)+VLOOKUP(E:E,'（居民）工资表-4月'!E:AG,29,0),0)</f>
        <v>355.52</v>
      </c>
      <c r="AG12" s="102">
        <f t="shared" si="8"/>
        <v>346.13</v>
      </c>
      <c r="AH12" s="109">
        <f t="shared" si="9"/>
        <v>16191.75</v>
      </c>
      <c r="AI12" s="110"/>
      <c r="AJ12" s="109">
        <f t="shared" si="13"/>
        <v>16191.75</v>
      </c>
      <c r="AK12" s="111"/>
      <c r="AL12" s="109">
        <f t="shared" si="14"/>
        <v>16537.88</v>
      </c>
      <c r="AM12" s="111"/>
      <c r="AN12" s="111"/>
      <c r="AO12" s="111"/>
      <c r="AP12" s="111"/>
      <c r="AQ12" s="111"/>
      <c r="AR12" s="117" t="str">
        <f t="shared" si="15"/>
        <v>正确</v>
      </c>
      <c r="AS12" s="117" t="str">
        <f t="shared" si="16"/>
        <v>不</v>
      </c>
      <c r="AT12" s="117" t="str">
        <f t="shared" si="17"/>
        <v>重复</v>
      </c>
    </row>
    <row r="13" s="12" customFormat="1" ht="18" customHeight="1" spans="1:46">
      <c r="A13" s="36">
        <v>10</v>
      </c>
      <c r="B13" s="37" t="s">
        <v>187</v>
      </c>
      <c r="C13" s="37" t="s">
        <v>200</v>
      </c>
      <c r="D13" s="37" t="s">
        <v>188</v>
      </c>
      <c r="E13" s="37" t="s">
        <v>201</v>
      </c>
      <c r="F13" s="38" t="s">
        <v>189</v>
      </c>
      <c r="G13" s="39" t="s">
        <v>202</v>
      </c>
      <c r="H13" s="40"/>
      <c r="I13" s="40"/>
      <c r="J13" s="74"/>
      <c r="K13" s="40"/>
      <c r="L13" s="75">
        <v>18420</v>
      </c>
      <c r="M13" s="76">
        <v>254.32</v>
      </c>
      <c r="N13" s="76">
        <v>63.94</v>
      </c>
      <c r="O13" s="76">
        <v>9.54</v>
      </c>
      <c r="P13" s="76">
        <v>254.32</v>
      </c>
      <c r="Q13" s="96">
        <f t="shared" si="10"/>
        <v>582.12</v>
      </c>
      <c r="R13" s="78">
        <v>0</v>
      </c>
      <c r="S13" s="97">
        <f>L13+IFERROR(VLOOKUP($E:$E,'（居民）工资表-4月'!$E:$S,15,0),0)</f>
        <v>33537.39</v>
      </c>
      <c r="T13" s="98">
        <f>5000+IFERROR(VLOOKUP($E:$E,'（居民）工资表-4月'!$E:$T,16,0),0)</f>
        <v>10000</v>
      </c>
      <c r="U13" s="98">
        <f>Q13+IFERROR(VLOOKUP($E:$E,'（居民）工资表-4月'!$E:$U,17,0),0)</f>
        <v>1746.36</v>
      </c>
      <c r="V13" s="78"/>
      <c r="W13" s="78"/>
      <c r="X13" s="78"/>
      <c r="Y13" s="78"/>
      <c r="Z13" s="78"/>
      <c r="AA13" s="78"/>
      <c r="AB13" s="97">
        <f t="shared" si="11"/>
        <v>0</v>
      </c>
      <c r="AC13" s="97">
        <f>R13+IFERROR(VLOOKUP($E:$E,'（居民）工资表-4月'!$E:$AC,25,0),0)</f>
        <v>0</v>
      </c>
      <c r="AD13" s="100">
        <f t="shared" si="12"/>
        <v>21791.03</v>
      </c>
      <c r="AE13" s="101">
        <f>ROUND(MAX((AD13)*{0.03;0.1;0.2;0.25;0.3;0.35;0.45}-{0;2520;16920;31920;52920;85920;181920},0),2)</f>
        <v>653.73</v>
      </c>
      <c r="AF13" s="102">
        <f>IFERROR(VLOOKUP(E:E,'（居民）工资表-4月'!E:AF,28,0)+VLOOKUP(E:E,'（居民）工资表-4月'!E:AG,29,0),0)</f>
        <v>268.59</v>
      </c>
      <c r="AG13" s="102">
        <f t="shared" si="8"/>
        <v>385.14</v>
      </c>
      <c r="AH13" s="109">
        <f t="shared" si="9"/>
        <v>17452.74</v>
      </c>
      <c r="AI13" s="110"/>
      <c r="AJ13" s="109">
        <f t="shared" si="13"/>
        <v>17452.74</v>
      </c>
      <c r="AK13" s="111"/>
      <c r="AL13" s="109">
        <f t="shared" si="14"/>
        <v>17837.88</v>
      </c>
      <c r="AM13" s="111"/>
      <c r="AN13" s="111"/>
      <c r="AO13" s="111"/>
      <c r="AP13" s="111"/>
      <c r="AQ13" s="111"/>
      <c r="AR13" s="117" t="str">
        <f t="shared" si="15"/>
        <v>正确</v>
      </c>
      <c r="AS13" s="117" t="str">
        <f t="shared" si="16"/>
        <v>不</v>
      </c>
      <c r="AT13" s="117" t="str">
        <f t="shared" si="17"/>
        <v>重复</v>
      </c>
    </row>
    <row r="14" s="12" customFormat="1" ht="18" customHeight="1" spans="1:46">
      <c r="A14" s="36">
        <v>11</v>
      </c>
      <c r="B14" s="37" t="s">
        <v>187</v>
      </c>
      <c r="C14" s="37" t="s">
        <v>203</v>
      </c>
      <c r="D14" s="37" t="s">
        <v>188</v>
      </c>
      <c r="E14" s="37" t="s">
        <v>204</v>
      </c>
      <c r="F14" s="38" t="s">
        <v>189</v>
      </c>
      <c r="G14" s="39" t="s">
        <v>205</v>
      </c>
      <c r="H14" s="40"/>
      <c r="I14" s="40"/>
      <c r="J14" s="74"/>
      <c r="K14" s="40"/>
      <c r="L14" s="75">
        <v>13620</v>
      </c>
      <c r="M14" s="76">
        <v>254.32</v>
      </c>
      <c r="N14" s="76">
        <v>63.94</v>
      </c>
      <c r="O14" s="76">
        <v>9.54</v>
      </c>
      <c r="P14" s="76">
        <v>254.32</v>
      </c>
      <c r="Q14" s="96">
        <f t="shared" si="10"/>
        <v>582.12</v>
      </c>
      <c r="R14" s="78">
        <v>0</v>
      </c>
      <c r="S14" s="97">
        <f>L14+IFERROR(VLOOKUP($E:$E,'（居民）工资表-4月'!$E:$S,15,0),0)</f>
        <v>24772.17</v>
      </c>
      <c r="T14" s="98">
        <f>5000+IFERROR(VLOOKUP($E:$E,'（居民）工资表-4月'!$E:$T,16,0),0)</f>
        <v>10000</v>
      </c>
      <c r="U14" s="98">
        <f>Q14+IFERROR(VLOOKUP($E:$E,'（居民）工资表-4月'!$E:$U,17,0),0)</f>
        <v>1746.36</v>
      </c>
      <c r="V14" s="78"/>
      <c r="W14" s="78"/>
      <c r="X14" s="78"/>
      <c r="Y14" s="78"/>
      <c r="Z14" s="78"/>
      <c r="AA14" s="78"/>
      <c r="AB14" s="97">
        <f t="shared" si="11"/>
        <v>0</v>
      </c>
      <c r="AC14" s="97">
        <f>R14+IFERROR(VLOOKUP($E:$E,'（居民）工资表-4月'!$E:$AC,25,0),0)</f>
        <v>0</v>
      </c>
      <c r="AD14" s="100">
        <f t="shared" si="12"/>
        <v>13025.81</v>
      </c>
      <c r="AE14" s="101">
        <f>ROUND(MAX((AD14)*{0.03;0.1;0.2;0.25;0.3;0.35;0.45}-{0;2520;16920;31920;52920;85920;181920},0),2)</f>
        <v>390.77</v>
      </c>
      <c r="AF14" s="102">
        <f>IFERROR(VLOOKUP(E:E,'（居民）工资表-4月'!E:AF,28,0)+VLOOKUP(E:E,'（居民）工资表-4月'!E:AG,29,0),0)</f>
        <v>149.64</v>
      </c>
      <c r="AG14" s="102">
        <f t="shared" si="8"/>
        <v>241.13</v>
      </c>
      <c r="AH14" s="109">
        <f t="shared" si="9"/>
        <v>12796.75</v>
      </c>
      <c r="AI14" s="110"/>
      <c r="AJ14" s="109">
        <f t="shared" si="13"/>
        <v>12796.75</v>
      </c>
      <c r="AK14" s="111"/>
      <c r="AL14" s="109">
        <f t="shared" si="14"/>
        <v>13037.88</v>
      </c>
      <c r="AM14" s="111"/>
      <c r="AN14" s="111"/>
      <c r="AO14" s="111"/>
      <c r="AP14" s="111"/>
      <c r="AQ14" s="111"/>
      <c r="AR14" s="117" t="str">
        <f t="shared" si="15"/>
        <v>正确</v>
      </c>
      <c r="AS14" s="117" t="str">
        <f t="shared" si="16"/>
        <v>不</v>
      </c>
      <c r="AT14" s="117" t="str">
        <f t="shared" si="17"/>
        <v>重复</v>
      </c>
    </row>
    <row r="15" s="12" customFormat="1" ht="18" customHeight="1" spans="1:46">
      <c r="A15" s="36">
        <v>12</v>
      </c>
      <c r="B15" s="37" t="s">
        <v>187</v>
      </c>
      <c r="C15" s="37" t="s">
        <v>206</v>
      </c>
      <c r="D15" s="37" t="s">
        <v>188</v>
      </c>
      <c r="E15" s="37" t="s">
        <v>207</v>
      </c>
      <c r="F15" s="38" t="s">
        <v>189</v>
      </c>
      <c r="G15" s="39">
        <v>15001138812</v>
      </c>
      <c r="H15" s="40"/>
      <c r="I15" s="40"/>
      <c r="J15" s="74"/>
      <c r="K15" s="40"/>
      <c r="L15" s="75">
        <v>10120</v>
      </c>
      <c r="M15" s="76">
        <v>254.32</v>
      </c>
      <c r="N15" s="76">
        <v>63.94</v>
      </c>
      <c r="O15" s="76">
        <v>9.54</v>
      </c>
      <c r="P15" s="76">
        <v>254.32</v>
      </c>
      <c r="Q15" s="96">
        <f t="shared" si="10"/>
        <v>582.12</v>
      </c>
      <c r="R15" s="78">
        <v>0</v>
      </c>
      <c r="S15" s="97">
        <f>L15+IFERROR(VLOOKUP($E:$E,'（居民）工资表-4月'!$E:$S,15,0),0)</f>
        <v>40660</v>
      </c>
      <c r="T15" s="98">
        <f>5000+IFERROR(VLOOKUP($E:$E,'（居民）工资表-4月'!$E:$T,16,0),0)</f>
        <v>20000</v>
      </c>
      <c r="U15" s="98">
        <f>Q15+IFERROR(VLOOKUP($E:$E,'（居民）工资表-4月'!$E:$U,17,0),0)</f>
        <v>2910.6</v>
      </c>
      <c r="V15" s="78"/>
      <c r="W15" s="78"/>
      <c r="X15" s="78"/>
      <c r="Y15" s="78"/>
      <c r="Z15" s="78"/>
      <c r="AA15" s="78"/>
      <c r="AB15" s="97">
        <f t="shared" si="11"/>
        <v>0</v>
      </c>
      <c r="AC15" s="97">
        <f>R15+IFERROR(VLOOKUP($E:$E,'（居民）工资表-4月'!$E:$AC,25,0),0)</f>
        <v>0</v>
      </c>
      <c r="AD15" s="100">
        <f t="shared" si="12"/>
        <v>17749.4</v>
      </c>
      <c r="AE15" s="101">
        <f>ROUND(MAX((AD15)*{0.03;0.1;0.2;0.25;0.3;0.35;0.45}-{0;2520;16920;31920;52920;85920;181920},0),2)</f>
        <v>532.48</v>
      </c>
      <c r="AF15" s="102">
        <f>IFERROR(VLOOKUP(E:E,'（居民）工资表-4月'!E:AF,28,0)+VLOOKUP(E:E,'（居民）工资表-4月'!E:AG,29,0),0)</f>
        <v>396.35</v>
      </c>
      <c r="AG15" s="102">
        <f t="shared" si="8"/>
        <v>136.13</v>
      </c>
      <c r="AH15" s="109">
        <f t="shared" si="9"/>
        <v>9401.75</v>
      </c>
      <c r="AI15" s="110"/>
      <c r="AJ15" s="109">
        <f t="shared" si="13"/>
        <v>9401.75</v>
      </c>
      <c r="AK15" s="111"/>
      <c r="AL15" s="109">
        <f t="shared" si="14"/>
        <v>9537.88</v>
      </c>
      <c r="AM15" s="111"/>
      <c r="AN15" s="111"/>
      <c r="AO15" s="111"/>
      <c r="AP15" s="111"/>
      <c r="AQ15" s="111"/>
      <c r="AR15" s="117" t="str">
        <f t="shared" si="15"/>
        <v>正确</v>
      </c>
      <c r="AS15" s="117" t="str">
        <f t="shared" si="16"/>
        <v>不</v>
      </c>
      <c r="AT15" s="117" t="str">
        <f t="shared" si="17"/>
        <v>重复</v>
      </c>
    </row>
    <row r="16" s="12" customFormat="1" ht="18" customHeight="1" spans="1:46">
      <c r="A16" s="36">
        <v>13</v>
      </c>
      <c r="B16" s="37" t="s">
        <v>187</v>
      </c>
      <c r="C16" s="37" t="s">
        <v>208</v>
      </c>
      <c r="D16" s="37" t="s">
        <v>188</v>
      </c>
      <c r="E16" s="37" t="s">
        <v>209</v>
      </c>
      <c r="F16" s="38" t="s">
        <v>189</v>
      </c>
      <c r="G16" s="39">
        <v>15333903368</v>
      </c>
      <c r="H16" s="40"/>
      <c r="I16" s="40"/>
      <c r="J16" s="74"/>
      <c r="K16" s="40"/>
      <c r="L16" s="75">
        <v>15120</v>
      </c>
      <c r="M16" s="76">
        <v>508.64</v>
      </c>
      <c r="N16" s="76">
        <v>127.88</v>
      </c>
      <c r="O16" s="76">
        <v>19.08</v>
      </c>
      <c r="P16" s="76">
        <v>508.64</v>
      </c>
      <c r="Q16" s="96">
        <f t="shared" si="10"/>
        <v>1164.24</v>
      </c>
      <c r="R16" s="78">
        <v>0</v>
      </c>
      <c r="S16" s="97">
        <f>L16+IFERROR(VLOOKUP($E:$E,'（居民）工资表-4月'!$E:$S,15,0),0)</f>
        <v>20989.57</v>
      </c>
      <c r="T16" s="98">
        <f>5000+IFERROR(VLOOKUP($E:$E,'（居民）工资表-4月'!$E:$T,16,0),0)</f>
        <v>10000</v>
      </c>
      <c r="U16" s="98">
        <f>Q16+IFERROR(VLOOKUP($E:$E,'（居民）工资表-4月'!$E:$U,17,0),0)</f>
        <v>1164.24</v>
      </c>
      <c r="V16" s="78"/>
      <c r="W16" s="78"/>
      <c r="X16" s="78"/>
      <c r="Y16" s="78"/>
      <c r="Z16" s="78"/>
      <c r="AA16" s="78"/>
      <c r="AB16" s="97">
        <f t="shared" si="11"/>
        <v>0</v>
      </c>
      <c r="AC16" s="97">
        <f>R16+IFERROR(VLOOKUP($E:$E,'（居民）工资表-4月'!$E:$AC,25,0),0)</f>
        <v>0</v>
      </c>
      <c r="AD16" s="100">
        <f t="shared" si="12"/>
        <v>9825.33</v>
      </c>
      <c r="AE16" s="101">
        <f>ROUND(MAX((AD16)*{0.03;0.1;0.2;0.25;0.3;0.35;0.45}-{0;2520;16920;31920;52920;85920;181920},0),2)</f>
        <v>294.76</v>
      </c>
      <c r="AF16" s="102">
        <f>IFERROR(VLOOKUP(E:E,'（居民）工资表-4月'!E:AF,28,0)+VLOOKUP(E:E,'（居民）工资表-4月'!E:AG,29,0),0)</f>
        <v>26.09</v>
      </c>
      <c r="AG16" s="102">
        <f t="shared" si="8"/>
        <v>268.67</v>
      </c>
      <c r="AH16" s="109">
        <f t="shared" si="9"/>
        <v>13687.09</v>
      </c>
      <c r="AI16" s="110"/>
      <c r="AJ16" s="109">
        <f t="shared" si="13"/>
        <v>13687.09</v>
      </c>
      <c r="AK16" s="111"/>
      <c r="AL16" s="109">
        <f t="shared" si="14"/>
        <v>13955.76</v>
      </c>
      <c r="AM16" s="111"/>
      <c r="AN16" s="111"/>
      <c r="AO16" s="111"/>
      <c r="AP16" s="111"/>
      <c r="AQ16" s="111"/>
      <c r="AR16" s="117" t="str">
        <f t="shared" si="15"/>
        <v>正确</v>
      </c>
      <c r="AS16" s="117" t="str">
        <f t="shared" si="16"/>
        <v>不</v>
      </c>
      <c r="AT16" s="117" t="str">
        <f t="shared" si="17"/>
        <v>重复</v>
      </c>
    </row>
    <row r="17" s="12" customFormat="1" ht="18" customHeight="1" spans="1:46">
      <c r="A17" s="36">
        <v>14</v>
      </c>
      <c r="B17" s="37" t="s">
        <v>187</v>
      </c>
      <c r="C17" s="37" t="s">
        <v>210</v>
      </c>
      <c r="D17" s="37" t="s">
        <v>188</v>
      </c>
      <c r="E17" s="37" t="s">
        <v>211</v>
      </c>
      <c r="F17" s="38" t="s">
        <v>189</v>
      </c>
      <c r="G17" s="39">
        <v>18009593554</v>
      </c>
      <c r="H17" s="40"/>
      <c r="I17" s="40"/>
      <c r="J17" s="74"/>
      <c r="K17" s="40"/>
      <c r="L17" s="75">
        <v>6913.64</v>
      </c>
      <c r="M17" s="76">
        <v>561.92</v>
      </c>
      <c r="N17" s="76">
        <v>166.48</v>
      </c>
      <c r="O17" s="76">
        <v>35.12</v>
      </c>
      <c r="P17" s="76">
        <v>390</v>
      </c>
      <c r="Q17" s="96">
        <f t="shared" si="10"/>
        <v>1153.52</v>
      </c>
      <c r="R17" s="78">
        <v>0</v>
      </c>
      <c r="S17" s="97">
        <f>L17+IFERROR(VLOOKUP($E:$E,'（居民）工资表-4月'!$E:$S,15,0),0)</f>
        <v>6913.64</v>
      </c>
      <c r="T17" s="98">
        <f>5000+IFERROR(VLOOKUP($E:$E,'（居民）工资表-4月'!$E:$T,16,0),0)</f>
        <v>5000</v>
      </c>
      <c r="U17" s="98">
        <f>Q17+IFERROR(VLOOKUP($E:$E,'（居民）工资表-4月'!$E:$U,17,0),0)</f>
        <v>1153.52</v>
      </c>
      <c r="V17" s="78"/>
      <c r="W17" s="78"/>
      <c r="X17" s="78"/>
      <c r="Y17" s="78"/>
      <c r="Z17" s="78"/>
      <c r="AA17" s="78"/>
      <c r="AB17" s="97">
        <f t="shared" si="11"/>
        <v>0</v>
      </c>
      <c r="AC17" s="97">
        <f>R17+IFERROR(VLOOKUP($E:$E,'（居民）工资表-4月'!$E:$AC,25,0),0)</f>
        <v>0</v>
      </c>
      <c r="AD17" s="100">
        <f t="shared" si="12"/>
        <v>760.12</v>
      </c>
      <c r="AE17" s="101">
        <f>ROUND(MAX((AD17)*{0.03;0.1;0.2;0.25;0.3;0.35;0.45}-{0;2520;16920;31920;52920;85920;181920},0),2)</f>
        <v>22.8</v>
      </c>
      <c r="AF17" s="102">
        <f>IFERROR(VLOOKUP(E:E,'（居民）工资表-4月'!E:AF,28,0)+VLOOKUP(E:E,'（居民）工资表-4月'!E:AG,29,0),0)</f>
        <v>0</v>
      </c>
      <c r="AG17" s="102">
        <f t="shared" si="8"/>
        <v>22.8</v>
      </c>
      <c r="AH17" s="109">
        <f t="shared" si="9"/>
        <v>5737.32</v>
      </c>
      <c r="AI17" s="110"/>
      <c r="AJ17" s="109">
        <f t="shared" si="13"/>
        <v>5737.32</v>
      </c>
      <c r="AK17" s="111"/>
      <c r="AL17" s="109">
        <f t="shared" si="14"/>
        <v>5760.12</v>
      </c>
      <c r="AM17" s="111"/>
      <c r="AN17" s="111"/>
      <c r="AO17" s="111"/>
      <c r="AP17" s="111"/>
      <c r="AQ17" s="111"/>
      <c r="AR17" s="117" t="str">
        <f t="shared" si="15"/>
        <v>正确</v>
      </c>
      <c r="AS17" s="117" t="str">
        <f>IF(SUMPRODUCT(N(E$1:E$7=E17))&gt;1,"重复","不")</f>
        <v>不</v>
      </c>
      <c r="AT17" s="117" t="str">
        <f>IF(SUMPRODUCT(N(AO$1:AO$7=AO17))&gt;1,"重复","不")</f>
        <v>重复</v>
      </c>
    </row>
    <row r="18" s="12" customFormat="1" ht="18" customHeight="1" spans="1:46">
      <c r="A18" s="36">
        <v>15</v>
      </c>
      <c r="B18" s="37" t="s">
        <v>187</v>
      </c>
      <c r="C18" s="37" t="s">
        <v>212</v>
      </c>
      <c r="D18" s="37" t="s">
        <v>188</v>
      </c>
      <c r="E18" s="37" t="s">
        <v>213</v>
      </c>
      <c r="F18" s="38" t="s">
        <v>189</v>
      </c>
      <c r="G18" s="39">
        <v>17795512929</v>
      </c>
      <c r="H18" s="40"/>
      <c r="I18" s="40"/>
      <c r="J18" s="74"/>
      <c r="K18" s="40"/>
      <c r="L18" s="75">
        <v>6500</v>
      </c>
      <c r="M18" s="76">
        <v>561.92</v>
      </c>
      <c r="N18" s="76">
        <v>166.48</v>
      </c>
      <c r="O18" s="76">
        <v>35.12</v>
      </c>
      <c r="P18" s="76">
        <v>390</v>
      </c>
      <c r="Q18" s="96">
        <f t="shared" si="10"/>
        <v>1153.52</v>
      </c>
      <c r="R18" s="78">
        <v>0</v>
      </c>
      <c r="S18" s="97">
        <f>L18+IFERROR(VLOOKUP($E:$E,'（居民）工资表-4月'!$E:$S,15,0),0)</f>
        <v>6500</v>
      </c>
      <c r="T18" s="98">
        <f>5000+IFERROR(VLOOKUP($E:$E,'（居民）工资表-4月'!$E:$T,16,0),0)</f>
        <v>5000</v>
      </c>
      <c r="U18" s="98">
        <f>Q18+IFERROR(VLOOKUP($E:$E,'（居民）工资表-4月'!$E:$U,17,0),0)</f>
        <v>1153.52</v>
      </c>
      <c r="V18" s="78"/>
      <c r="W18" s="78"/>
      <c r="X18" s="78"/>
      <c r="Y18" s="78"/>
      <c r="Z18" s="78"/>
      <c r="AA18" s="78"/>
      <c r="AB18" s="97">
        <f t="shared" si="11"/>
        <v>0</v>
      </c>
      <c r="AC18" s="97">
        <f>R18+IFERROR(VLOOKUP($E:$E,'（居民）工资表-4月'!$E:$AC,25,0),0)</f>
        <v>0</v>
      </c>
      <c r="AD18" s="100">
        <f t="shared" si="12"/>
        <v>346.48</v>
      </c>
      <c r="AE18" s="101">
        <f>ROUND(MAX((AD18)*{0.03;0.1;0.2;0.25;0.3;0.35;0.45}-{0;2520;16920;31920;52920;85920;181920},0),2)</f>
        <v>10.39</v>
      </c>
      <c r="AF18" s="102">
        <f>IFERROR(VLOOKUP(E:E,'（居民）工资表-4月'!E:AF,28,0)+VLOOKUP(E:E,'（居民）工资表-4月'!E:AG,29,0),0)</f>
        <v>0</v>
      </c>
      <c r="AG18" s="102">
        <f t="shared" si="8"/>
        <v>10.39</v>
      </c>
      <c r="AH18" s="109">
        <f t="shared" si="9"/>
        <v>5336.09</v>
      </c>
      <c r="AI18" s="110"/>
      <c r="AJ18" s="109">
        <f t="shared" si="13"/>
        <v>5336.09</v>
      </c>
      <c r="AK18" s="111"/>
      <c r="AL18" s="109">
        <f t="shared" si="14"/>
        <v>5346.48</v>
      </c>
      <c r="AM18" s="111"/>
      <c r="AN18" s="111"/>
      <c r="AO18" s="111"/>
      <c r="AP18" s="111"/>
      <c r="AQ18" s="111"/>
      <c r="AR18" s="117" t="str">
        <f t="shared" si="15"/>
        <v>正确</v>
      </c>
      <c r="AS18" s="117" t="str">
        <f>IF(SUMPRODUCT(N(E$1:E$7=E18))&gt;1,"重复","不")</f>
        <v>不</v>
      </c>
      <c r="AT18" s="117" t="str">
        <f>IF(SUMPRODUCT(N(AO$1:AO$7=AO18))&gt;1,"重复","不")</f>
        <v>重复</v>
      </c>
    </row>
    <row r="19" s="12" customFormat="1" ht="18" customHeight="1" spans="1:46">
      <c r="A19" s="36">
        <v>16</v>
      </c>
      <c r="B19" s="37" t="s">
        <v>187</v>
      </c>
      <c r="C19" s="37" t="s">
        <v>214</v>
      </c>
      <c r="D19" s="37" t="s">
        <v>188</v>
      </c>
      <c r="E19" s="37" t="s">
        <v>215</v>
      </c>
      <c r="F19" s="38" t="s">
        <v>189</v>
      </c>
      <c r="G19" s="39">
        <v>18995128068</v>
      </c>
      <c r="H19" s="40"/>
      <c r="I19" s="40"/>
      <c r="J19" s="74"/>
      <c r="K19" s="40"/>
      <c r="L19" s="75">
        <v>6500</v>
      </c>
      <c r="M19" s="76">
        <v>561.92</v>
      </c>
      <c r="N19" s="76">
        <v>166.48</v>
      </c>
      <c r="O19" s="76">
        <v>35.12</v>
      </c>
      <c r="P19" s="76">
        <v>390</v>
      </c>
      <c r="Q19" s="96">
        <f t="shared" si="10"/>
        <v>1153.52</v>
      </c>
      <c r="R19" s="78">
        <v>0</v>
      </c>
      <c r="S19" s="97">
        <f>L19+IFERROR(VLOOKUP($E:$E,'（居民）工资表-4月'!$E:$S,15,0),0)</f>
        <v>6500</v>
      </c>
      <c r="T19" s="98">
        <f>5000+IFERROR(VLOOKUP($E:$E,'（居民）工资表-4月'!$E:$T,16,0),0)</f>
        <v>5000</v>
      </c>
      <c r="U19" s="98">
        <f>Q19+IFERROR(VLOOKUP($E:$E,'（居民）工资表-4月'!$E:$U,17,0),0)</f>
        <v>1153.52</v>
      </c>
      <c r="V19" s="78"/>
      <c r="W19" s="78"/>
      <c r="X19" s="78"/>
      <c r="Y19" s="78"/>
      <c r="Z19" s="78"/>
      <c r="AA19" s="78"/>
      <c r="AB19" s="97">
        <f t="shared" si="11"/>
        <v>0</v>
      </c>
      <c r="AC19" s="97">
        <f>R19+IFERROR(VLOOKUP($E:$E,'（居民）工资表-4月'!$E:$AC,25,0),0)</f>
        <v>0</v>
      </c>
      <c r="AD19" s="100">
        <f t="shared" si="12"/>
        <v>346.48</v>
      </c>
      <c r="AE19" s="101">
        <f>ROUND(MAX((AD19)*{0.03;0.1;0.2;0.25;0.3;0.35;0.45}-{0;2520;16920;31920;52920;85920;181920},0),2)</f>
        <v>10.39</v>
      </c>
      <c r="AF19" s="102">
        <f>IFERROR(VLOOKUP(E:E,'（居民）工资表-4月'!E:AF,28,0)+VLOOKUP(E:E,'（居民）工资表-4月'!E:AG,29,0),0)</f>
        <v>0</v>
      </c>
      <c r="AG19" s="102">
        <f t="shared" si="8"/>
        <v>10.39</v>
      </c>
      <c r="AH19" s="109">
        <f t="shared" si="9"/>
        <v>5336.09</v>
      </c>
      <c r="AI19" s="110"/>
      <c r="AJ19" s="109">
        <f t="shared" si="13"/>
        <v>5336.09</v>
      </c>
      <c r="AK19" s="111"/>
      <c r="AL19" s="109">
        <f t="shared" si="14"/>
        <v>5346.48</v>
      </c>
      <c r="AM19" s="111"/>
      <c r="AN19" s="111"/>
      <c r="AO19" s="111"/>
      <c r="AP19" s="111"/>
      <c r="AQ19" s="111"/>
      <c r="AR19" s="117" t="str">
        <f t="shared" si="15"/>
        <v>正确</v>
      </c>
      <c r="AS19" s="117" t="str">
        <f>IF(SUMPRODUCT(N(E$1:E$7=E19))&gt;1,"重复","不")</f>
        <v>不</v>
      </c>
      <c r="AT19" s="117" t="str">
        <f>IF(SUMPRODUCT(N(AO$1:AO$7=AO19))&gt;1,"重复","不")</f>
        <v>重复</v>
      </c>
    </row>
    <row r="20" s="12" customFormat="1" ht="18" customHeight="1" spans="1:46">
      <c r="A20" s="36"/>
      <c r="B20" s="37"/>
      <c r="C20" s="37"/>
      <c r="D20" s="37"/>
      <c r="E20" s="37"/>
      <c r="F20" s="38"/>
      <c r="G20" s="45"/>
      <c r="H20" s="40"/>
      <c r="I20" s="40"/>
      <c r="J20" s="74"/>
      <c r="K20" s="40"/>
      <c r="L20" s="78"/>
      <c r="M20" s="76"/>
      <c r="N20" s="76"/>
      <c r="O20" s="76"/>
      <c r="P20" s="76"/>
      <c r="Q20" s="96"/>
      <c r="R20" s="78"/>
      <c r="S20" s="97"/>
      <c r="T20" s="98"/>
      <c r="U20" s="98"/>
      <c r="V20" s="78"/>
      <c r="W20" s="78"/>
      <c r="X20" s="78"/>
      <c r="Y20" s="78"/>
      <c r="Z20" s="78"/>
      <c r="AA20" s="78"/>
      <c r="AB20" s="97"/>
      <c r="AC20" s="97"/>
      <c r="AD20" s="100"/>
      <c r="AE20" s="101"/>
      <c r="AF20" s="102"/>
      <c r="AG20" s="102"/>
      <c r="AH20" s="109"/>
      <c r="AI20" s="110"/>
      <c r="AJ20" s="109"/>
      <c r="AK20" s="111"/>
      <c r="AL20" s="109"/>
      <c r="AM20" s="111"/>
      <c r="AN20" s="111"/>
      <c r="AO20" s="111"/>
      <c r="AP20" s="111"/>
      <c r="AQ20" s="111"/>
      <c r="AR20" s="117"/>
      <c r="AS20" s="117"/>
      <c r="AT20" s="117"/>
    </row>
    <row r="21" s="12" customFormat="1" ht="18" customHeight="1" spans="1:46">
      <c r="A21" s="36"/>
      <c r="B21" s="37"/>
      <c r="C21" s="37"/>
      <c r="D21" s="37"/>
      <c r="E21" s="37"/>
      <c r="F21" s="38"/>
      <c r="G21" s="45"/>
      <c r="H21" s="40"/>
      <c r="I21" s="40"/>
      <c r="J21" s="74"/>
      <c r="K21" s="40"/>
      <c r="L21" s="78"/>
      <c r="M21" s="76"/>
      <c r="N21" s="76"/>
      <c r="O21" s="76"/>
      <c r="P21" s="76"/>
      <c r="Q21" s="96"/>
      <c r="R21" s="78"/>
      <c r="S21" s="97"/>
      <c r="T21" s="98"/>
      <c r="U21" s="98"/>
      <c r="V21" s="78"/>
      <c r="W21" s="78"/>
      <c r="X21" s="78"/>
      <c r="Y21" s="78"/>
      <c r="Z21" s="78"/>
      <c r="AA21" s="78"/>
      <c r="AB21" s="97"/>
      <c r="AC21" s="97"/>
      <c r="AD21" s="100"/>
      <c r="AE21" s="101"/>
      <c r="AF21" s="102"/>
      <c r="AG21" s="102"/>
      <c r="AH21" s="109"/>
      <c r="AI21" s="110"/>
      <c r="AJ21" s="109"/>
      <c r="AK21" s="111"/>
      <c r="AL21" s="109"/>
      <c r="AM21" s="111"/>
      <c r="AN21" s="111"/>
      <c r="AO21" s="111"/>
      <c r="AP21" s="111"/>
      <c r="AQ21" s="111"/>
      <c r="AR21" s="117"/>
      <c r="AS21" s="117"/>
      <c r="AT21" s="117"/>
    </row>
    <row r="22" s="13" customFormat="1" ht="18" customHeight="1" spans="1:46">
      <c r="A22" s="46"/>
      <c r="B22" s="47" t="s">
        <v>216</v>
      </c>
      <c r="C22" s="47"/>
      <c r="D22" s="48"/>
      <c r="E22" s="49"/>
      <c r="F22" s="50"/>
      <c r="G22" s="51"/>
      <c r="H22" s="50"/>
      <c r="I22" s="79"/>
      <c r="J22" s="80"/>
      <c r="K22" s="79"/>
      <c r="L22" s="81">
        <f t="shared" ref="L22:Q22" si="18">SUM(L4:L20)</f>
        <v>216682.64</v>
      </c>
      <c r="M22" s="81">
        <f t="shared" si="18"/>
        <v>5490.49</v>
      </c>
      <c r="N22" s="81">
        <f t="shared" si="18"/>
        <v>1502.1</v>
      </c>
      <c r="O22" s="81">
        <f t="shared" si="18"/>
        <v>238.9</v>
      </c>
      <c r="P22" s="81">
        <f t="shared" si="18"/>
        <v>4120.88</v>
      </c>
      <c r="Q22" s="81">
        <f t="shared" si="18"/>
        <v>11352.37</v>
      </c>
      <c r="R22" s="81">
        <f t="shared" ref="R22:AL22" si="19">SUM(R4:R20)</f>
        <v>0</v>
      </c>
      <c r="S22" s="81">
        <f t="shared" si="19"/>
        <v>730662.64</v>
      </c>
      <c r="T22" s="81">
        <f t="shared" si="19"/>
        <v>260000</v>
      </c>
      <c r="U22" s="81">
        <f t="shared" si="19"/>
        <v>34965.24</v>
      </c>
      <c r="V22" s="81">
        <f t="shared" si="19"/>
        <v>20000</v>
      </c>
      <c r="W22" s="81">
        <f t="shared" si="19"/>
        <v>10000</v>
      </c>
      <c r="X22" s="81">
        <f t="shared" si="19"/>
        <v>19000</v>
      </c>
      <c r="Y22" s="81">
        <f t="shared" si="19"/>
        <v>7500</v>
      </c>
      <c r="Z22" s="81">
        <f t="shared" si="19"/>
        <v>0</v>
      </c>
      <c r="AA22" s="81">
        <f t="shared" si="19"/>
        <v>0</v>
      </c>
      <c r="AB22" s="81">
        <f t="shared" si="19"/>
        <v>56500</v>
      </c>
      <c r="AC22" s="81">
        <f t="shared" si="19"/>
        <v>0</v>
      </c>
      <c r="AD22" s="81">
        <f t="shared" si="19"/>
        <v>379197.4</v>
      </c>
      <c r="AE22" s="81">
        <f t="shared" si="19"/>
        <v>20201.11</v>
      </c>
      <c r="AF22" s="81">
        <f t="shared" si="19"/>
        <v>13897.31</v>
      </c>
      <c r="AG22" s="81">
        <f t="shared" si="19"/>
        <v>6303.8</v>
      </c>
      <c r="AH22" s="81">
        <f t="shared" si="19"/>
        <v>199026.47</v>
      </c>
      <c r="AI22" s="81">
        <f t="shared" si="19"/>
        <v>0</v>
      </c>
      <c r="AJ22" s="81">
        <f t="shared" si="19"/>
        <v>199026.47</v>
      </c>
      <c r="AK22" s="81">
        <f t="shared" si="19"/>
        <v>0</v>
      </c>
      <c r="AL22" s="81">
        <f t="shared" si="19"/>
        <v>205330.27</v>
      </c>
      <c r="AM22" s="112"/>
      <c r="AN22" s="112"/>
      <c r="AO22" s="112"/>
      <c r="AP22" s="112"/>
      <c r="AQ22" s="112"/>
      <c r="AR22" s="50"/>
      <c r="AS22" s="50"/>
      <c r="AT22" s="118"/>
    </row>
    <row r="25" spans="30:30">
      <c r="AD25" s="103"/>
    </row>
    <row r="26" ht="18.75" customHeight="1" spans="2:33">
      <c r="B26" s="52" t="s">
        <v>168</v>
      </c>
      <c r="C26" s="52" t="s">
        <v>217</v>
      </c>
      <c r="D26" s="52" t="s">
        <v>22</v>
      </c>
      <c r="E26" s="52" t="s">
        <v>23</v>
      </c>
      <c r="AD26" s="10"/>
      <c r="AG26" s="19"/>
    </row>
    <row r="27" ht="18.75" customHeight="1" spans="2:5">
      <c r="B27" s="53">
        <f>AJ22</f>
        <v>199026.47</v>
      </c>
      <c r="C27" s="53">
        <f>AG22</f>
        <v>6303.8</v>
      </c>
      <c r="D27" s="53">
        <f>AK22</f>
        <v>0</v>
      </c>
      <c r="E27" s="53">
        <f>B27+C27</f>
        <v>205330.27</v>
      </c>
    </row>
    <row r="28" spans="2:5">
      <c r="B28" s="54"/>
      <c r="C28" s="54"/>
      <c r="D28" s="54"/>
      <c r="E28" s="54"/>
    </row>
    <row r="29" s="14" customFormat="1" spans="1:35">
      <c r="A29" s="55" t="s">
        <v>218</v>
      </c>
      <c r="B29" s="56" t="s">
        <v>219</v>
      </c>
      <c r="C29" s="57"/>
      <c r="D29" s="57"/>
      <c r="E29" s="57"/>
      <c r="G29" s="58"/>
      <c r="J29" s="82"/>
      <c r="M29" s="83"/>
      <c r="AI29" s="113"/>
    </row>
    <row r="30" s="14" customFormat="1" spans="1:35">
      <c r="A30" s="59"/>
      <c r="B30" s="60" t="s">
        <v>220</v>
      </c>
      <c r="C30" s="57"/>
      <c r="D30" s="57"/>
      <c r="E30" s="57"/>
      <c r="G30" s="58"/>
      <c r="J30" s="82"/>
      <c r="M30" s="83"/>
      <c r="AI30" s="113"/>
    </row>
    <row r="31" s="14" customFormat="1" spans="1:35">
      <c r="A31" s="56"/>
      <c r="B31" s="60" t="s">
        <v>221</v>
      </c>
      <c r="C31" s="61"/>
      <c r="D31" s="61"/>
      <c r="E31" s="61"/>
      <c r="F31" s="61"/>
      <c r="G31" s="61"/>
      <c r="H31" s="61"/>
      <c r="I31" s="61"/>
      <c r="J31" s="84"/>
      <c r="K31" s="61"/>
      <c r="L31" s="61"/>
      <c r="M31" s="85"/>
      <c r="N31" s="61"/>
      <c r="O31" s="61"/>
      <c r="P31" s="61"/>
      <c r="AI31" s="113"/>
    </row>
    <row r="32" s="14" customFormat="1" customHeight="1" spans="1:35">
      <c r="A32" s="60"/>
      <c r="B32" s="60" t="s">
        <v>222</v>
      </c>
      <c r="C32" s="62"/>
      <c r="D32" s="62"/>
      <c r="E32" s="62"/>
      <c r="F32" s="62"/>
      <c r="G32" s="62"/>
      <c r="H32" s="62"/>
      <c r="I32" s="86"/>
      <c r="J32" s="87"/>
      <c r="K32" s="86"/>
      <c r="L32" s="86"/>
      <c r="M32" s="88"/>
      <c r="N32" s="86"/>
      <c r="O32" s="86"/>
      <c r="P32" s="86"/>
      <c r="AI32" s="113"/>
    </row>
    <row r="33" s="14" customFormat="1" customHeight="1" spans="1:35">
      <c r="A33" s="60"/>
      <c r="B33" s="60" t="s">
        <v>223</v>
      </c>
      <c r="C33" s="62"/>
      <c r="D33" s="62"/>
      <c r="E33" s="62"/>
      <c r="F33" s="62"/>
      <c r="G33" s="62"/>
      <c r="H33" s="62"/>
      <c r="I33" s="62"/>
      <c r="J33" s="89"/>
      <c r="K33" s="62"/>
      <c r="L33" s="86"/>
      <c r="M33" s="88"/>
      <c r="N33" s="86"/>
      <c r="O33" s="86"/>
      <c r="P33" s="86"/>
      <c r="AI33" s="113"/>
    </row>
    <row r="34" s="14" customFormat="1" customHeight="1" spans="1:35">
      <c r="A34" s="60"/>
      <c r="B34" s="60" t="s">
        <v>224</v>
      </c>
      <c r="C34" s="62"/>
      <c r="D34" s="62"/>
      <c r="E34" s="62"/>
      <c r="F34" s="62"/>
      <c r="G34" s="62"/>
      <c r="H34" s="62"/>
      <c r="I34" s="86"/>
      <c r="J34" s="87"/>
      <c r="K34" s="86"/>
      <c r="L34" s="86"/>
      <c r="M34" s="88"/>
      <c r="N34" s="86"/>
      <c r="O34" s="86"/>
      <c r="P34" s="86"/>
      <c r="AI34" s="113"/>
    </row>
    <row r="36" ht="11.25" customHeight="1" spans="2:2">
      <c r="B36" s="63" t="s">
        <v>225</v>
      </c>
    </row>
    <row r="37" spans="2:2">
      <c r="B37" s="64" t="s">
        <v>226</v>
      </c>
    </row>
    <row r="38" spans="2:2">
      <c r="B38" s="64" t="s">
        <v>227</v>
      </c>
    </row>
  </sheetData>
  <autoFilter ref="A3:AT22">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34">
    <cfRule type="duplicateValues" dxfId="3" priority="2" stopIfTrue="1"/>
  </conditionalFormatting>
  <conditionalFormatting sqref="B29:B33">
    <cfRule type="duplicateValues" dxfId="3" priority="3" stopIfTrue="1"/>
  </conditionalFormatting>
  <conditionalFormatting sqref="B37:B38">
    <cfRule type="duplicateValues" dxfId="3" priority="1" stopIfTrue="1"/>
  </conditionalFormatting>
  <conditionalFormatting sqref="C26:C28">
    <cfRule type="duplicateValues" dxfId="3" priority="4" stopIfTrue="1"/>
    <cfRule type="expression" dxfId="4" priority="5" stopIfTrue="1">
      <formula>AND(COUNTIF($B$22:$B$65458,C26)+COUNTIF($B$1:$B$3,C26)&gt;1,NOT(ISBLANK(C26)))</formula>
    </cfRule>
    <cfRule type="expression" dxfId="4" priority="6" stopIfTrue="1">
      <formula>AND(COUNTIF($B$33:$B$65409,C26)+COUNTIF($B$1:$B$32,C26)&gt;1,NOT(ISBLANK(C26)))</formula>
    </cfRule>
    <cfRule type="expression" dxfId="4" priority="7" stopIfTrue="1">
      <formula>AND(COUNTIF($B$22:$B$65447,C26)+COUNTIF($B$1:$B$3,C26)&gt;1,NOT(ISBLANK(C26)))</formula>
    </cfRule>
  </conditionalFormatting>
  <pageMargins left="0.235416666666667" right="0.235416666666667" top="0.747916666666667" bottom="0.747916666666667" header="0.313888888888889" footer="0.313888888888889"/>
  <pageSetup paperSize="9" scale="56" fitToWidth="2" orientation="landscape"/>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E44"/>
  <sheetViews>
    <sheetView workbookViewId="0">
      <selection activeCell="D4" sqref="D4"/>
    </sheetView>
  </sheetViews>
  <sheetFormatPr defaultColWidth="9" defaultRowHeight="13.5" outlineLevelCol="4"/>
  <cols>
    <col min="3" max="3" width="32" customWidth="1"/>
    <col min="4" max="4" width="13.725" customWidth="1"/>
    <col min="5" max="5" width="16.0916666666667" customWidth="1"/>
  </cols>
  <sheetData>
    <row r="1" ht="57" customHeight="1" spans="2:5">
      <c r="B1" s="1" t="s">
        <v>290</v>
      </c>
      <c r="C1" s="1"/>
      <c r="D1" s="1"/>
      <c r="E1" s="1"/>
    </row>
    <row r="2" ht="21" spans="2:2">
      <c r="B2" s="2"/>
    </row>
    <row r="3" ht="27.75" customHeight="1" spans="2:5">
      <c r="B3" s="3" t="s">
        <v>291</v>
      </c>
      <c r="C3" s="4" t="s">
        <v>292</v>
      </c>
      <c r="D3" s="4" t="s">
        <v>293</v>
      </c>
      <c r="E3" s="4" t="s">
        <v>294</v>
      </c>
    </row>
    <row r="4" ht="29.25" customHeight="1" spans="2:5">
      <c r="B4" s="5">
        <v>1</v>
      </c>
      <c r="C4" s="6" t="s">
        <v>295</v>
      </c>
      <c r="D4" s="7">
        <v>0.03</v>
      </c>
      <c r="E4" s="8">
        <v>0</v>
      </c>
    </row>
    <row r="5" ht="29.25" customHeight="1" spans="2:5">
      <c r="B5" s="5">
        <v>2</v>
      </c>
      <c r="C5" s="6" t="s">
        <v>296</v>
      </c>
      <c r="D5" s="7">
        <v>0.1</v>
      </c>
      <c r="E5" s="8">
        <v>2520</v>
      </c>
    </row>
    <row r="6" ht="29.25" customHeight="1" spans="2:5">
      <c r="B6" s="5">
        <v>3</v>
      </c>
      <c r="C6" s="6" t="s">
        <v>297</v>
      </c>
      <c r="D6" s="7">
        <v>0.2</v>
      </c>
      <c r="E6" s="8">
        <v>16920</v>
      </c>
    </row>
    <row r="7" ht="29.25" customHeight="1" spans="2:5">
      <c r="B7" s="5">
        <v>4</v>
      </c>
      <c r="C7" s="6" t="s">
        <v>298</v>
      </c>
      <c r="D7" s="7">
        <v>0.25</v>
      </c>
      <c r="E7" s="8">
        <v>31920</v>
      </c>
    </row>
    <row r="8" ht="29.25" customHeight="1" spans="2:5">
      <c r="B8" s="5">
        <v>5</v>
      </c>
      <c r="C8" s="6" t="s">
        <v>299</v>
      </c>
      <c r="D8" s="7">
        <v>0.3</v>
      </c>
      <c r="E8" s="8">
        <v>52920</v>
      </c>
    </row>
    <row r="9" ht="29.25" customHeight="1" spans="2:5">
      <c r="B9" s="5">
        <v>6</v>
      </c>
      <c r="C9" s="6" t="s">
        <v>300</v>
      </c>
      <c r="D9" s="7">
        <v>0.35</v>
      </c>
      <c r="E9" s="8">
        <v>85920</v>
      </c>
    </row>
    <row r="10" ht="29.25" customHeight="1" spans="2:5">
      <c r="B10" s="5">
        <v>7</v>
      </c>
      <c r="C10" s="6" t="s">
        <v>301</v>
      </c>
      <c r="D10" s="7">
        <v>0.45</v>
      </c>
      <c r="E10" s="8">
        <v>181920</v>
      </c>
    </row>
    <row r="13" ht="57" customHeight="1" spans="2:5">
      <c r="B13" s="1" t="s">
        <v>302</v>
      </c>
      <c r="C13" s="1"/>
      <c r="D13" s="1"/>
      <c r="E13" s="1"/>
    </row>
    <row r="14" ht="21" spans="2:2">
      <c r="B14" s="2"/>
    </row>
    <row r="15" ht="27.75" customHeight="1" spans="2:5">
      <c r="B15" s="3" t="s">
        <v>291</v>
      </c>
      <c r="C15" s="4" t="s">
        <v>303</v>
      </c>
      <c r="D15" s="4" t="s">
        <v>293</v>
      </c>
      <c r="E15" s="4" t="s">
        <v>294</v>
      </c>
    </row>
    <row r="16" ht="29.25" customHeight="1" spans="2:5">
      <c r="B16" s="5">
        <v>1</v>
      </c>
      <c r="C16" s="6" t="s">
        <v>304</v>
      </c>
      <c r="D16" s="7">
        <v>0.2</v>
      </c>
      <c r="E16" s="8">
        <v>0</v>
      </c>
    </row>
    <row r="17" ht="29.25" customHeight="1" spans="2:5">
      <c r="B17" s="5">
        <v>2</v>
      </c>
      <c r="C17" s="6" t="s">
        <v>305</v>
      </c>
      <c r="D17" s="7">
        <v>0.3</v>
      </c>
      <c r="E17" s="8">
        <v>2000</v>
      </c>
    </row>
    <row r="18" ht="29.25" customHeight="1" spans="2:5">
      <c r="B18" s="5">
        <v>3</v>
      </c>
      <c r="C18" s="6" t="s">
        <v>306</v>
      </c>
      <c r="D18" s="7">
        <v>0.4</v>
      </c>
      <c r="E18" s="8">
        <v>7000</v>
      </c>
    </row>
    <row r="21" ht="47.25" customHeight="1" spans="2:5">
      <c r="B21" s="1" t="s">
        <v>307</v>
      </c>
      <c r="C21" s="1"/>
      <c r="D21" s="1"/>
      <c r="E21" s="1"/>
    </row>
    <row r="22" ht="21" spans="2:2">
      <c r="B22" s="2"/>
    </row>
    <row r="23" ht="27.75" customHeight="1" spans="2:5">
      <c r="B23" s="3" t="s">
        <v>291</v>
      </c>
      <c r="C23" s="4" t="s">
        <v>308</v>
      </c>
      <c r="D23" s="4" t="s">
        <v>293</v>
      </c>
      <c r="E23" s="4" t="s">
        <v>294</v>
      </c>
    </row>
    <row r="24" ht="29.25" customHeight="1" spans="2:5">
      <c r="B24" s="5">
        <v>1</v>
      </c>
      <c r="C24" s="6" t="s">
        <v>309</v>
      </c>
      <c r="D24" s="7">
        <v>0.03</v>
      </c>
      <c r="E24" s="8">
        <v>0</v>
      </c>
    </row>
    <row r="25" ht="29.25" customHeight="1" spans="2:5">
      <c r="B25" s="5">
        <v>2</v>
      </c>
      <c r="C25" s="6" t="s">
        <v>310</v>
      </c>
      <c r="D25" s="7">
        <v>0.1</v>
      </c>
      <c r="E25" s="8">
        <v>210</v>
      </c>
    </row>
    <row r="26" ht="29.25" customHeight="1" spans="2:5">
      <c r="B26" s="5">
        <v>3</v>
      </c>
      <c r="C26" s="6" t="s">
        <v>311</v>
      </c>
      <c r="D26" s="7">
        <v>0.2</v>
      </c>
      <c r="E26" s="8">
        <v>1410</v>
      </c>
    </row>
    <row r="27" ht="29.25" customHeight="1" spans="2:5">
      <c r="B27" s="5">
        <v>4</v>
      </c>
      <c r="C27" s="6" t="s">
        <v>312</v>
      </c>
      <c r="D27" s="7">
        <v>0.25</v>
      </c>
      <c r="E27" s="8">
        <v>2660</v>
      </c>
    </row>
    <row r="28" ht="29.25" customHeight="1" spans="2:5">
      <c r="B28" s="5">
        <v>5</v>
      </c>
      <c r="C28" s="6" t="s">
        <v>313</v>
      </c>
      <c r="D28" s="7">
        <v>0.3</v>
      </c>
      <c r="E28" s="8">
        <v>4410</v>
      </c>
    </row>
    <row r="29" ht="29.25" customHeight="1" spans="2:5">
      <c r="B29" s="5">
        <v>6</v>
      </c>
      <c r="C29" s="6" t="s">
        <v>314</v>
      </c>
      <c r="D29" s="7">
        <v>0.35</v>
      </c>
      <c r="E29" s="8">
        <v>7160</v>
      </c>
    </row>
    <row r="30" ht="29.25" customHeight="1" spans="2:5">
      <c r="B30" s="5">
        <v>7</v>
      </c>
      <c r="C30" s="6" t="s">
        <v>315</v>
      </c>
      <c r="D30" s="7">
        <v>0.45</v>
      </c>
      <c r="E30" s="8">
        <v>15160</v>
      </c>
    </row>
    <row r="35" ht="57" customHeight="1" spans="2:5">
      <c r="B35" s="9" t="s">
        <v>316</v>
      </c>
      <c r="C35" s="9"/>
      <c r="D35" s="9"/>
      <c r="E35" s="9"/>
    </row>
    <row r="36" ht="14.25"/>
    <row r="37" ht="21.75" customHeight="1" spans="2:5">
      <c r="B37" s="3" t="s">
        <v>291</v>
      </c>
      <c r="C37" s="4" t="s">
        <v>317</v>
      </c>
      <c r="D37" s="4" t="s">
        <v>318</v>
      </c>
      <c r="E37" s="4" t="s">
        <v>294</v>
      </c>
    </row>
    <row r="38" ht="21.75" customHeight="1" spans="2:5">
      <c r="B38" s="5">
        <v>1</v>
      </c>
      <c r="C38" s="6" t="s">
        <v>309</v>
      </c>
      <c r="D38" s="7">
        <v>0.03</v>
      </c>
      <c r="E38" s="8">
        <v>0</v>
      </c>
    </row>
    <row r="39" ht="21.75" customHeight="1" spans="2:5">
      <c r="B39" s="5">
        <v>2</v>
      </c>
      <c r="C39" s="6" t="s">
        <v>310</v>
      </c>
      <c r="D39" s="7">
        <v>0.1</v>
      </c>
      <c r="E39" s="8">
        <v>210</v>
      </c>
    </row>
    <row r="40" ht="21.75" customHeight="1" spans="2:5">
      <c r="B40" s="5">
        <v>3</v>
      </c>
      <c r="C40" s="6" t="s">
        <v>311</v>
      </c>
      <c r="D40" s="7">
        <v>0.2</v>
      </c>
      <c r="E40" s="8">
        <v>1410</v>
      </c>
    </row>
    <row r="41" ht="21.75" customHeight="1" spans="2:5">
      <c r="B41" s="5">
        <v>4</v>
      </c>
      <c r="C41" s="6" t="s">
        <v>312</v>
      </c>
      <c r="D41" s="7">
        <v>0.25</v>
      </c>
      <c r="E41" s="8">
        <v>2660</v>
      </c>
    </row>
    <row r="42" ht="21.75" customHeight="1" spans="2:5">
      <c r="B42" s="5">
        <v>5</v>
      </c>
      <c r="C42" s="6" t="s">
        <v>313</v>
      </c>
      <c r="D42" s="7">
        <v>0.3</v>
      </c>
      <c r="E42" s="8">
        <v>4410</v>
      </c>
    </row>
    <row r="43" ht="21.75" customHeight="1" spans="2:5">
      <c r="B43" s="5">
        <v>6</v>
      </c>
      <c r="C43" s="6" t="s">
        <v>314</v>
      </c>
      <c r="D43" s="7">
        <v>0.35</v>
      </c>
      <c r="E43" s="8">
        <v>7160</v>
      </c>
    </row>
    <row r="44" ht="21.75" customHeight="1" spans="2:5">
      <c r="B44" s="5">
        <v>7</v>
      </c>
      <c r="C44" s="6" t="s">
        <v>315</v>
      </c>
      <c r="D44" s="7">
        <v>0.45</v>
      </c>
      <c r="E44" s="8">
        <v>15160</v>
      </c>
    </row>
  </sheetData>
  <mergeCells count="4">
    <mergeCell ref="B1:E1"/>
    <mergeCell ref="B13:E13"/>
    <mergeCell ref="B21:E21"/>
    <mergeCell ref="B35:E35"/>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workbookViewId="0">
      <selection activeCell="H34" sqref="H34"/>
    </sheetView>
  </sheetViews>
  <sheetFormatPr defaultColWidth="9" defaultRowHeight="13.5"/>
  <cols>
    <col min="1" max="2" width="9" style="267"/>
    <col min="3" max="3" width="10.725" style="267" customWidth="1"/>
    <col min="4" max="4" width="16.725" style="267" customWidth="1"/>
    <col min="5" max="5" width="11.725" style="267" customWidth="1"/>
    <col min="6" max="6" width="9" style="267"/>
    <col min="7" max="7" width="10.725" style="267" customWidth="1"/>
    <col min="8" max="12" width="9" style="267"/>
    <col min="13" max="13" width="9.45" style="267" customWidth="1"/>
    <col min="14" max="14" width="16.45" style="267" customWidth="1"/>
    <col min="15" max="16384" width="9" style="267"/>
  </cols>
  <sheetData>
    <row r="1" ht="25.5" spans="1:14">
      <c r="A1" s="268" t="s">
        <v>67</v>
      </c>
      <c r="B1" s="268"/>
      <c r="C1" s="268"/>
      <c r="D1" s="268"/>
      <c r="E1" s="268"/>
      <c r="F1" s="268"/>
      <c r="G1" s="268"/>
      <c r="H1" s="268"/>
      <c r="I1" s="268"/>
      <c r="J1" s="268"/>
      <c r="K1" s="268"/>
      <c r="L1" s="268"/>
      <c r="M1" s="268"/>
      <c r="N1" s="268"/>
    </row>
    <row r="2" ht="14.25" spans="1:14">
      <c r="A2" s="269"/>
      <c r="B2" s="270"/>
      <c r="C2" s="270"/>
      <c r="D2" s="271"/>
      <c r="E2" s="271"/>
      <c r="F2" s="271"/>
      <c r="G2" s="269"/>
      <c r="H2" s="269"/>
      <c r="I2" s="269"/>
      <c r="J2" s="271"/>
      <c r="K2" s="271"/>
      <c r="L2" s="271"/>
      <c r="M2" s="271"/>
      <c r="N2" s="271"/>
    </row>
    <row r="3" spans="1:14">
      <c r="A3" s="272"/>
      <c r="B3" s="273"/>
      <c r="C3" s="274"/>
      <c r="D3" s="275"/>
      <c r="E3" s="276"/>
      <c r="F3" s="276"/>
      <c r="G3" s="277"/>
      <c r="H3" s="278"/>
      <c r="I3" s="273"/>
      <c r="J3" s="274"/>
      <c r="K3" s="275"/>
      <c r="L3" s="346"/>
      <c r="M3" s="271"/>
      <c r="N3" s="271"/>
    </row>
    <row r="4" spans="1:14">
      <c r="A4" s="272"/>
      <c r="B4" s="279" t="s">
        <v>68</v>
      </c>
      <c r="C4" s="279"/>
      <c r="D4" s="279"/>
      <c r="E4" s="279"/>
      <c r="F4" s="280"/>
      <c r="G4" s="279"/>
      <c r="H4" s="278"/>
      <c r="K4" s="271"/>
      <c r="L4" s="347"/>
      <c r="M4" s="348"/>
      <c r="N4" s="271"/>
    </row>
    <row r="5" spans="1:14">
      <c r="A5" s="281"/>
      <c r="B5" s="282" t="s">
        <v>69</v>
      </c>
      <c r="C5" s="275"/>
      <c r="D5" s="275"/>
      <c r="E5" s="275"/>
      <c r="F5" s="275"/>
      <c r="G5" s="275"/>
      <c r="H5" s="283"/>
      <c r="I5" s="278"/>
      <c r="J5" s="273"/>
      <c r="K5" s="274"/>
      <c r="L5" s="346"/>
      <c r="M5" s="271"/>
      <c r="N5" s="271"/>
    </row>
    <row r="6" ht="9.75" customHeight="1" spans="1:14">
      <c r="A6" s="284"/>
      <c r="B6" s="284"/>
      <c r="C6" s="284"/>
      <c r="D6" s="284"/>
      <c r="E6" s="284"/>
      <c r="F6" s="284"/>
      <c r="G6" s="284"/>
      <c r="H6" s="284"/>
      <c r="I6" s="349"/>
      <c r="J6" s="349"/>
      <c r="K6" s="350"/>
      <c r="L6" s="350"/>
      <c r="M6" s="350"/>
      <c r="N6" s="350"/>
    </row>
    <row r="7" ht="15" spans="1:14">
      <c r="A7" s="284"/>
      <c r="B7" s="285" t="s">
        <v>70</v>
      </c>
      <c r="C7" s="286"/>
      <c r="D7" s="286"/>
      <c r="E7" s="286"/>
      <c r="F7" s="286"/>
      <c r="G7" s="286"/>
      <c r="H7" s="286"/>
      <c r="I7" s="351" t="s">
        <v>71</v>
      </c>
      <c r="J7" s="351"/>
      <c r="K7" s="352"/>
      <c r="L7" s="270"/>
      <c r="M7" s="270"/>
      <c r="N7" s="353"/>
    </row>
    <row r="8" ht="14.25" spans="1:14">
      <c r="A8" s="284"/>
      <c r="B8" s="287" t="s">
        <v>72</v>
      </c>
      <c r="C8" s="288"/>
      <c r="D8" s="288"/>
      <c r="E8" s="289">
        <f>D10</f>
        <v>105389.55</v>
      </c>
      <c r="F8" s="290"/>
      <c r="G8" s="290"/>
      <c r="H8" s="291"/>
      <c r="I8" s="354"/>
      <c r="J8" s="355" t="s">
        <v>73</v>
      </c>
      <c r="K8" s="355"/>
      <c r="L8" s="355"/>
      <c r="M8" s="355"/>
      <c r="N8" s="355"/>
    </row>
    <row r="9" ht="14.25" spans="1:14">
      <c r="A9" s="284"/>
      <c r="B9" s="292" t="s">
        <v>74</v>
      </c>
      <c r="C9" s="293"/>
      <c r="D9" s="293"/>
      <c r="E9" s="294">
        <f>G24</f>
        <v>105389.55</v>
      </c>
      <c r="F9" s="295"/>
      <c r="G9" s="295"/>
      <c r="H9" s="296"/>
      <c r="I9" s="355"/>
      <c r="J9" s="356" t="s">
        <v>75</v>
      </c>
      <c r="K9" s="356"/>
      <c r="L9" s="356"/>
      <c r="M9" s="356"/>
      <c r="N9" s="357"/>
    </row>
    <row r="10" ht="15" spans="1:14">
      <c r="A10" s="284"/>
      <c r="B10" s="297" t="s">
        <v>76</v>
      </c>
      <c r="C10" s="298"/>
      <c r="D10" s="299">
        <f>G24</f>
        <v>105389.55</v>
      </c>
      <c r="E10" s="300" t="s">
        <v>77</v>
      </c>
      <c r="F10" s="301"/>
      <c r="G10" s="302"/>
      <c r="H10" s="303">
        <v>0</v>
      </c>
      <c r="I10" s="358"/>
      <c r="J10" s="359" t="s">
        <v>78</v>
      </c>
      <c r="K10" s="359"/>
      <c r="L10" s="359"/>
      <c r="M10" s="359"/>
      <c r="N10" s="360"/>
    </row>
    <row r="11" ht="14.25" spans="1:14">
      <c r="A11" s="284"/>
      <c r="B11" s="304" t="s">
        <v>79</v>
      </c>
      <c r="C11" s="305"/>
      <c r="D11" s="306"/>
      <c r="E11" s="307" t="s">
        <v>80</v>
      </c>
      <c r="F11" s="308"/>
      <c r="G11" s="309"/>
      <c r="H11" s="310"/>
      <c r="I11" s="361"/>
      <c r="J11" s="362"/>
      <c r="K11" s="361"/>
      <c r="L11" s="361"/>
      <c r="M11" s="361"/>
      <c r="N11" s="363"/>
    </row>
    <row r="12" spans="1:14">
      <c r="A12" s="281"/>
      <c r="B12" s="304" t="s">
        <v>81</v>
      </c>
      <c r="C12" s="305"/>
      <c r="D12" s="306">
        <v>0</v>
      </c>
      <c r="E12" s="307" t="s">
        <v>82</v>
      </c>
      <c r="F12" s="308"/>
      <c r="G12" s="309"/>
      <c r="H12" s="310"/>
      <c r="I12" s="364"/>
      <c r="J12" s="365"/>
      <c r="K12" s="366"/>
      <c r="L12" s="366"/>
      <c r="M12" s="366"/>
      <c r="N12" s="366"/>
    </row>
    <row r="13" ht="14.25" spans="1:14">
      <c r="A13" s="271"/>
      <c r="B13" s="311" t="s">
        <v>83</v>
      </c>
      <c r="C13" s="312"/>
      <c r="D13" s="313">
        <v>0</v>
      </c>
      <c r="E13" s="314"/>
      <c r="F13" s="315"/>
      <c r="G13" s="316"/>
      <c r="H13" s="317"/>
      <c r="I13" s="284"/>
      <c r="J13" s="367"/>
      <c r="K13" s="368"/>
      <c r="L13" s="368"/>
      <c r="M13" s="368"/>
      <c r="N13" s="368"/>
    </row>
    <row r="14" ht="5.25" customHeight="1" spans="1:14">
      <c r="A14" s="318"/>
      <c r="B14" s="284"/>
      <c r="C14" s="284"/>
      <c r="D14" s="284"/>
      <c r="E14" s="284"/>
      <c r="F14" s="284"/>
      <c r="G14" s="284"/>
      <c r="H14" s="284"/>
      <c r="I14" s="284"/>
      <c r="J14" s="284"/>
      <c r="K14" s="284"/>
      <c r="L14" s="284"/>
      <c r="M14" s="284"/>
      <c r="N14" s="284"/>
    </row>
    <row r="15" spans="1:14">
      <c r="A15" s="271" t="s">
        <v>84</v>
      </c>
      <c r="B15" s="271"/>
      <c r="C15" s="271"/>
      <c r="D15" s="271"/>
      <c r="E15" s="271"/>
      <c r="F15" s="271"/>
      <c r="G15" s="271"/>
      <c r="H15" s="271"/>
      <c r="I15" s="271"/>
      <c r="J15" s="271"/>
      <c r="K15" s="271"/>
      <c r="L15" s="271"/>
      <c r="M15" s="271"/>
      <c r="N15" s="271"/>
    </row>
    <row r="16" ht="3" customHeight="1" spans="1:14">
      <c r="A16" s="271"/>
      <c r="B16" s="271"/>
      <c r="C16" s="271"/>
      <c r="D16" s="271"/>
      <c r="E16" s="271"/>
      <c r="F16" s="271"/>
      <c r="G16" s="271"/>
      <c r="H16" s="271"/>
      <c r="I16" s="271"/>
      <c r="J16" s="271"/>
      <c r="K16" s="271"/>
      <c r="L16" s="271"/>
      <c r="M16" s="271"/>
      <c r="N16" s="271"/>
    </row>
    <row r="17" ht="18.75" spans="2:13">
      <c r="B17" s="319" t="s">
        <v>0</v>
      </c>
      <c r="C17" s="320" t="s">
        <v>85</v>
      </c>
      <c r="D17" s="320" t="s">
        <v>86</v>
      </c>
      <c r="E17" s="320"/>
      <c r="F17" s="321" t="s">
        <v>87</v>
      </c>
      <c r="G17" s="322" t="s">
        <v>31</v>
      </c>
      <c r="H17" s="323" t="s">
        <v>24</v>
      </c>
      <c r="J17" s="369" t="s">
        <v>88</v>
      </c>
      <c r="K17" s="369"/>
      <c r="L17" s="369"/>
      <c r="M17" s="369"/>
    </row>
    <row r="18" ht="16.5" spans="2:13">
      <c r="B18" s="324">
        <v>1</v>
      </c>
      <c r="C18" s="325" t="s">
        <v>89</v>
      </c>
      <c r="D18" s="326" t="s">
        <v>90</v>
      </c>
      <c r="E18" s="326"/>
      <c r="F18" s="327"/>
      <c r="G18" s="328">
        <f>'（居民）工资表-12月'!E22</f>
        <v>81342.29</v>
      </c>
      <c r="H18" s="329"/>
      <c r="J18" s="369"/>
      <c r="K18" s="369"/>
      <c r="L18" s="369"/>
      <c r="M18" s="369"/>
    </row>
    <row r="19" ht="16.5" spans="2:13">
      <c r="B19" s="324">
        <v>2</v>
      </c>
      <c r="C19" s="325"/>
      <c r="D19" s="330" t="s">
        <v>91</v>
      </c>
      <c r="E19" s="331" t="s">
        <v>92</v>
      </c>
      <c r="F19" s="327"/>
      <c r="G19" s="328">
        <f>社保1!AX19</f>
        <v>19952.66</v>
      </c>
      <c r="H19" s="332"/>
      <c r="J19" s="369"/>
      <c r="K19" s="369"/>
      <c r="L19" s="369"/>
      <c r="M19" s="369"/>
    </row>
    <row r="20" ht="16.5" spans="2:13">
      <c r="B20" s="324">
        <v>3</v>
      </c>
      <c r="C20" s="325"/>
      <c r="D20" s="330" t="s">
        <v>93</v>
      </c>
      <c r="E20" s="331" t="s">
        <v>92</v>
      </c>
      <c r="F20" s="327"/>
      <c r="G20" s="328">
        <f>社保1!AZ19</f>
        <v>2974.6</v>
      </c>
      <c r="H20" s="332"/>
      <c r="J20" s="369"/>
      <c r="K20" s="369"/>
      <c r="L20" s="369"/>
      <c r="M20" s="369"/>
    </row>
    <row r="21" ht="16.5" spans="2:13">
      <c r="B21" s="324">
        <v>6</v>
      </c>
      <c r="C21" s="325"/>
      <c r="D21" s="333" t="s">
        <v>38</v>
      </c>
      <c r="E21" s="333"/>
      <c r="F21" s="327"/>
      <c r="G21" s="334">
        <f>G18+G19+G20</f>
        <v>104269.55</v>
      </c>
      <c r="H21" s="335"/>
      <c r="J21" s="369"/>
      <c r="K21" s="369"/>
      <c r="L21" s="369"/>
      <c r="M21" s="369"/>
    </row>
    <row r="22" ht="16.5" spans="2:13">
      <c r="B22" s="324">
        <v>7</v>
      </c>
      <c r="C22" s="325" t="s">
        <v>94</v>
      </c>
      <c r="D22" s="333" t="s">
        <v>95</v>
      </c>
      <c r="E22" s="333"/>
      <c r="F22" s="327"/>
      <c r="G22" s="334">
        <f>社保1!BB19</f>
        <v>1120</v>
      </c>
      <c r="H22" s="329"/>
      <c r="J22" s="369"/>
      <c r="K22" s="369"/>
      <c r="L22" s="369"/>
      <c r="M22" s="369"/>
    </row>
    <row r="23" ht="18" customHeight="1" spans="2:13">
      <c r="B23" s="324">
        <v>8</v>
      </c>
      <c r="C23" s="336" t="s">
        <v>96</v>
      </c>
      <c r="D23" s="337">
        <v>0.056</v>
      </c>
      <c r="E23" s="337"/>
      <c r="F23" s="337"/>
      <c r="G23" s="334"/>
      <c r="H23" s="329"/>
      <c r="J23" s="369"/>
      <c r="K23" s="369"/>
      <c r="L23" s="369"/>
      <c r="M23" s="369"/>
    </row>
    <row r="24" ht="16.5" spans="2:8">
      <c r="B24" s="338" t="s">
        <v>97</v>
      </c>
      <c r="C24" s="339"/>
      <c r="D24" s="339"/>
      <c r="E24" s="339"/>
      <c r="F24" s="339"/>
      <c r="G24" s="340">
        <f>G21+G22</f>
        <v>105389.55</v>
      </c>
      <c r="H24" s="341"/>
    </row>
    <row r="25" ht="16" customHeight="1" spans="2:8">
      <c r="B25" s="342" t="s">
        <v>98</v>
      </c>
      <c r="C25" s="343"/>
      <c r="D25" s="343"/>
      <c r="E25" s="343"/>
      <c r="F25" s="343"/>
      <c r="G25" s="344">
        <f>G24</f>
        <v>105389.55</v>
      </c>
      <c r="H25" s="345"/>
    </row>
    <row r="26" ht="14.25"/>
  </sheetData>
  <mergeCells count="31">
    <mergeCell ref="A1:N1"/>
    <mergeCell ref="B4:F4"/>
    <mergeCell ref="B7:H7"/>
    <mergeCell ref="I7:J7"/>
    <mergeCell ref="B8:D8"/>
    <mergeCell ref="E8:H8"/>
    <mergeCell ref="J8:N8"/>
    <mergeCell ref="B9:D9"/>
    <mergeCell ref="E9:H9"/>
    <mergeCell ref="J9:N9"/>
    <mergeCell ref="B10:C10"/>
    <mergeCell ref="E10:G10"/>
    <mergeCell ref="J10:N10"/>
    <mergeCell ref="B11:C11"/>
    <mergeCell ref="E11:G11"/>
    <mergeCell ref="B12:C12"/>
    <mergeCell ref="E12:G12"/>
    <mergeCell ref="K12:N12"/>
    <mergeCell ref="B13:C13"/>
    <mergeCell ref="E13:G13"/>
    <mergeCell ref="K13:N13"/>
    <mergeCell ref="A15:N15"/>
    <mergeCell ref="D17:E17"/>
    <mergeCell ref="D18:E18"/>
    <mergeCell ref="D21:E21"/>
    <mergeCell ref="D22:E22"/>
    <mergeCell ref="D23:F23"/>
    <mergeCell ref="B24:F24"/>
    <mergeCell ref="B25:F25"/>
    <mergeCell ref="C18:C21"/>
    <mergeCell ref="J17:M23"/>
  </mergeCells>
  <conditionalFormatting sqref="G20:H20 C21:H21 F19:F22">
    <cfRule type="cellIs" dxfId="1" priority="1" stopIfTrue="1" operator="equal">
      <formula>"信用卡"</formula>
    </cfRule>
    <cfRule type="cellIs" dxfId="2" priority="2" stopIfTrue="1" operator="equal">
      <formula>"現金"</formula>
    </cfRule>
  </conditionalFormatting>
  <pageMargins left="0.75" right="0.75" top="1" bottom="1" header="0.5" footer="0.5"/>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H23"/>
  <sheetViews>
    <sheetView workbookViewId="0">
      <pane xSplit="11" ySplit="2" topLeftCell="AE3" activePane="bottomRight" state="frozen"/>
      <selection/>
      <selection pane="topRight"/>
      <selection pane="bottomLeft"/>
      <selection pane="bottomRight" activeCell="F34" sqref="F34"/>
    </sheetView>
  </sheetViews>
  <sheetFormatPr defaultColWidth="9" defaultRowHeight="16.5"/>
  <cols>
    <col min="1" max="1" width="3.26666666666667" style="168" customWidth="1"/>
    <col min="2" max="2" width="19.2666666666667" style="168" customWidth="1"/>
    <col min="3" max="3" width="6" style="168" customWidth="1"/>
    <col min="4" max="4" width="8.45" style="168" hidden="1" customWidth="1"/>
    <col min="5" max="5" width="8.26666666666667" style="168" hidden="1" customWidth="1"/>
    <col min="6" max="6" width="11.9083333333333" style="168" customWidth="1"/>
    <col min="7" max="7" width="16.3666666666667" style="168" customWidth="1"/>
    <col min="8" max="11" width="8.45" style="168" customWidth="1"/>
    <col min="12" max="12" width="9.09166666666667" style="168" customWidth="1"/>
    <col min="13" max="14" width="9.26666666666667" style="168" customWidth="1"/>
    <col min="15" max="15" width="7.45" style="168" customWidth="1"/>
    <col min="16" max="16" width="11.2666666666667" style="168" customWidth="1"/>
    <col min="17" max="17" width="9.09166666666667" style="168" customWidth="1"/>
    <col min="18" max="21" width="9.26666666666667" style="168" customWidth="1"/>
    <col min="22" max="22" width="9.09166666666667" style="168" customWidth="1"/>
    <col min="23" max="26" width="9.26666666666667" style="168" customWidth="1"/>
    <col min="27" max="28" width="9.09166666666667" style="168" customWidth="1"/>
    <col min="29" max="29" width="9" style="168" customWidth="1"/>
    <col min="30" max="30" width="9.09166666666667" style="168" customWidth="1"/>
    <col min="31" max="31" width="9.26666666666667" style="168" customWidth="1"/>
    <col min="32" max="32" width="8.90833333333333" style="168" customWidth="1"/>
    <col min="33" max="33" width="9.09166666666667" style="168" customWidth="1"/>
    <col min="34" max="34" width="9.26666666666667" style="168" customWidth="1"/>
    <col min="35" max="35" width="11.0916666666667" style="168" customWidth="1"/>
    <col min="36" max="36" width="9.26666666666667" style="168" customWidth="1"/>
    <col min="37" max="37" width="8.26666666666667" style="168" customWidth="1"/>
    <col min="38" max="38" width="9.09166666666667" style="168" hidden="1" customWidth="1"/>
    <col min="39" max="39" width="9.26666666666667" style="168" hidden="1" customWidth="1"/>
    <col min="40" max="40" width="9.26666666666667" style="168" customWidth="1"/>
    <col min="41" max="42" width="9.26666666666667" style="168" hidden="1" customWidth="1"/>
    <col min="43" max="43" width="9.90833333333333" style="168" customWidth="1"/>
    <col min="44" max="44" width="9.36666666666667" style="168" customWidth="1"/>
    <col min="45" max="45" width="10.2666666666667" style="169" customWidth="1"/>
    <col min="46" max="46" width="10" style="169" customWidth="1"/>
    <col min="47" max="49" width="9.26666666666667" style="169" customWidth="1"/>
    <col min="50" max="50" width="9.26666666666667" style="168" customWidth="1"/>
    <col min="51" max="51" width="5.90833333333333" style="168" customWidth="1"/>
    <col min="52" max="52" width="8.36666666666667" style="168" customWidth="1"/>
    <col min="53" max="53" width="5.90833333333333" style="168" customWidth="1"/>
    <col min="54" max="54" width="8.90833333333333" style="168" customWidth="1"/>
    <col min="55" max="55" width="10.9083333333333" style="168" customWidth="1"/>
    <col min="56" max="56" width="40.2666666666667" style="170" customWidth="1"/>
    <col min="57" max="57" width="10.6333333333333" style="168" customWidth="1"/>
    <col min="58" max="16384" width="9" style="168"/>
  </cols>
  <sheetData>
    <row r="1" s="161" customFormat="1" ht="22.5" customHeight="1" spans="1:56">
      <c r="A1" s="171" t="s">
        <v>0</v>
      </c>
      <c r="B1" s="172" t="s">
        <v>1</v>
      </c>
      <c r="C1" s="172" t="s">
        <v>2</v>
      </c>
      <c r="D1" s="171" t="s">
        <v>3</v>
      </c>
      <c r="E1" s="172" t="s">
        <v>4</v>
      </c>
      <c r="F1" s="172" t="s">
        <v>5</v>
      </c>
      <c r="G1" s="172" t="s">
        <v>6</v>
      </c>
      <c r="H1" s="172" t="s">
        <v>7</v>
      </c>
      <c r="I1" s="172" t="s">
        <v>8</v>
      </c>
      <c r="J1" s="172" t="s">
        <v>9</v>
      </c>
      <c r="K1" s="172" t="s">
        <v>10</v>
      </c>
      <c r="L1" s="207" t="s">
        <v>11</v>
      </c>
      <c r="M1" s="207"/>
      <c r="N1" s="207"/>
      <c r="O1" s="207"/>
      <c r="P1" s="207"/>
      <c r="Q1" s="207" t="s">
        <v>12</v>
      </c>
      <c r="R1" s="207"/>
      <c r="S1" s="207"/>
      <c r="T1" s="207"/>
      <c r="U1" s="207"/>
      <c r="V1" s="207" t="s">
        <v>13</v>
      </c>
      <c r="W1" s="207"/>
      <c r="X1" s="207"/>
      <c r="Y1" s="207"/>
      <c r="Z1" s="207"/>
      <c r="AA1" s="171" t="s">
        <v>14</v>
      </c>
      <c r="AB1" s="171"/>
      <c r="AC1" s="171"/>
      <c r="AD1" s="171" t="s">
        <v>15</v>
      </c>
      <c r="AE1" s="171"/>
      <c r="AF1" s="171"/>
      <c r="AG1" s="207" t="s">
        <v>16</v>
      </c>
      <c r="AH1" s="207"/>
      <c r="AI1" s="207"/>
      <c r="AJ1" s="207"/>
      <c r="AK1" s="207"/>
      <c r="AL1" s="171" t="s">
        <v>99</v>
      </c>
      <c r="AM1" s="171"/>
      <c r="AN1" s="171"/>
      <c r="AO1" s="171"/>
      <c r="AP1" s="171"/>
      <c r="AQ1" s="171" t="s">
        <v>18</v>
      </c>
      <c r="AR1" s="171"/>
      <c r="AS1" s="223" t="s">
        <v>19</v>
      </c>
      <c r="AT1" s="223"/>
      <c r="AU1" s="223"/>
      <c r="AV1" s="223"/>
      <c r="AW1" s="223"/>
      <c r="AX1" s="171" t="s">
        <v>20</v>
      </c>
      <c r="AY1" s="171"/>
      <c r="AZ1" s="171" t="s">
        <v>21</v>
      </c>
      <c r="BA1" s="171"/>
      <c r="BB1" s="171" t="s">
        <v>22</v>
      </c>
      <c r="BC1" s="171" t="s">
        <v>23</v>
      </c>
      <c r="BD1" s="236" t="s">
        <v>24</v>
      </c>
    </row>
    <row r="2" ht="22.5" customHeight="1" spans="1:56">
      <c r="A2" s="171"/>
      <c r="B2" s="173"/>
      <c r="C2" s="172"/>
      <c r="D2" s="171"/>
      <c r="E2" s="172"/>
      <c r="F2" s="174"/>
      <c r="G2" s="174"/>
      <c r="H2" s="172"/>
      <c r="I2" s="172"/>
      <c r="J2" s="172"/>
      <c r="K2" s="172"/>
      <c r="L2" s="208" t="s">
        <v>25</v>
      </c>
      <c r="M2" s="208" t="s">
        <v>26</v>
      </c>
      <c r="N2" s="208" t="s">
        <v>27</v>
      </c>
      <c r="O2" s="208" t="s">
        <v>28</v>
      </c>
      <c r="P2" s="208" t="s">
        <v>29</v>
      </c>
      <c r="Q2" s="208" t="s">
        <v>25</v>
      </c>
      <c r="R2" s="208" t="s">
        <v>26</v>
      </c>
      <c r="S2" s="208" t="s">
        <v>27</v>
      </c>
      <c r="T2" s="208" t="s">
        <v>28</v>
      </c>
      <c r="U2" s="208" t="s">
        <v>29</v>
      </c>
      <c r="V2" s="208" t="s">
        <v>25</v>
      </c>
      <c r="W2" s="208" t="s">
        <v>26</v>
      </c>
      <c r="X2" s="208" t="s">
        <v>27</v>
      </c>
      <c r="Y2" s="208" t="s">
        <v>28</v>
      </c>
      <c r="Z2" s="208" t="s">
        <v>29</v>
      </c>
      <c r="AA2" s="208" t="s">
        <v>25</v>
      </c>
      <c r="AB2" s="208" t="s">
        <v>30</v>
      </c>
      <c r="AC2" s="208" t="s">
        <v>31</v>
      </c>
      <c r="AD2" s="208" t="s">
        <v>25</v>
      </c>
      <c r="AE2" s="208" t="s">
        <v>30</v>
      </c>
      <c r="AF2" s="208" t="s">
        <v>31</v>
      </c>
      <c r="AG2" s="208" t="s">
        <v>25</v>
      </c>
      <c r="AH2" s="208" t="s">
        <v>26</v>
      </c>
      <c r="AI2" s="208" t="s">
        <v>27</v>
      </c>
      <c r="AJ2" s="208" t="s">
        <v>28</v>
      </c>
      <c r="AK2" s="208" t="s">
        <v>29</v>
      </c>
      <c r="AL2" s="208" t="s">
        <v>25</v>
      </c>
      <c r="AM2" s="208" t="s">
        <v>26</v>
      </c>
      <c r="AN2" s="208" t="s">
        <v>27</v>
      </c>
      <c r="AO2" s="208" t="s">
        <v>28</v>
      </c>
      <c r="AP2" s="208" t="s">
        <v>29</v>
      </c>
      <c r="AQ2" s="208" t="s">
        <v>32</v>
      </c>
      <c r="AR2" s="208" t="s">
        <v>33</v>
      </c>
      <c r="AS2" s="224" t="s">
        <v>34</v>
      </c>
      <c r="AT2" s="224" t="s">
        <v>35</v>
      </c>
      <c r="AU2" s="224" t="s">
        <v>36</v>
      </c>
      <c r="AV2" s="224" t="s">
        <v>37</v>
      </c>
      <c r="AW2" s="224" t="s">
        <v>38</v>
      </c>
      <c r="AX2" s="171"/>
      <c r="AY2" s="171"/>
      <c r="AZ2" s="171"/>
      <c r="BA2" s="171"/>
      <c r="BB2" s="171"/>
      <c r="BC2" s="171"/>
      <c r="BD2" s="236"/>
    </row>
    <row r="3" s="162" customFormat="1" ht="18" customHeight="1" spans="1:60">
      <c r="A3" s="175">
        <v>1</v>
      </c>
      <c r="B3" s="176" t="s">
        <v>39</v>
      </c>
      <c r="C3" s="177" t="s">
        <v>40</v>
      </c>
      <c r="D3" s="176" t="s">
        <v>41</v>
      </c>
      <c r="E3" s="176" t="s">
        <v>42</v>
      </c>
      <c r="F3" s="178" t="s">
        <v>43</v>
      </c>
      <c r="G3" s="179" t="s">
        <v>44</v>
      </c>
      <c r="H3" s="176" t="s">
        <v>45</v>
      </c>
      <c r="I3" s="176" t="s">
        <v>45</v>
      </c>
      <c r="J3" s="176" t="s">
        <v>100</v>
      </c>
      <c r="K3" s="176" t="s">
        <v>100</v>
      </c>
      <c r="L3" s="175">
        <v>3548</v>
      </c>
      <c r="M3" s="175">
        <v>0.16</v>
      </c>
      <c r="N3" s="175">
        <f>ROUND(L3*M3,2)</f>
        <v>567.68</v>
      </c>
      <c r="O3" s="175">
        <v>0.08</v>
      </c>
      <c r="P3" s="175">
        <f>ROUND(L3*O3,2)</f>
        <v>283.84</v>
      </c>
      <c r="Q3" s="175">
        <v>3548</v>
      </c>
      <c r="R3" s="175">
        <v>0.08</v>
      </c>
      <c r="S3" s="175">
        <f>ROUND(Q3*R3,2)</f>
        <v>283.84</v>
      </c>
      <c r="T3" s="175">
        <v>0.02</v>
      </c>
      <c r="U3" s="175">
        <f>ROUND(Q3*T3,2)</f>
        <v>70.96</v>
      </c>
      <c r="V3" s="175">
        <v>3548</v>
      </c>
      <c r="W3" s="175">
        <v>0.007</v>
      </c>
      <c r="X3" s="175">
        <f>ROUND(V3*W3,2)</f>
        <v>24.84</v>
      </c>
      <c r="Y3" s="175">
        <v>0.003</v>
      </c>
      <c r="Z3" s="175">
        <f>ROUND(V3*Y3,2)</f>
        <v>10.64</v>
      </c>
      <c r="AA3" s="175"/>
      <c r="AB3" s="175"/>
      <c r="AC3" s="175"/>
      <c r="AD3" s="175">
        <v>3548</v>
      </c>
      <c r="AE3" s="175">
        <v>0.004</v>
      </c>
      <c r="AF3" s="175">
        <f>ROUND(AD3*AE3,2)</f>
        <v>14.19</v>
      </c>
      <c r="AG3" s="175">
        <v>3000</v>
      </c>
      <c r="AH3" s="175">
        <v>0.1</v>
      </c>
      <c r="AI3" s="175">
        <f>ROUND(AG3*AH3,2)</f>
        <v>300</v>
      </c>
      <c r="AJ3" s="175">
        <v>0.06</v>
      </c>
      <c r="AK3" s="175">
        <f>ROUND(AG3*AJ3,2)</f>
        <v>180</v>
      </c>
      <c r="AL3" s="219"/>
      <c r="AM3" s="175"/>
      <c r="AN3" s="175"/>
      <c r="AO3" s="175"/>
      <c r="AP3" s="176" t="s">
        <v>47</v>
      </c>
      <c r="AQ3" s="225">
        <v>9</v>
      </c>
      <c r="AR3" s="175"/>
      <c r="AS3" s="218">
        <f>N3+S3+X3+AC3+AF3+AN3+AQ3</f>
        <v>899.55</v>
      </c>
      <c r="AT3" s="218">
        <f>P3+U3+Z3</f>
        <v>365.44</v>
      </c>
      <c r="AU3" s="218">
        <f>AI3</f>
        <v>300</v>
      </c>
      <c r="AV3" s="218">
        <f>AK3</f>
        <v>180</v>
      </c>
      <c r="AW3" s="218">
        <f>AV3+AS3+AT3+AU3</f>
        <v>1744.99</v>
      </c>
      <c r="AX3" s="237">
        <f>AS3+AT3</f>
        <v>1264.99</v>
      </c>
      <c r="AY3" s="237"/>
      <c r="AZ3" s="237">
        <f>AU3+AV3</f>
        <v>480</v>
      </c>
      <c r="BA3" s="237"/>
      <c r="BB3" s="238">
        <v>80</v>
      </c>
      <c r="BC3" s="237">
        <f>AX3+AZ3+BB3</f>
        <v>1824.99</v>
      </c>
      <c r="BD3" s="239" t="s">
        <v>101</v>
      </c>
      <c r="BE3" s="259"/>
      <c r="BF3" s="260"/>
      <c r="BG3" s="261"/>
      <c r="BH3" s="262" t="s">
        <v>47</v>
      </c>
    </row>
    <row r="4" s="162" customFormat="1" ht="18" customHeight="1" spans="1:60">
      <c r="A4" s="175">
        <v>2</v>
      </c>
      <c r="B4" s="176" t="s">
        <v>39</v>
      </c>
      <c r="C4" s="177" t="s">
        <v>60</v>
      </c>
      <c r="D4" s="176" t="s">
        <v>41</v>
      </c>
      <c r="E4" s="176" t="s">
        <v>51</v>
      </c>
      <c r="F4" s="178" t="s">
        <v>61</v>
      </c>
      <c r="G4" s="179" t="s">
        <v>62</v>
      </c>
      <c r="H4" s="176" t="s">
        <v>63</v>
      </c>
      <c r="I4" s="176" t="s">
        <v>63</v>
      </c>
      <c r="J4" s="176" t="s">
        <v>100</v>
      </c>
      <c r="K4" s="176" t="s">
        <v>100</v>
      </c>
      <c r="L4" s="175">
        <v>3703.2</v>
      </c>
      <c r="M4" s="175">
        <v>0.16</v>
      </c>
      <c r="N4" s="175">
        <f>ROUND(L4*M4,2)</f>
        <v>592.51</v>
      </c>
      <c r="O4" s="175">
        <v>0.08</v>
      </c>
      <c r="P4" s="175">
        <f>ROUND(L4*O4,2)</f>
        <v>296.26</v>
      </c>
      <c r="Q4" s="175">
        <v>3602.85</v>
      </c>
      <c r="R4" s="175">
        <v>0.067</v>
      </c>
      <c r="S4" s="175">
        <f>ROUND(Q4*R4,2)</f>
        <v>241.39</v>
      </c>
      <c r="T4" s="175">
        <v>0.02</v>
      </c>
      <c r="U4" s="175">
        <f>ROUND(Q4*T4,2)</f>
        <v>72.06</v>
      </c>
      <c r="V4" s="175">
        <v>3703.2</v>
      </c>
      <c r="W4" s="175">
        <v>0.007</v>
      </c>
      <c r="X4" s="175">
        <f>ROUND(V4*W4,2)</f>
        <v>25.92</v>
      </c>
      <c r="Y4" s="175">
        <v>0.003</v>
      </c>
      <c r="Z4" s="175">
        <f>ROUND(V4*Y4,2)</f>
        <v>11.11</v>
      </c>
      <c r="AA4" s="175">
        <v>3602.85</v>
      </c>
      <c r="AB4" s="175">
        <v>0.007</v>
      </c>
      <c r="AC4" s="175">
        <f>ROUND(AA4*AB4,2)</f>
        <v>25.22</v>
      </c>
      <c r="AD4" s="175">
        <v>3830.9</v>
      </c>
      <c r="AE4" s="175">
        <v>0.002</v>
      </c>
      <c r="AF4" s="175">
        <f>ROUND(AD4*AE4,2)</f>
        <v>7.66</v>
      </c>
      <c r="AG4" s="175">
        <v>1640</v>
      </c>
      <c r="AH4" s="175">
        <v>0.05</v>
      </c>
      <c r="AI4" s="175">
        <f>ROUND(AG4*AH4,2)</f>
        <v>82</v>
      </c>
      <c r="AJ4" s="175">
        <v>0.05</v>
      </c>
      <c r="AK4" s="175">
        <f>ROUND(AG4*AJ4,2)</f>
        <v>82</v>
      </c>
      <c r="AL4" s="219"/>
      <c r="AM4" s="175"/>
      <c r="AN4" s="175"/>
      <c r="AO4" s="175"/>
      <c r="AP4" s="176"/>
      <c r="AQ4" s="225"/>
      <c r="AR4" s="175"/>
      <c r="AS4" s="218">
        <f>N4+S4+X4+AC4+AF4+AN4+AQ4</f>
        <v>892.7</v>
      </c>
      <c r="AT4" s="218">
        <f>P4+U4+Z4</f>
        <v>379.43</v>
      </c>
      <c r="AU4" s="218">
        <f>AI4</f>
        <v>82</v>
      </c>
      <c r="AV4" s="218">
        <f>AK4</f>
        <v>82</v>
      </c>
      <c r="AW4" s="218">
        <f>AV4+AS4+AT4+AU4</f>
        <v>1436.13</v>
      </c>
      <c r="AX4" s="237">
        <f>AS4+AT4</f>
        <v>1272.13</v>
      </c>
      <c r="AY4" s="237"/>
      <c r="AZ4" s="237">
        <f>AU4+AV4</f>
        <v>164</v>
      </c>
      <c r="BA4" s="237"/>
      <c r="BB4" s="238">
        <v>80</v>
      </c>
      <c r="BC4" s="237">
        <f>AX4+AZ4+BB4</f>
        <v>1516.13</v>
      </c>
      <c r="BD4" s="239" t="s">
        <v>102</v>
      </c>
      <c r="BE4" s="259" t="s">
        <v>103</v>
      </c>
      <c r="BF4" s="263"/>
      <c r="BG4" s="263"/>
      <c r="BH4" s="263"/>
    </row>
    <row r="5" s="162" customFormat="1" ht="18" customHeight="1" spans="1:60">
      <c r="A5" s="175">
        <v>3</v>
      </c>
      <c r="B5" s="176" t="s">
        <v>39</v>
      </c>
      <c r="C5" s="177" t="s">
        <v>50</v>
      </c>
      <c r="D5" s="176" t="s">
        <v>41</v>
      </c>
      <c r="E5" s="176" t="s">
        <v>51</v>
      </c>
      <c r="F5" s="178" t="s">
        <v>104</v>
      </c>
      <c r="G5" s="179" t="s">
        <v>105</v>
      </c>
      <c r="H5" s="176" t="s">
        <v>106</v>
      </c>
      <c r="I5" s="176" t="s">
        <v>106</v>
      </c>
      <c r="J5" s="176" t="s">
        <v>100</v>
      </c>
      <c r="K5" s="176" t="s">
        <v>100</v>
      </c>
      <c r="L5" s="175">
        <v>4588</v>
      </c>
      <c r="M5" s="175">
        <v>0.15</v>
      </c>
      <c r="N5" s="175">
        <f>ROUND(L5*M5,2)</f>
        <v>688.2</v>
      </c>
      <c r="O5" s="175">
        <v>0.08</v>
      </c>
      <c r="P5" s="175">
        <f>ROUND(L5*O5,2)</f>
        <v>367.04</v>
      </c>
      <c r="Q5" s="175">
        <v>7214</v>
      </c>
      <c r="R5" s="175">
        <v>0.0545</v>
      </c>
      <c r="S5" s="175">
        <f>ROUND(Q5*R5,2)</f>
        <v>393.16</v>
      </c>
      <c r="T5" s="175">
        <v>0.02</v>
      </c>
      <c r="U5" s="175">
        <f>ROUND(Q5*T5,2)</f>
        <v>144.28</v>
      </c>
      <c r="V5" s="175">
        <v>2300</v>
      </c>
      <c r="W5" s="175">
        <v>0.0048</v>
      </c>
      <c r="X5" s="175">
        <f>ROUND(V5*W5,2)</f>
        <v>11.04</v>
      </c>
      <c r="Y5" s="175">
        <v>0.002</v>
      </c>
      <c r="Z5" s="175">
        <f>ROUND(V5*Y5,2)</f>
        <v>4.6</v>
      </c>
      <c r="AA5" s="175"/>
      <c r="AB5" s="175"/>
      <c r="AC5" s="175"/>
      <c r="AD5" s="175">
        <v>2300</v>
      </c>
      <c r="AE5" s="175">
        <v>0.0016</v>
      </c>
      <c r="AF5" s="175">
        <f>ROUND(AD5*AE5,2)</f>
        <v>3.68</v>
      </c>
      <c r="AG5" s="175">
        <v>2300</v>
      </c>
      <c r="AH5" s="175">
        <v>0.05</v>
      </c>
      <c r="AI5" s="175">
        <f>ROUND(AG5*AH5,2)</f>
        <v>115</v>
      </c>
      <c r="AJ5" s="175">
        <v>0.05</v>
      </c>
      <c r="AK5" s="175">
        <f>ROUND(AG5*AJ5,2)</f>
        <v>115</v>
      </c>
      <c r="AL5" s="219"/>
      <c r="AM5" s="175"/>
      <c r="AN5" s="175"/>
      <c r="AO5" s="175"/>
      <c r="AP5" s="176"/>
      <c r="AQ5" s="225">
        <f>ROUND(12024*0.0026,2)</f>
        <v>31.26</v>
      </c>
      <c r="AR5" s="225"/>
      <c r="AS5" s="218">
        <f>N5+S5+X5+AC5+AF5+AN5+AQ5</f>
        <v>1127.34</v>
      </c>
      <c r="AT5" s="218">
        <f>P5+U5+Z5</f>
        <v>515.92</v>
      </c>
      <c r="AU5" s="218">
        <f>AI5</f>
        <v>115</v>
      </c>
      <c r="AV5" s="218">
        <f>AK5</f>
        <v>115</v>
      </c>
      <c r="AW5" s="218">
        <f>AV5+AS5+AT5+AU5</f>
        <v>1873.26</v>
      </c>
      <c r="AX5" s="237">
        <f>AS5+AT5</f>
        <v>1643.26</v>
      </c>
      <c r="AY5" s="237"/>
      <c r="AZ5" s="237">
        <f>AU5+AV5</f>
        <v>230</v>
      </c>
      <c r="BA5" s="237"/>
      <c r="BB5" s="238">
        <v>80</v>
      </c>
      <c r="BC5" s="237">
        <f>AX5+AZ5+BB5</f>
        <v>1953.26</v>
      </c>
      <c r="BD5" s="239" t="s">
        <v>107</v>
      </c>
      <c r="BE5" s="263"/>
      <c r="BF5" s="263"/>
      <c r="BG5" s="263"/>
      <c r="BH5" s="263"/>
    </row>
    <row r="6" s="162" customFormat="1" ht="20" customHeight="1" spans="1:60">
      <c r="A6" s="175">
        <v>4</v>
      </c>
      <c r="B6" s="176" t="s">
        <v>39</v>
      </c>
      <c r="C6" s="177" t="s">
        <v>108</v>
      </c>
      <c r="D6" s="176" t="s">
        <v>41</v>
      </c>
      <c r="E6" s="176" t="s">
        <v>51</v>
      </c>
      <c r="F6" s="178" t="s">
        <v>109</v>
      </c>
      <c r="G6" s="395" t="s">
        <v>110</v>
      </c>
      <c r="H6" s="176">
        <v>202208</v>
      </c>
      <c r="I6" s="176" t="s">
        <v>111</v>
      </c>
      <c r="J6" s="176" t="s">
        <v>100</v>
      </c>
      <c r="K6" s="176" t="s">
        <v>100</v>
      </c>
      <c r="L6" s="175">
        <v>6520</v>
      </c>
      <c r="M6" s="175">
        <v>0.16</v>
      </c>
      <c r="N6" s="175">
        <f>ROUND(L6*M6,2)</f>
        <v>1043.2</v>
      </c>
      <c r="O6" s="175">
        <v>0.08</v>
      </c>
      <c r="P6" s="175">
        <f>ROUND(L6*O6,2)</f>
        <v>521.6</v>
      </c>
      <c r="Q6" s="175">
        <v>6520</v>
      </c>
      <c r="R6" s="175">
        <v>0.105</v>
      </c>
      <c r="S6" s="175">
        <f>ROUND(Q6*R6,2)</f>
        <v>684.6</v>
      </c>
      <c r="T6" s="175">
        <v>0.02</v>
      </c>
      <c r="U6" s="175">
        <f>ROUND(Q6*T6,2)</f>
        <v>130.4</v>
      </c>
      <c r="V6" s="175">
        <v>6520</v>
      </c>
      <c r="W6" s="175">
        <v>0.005</v>
      </c>
      <c r="X6" s="175">
        <f>ROUND(V6*W6,2)</f>
        <v>32.6</v>
      </c>
      <c r="Y6" s="175">
        <v>0.005</v>
      </c>
      <c r="Z6" s="175">
        <f>ROUND(V6*Y6,2)</f>
        <v>32.6</v>
      </c>
      <c r="AA6" s="175"/>
      <c r="AB6" s="175"/>
      <c r="AC6" s="175"/>
      <c r="AD6" s="175">
        <v>6520</v>
      </c>
      <c r="AE6" s="175">
        <v>0.00256</v>
      </c>
      <c r="AF6" s="175">
        <f>ROUND(AD6*AE6,2)</f>
        <v>16.69</v>
      </c>
      <c r="AG6" s="175">
        <v>2590</v>
      </c>
      <c r="AH6" s="175">
        <v>0.07</v>
      </c>
      <c r="AI6" s="175">
        <f>ROUND(AG6*AH6,2)</f>
        <v>181.3</v>
      </c>
      <c r="AJ6" s="175">
        <v>0.07</v>
      </c>
      <c r="AK6" s="175">
        <f>ROUND(AG6*AJ6,2)</f>
        <v>181.3</v>
      </c>
      <c r="AL6" s="219"/>
      <c r="AM6" s="175"/>
      <c r="AN6" s="175">
        <f>ROUND(L6*1.5%,2)</f>
        <v>97.8</v>
      </c>
      <c r="AO6" s="175"/>
      <c r="AP6" s="176"/>
      <c r="AQ6" s="225"/>
      <c r="AR6" s="225"/>
      <c r="AS6" s="218">
        <f>N6+S6+X6+AC6+AF6+AN6+AQ6</f>
        <v>1874.89</v>
      </c>
      <c r="AT6" s="218">
        <f>P6+U6+Z6+AR6</f>
        <v>684.6</v>
      </c>
      <c r="AU6" s="218">
        <f>AI6</f>
        <v>181.3</v>
      </c>
      <c r="AV6" s="218">
        <f>AK6</f>
        <v>181.3</v>
      </c>
      <c r="AW6" s="218">
        <f>AV6+AS6+AT6+AU6</f>
        <v>2922.09</v>
      </c>
      <c r="AX6" s="237">
        <f>AS6+AT6</f>
        <v>2559.49</v>
      </c>
      <c r="AY6" s="237"/>
      <c r="AZ6" s="237">
        <f>AU6+AV6</f>
        <v>362.6</v>
      </c>
      <c r="BA6" s="237"/>
      <c r="BB6" s="238">
        <v>80</v>
      </c>
      <c r="BC6" s="237">
        <f>AX6+AZ6+BB6</f>
        <v>3002.09</v>
      </c>
      <c r="BD6" s="240"/>
      <c r="BE6" s="263"/>
      <c r="BF6" s="263"/>
      <c r="BG6" s="263"/>
      <c r="BH6" s="263"/>
    </row>
    <row r="7" s="162" customFormat="1" ht="20" customHeight="1" spans="1:60">
      <c r="A7" s="175">
        <v>5</v>
      </c>
      <c r="B7" s="176" t="s">
        <v>39</v>
      </c>
      <c r="C7" s="177" t="s">
        <v>112</v>
      </c>
      <c r="D7" s="176" t="s">
        <v>41</v>
      </c>
      <c r="E7" s="176" t="s">
        <v>51</v>
      </c>
      <c r="F7" s="178" t="s">
        <v>113</v>
      </c>
      <c r="G7" s="395" t="s">
        <v>114</v>
      </c>
      <c r="H7" s="176">
        <v>202208</v>
      </c>
      <c r="I7" s="176">
        <v>202208</v>
      </c>
      <c r="J7" s="176" t="s">
        <v>115</v>
      </c>
      <c r="K7" s="176" t="s">
        <v>115</v>
      </c>
      <c r="L7" s="175">
        <v>3430</v>
      </c>
      <c r="M7" s="175">
        <v>0.16</v>
      </c>
      <c r="N7" s="175">
        <f t="shared" ref="N7:N16" si="0">ROUND(L7*M7,2)</f>
        <v>548.8</v>
      </c>
      <c r="O7" s="175">
        <v>0.08</v>
      </c>
      <c r="P7" s="175">
        <f t="shared" ref="P7:P16" si="1">ROUND(L7*O7,2)</f>
        <v>274.4</v>
      </c>
      <c r="Q7" s="175">
        <v>3430</v>
      </c>
      <c r="R7" s="175">
        <v>0.088</v>
      </c>
      <c r="S7" s="175">
        <f t="shared" ref="S7:S16" si="2">ROUND(Q7*R7,2)</f>
        <v>301.84</v>
      </c>
      <c r="T7" s="175">
        <v>0.02</v>
      </c>
      <c r="U7" s="175">
        <f t="shared" ref="U7:U16" si="3">ROUND(Q7*T7,2)</f>
        <v>68.6</v>
      </c>
      <c r="V7" s="175">
        <v>3430</v>
      </c>
      <c r="W7" s="175">
        <v>0.005</v>
      </c>
      <c r="X7" s="175">
        <f t="shared" ref="X7:X16" si="4">ROUND(V7*W7,2)</f>
        <v>17.15</v>
      </c>
      <c r="Y7" s="175">
        <v>0.005</v>
      </c>
      <c r="Z7" s="175">
        <f t="shared" ref="Z7:Z16" si="5">ROUND(V7*Y7,2)</f>
        <v>17.15</v>
      </c>
      <c r="AA7" s="175"/>
      <c r="AB7" s="175"/>
      <c r="AC7" s="175"/>
      <c r="AD7" s="175">
        <v>3430</v>
      </c>
      <c r="AE7" s="175">
        <v>0.0032</v>
      </c>
      <c r="AF7" s="175">
        <f t="shared" ref="AF7:AF16" si="6">ROUND(AD7*AE7,2)</f>
        <v>10.98</v>
      </c>
      <c r="AG7" s="175">
        <v>1500</v>
      </c>
      <c r="AH7" s="175">
        <v>0.05</v>
      </c>
      <c r="AI7" s="175">
        <f t="shared" ref="AI7:AI16" si="7">ROUND(AG7*AH7,2)</f>
        <v>75</v>
      </c>
      <c r="AJ7" s="175">
        <v>0.05</v>
      </c>
      <c r="AK7" s="175">
        <f t="shared" ref="AK7:AK16" si="8">ROUND(AG7*AJ7,2)</f>
        <v>75</v>
      </c>
      <c r="AL7" s="219"/>
      <c r="AM7" s="175"/>
      <c r="AN7" s="175"/>
      <c r="AO7" s="175"/>
      <c r="AP7" s="176"/>
      <c r="AQ7" s="225">
        <v>13</v>
      </c>
      <c r="AR7" s="225">
        <v>8</v>
      </c>
      <c r="AS7" s="218">
        <f t="shared" ref="AS7:AS16" si="9">N7+S7+X7+AC7+AF7+AN7+AQ7</f>
        <v>891.77</v>
      </c>
      <c r="AT7" s="218">
        <f t="shared" ref="AT7:AT16" si="10">P7+U7+Z7+AR7</f>
        <v>368.15</v>
      </c>
      <c r="AU7" s="218">
        <f t="shared" ref="AU7:AU16" si="11">AI7</f>
        <v>75</v>
      </c>
      <c r="AV7" s="218">
        <f t="shared" ref="AV7:AV16" si="12">AK7</f>
        <v>75</v>
      </c>
      <c r="AW7" s="218">
        <f t="shared" ref="AW7:AW16" si="13">AV7+AS7+AT7+AU7</f>
        <v>1409.92</v>
      </c>
      <c r="AX7" s="237">
        <f t="shared" ref="AX7:AX16" si="14">AS7+AT7</f>
        <v>1259.92</v>
      </c>
      <c r="AY7" s="237"/>
      <c r="AZ7" s="237">
        <f t="shared" ref="AZ7:AZ16" si="15">AU7+AV7</f>
        <v>150</v>
      </c>
      <c r="BA7" s="237"/>
      <c r="BB7" s="238">
        <v>80</v>
      </c>
      <c r="BC7" s="237">
        <f t="shared" ref="BC7:BC16" si="16">AX7+AZ7+BB7</f>
        <v>1489.92</v>
      </c>
      <c r="BD7" s="240"/>
      <c r="BE7" s="263"/>
      <c r="BF7" s="263"/>
      <c r="BG7" s="263"/>
      <c r="BH7" s="263"/>
    </row>
    <row r="8" s="162" customFormat="1" ht="19.5" customHeight="1" spans="1:60">
      <c r="A8" s="175">
        <v>6</v>
      </c>
      <c r="B8" s="176" t="s">
        <v>39</v>
      </c>
      <c r="C8" s="177" t="s">
        <v>116</v>
      </c>
      <c r="D8" s="176" t="s">
        <v>41</v>
      </c>
      <c r="E8" s="176" t="s">
        <v>51</v>
      </c>
      <c r="F8" s="178" t="s">
        <v>117</v>
      </c>
      <c r="G8" s="395" t="s">
        <v>118</v>
      </c>
      <c r="H8" s="176">
        <v>202208</v>
      </c>
      <c r="I8" s="176">
        <v>202208</v>
      </c>
      <c r="J8" s="176" t="s">
        <v>115</v>
      </c>
      <c r="K8" s="176" t="s">
        <v>115</v>
      </c>
      <c r="L8" s="175">
        <v>3430</v>
      </c>
      <c r="M8" s="175">
        <v>0.16</v>
      </c>
      <c r="N8" s="175">
        <f t="shared" si="0"/>
        <v>548.8</v>
      </c>
      <c r="O8" s="175">
        <v>0.08</v>
      </c>
      <c r="P8" s="175">
        <f t="shared" si="1"/>
        <v>274.4</v>
      </c>
      <c r="Q8" s="175">
        <v>3430</v>
      </c>
      <c r="R8" s="175">
        <v>0.069</v>
      </c>
      <c r="S8" s="175">
        <f t="shared" si="2"/>
        <v>236.67</v>
      </c>
      <c r="T8" s="175">
        <v>0.02</v>
      </c>
      <c r="U8" s="175">
        <f t="shared" si="3"/>
        <v>68.6</v>
      </c>
      <c r="V8" s="175">
        <v>3430</v>
      </c>
      <c r="W8" s="175">
        <v>0.005</v>
      </c>
      <c r="X8" s="175">
        <f t="shared" si="4"/>
        <v>17.15</v>
      </c>
      <c r="Y8" s="175">
        <v>0.005</v>
      </c>
      <c r="Z8" s="175">
        <f t="shared" si="5"/>
        <v>17.15</v>
      </c>
      <c r="AA8" s="175"/>
      <c r="AB8" s="175"/>
      <c r="AC8" s="175"/>
      <c r="AD8" s="175">
        <v>3430</v>
      </c>
      <c r="AE8" s="175">
        <v>0.004</v>
      </c>
      <c r="AF8" s="175">
        <f t="shared" si="6"/>
        <v>13.72</v>
      </c>
      <c r="AG8" s="175">
        <v>1700</v>
      </c>
      <c r="AH8" s="175">
        <v>0.05</v>
      </c>
      <c r="AI8" s="175">
        <f t="shared" si="7"/>
        <v>85</v>
      </c>
      <c r="AJ8" s="175">
        <v>0.05</v>
      </c>
      <c r="AK8" s="175">
        <f t="shared" si="8"/>
        <v>85</v>
      </c>
      <c r="AL8" s="219"/>
      <c r="AM8" s="175"/>
      <c r="AN8" s="175"/>
      <c r="AO8" s="175"/>
      <c r="AP8" s="176"/>
      <c r="AQ8" s="225">
        <v>9</v>
      </c>
      <c r="AR8" s="225">
        <v>6</v>
      </c>
      <c r="AS8" s="218">
        <f t="shared" si="9"/>
        <v>825.34</v>
      </c>
      <c r="AT8" s="218">
        <f t="shared" si="10"/>
        <v>366.15</v>
      </c>
      <c r="AU8" s="218">
        <f t="shared" si="11"/>
        <v>85</v>
      </c>
      <c r="AV8" s="218">
        <f t="shared" si="12"/>
        <v>85</v>
      </c>
      <c r="AW8" s="218">
        <f t="shared" si="13"/>
        <v>1361.49</v>
      </c>
      <c r="AX8" s="237">
        <f t="shared" si="14"/>
        <v>1191.49</v>
      </c>
      <c r="AY8" s="237"/>
      <c r="AZ8" s="237">
        <f t="shared" si="15"/>
        <v>170</v>
      </c>
      <c r="BA8" s="237"/>
      <c r="BB8" s="238">
        <v>80</v>
      </c>
      <c r="BC8" s="237">
        <f t="shared" si="16"/>
        <v>1441.49</v>
      </c>
      <c r="BD8" s="240"/>
      <c r="BE8" s="263"/>
      <c r="BF8" s="263"/>
      <c r="BG8" s="263"/>
      <c r="BH8" s="263"/>
    </row>
    <row r="9" s="163" customFormat="1" ht="19.5" customHeight="1" spans="1:60">
      <c r="A9" s="180">
        <v>7</v>
      </c>
      <c r="B9" s="181" t="s">
        <v>39</v>
      </c>
      <c r="C9" s="182" t="s">
        <v>116</v>
      </c>
      <c r="D9" s="181" t="s">
        <v>41</v>
      </c>
      <c r="E9" s="181" t="s">
        <v>51</v>
      </c>
      <c r="F9" s="183" t="s">
        <v>119</v>
      </c>
      <c r="G9" s="397" t="s">
        <v>120</v>
      </c>
      <c r="H9" s="181">
        <v>202301</v>
      </c>
      <c r="I9" s="181">
        <v>202301</v>
      </c>
      <c r="J9" s="181">
        <v>202301</v>
      </c>
      <c r="K9" s="181">
        <v>202301</v>
      </c>
      <c r="L9" s="180">
        <v>3430</v>
      </c>
      <c r="M9" s="180">
        <v>0.16</v>
      </c>
      <c r="N9" s="180">
        <f t="shared" si="0"/>
        <v>548.8</v>
      </c>
      <c r="O9" s="180">
        <v>0.08</v>
      </c>
      <c r="P9" s="180">
        <f t="shared" si="1"/>
        <v>274.4</v>
      </c>
      <c r="Q9" s="180">
        <v>3430</v>
      </c>
      <c r="R9" s="180">
        <v>0.069</v>
      </c>
      <c r="S9" s="180">
        <f t="shared" si="2"/>
        <v>236.67</v>
      </c>
      <c r="T9" s="180">
        <v>0.02</v>
      </c>
      <c r="U9" s="180">
        <f t="shared" si="3"/>
        <v>68.6</v>
      </c>
      <c r="V9" s="180">
        <v>3430</v>
      </c>
      <c r="W9" s="180">
        <v>0.005</v>
      </c>
      <c r="X9" s="180">
        <f t="shared" si="4"/>
        <v>17.15</v>
      </c>
      <c r="Y9" s="180">
        <v>0.005</v>
      </c>
      <c r="Z9" s="180">
        <f t="shared" si="5"/>
        <v>17.15</v>
      </c>
      <c r="AA9" s="180"/>
      <c r="AB9" s="180"/>
      <c r="AC9" s="180"/>
      <c r="AD9" s="180">
        <v>3430</v>
      </c>
      <c r="AE9" s="180">
        <v>0.004</v>
      </c>
      <c r="AF9" s="180">
        <f t="shared" si="6"/>
        <v>13.72</v>
      </c>
      <c r="AG9" s="180">
        <v>1700</v>
      </c>
      <c r="AH9" s="180">
        <v>0.05</v>
      </c>
      <c r="AI9" s="180">
        <f t="shared" si="7"/>
        <v>85</v>
      </c>
      <c r="AJ9" s="180">
        <v>0.05</v>
      </c>
      <c r="AK9" s="180">
        <f t="shared" si="8"/>
        <v>85</v>
      </c>
      <c r="AL9" s="220"/>
      <c r="AM9" s="180"/>
      <c r="AN9" s="180"/>
      <c r="AO9" s="180"/>
      <c r="AP9" s="181"/>
      <c r="AQ9" s="226">
        <v>9</v>
      </c>
      <c r="AR9" s="226">
        <v>6</v>
      </c>
      <c r="AS9" s="227">
        <f t="shared" si="9"/>
        <v>825.34</v>
      </c>
      <c r="AT9" s="227">
        <f t="shared" si="10"/>
        <v>366.15</v>
      </c>
      <c r="AU9" s="227">
        <f t="shared" si="11"/>
        <v>85</v>
      </c>
      <c r="AV9" s="227">
        <f t="shared" si="12"/>
        <v>85</v>
      </c>
      <c r="AW9" s="227">
        <f t="shared" si="13"/>
        <v>1361.49</v>
      </c>
      <c r="AX9" s="241">
        <f t="shared" si="14"/>
        <v>1191.49</v>
      </c>
      <c r="AY9" s="241"/>
      <c r="AZ9" s="241">
        <f t="shared" si="15"/>
        <v>170</v>
      </c>
      <c r="BA9" s="241"/>
      <c r="BB9" s="242">
        <v>80</v>
      </c>
      <c r="BC9" s="241">
        <f t="shared" si="16"/>
        <v>1441.49</v>
      </c>
      <c r="BD9" s="243"/>
      <c r="BE9" s="264"/>
      <c r="BF9" s="264"/>
      <c r="BG9" s="264"/>
      <c r="BH9" s="264"/>
    </row>
    <row r="10" s="163" customFormat="1" ht="19.5" customHeight="1" spans="1:60">
      <c r="A10" s="180">
        <v>8</v>
      </c>
      <c r="B10" s="181" t="s">
        <v>39</v>
      </c>
      <c r="C10" s="182" t="s">
        <v>116</v>
      </c>
      <c r="D10" s="181" t="s">
        <v>41</v>
      </c>
      <c r="E10" s="181" t="s">
        <v>51</v>
      </c>
      <c r="F10" s="183" t="s">
        <v>121</v>
      </c>
      <c r="G10" s="397" t="s">
        <v>122</v>
      </c>
      <c r="H10" s="181">
        <v>202301</v>
      </c>
      <c r="I10" s="181">
        <v>202301</v>
      </c>
      <c r="J10" s="181">
        <v>202301</v>
      </c>
      <c r="K10" s="181">
        <v>202301</v>
      </c>
      <c r="L10" s="180">
        <v>3430</v>
      </c>
      <c r="M10" s="180">
        <v>0.16</v>
      </c>
      <c r="N10" s="180">
        <f t="shared" si="0"/>
        <v>548.8</v>
      </c>
      <c r="O10" s="180">
        <v>0.08</v>
      </c>
      <c r="P10" s="180">
        <f t="shared" si="1"/>
        <v>274.4</v>
      </c>
      <c r="Q10" s="180">
        <v>3430</v>
      </c>
      <c r="R10" s="180">
        <v>0.069</v>
      </c>
      <c r="S10" s="180">
        <f t="shared" si="2"/>
        <v>236.67</v>
      </c>
      <c r="T10" s="180">
        <v>0.02</v>
      </c>
      <c r="U10" s="180">
        <f t="shared" si="3"/>
        <v>68.6</v>
      </c>
      <c r="V10" s="180">
        <v>3430</v>
      </c>
      <c r="W10" s="180">
        <v>0.005</v>
      </c>
      <c r="X10" s="180">
        <f t="shared" si="4"/>
        <v>17.15</v>
      </c>
      <c r="Y10" s="180">
        <v>0.005</v>
      </c>
      <c r="Z10" s="180">
        <f t="shared" si="5"/>
        <v>17.15</v>
      </c>
      <c r="AA10" s="180"/>
      <c r="AB10" s="180"/>
      <c r="AC10" s="180"/>
      <c r="AD10" s="180">
        <v>3430</v>
      </c>
      <c r="AE10" s="180">
        <v>0.004</v>
      </c>
      <c r="AF10" s="180">
        <f t="shared" si="6"/>
        <v>13.72</v>
      </c>
      <c r="AG10" s="180">
        <v>1700</v>
      </c>
      <c r="AH10" s="180">
        <v>0.05</v>
      </c>
      <c r="AI10" s="180">
        <f t="shared" si="7"/>
        <v>85</v>
      </c>
      <c r="AJ10" s="180">
        <v>0.05</v>
      </c>
      <c r="AK10" s="180">
        <f t="shared" si="8"/>
        <v>85</v>
      </c>
      <c r="AL10" s="220"/>
      <c r="AM10" s="180"/>
      <c r="AN10" s="180"/>
      <c r="AO10" s="180"/>
      <c r="AP10" s="181"/>
      <c r="AQ10" s="226">
        <v>9</v>
      </c>
      <c r="AR10" s="226">
        <v>6</v>
      </c>
      <c r="AS10" s="227">
        <f t="shared" si="9"/>
        <v>825.34</v>
      </c>
      <c r="AT10" s="227">
        <f t="shared" si="10"/>
        <v>366.15</v>
      </c>
      <c r="AU10" s="227">
        <f t="shared" si="11"/>
        <v>85</v>
      </c>
      <c r="AV10" s="227">
        <f t="shared" si="12"/>
        <v>85</v>
      </c>
      <c r="AW10" s="227">
        <f t="shared" si="13"/>
        <v>1361.49</v>
      </c>
      <c r="AX10" s="241">
        <f t="shared" si="14"/>
        <v>1191.49</v>
      </c>
      <c r="AY10" s="241"/>
      <c r="AZ10" s="241">
        <f t="shared" si="15"/>
        <v>170</v>
      </c>
      <c r="BA10" s="241"/>
      <c r="BB10" s="242">
        <v>80</v>
      </c>
      <c r="BC10" s="241">
        <f t="shared" si="16"/>
        <v>1441.49</v>
      </c>
      <c r="BD10" s="243"/>
      <c r="BE10" s="264"/>
      <c r="BF10" s="264"/>
      <c r="BG10" s="264"/>
      <c r="BH10" s="264"/>
    </row>
    <row r="11" s="163" customFormat="1" ht="19.5" customHeight="1" spans="1:60">
      <c r="A11" s="180">
        <v>9</v>
      </c>
      <c r="B11" s="181" t="s">
        <v>39</v>
      </c>
      <c r="C11" s="182" t="s">
        <v>123</v>
      </c>
      <c r="D11" s="181" t="s">
        <v>41</v>
      </c>
      <c r="E11" s="181" t="s">
        <v>51</v>
      </c>
      <c r="F11" s="183" t="s">
        <v>124</v>
      </c>
      <c r="G11" s="397" t="s">
        <v>125</v>
      </c>
      <c r="H11" s="181">
        <v>202212</v>
      </c>
      <c r="I11" s="181">
        <v>202212</v>
      </c>
      <c r="J11" s="181">
        <v>202301</v>
      </c>
      <c r="K11" s="181">
        <v>202301</v>
      </c>
      <c r="L11" s="180">
        <v>3832</v>
      </c>
      <c r="M11" s="180">
        <v>0.16</v>
      </c>
      <c r="N11" s="180">
        <f t="shared" ref="N11:N12" si="17">ROUND(L11*M11,2)</f>
        <v>613.12</v>
      </c>
      <c r="O11" s="180">
        <v>0.08</v>
      </c>
      <c r="P11" s="180">
        <f t="shared" ref="P11:P12" si="18">ROUND(L11*O11,2)</f>
        <v>306.56</v>
      </c>
      <c r="Q11" s="180">
        <v>3430</v>
      </c>
      <c r="R11" s="180">
        <v>0.07</v>
      </c>
      <c r="S11" s="180">
        <f t="shared" ref="S11:S12" si="19">ROUND(Q11*R11,2)</f>
        <v>240.1</v>
      </c>
      <c r="T11" s="180">
        <v>0.02</v>
      </c>
      <c r="U11" s="180">
        <f t="shared" ref="U11:U12" si="20">ROUND(Q11*T11,2)</f>
        <v>68.6</v>
      </c>
      <c r="V11" s="180">
        <v>3832</v>
      </c>
      <c r="W11" s="180">
        <v>0.005</v>
      </c>
      <c r="X11" s="180">
        <f t="shared" ref="X11:X12" si="21">ROUND(V11*W11,2)</f>
        <v>19.16</v>
      </c>
      <c r="Y11" s="180">
        <v>0.005</v>
      </c>
      <c r="Z11" s="180">
        <f t="shared" ref="Z11:Z12" si="22">ROUND(V11*Y11,2)</f>
        <v>19.16</v>
      </c>
      <c r="AA11" s="180"/>
      <c r="AB11" s="180"/>
      <c r="AC11" s="180"/>
      <c r="AD11" s="180">
        <v>3832</v>
      </c>
      <c r="AE11" s="180">
        <v>0.0032</v>
      </c>
      <c r="AF11" s="180">
        <f t="shared" ref="AF11:AF12" si="23">ROUND(AD11*AE11,2)</f>
        <v>12.26</v>
      </c>
      <c r="AG11" s="180">
        <v>1500</v>
      </c>
      <c r="AH11" s="180">
        <v>0.05</v>
      </c>
      <c r="AI11" s="180">
        <f t="shared" ref="AI11:AI12" si="24">ROUND(AG11*AH11,2)</f>
        <v>75</v>
      </c>
      <c r="AJ11" s="180">
        <v>0.05</v>
      </c>
      <c r="AK11" s="180">
        <f t="shared" ref="AK11:AK12" si="25">ROUND(AG11*AJ11,2)</f>
        <v>75</v>
      </c>
      <c r="AL11" s="220"/>
      <c r="AM11" s="180"/>
      <c r="AN11" s="180"/>
      <c r="AO11" s="180"/>
      <c r="AP11" s="181"/>
      <c r="AQ11" s="226"/>
      <c r="AR11" s="226">
        <v>35.85</v>
      </c>
      <c r="AS11" s="227">
        <f t="shared" ref="AS11:AS12" si="26">N11+S11+X11+AC11+AF11+AN11+AQ11</f>
        <v>884.64</v>
      </c>
      <c r="AT11" s="227">
        <f t="shared" ref="AT11:AT12" si="27">P11+U11+Z11+AR11</f>
        <v>430.17</v>
      </c>
      <c r="AU11" s="227">
        <f t="shared" ref="AU11:AU12" si="28">AI11</f>
        <v>75</v>
      </c>
      <c r="AV11" s="227">
        <f t="shared" ref="AV11:AV12" si="29">AK11</f>
        <v>75</v>
      </c>
      <c r="AW11" s="227">
        <f t="shared" ref="AW11:AW12" si="30">AV11+AS11+AT11+AU11</f>
        <v>1464.81</v>
      </c>
      <c r="AX11" s="241">
        <f t="shared" ref="AX11:AX12" si="31">AS11+AT11</f>
        <v>1314.81</v>
      </c>
      <c r="AY11" s="241"/>
      <c r="AZ11" s="241">
        <f t="shared" ref="AZ11:AZ12" si="32">AU11+AV11</f>
        <v>150</v>
      </c>
      <c r="BA11" s="241"/>
      <c r="BB11" s="242">
        <v>80</v>
      </c>
      <c r="BC11" s="241">
        <f t="shared" ref="BC11:BC12" si="33">AX11+AZ11+BB11</f>
        <v>1544.81</v>
      </c>
      <c r="BD11" s="243"/>
      <c r="BE11" s="264"/>
      <c r="BF11" s="264"/>
      <c r="BG11" s="264"/>
      <c r="BH11" s="264"/>
    </row>
    <row r="12" s="163" customFormat="1" ht="19.5" customHeight="1" spans="1:60">
      <c r="A12" s="180">
        <v>10</v>
      </c>
      <c r="B12" s="181" t="s">
        <v>39</v>
      </c>
      <c r="C12" s="182" t="s">
        <v>123</v>
      </c>
      <c r="D12" s="181" t="s">
        <v>41</v>
      </c>
      <c r="E12" s="181" t="s">
        <v>51</v>
      </c>
      <c r="F12" s="183" t="s">
        <v>126</v>
      </c>
      <c r="G12" s="397" t="s">
        <v>127</v>
      </c>
      <c r="H12" s="181">
        <v>202301</v>
      </c>
      <c r="I12" s="181">
        <v>202301</v>
      </c>
      <c r="J12" s="181">
        <v>202301</v>
      </c>
      <c r="K12" s="181">
        <v>202301</v>
      </c>
      <c r="L12" s="180">
        <v>3832</v>
      </c>
      <c r="M12" s="180">
        <v>0.16</v>
      </c>
      <c r="N12" s="180">
        <f t="shared" si="17"/>
        <v>613.12</v>
      </c>
      <c r="O12" s="180">
        <v>0.08</v>
      </c>
      <c r="P12" s="180">
        <f t="shared" si="18"/>
        <v>306.56</v>
      </c>
      <c r="Q12" s="180">
        <v>3430</v>
      </c>
      <c r="R12" s="180">
        <v>0.07</v>
      </c>
      <c r="S12" s="180">
        <f t="shared" si="19"/>
        <v>240.1</v>
      </c>
      <c r="T12" s="180">
        <v>0.02</v>
      </c>
      <c r="U12" s="180">
        <f t="shared" si="20"/>
        <v>68.6</v>
      </c>
      <c r="V12" s="180">
        <v>3832</v>
      </c>
      <c r="W12" s="180">
        <v>0.005</v>
      </c>
      <c r="X12" s="180">
        <f t="shared" si="21"/>
        <v>19.16</v>
      </c>
      <c r="Y12" s="180">
        <v>0.005</v>
      </c>
      <c r="Z12" s="180">
        <f t="shared" si="22"/>
        <v>19.16</v>
      </c>
      <c r="AA12" s="180"/>
      <c r="AB12" s="180"/>
      <c r="AC12" s="180"/>
      <c r="AD12" s="180">
        <v>3832</v>
      </c>
      <c r="AE12" s="180">
        <v>0.0032</v>
      </c>
      <c r="AF12" s="180">
        <f t="shared" si="23"/>
        <v>12.26</v>
      </c>
      <c r="AG12" s="180">
        <v>1500</v>
      </c>
      <c r="AH12" s="180">
        <v>0.05</v>
      </c>
      <c r="AI12" s="180">
        <f t="shared" si="24"/>
        <v>75</v>
      </c>
      <c r="AJ12" s="180">
        <v>0.05</v>
      </c>
      <c r="AK12" s="180">
        <f t="shared" si="25"/>
        <v>75</v>
      </c>
      <c r="AL12" s="220"/>
      <c r="AM12" s="180"/>
      <c r="AN12" s="180"/>
      <c r="AO12" s="180"/>
      <c r="AP12" s="181"/>
      <c r="AQ12" s="226"/>
      <c r="AR12" s="226">
        <v>35.85</v>
      </c>
      <c r="AS12" s="227">
        <f t="shared" si="26"/>
        <v>884.64</v>
      </c>
      <c r="AT12" s="227">
        <f t="shared" si="27"/>
        <v>430.17</v>
      </c>
      <c r="AU12" s="227">
        <f t="shared" si="28"/>
        <v>75</v>
      </c>
      <c r="AV12" s="227">
        <f t="shared" si="29"/>
        <v>75</v>
      </c>
      <c r="AW12" s="227">
        <f t="shared" si="30"/>
        <v>1464.81</v>
      </c>
      <c r="AX12" s="241">
        <f t="shared" si="31"/>
        <v>1314.81</v>
      </c>
      <c r="AY12" s="241"/>
      <c r="AZ12" s="241">
        <f t="shared" si="32"/>
        <v>150</v>
      </c>
      <c r="BA12" s="241"/>
      <c r="BB12" s="242">
        <v>80</v>
      </c>
      <c r="BC12" s="241">
        <f t="shared" si="33"/>
        <v>1544.81</v>
      </c>
      <c r="BD12" s="243"/>
      <c r="BE12" s="264"/>
      <c r="BF12" s="264"/>
      <c r="BG12" s="264"/>
      <c r="BH12" s="264"/>
    </row>
    <row r="13" s="163" customFormat="1" ht="19.5" customHeight="1" spans="1:60">
      <c r="A13" s="180" t="s">
        <v>55</v>
      </c>
      <c r="B13" s="181" t="s">
        <v>39</v>
      </c>
      <c r="C13" s="182" t="s">
        <v>123</v>
      </c>
      <c r="D13" s="181" t="s">
        <v>41</v>
      </c>
      <c r="E13" s="181" t="s">
        <v>51</v>
      </c>
      <c r="F13" s="183" t="s">
        <v>124</v>
      </c>
      <c r="G13" s="397" t="s">
        <v>125</v>
      </c>
      <c r="H13" s="181">
        <v>202212</v>
      </c>
      <c r="I13" s="181">
        <v>202212</v>
      </c>
      <c r="J13" s="181">
        <v>202212</v>
      </c>
      <c r="K13" s="181">
        <v>202212</v>
      </c>
      <c r="L13" s="180">
        <v>3832</v>
      </c>
      <c r="M13" s="180">
        <v>0.16</v>
      </c>
      <c r="N13" s="180">
        <f t="shared" ref="N13" si="34">ROUND(L13*M13,2)</f>
        <v>613.12</v>
      </c>
      <c r="O13" s="180">
        <v>0.08</v>
      </c>
      <c r="P13" s="180">
        <f t="shared" ref="P13" si="35">ROUND(L13*O13,2)</f>
        <v>306.56</v>
      </c>
      <c r="Q13" s="180">
        <v>3430</v>
      </c>
      <c r="R13" s="180">
        <v>0.07</v>
      </c>
      <c r="S13" s="180">
        <f t="shared" ref="S13" si="36">ROUND(Q13*R13,2)</f>
        <v>240.1</v>
      </c>
      <c r="T13" s="180">
        <v>0.02</v>
      </c>
      <c r="U13" s="180">
        <f t="shared" ref="U13" si="37">ROUND(Q13*T13,2)</f>
        <v>68.6</v>
      </c>
      <c r="V13" s="180">
        <v>3832</v>
      </c>
      <c r="W13" s="180">
        <v>0.005</v>
      </c>
      <c r="X13" s="180">
        <f t="shared" ref="X13" si="38">ROUND(V13*W13,2)</f>
        <v>19.16</v>
      </c>
      <c r="Y13" s="180">
        <v>0.005</v>
      </c>
      <c r="Z13" s="180">
        <f t="shared" ref="Z13" si="39">ROUND(V13*Y13,2)</f>
        <v>19.16</v>
      </c>
      <c r="AA13" s="180"/>
      <c r="AB13" s="180"/>
      <c r="AC13" s="180"/>
      <c r="AD13" s="180">
        <v>3832</v>
      </c>
      <c r="AE13" s="180">
        <v>0.0032</v>
      </c>
      <c r="AF13" s="180">
        <f t="shared" ref="AF13" si="40">ROUND(AD13*AE13,2)</f>
        <v>12.26</v>
      </c>
      <c r="AG13" s="180">
        <v>1500</v>
      </c>
      <c r="AH13" s="180">
        <v>0.05</v>
      </c>
      <c r="AI13" s="180">
        <f t="shared" ref="AI13" si="41">ROUND(AG13*AH13,2)</f>
        <v>75</v>
      </c>
      <c r="AJ13" s="180">
        <v>0.05</v>
      </c>
      <c r="AK13" s="180">
        <f t="shared" ref="AK13" si="42">ROUND(AG13*AJ13,2)</f>
        <v>75</v>
      </c>
      <c r="AL13" s="220"/>
      <c r="AM13" s="180"/>
      <c r="AN13" s="180"/>
      <c r="AO13" s="180"/>
      <c r="AP13" s="181"/>
      <c r="AQ13" s="226"/>
      <c r="AR13" s="226">
        <v>35.85</v>
      </c>
      <c r="AS13" s="227">
        <f t="shared" ref="AS13" si="43">N13+S13+X13+AC13+AF13+AN13+AQ13</f>
        <v>884.64</v>
      </c>
      <c r="AT13" s="227">
        <f t="shared" ref="AT13" si="44">P13+U13+Z13+AR13</f>
        <v>430.17</v>
      </c>
      <c r="AU13" s="227">
        <f t="shared" ref="AU13" si="45">AI13</f>
        <v>75</v>
      </c>
      <c r="AV13" s="227">
        <f t="shared" ref="AV13" si="46">AK13</f>
        <v>75</v>
      </c>
      <c r="AW13" s="227">
        <f t="shared" ref="AW13" si="47">AV13+AS13+AT13+AU13</f>
        <v>1464.81</v>
      </c>
      <c r="AX13" s="241">
        <f t="shared" ref="AX13" si="48">AS13+AT13</f>
        <v>1314.81</v>
      </c>
      <c r="AY13" s="241"/>
      <c r="AZ13" s="241">
        <f t="shared" ref="AZ13" si="49">AU13+AV13</f>
        <v>150</v>
      </c>
      <c r="BA13" s="241"/>
      <c r="BB13" s="242">
        <v>80</v>
      </c>
      <c r="BC13" s="241">
        <f t="shared" ref="BC13" si="50">AX13+AZ13+BB13</f>
        <v>1544.81</v>
      </c>
      <c r="BD13" s="243"/>
      <c r="BE13" s="264"/>
      <c r="BF13" s="264"/>
      <c r="BG13" s="264"/>
      <c r="BH13" s="264"/>
    </row>
    <row r="14" s="162" customFormat="1" ht="20" customHeight="1" spans="1:60">
      <c r="A14" s="175">
        <v>11</v>
      </c>
      <c r="B14" s="176" t="s">
        <v>39</v>
      </c>
      <c r="C14" s="177" t="s">
        <v>128</v>
      </c>
      <c r="D14" s="176" t="s">
        <v>41</v>
      </c>
      <c r="E14" s="176" t="s">
        <v>51</v>
      </c>
      <c r="F14" s="178" t="s">
        <v>129</v>
      </c>
      <c r="G14" s="395" t="s">
        <v>130</v>
      </c>
      <c r="H14" s="176">
        <v>202208</v>
      </c>
      <c r="I14" s="176">
        <v>202208</v>
      </c>
      <c r="J14" s="176" t="s">
        <v>115</v>
      </c>
      <c r="K14" s="176" t="s">
        <v>115</v>
      </c>
      <c r="L14" s="175">
        <v>3604</v>
      </c>
      <c r="M14" s="175">
        <v>0.16</v>
      </c>
      <c r="N14" s="175">
        <f t="shared" si="0"/>
        <v>576.64</v>
      </c>
      <c r="O14" s="175">
        <v>0.08</v>
      </c>
      <c r="P14" s="175">
        <f t="shared" si="1"/>
        <v>288.32</v>
      </c>
      <c r="Q14" s="175">
        <v>3276</v>
      </c>
      <c r="R14" s="175">
        <v>0.075</v>
      </c>
      <c r="S14" s="175">
        <f t="shared" si="2"/>
        <v>245.7</v>
      </c>
      <c r="T14" s="175">
        <v>0.02</v>
      </c>
      <c r="U14" s="175">
        <f t="shared" si="3"/>
        <v>65.52</v>
      </c>
      <c r="V14" s="175">
        <v>3604</v>
      </c>
      <c r="W14" s="175">
        <v>0.007</v>
      </c>
      <c r="X14" s="175">
        <f t="shared" si="4"/>
        <v>25.23</v>
      </c>
      <c r="Y14" s="175">
        <v>0.003</v>
      </c>
      <c r="Z14" s="175">
        <f t="shared" si="5"/>
        <v>10.81</v>
      </c>
      <c r="AA14" s="175"/>
      <c r="AB14" s="175"/>
      <c r="AC14" s="175"/>
      <c r="AD14" s="175">
        <v>1740</v>
      </c>
      <c r="AE14" s="175">
        <v>0.0096</v>
      </c>
      <c r="AF14" s="175">
        <f t="shared" si="6"/>
        <v>16.7</v>
      </c>
      <c r="AG14" s="175">
        <v>1000</v>
      </c>
      <c r="AH14" s="175">
        <v>0.1</v>
      </c>
      <c r="AI14" s="175">
        <f t="shared" si="7"/>
        <v>100</v>
      </c>
      <c r="AJ14" s="175">
        <v>0.1</v>
      </c>
      <c r="AK14" s="175">
        <f t="shared" si="8"/>
        <v>100</v>
      </c>
      <c r="AL14" s="219"/>
      <c r="AM14" s="175"/>
      <c r="AN14" s="175"/>
      <c r="AO14" s="175"/>
      <c r="AP14" s="176"/>
      <c r="AQ14" s="225">
        <v>8</v>
      </c>
      <c r="AR14" s="225">
        <v>8</v>
      </c>
      <c r="AS14" s="218">
        <f t="shared" si="9"/>
        <v>872.27</v>
      </c>
      <c r="AT14" s="218">
        <f t="shared" si="10"/>
        <v>372.65</v>
      </c>
      <c r="AU14" s="218">
        <f t="shared" si="11"/>
        <v>100</v>
      </c>
      <c r="AV14" s="218">
        <f t="shared" si="12"/>
        <v>100</v>
      </c>
      <c r="AW14" s="218">
        <f t="shared" si="13"/>
        <v>1444.92</v>
      </c>
      <c r="AX14" s="237">
        <f t="shared" si="14"/>
        <v>1244.92</v>
      </c>
      <c r="AY14" s="237"/>
      <c r="AZ14" s="237">
        <f t="shared" si="15"/>
        <v>200</v>
      </c>
      <c r="BA14" s="237"/>
      <c r="BB14" s="238">
        <v>80</v>
      </c>
      <c r="BC14" s="237">
        <f t="shared" si="16"/>
        <v>1524.92</v>
      </c>
      <c r="BD14" s="240"/>
      <c r="BE14" s="263"/>
      <c r="BF14" s="263"/>
      <c r="BG14" s="263"/>
      <c r="BH14" s="263"/>
    </row>
    <row r="15" s="162" customFormat="1" ht="20" customHeight="1" spans="1:60">
      <c r="A15" s="175">
        <v>12</v>
      </c>
      <c r="B15" s="176" t="s">
        <v>39</v>
      </c>
      <c r="C15" s="177" t="s">
        <v>131</v>
      </c>
      <c r="D15" s="176" t="s">
        <v>41</v>
      </c>
      <c r="E15" s="176" t="s">
        <v>51</v>
      </c>
      <c r="F15" s="178" t="s">
        <v>132</v>
      </c>
      <c r="G15" s="179" t="s">
        <v>133</v>
      </c>
      <c r="H15" s="176">
        <v>202101</v>
      </c>
      <c r="I15" s="176">
        <v>202207</v>
      </c>
      <c r="J15" s="176" t="s">
        <v>115</v>
      </c>
      <c r="K15" s="176" t="s">
        <v>115</v>
      </c>
      <c r="L15" s="209">
        <v>3957</v>
      </c>
      <c r="M15" s="210">
        <v>0.16</v>
      </c>
      <c r="N15" s="175">
        <f t="shared" si="0"/>
        <v>633.12</v>
      </c>
      <c r="O15" s="210">
        <v>0.08</v>
      </c>
      <c r="P15" s="175">
        <f t="shared" si="1"/>
        <v>316.56</v>
      </c>
      <c r="Q15" s="209">
        <v>3957</v>
      </c>
      <c r="R15" s="210">
        <v>0.085</v>
      </c>
      <c r="S15" s="175">
        <f t="shared" si="2"/>
        <v>336.35</v>
      </c>
      <c r="T15" s="210">
        <v>0.02</v>
      </c>
      <c r="U15" s="175">
        <f t="shared" si="3"/>
        <v>79.14</v>
      </c>
      <c r="V15" s="209">
        <v>3957</v>
      </c>
      <c r="W15" s="210">
        <v>0.005</v>
      </c>
      <c r="X15" s="175">
        <f t="shared" si="4"/>
        <v>19.79</v>
      </c>
      <c r="Y15" s="210">
        <v>0.005</v>
      </c>
      <c r="Z15" s="175">
        <f t="shared" si="5"/>
        <v>19.79</v>
      </c>
      <c r="AA15" s="209"/>
      <c r="AB15" s="210"/>
      <c r="AC15" s="209"/>
      <c r="AD15" s="209">
        <v>3957</v>
      </c>
      <c r="AE15" s="218">
        <v>0.006</v>
      </c>
      <c r="AF15" s="175">
        <f t="shared" si="6"/>
        <v>23.74</v>
      </c>
      <c r="AG15" s="209">
        <v>2100</v>
      </c>
      <c r="AH15" s="210">
        <v>0.05</v>
      </c>
      <c r="AI15" s="175">
        <f t="shared" si="7"/>
        <v>105</v>
      </c>
      <c r="AJ15" s="210">
        <v>0.05</v>
      </c>
      <c r="AK15" s="175">
        <f t="shared" si="8"/>
        <v>105</v>
      </c>
      <c r="AL15" s="219"/>
      <c r="AM15" s="175"/>
      <c r="AN15" s="175"/>
      <c r="AO15" s="175"/>
      <c r="AP15" s="176"/>
      <c r="AQ15" s="228">
        <f>ROUND(L15*0.015,2)</f>
        <v>59.36</v>
      </c>
      <c r="AR15" s="228">
        <v>5</v>
      </c>
      <c r="AS15" s="218">
        <f t="shared" si="9"/>
        <v>1072.36</v>
      </c>
      <c r="AT15" s="218">
        <f t="shared" si="10"/>
        <v>420.49</v>
      </c>
      <c r="AU15" s="218">
        <f t="shared" si="11"/>
        <v>105</v>
      </c>
      <c r="AV15" s="218">
        <f t="shared" si="12"/>
        <v>105</v>
      </c>
      <c r="AW15" s="218">
        <f t="shared" si="13"/>
        <v>1702.85</v>
      </c>
      <c r="AX15" s="237">
        <f t="shared" si="14"/>
        <v>1492.85</v>
      </c>
      <c r="AY15" s="237"/>
      <c r="AZ15" s="237">
        <f t="shared" si="15"/>
        <v>210</v>
      </c>
      <c r="BA15" s="237"/>
      <c r="BB15" s="238">
        <v>80</v>
      </c>
      <c r="BC15" s="237">
        <f t="shared" si="16"/>
        <v>1782.85</v>
      </c>
      <c r="BD15" s="244" t="s">
        <v>134</v>
      </c>
      <c r="BE15" s="265" t="s">
        <v>135</v>
      </c>
      <c r="BF15" s="263"/>
      <c r="BG15" s="263"/>
      <c r="BH15" s="263"/>
    </row>
    <row r="16" s="164" customFormat="1" ht="20" customHeight="1" spans="1:60">
      <c r="A16" s="175">
        <v>13</v>
      </c>
      <c r="B16" s="185" t="s">
        <v>39</v>
      </c>
      <c r="C16" s="186" t="s">
        <v>136</v>
      </c>
      <c r="D16" s="185" t="s">
        <v>41</v>
      </c>
      <c r="E16" s="185" t="s">
        <v>51</v>
      </c>
      <c r="F16" s="187" t="s">
        <v>137</v>
      </c>
      <c r="G16" s="188" t="s">
        <v>138</v>
      </c>
      <c r="H16" s="185" t="s">
        <v>139</v>
      </c>
      <c r="I16" s="185" t="s">
        <v>139</v>
      </c>
      <c r="J16" s="185" t="s">
        <v>115</v>
      </c>
      <c r="K16" s="185" t="s">
        <v>115</v>
      </c>
      <c r="L16" s="211">
        <v>4400</v>
      </c>
      <c r="M16" s="211">
        <v>0.16</v>
      </c>
      <c r="N16" s="211">
        <f t="shared" si="0"/>
        <v>704</v>
      </c>
      <c r="O16" s="211">
        <v>0.08</v>
      </c>
      <c r="P16" s="211">
        <f t="shared" si="1"/>
        <v>352</v>
      </c>
      <c r="Q16" s="211">
        <v>4400</v>
      </c>
      <c r="R16" s="211">
        <v>0.1</v>
      </c>
      <c r="S16" s="211">
        <f t="shared" si="2"/>
        <v>440</v>
      </c>
      <c r="T16" s="211">
        <v>0.02</v>
      </c>
      <c r="U16" s="211">
        <f t="shared" si="3"/>
        <v>88</v>
      </c>
      <c r="V16" s="211">
        <v>4400</v>
      </c>
      <c r="W16" s="215">
        <v>0.005</v>
      </c>
      <c r="X16" s="211">
        <f t="shared" si="4"/>
        <v>22</v>
      </c>
      <c r="Y16" s="215">
        <v>0.005</v>
      </c>
      <c r="Z16" s="211">
        <f t="shared" si="5"/>
        <v>22</v>
      </c>
      <c r="AA16" s="211">
        <v>4400</v>
      </c>
      <c r="AB16" s="211">
        <v>0.005</v>
      </c>
      <c r="AC16" s="211">
        <f>ROUND(AA16*AB16,2)</f>
        <v>22</v>
      </c>
      <c r="AD16" s="211">
        <v>4400</v>
      </c>
      <c r="AE16" s="211">
        <v>0.0055</v>
      </c>
      <c r="AF16" s="211">
        <f t="shared" si="6"/>
        <v>24.2</v>
      </c>
      <c r="AG16" s="211">
        <v>2180</v>
      </c>
      <c r="AH16" s="211">
        <v>0.05</v>
      </c>
      <c r="AI16" s="211">
        <f t="shared" si="7"/>
        <v>109</v>
      </c>
      <c r="AJ16" s="211">
        <v>0.05</v>
      </c>
      <c r="AK16" s="211">
        <f t="shared" si="8"/>
        <v>109</v>
      </c>
      <c r="AL16" s="221"/>
      <c r="AM16" s="211"/>
      <c r="AN16" s="211"/>
      <c r="AO16" s="211"/>
      <c r="AP16" s="185"/>
      <c r="AQ16" s="229"/>
      <c r="AR16" s="229">
        <v>22</v>
      </c>
      <c r="AS16" s="230">
        <f t="shared" si="9"/>
        <v>1212.2</v>
      </c>
      <c r="AT16" s="230">
        <f t="shared" si="10"/>
        <v>484</v>
      </c>
      <c r="AU16" s="230">
        <f t="shared" si="11"/>
        <v>109</v>
      </c>
      <c r="AV16" s="230">
        <f t="shared" si="12"/>
        <v>109</v>
      </c>
      <c r="AW16" s="230">
        <f t="shared" si="13"/>
        <v>1914.2</v>
      </c>
      <c r="AX16" s="245">
        <f t="shared" si="14"/>
        <v>1696.2</v>
      </c>
      <c r="AY16" s="245"/>
      <c r="AZ16" s="245">
        <f t="shared" si="15"/>
        <v>218</v>
      </c>
      <c r="BA16" s="245"/>
      <c r="BB16" s="246">
        <v>80</v>
      </c>
      <c r="BC16" s="245">
        <f t="shared" si="16"/>
        <v>1994.2</v>
      </c>
      <c r="BD16" s="247"/>
      <c r="BE16" s="266"/>
      <c r="BF16" s="266"/>
      <c r="BG16" s="266"/>
      <c r="BH16" s="266"/>
    </row>
    <row r="17" s="165" customFormat="1" ht="18" customHeight="1" spans="1:60">
      <c r="A17" s="189"/>
      <c r="B17" s="190"/>
      <c r="C17" s="191"/>
      <c r="D17" s="192"/>
      <c r="E17" s="193"/>
      <c r="F17" s="194"/>
      <c r="G17" s="195"/>
      <c r="H17" s="196"/>
      <c r="I17" s="192"/>
      <c r="J17" s="196"/>
      <c r="K17" s="196"/>
      <c r="L17" s="212"/>
      <c r="M17" s="212"/>
      <c r="N17" s="213"/>
      <c r="O17" s="212"/>
      <c r="P17" s="212"/>
      <c r="Q17" s="212"/>
      <c r="R17" s="212"/>
      <c r="S17" s="212"/>
      <c r="T17" s="212"/>
      <c r="U17" s="212"/>
      <c r="V17" s="216"/>
      <c r="W17" s="216"/>
      <c r="X17" s="217"/>
      <c r="Y17" s="216"/>
      <c r="Z17" s="212"/>
      <c r="AA17" s="212"/>
      <c r="AB17" s="212"/>
      <c r="AC17" s="212"/>
      <c r="AD17" s="212"/>
      <c r="AE17" s="212"/>
      <c r="AF17" s="213"/>
      <c r="AG17" s="212"/>
      <c r="AH17" s="212"/>
      <c r="AI17" s="212"/>
      <c r="AJ17" s="212"/>
      <c r="AK17" s="212"/>
      <c r="AL17" s="222"/>
      <c r="AM17" s="212"/>
      <c r="AN17" s="212"/>
      <c r="AO17" s="212"/>
      <c r="AP17" s="231"/>
      <c r="AQ17" s="232"/>
      <c r="AR17" s="212"/>
      <c r="AS17" s="233"/>
      <c r="AT17" s="233"/>
      <c r="AU17" s="233"/>
      <c r="AV17" s="233"/>
      <c r="AW17" s="233"/>
      <c r="AX17" s="248"/>
      <c r="AY17" s="249"/>
      <c r="AZ17" s="248"/>
      <c r="BA17" s="249"/>
      <c r="BB17" s="250"/>
      <c r="BC17" s="251"/>
      <c r="BD17" s="252"/>
      <c r="BE17" s="168"/>
      <c r="BF17" s="168"/>
      <c r="BG17" s="168"/>
      <c r="BH17" s="168"/>
    </row>
    <row r="18" ht="14.25" spans="1:56">
      <c r="A18" s="197" t="s">
        <v>66</v>
      </c>
      <c r="B18" s="198"/>
      <c r="C18" s="199"/>
      <c r="D18" s="199"/>
      <c r="E18" s="200"/>
      <c r="F18" s="199"/>
      <c r="G18" s="199"/>
      <c r="H18" s="199"/>
      <c r="I18" s="199"/>
      <c r="J18" s="199"/>
      <c r="K18" s="199"/>
      <c r="L18" s="200">
        <f t="shared" ref="L18:BC18" si="51">SUM(L3:L17)</f>
        <v>55536.2</v>
      </c>
      <c r="M18" s="200">
        <f t="shared" si="51"/>
        <v>2.23</v>
      </c>
      <c r="N18" s="200">
        <f t="shared" si="51"/>
        <v>8839.91</v>
      </c>
      <c r="O18" s="200">
        <f t="shared" si="51"/>
        <v>1.12</v>
      </c>
      <c r="P18" s="200">
        <f t="shared" si="51"/>
        <v>4442.9</v>
      </c>
      <c r="Q18" s="200">
        <f t="shared" si="51"/>
        <v>56527.85</v>
      </c>
      <c r="R18" s="200">
        <f t="shared" si="51"/>
        <v>1.0715</v>
      </c>
      <c r="S18" s="200">
        <f t="shared" si="51"/>
        <v>4357.19</v>
      </c>
      <c r="T18" s="200">
        <f t="shared" si="51"/>
        <v>0.28</v>
      </c>
      <c r="U18" s="200">
        <f t="shared" si="51"/>
        <v>1130.56</v>
      </c>
      <c r="V18" s="200">
        <f t="shared" si="51"/>
        <v>53248.2</v>
      </c>
      <c r="W18" s="200">
        <f t="shared" si="51"/>
        <v>0.0758</v>
      </c>
      <c r="X18" s="200">
        <f t="shared" si="51"/>
        <v>287.5</v>
      </c>
      <c r="Y18" s="200">
        <f t="shared" si="51"/>
        <v>0.061</v>
      </c>
      <c r="Z18" s="200">
        <f t="shared" si="51"/>
        <v>237.63</v>
      </c>
      <c r="AA18" s="200">
        <f t="shared" si="51"/>
        <v>8002.85</v>
      </c>
      <c r="AB18" s="200">
        <f t="shared" si="51"/>
        <v>0.012</v>
      </c>
      <c r="AC18" s="200">
        <f t="shared" si="51"/>
        <v>47.22</v>
      </c>
      <c r="AD18" s="200">
        <f t="shared" si="51"/>
        <v>51511.9</v>
      </c>
      <c r="AE18" s="200">
        <f t="shared" si="51"/>
        <v>0.05606</v>
      </c>
      <c r="AF18" s="200">
        <f t="shared" si="51"/>
        <v>195.78</v>
      </c>
      <c r="AG18" s="200">
        <f t="shared" si="51"/>
        <v>25910</v>
      </c>
      <c r="AH18" s="200">
        <f t="shared" si="51"/>
        <v>0.82</v>
      </c>
      <c r="AI18" s="200">
        <f t="shared" si="51"/>
        <v>1547.3</v>
      </c>
      <c r="AJ18" s="200">
        <f t="shared" si="51"/>
        <v>0.78</v>
      </c>
      <c r="AK18" s="200">
        <f t="shared" si="51"/>
        <v>1427.3</v>
      </c>
      <c r="AL18" s="200">
        <f t="shared" si="51"/>
        <v>0</v>
      </c>
      <c r="AM18" s="200">
        <f t="shared" si="51"/>
        <v>0</v>
      </c>
      <c r="AN18" s="200">
        <f t="shared" si="51"/>
        <v>97.8</v>
      </c>
      <c r="AO18" s="200">
        <f t="shared" si="51"/>
        <v>0</v>
      </c>
      <c r="AP18" s="200">
        <f t="shared" si="51"/>
        <v>0</v>
      </c>
      <c r="AQ18" s="200">
        <f t="shared" si="51"/>
        <v>147.62</v>
      </c>
      <c r="AR18" s="200">
        <f t="shared" si="51"/>
        <v>168.55</v>
      </c>
      <c r="AS18" s="200">
        <f t="shared" si="51"/>
        <v>13973.02</v>
      </c>
      <c r="AT18" s="200">
        <f t="shared" si="51"/>
        <v>5979.64</v>
      </c>
      <c r="AU18" s="200">
        <f t="shared" si="51"/>
        <v>1547.3</v>
      </c>
      <c r="AV18" s="200">
        <f t="shared" si="51"/>
        <v>1427.3</v>
      </c>
      <c r="AW18" s="200">
        <f t="shared" si="51"/>
        <v>22927.26</v>
      </c>
      <c r="AX18" s="200">
        <f t="shared" si="51"/>
        <v>19952.66</v>
      </c>
      <c r="AY18" s="200">
        <f t="shared" si="51"/>
        <v>0</v>
      </c>
      <c r="AZ18" s="200">
        <f t="shared" si="51"/>
        <v>2974.6</v>
      </c>
      <c r="BA18" s="200">
        <f t="shared" si="51"/>
        <v>0</v>
      </c>
      <c r="BB18" s="200">
        <f t="shared" si="51"/>
        <v>1120</v>
      </c>
      <c r="BC18" s="200">
        <f t="shared" si="51"/>
        <v>24047.26</v>
      </c>
      <c r="BD18" s="253"/>
    </row>
    <row r="19" ht="15" spans="1:56">
      <c r="A19" s="201" t="s">
        <v>23</v>
      </c>
      <c r="B19" s="202"/>
      <c r="C19" s="203"/>
      <c r="D19" s="203"/>
      <c r="E19" s="204"/>
      <c r="F19" s="204"/>
      <c r="G19" s="204"/>
      <c r="H19" s="204"/>
      <c r="I19" s="204"/>
      <c r="J19" s="204"/>
      <c r="K19" s="204"/>
      <c r="L19" s="214">
        <f t="shared" ref="L19:AX19" si="52">SUM(L18:L18)</f>
        <v>55536.2</v>
      </c>
      <c r="M19" s="214">
        <f t="shared" si="52"/>
        <v>2.23</v>
      </c>
      <c r="N19" s="214">
        <f t="shared" si="52"/>
        <v>8839.91</v>
      </c>
      <c r="O19" s="214">
        <f t="shared" si="52"/>
        <v>1.12</v>
      </c>
      <c r="P19" s="214">
        <f t="shared" si="52"/>
        <v>4442.9</v>
      </c>
      <c r="Q19" s="214">
        <f t="shared" si="52"/>
        <v>56527.85</v>
      </c>
      <c r="R19" s="214">
        <f t="shared" si="52"/>
        <v>1.0715</v>
      </c>
      <c r="S19" s="214">
        <f t="shared" si="52"/>
        <v>4357.19</v>
      </c>
      <c r="T19" s="214">
        <f t="shared" si="52"/>
        <v>0.28</v>
      </c>
      <c r="U19" s="214">
        <f t="shared" si="52"/>
        <v>1130.56</v>
      </c>
      <c r="V19" s="214">
        <f t="shared" si="52"/>
        <v>53248.2</v>
      </c>
      <c r="W19" s="214">
        <f t="shared" si="52"/>
        <v>0.0758</v>
      </c>
      <c r="X19" s="214">
        <f t="shared" si="52"/>
        <v>287.5</v>
      </c>
      <c r="Y19" s="214">
        <f t="shared" si="52"/>
        <v>0.061</v>
      </c>
      <c r="Z19" s="214">
        <f t="shared" si="52"/>
        <v>237.63</v>
      </c>
      <c r="AA19" s="214">
        <f t="shared" si="52"/>
        <v>8002.85</v>
      </c>
      <c r="AB19" s="214">
        <f t="shared" si="52"/>
        <v>0.012</v>
      </c>
      <c r="AC19" s="214">
        <f t="shared" si="52"/>
        <v>47.22</v>
      </c>
      <c r="AD19" s="214">
        <f t="shared" si="52"/>
        <v>51511.9</v>
      </c>
      <c r="AE19" s="214">
        <f t="shared" si="52"/>
        <v>0.05606</v>
      </c>
      <c r="AF19" s="214">
        <f t="shared" si="52"/>
        <v>195.78</v>
      </c>
      <c r="AG19" s="214">
        <f t="shared" si="52"/>
        <v>25910</v>
      </c>
      <c r="AH19" s="214">
        <f t="shared" si="52"/>
        <v>0.82</v>
      </c>
      <c r="AI19" s="214">
        <f t="shared" si="52"/>
        <v>1547.3</v>
      </c>
      <c r="AJ19" s="214">
        <f t="shared" si="52"/>
        <v>0.78</v>
      </c>
      <c r="AK19" s="214">
        <f t="shared" si="52"/>
        <v>1427.3</v>
      </c>
      <c r="AL19" s="214">
        <f t="shared" si="52"/>
        <v>0</v>
      </c>
      <c r="AM19" s="214">
        <f t="shared" si="52"/>
        <v>0</v>
      </c>
      <c r="AN19" s="214">
        <f t="shared" si="52"/>
        <v>97.8</v>
      </c>
      <c r="AO19" s="214">
        <f t="shared" si="52"/>
        <v>0</v>
      </c>
      <c r="AP19" s="214">
        <f t="shared" si="52"/>
        <v>0</v>
      </c>
      <c r="AQ19" s="214">
        <f t="shared" si="52"/>
        <v>147.62</v>
      </c>
      <c r="AR19" s="214">
        <f t="shared" si="52"/>
        <v>168.55</v>
      </c>
      <c r="AS19" s="234">
        <f t="shared" si="52"/>
        <v>13973.02</v>
      </c>
      <c r="AT19" s="234">
        <f t="shared" si="52"/>
        <v>5979.64</v>
      </c>
      <c r="AU19" s="234">
        <f t="shared" si="52"/>
        <v>1547.3</v>
      </c>
      <c r="AV19" s="234">
        <f t="shared" si="52"/>
        <v>1427.3</v>
      </c>
      <c r="AW19" s="234">
        <f t="shared" si="52"/>
        <v>22927.26</v>
      </c>
      <c r="AX19" s="254">
        <f t="shared" si="52"/>
        <v>19952.66</v>
      </c>
      <c r="AY19" s="254"/>
      <c r="AZ19" s="254">
        <f t="shared" ref="AZ19:BC19" si="53">SUM(AZ18:AZ18)</f>
        <v>2974.6</v>
      </c>
      <c r="BA19" s="254"/>
      <c r="BB19" s="214">
        <f t="shared" si="53"/>
        <v>1120</v>
      </c>
      <c r="BC19" s="214">
        <f t="shared" si="53"/>
        <v>24047.26</v>
      </c>
      <c r="BD19" s="255"/>
    </row>
    <row r="20" s="166" customFormat="1" spans="1:56">
      <c r="A20" s="205"/>
      <c r="B20" s="205"/>
      <c r="C20" s="205"/>
      <c r="D20" s="205"/>
      <c r="E20" s="205"/>
      <c r="F20" s="206"/>
      <c r="G20" s="179"/>
      <c r="H20" s="205"/>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5"/>
      <c r="AK20" s="205"/>
      <c r="AL20" s="205"/>
      <c r="AM20" s="205"/>
      <c r="AN20" s="205"/>
      <c r="AO20" s="205"/>
      <c r="AP20" s="205"/>
      <c r="AQ20" s="205"/>
      <c r="AR20" s="205"/>
      <c r="AS20" s="235"/>
      <c r="AT20" s="235"/>
      <c r="AU20" s="235"/>
      <c r="AV20" s="235"/>
      <c r="AW20" s="235"/>
      <c r="AX20" s="205"/>
      <c r="AY20" s="205"/>
      <c r="AZ20" s="205"/>
      <c r="BA20" s="205"/>
      <c r="BB20" s="205"/>
      <c r="BC20" s="205">
        <f>'（居民）工资表-11月'!E18</f>
        <v>71361.57</v>
      </c>
      <c r="BD20" s="256"/>
    </row>
    <row r="21" s="167" customFormat="1" spans="1:56">
      <c r="A21" s="168"/>
      <c r="B21" s="168"/>
      <c r="C21" s="168"/>
      <c r="D21" s="168"/>
      <c r="E21" s="168"/>
      <c r="F21" s="168"/>
      <c r="G21" s="168"/>
      <c r="H21" s="168"/>
      <c r="I21" s="168"/>
      <c r="J21" s="168"/>
      <c r="K21" s="168"/>
      <c r="L21" s="168"/>
      <c r="M21" s="168"/>
      <c r="N21" s="168"/>
      <c r="O21" s="168"/>
      <c r="P21" s="168"/>
      <c r="Q21" s="168"/>
      <c r="R21" s="168"/>
      <c r="S21" s="168"/>
      <c r="T21" s="168"/>
      <c r="U21" s="168"/>
      <c r="V21" s="168"/>
      <c r="W21" s="168"/>
      <c r="X21" s="168"/>
      <c r="Y21" s="168"/>
      <c r="Z21" s="205"/>
      <c r="AA21" s="205"/>
      <c r="AB21" s="205"/>
      <c r="AC21" s="205"/>
      <c r="AD21" s="205"/>
      <c r="AE21" s="205"/>
      <c r="AF21" s="205"/>
      <c r="AG21" s="205"/>
      <c r="AH21" s="205"/>
      <c r="AI21" s="205"/>
      <c r="AJ21" s="168"/>
      <c r="AK21" s="168"/>
      <c r="AL21" s="168"/>
      <c r="AM21" s="168"/>
      <c r="AN21" s="168"/>
      <c r="AO21" s="168"/>
      <c r="AP21" s="168"/>
      <c r="AQ21" s="168"/>
      <c r="AR21" s="168"/>
      <c r="AS21" s="169"/>
      <c r="AT21" s="169"/>
      <c r="AU21" s="169"/>
      <c r="AV21" s="169"/>
      <c r="AW21" s="169"/>
      <c r="AX21" s="168"/>
      <c r="AY21" s="168"/>
      <c r="AZ21" s="168"/>
      <c r="BA21" s="168"/>
      <c r="BB21" s="168"/>
      <c r="BC21" s="168"/>
      <c r="BD21" s="170"/>
    </row>
    <row r="23" spans="50:55">
      <c r="AX23" s="257"/>
      <c r="AY23" s="257"/>
      <c r="BC23" s="258"/>
    </row>
  </sheetData>
  <mergeCells count="56">
    <mergeCell ref="L1:P1"/>
    <mergeCell ref="Q1:U1"/>
    <mergeCell ref="V1:Z1"/>
    <mergeCell ref="AA1:AC1"/>
    <mergeCell ref="AD1:AF1"/>
    <mergeCell ref="AG1:AK1"/>
    <mergeCell ref="AL1:AP1"/>
    <mergeCell ref="AQ1:AR1"/>
    <mergeCell ref="AS1:AW1"/>
    <mergeCell ref="AX3:AY3"/>
    <mergeCell ref="AZ3:BA3"/>
    <mergeCell ref="AX4:AY4"/>
    <mergeCell ref="AZ4:BA4"/>
    <mergeCell ref="AX5:AY5"/>
    <mergeCell ref="AZ5:BA5"/>
    <mergeCell ref="AX6:AY6"/>
    <mergeCell ref="AZ6:BA6"/>
    <mergeCell ref="AX7:AY7"/>
    <mergeCell ref="AZ7:BA7"/>
    <mergeCell ref="AX8:AY8"/>
    <mergeCell ref="AZ8:BA8"/>
    <mergeCell ref="AX9:AY9"/>
    <mergeCell ref="AZ9:BA9"/>
    <mergeCell ref="AX10:AY10"/>
    <mergeCell ref="AZ10:BA10"/>
    <mergeCell ref="AX11:AY11"/>
    <mergeCell ref="AZ11:BA11"/>
    <mergeCell ref="AX12:AY12"/>
    <mergeCell ref="AZ12:BA12"/>
    <mergeCell ref="AX13:AY13"/>
    <mergeCell ref="AZ13:BA13"/>
    <mergeCell ref="AX14:AY14"/>
    <mergeCell ref="AZ14:BA14"/>
    <mergeCell ref="AX15:AY15"/>
    <mergeCell ref="AZ15:BA15"/>
    <mergeCell ref="AX16:AY16"/>
    <mergeCell ref="AZ16:BA16"/>
    <mergeCell ref="AX19:AY19"/>
    <mergeCell ref="AZ19:BA19"/>
    <mergeCell ref="AX23:AY23"/>
    <mergeCell ref="A1:A2"/>
    <mergeCell ref="B1:B2"/>
    <mergeCell ref="C1:C2"/>
    <mergeCell ref="D1:D2"/>
    <mergeCell ref="E1:E2"/>
    <mergeCell ref="F1:F2"/>
    <mergeCell ref="G1:G2"/>
    <mergeCell ref="H1:H2"/>
    <mergeCell ref="I1:I2"/>
    <mergeCell ref="J1:J2"/>
    <mergeCell ref="K1:K2"/>
    <mergeCell ref="BB1:BB2"/>
    <mergeCell ref="BC1:BC2"/>
    <mergeCell ref="BD1:BD2"/>
    <mergeCell ref="AX1:AY2"/>
    <mergeCell ref="AZ1:BA2"/>
  </mergeCells>
  <conditionalFormatting sqref="H1:I1">
    <cfRule type="expression" dxfId="0" priority="1" stopIfTrue="1">
      <formula>AND(COUNTIF($J$1:$J$1,H1)&gt;1,NOT(ISBLANK(H1)))</formula>
    </cfRule>
  </conditionalFormatting>
  <conditionalFormatting sqref="J1">
    <cfRule type="duplicateValues" dxfId="0" priority="2" stopIfTrue="1"/>
  </conditionalFormatting>
  <conditionalFormatting sqref="K1:L1">
    <cfRule type="duplicateValues" dxfId="0" priority="3" stopIfTrue="1"/>
  </conditionalFormatting>
  <conditionalFormatting sqref="Q1">
    <cfRule type="duplicateValues" dxfId="0" priority="4" stopIfTrue="1"/>
  </conditionalFormatting>
  <conditionalFormatting sqref="V1">
    <cfRule type="duplicateValues" dxfId="0" priority="5" stopIfTrue="1"/>
  </conditionalFormatting>
  <conditionalFormatting sqref="AG1">
    <cfRule type="duplicateValues" dxfId="0" priority="6" stopIfTrue="1"/>
  </conditionalFormatting>
  <pageMargins left="0.75" right="0.75" top="1" bottom="1" header="0.5" footer="0.5"/>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AT35"/>
  <sheetViews>
    <sheetView workbookViewId="0">
      <pane xSplit="6" ySplit="3" topLeftCell="U4" activePane="bottomRight" state="frozen"/>
      <selection/>
      <selection pane="topRight"/>
      <selection pane="bottomLeft"/>
      <selection pane="bottomRight" activeCell="V34" sqref="U34:V34"/>
    </sheetView>
  </sheetViews>
  <sheetFormatPr defaultColWidth="9" defaultRowHeight="13.5"/>
  <cols>
    <col min="1" max="1" width="4.45" style="15" customWidth="1"/>
    <col min="2" max="2" width="12.6333333333333" style="15" customWidth="1"/>
    <col min="3" max="3" width="10.45" style="15" customWidth="1"/>
    <col min="4" max="4" width="8.725" style="15" customWidth="1"/>
    <col min="5" max="5" width="19.45" style="16" customWidth="1"/>
    <col min="6" max="6" width="9" style="15"/>
    <col min="7" max="7" width="11.9083333333333" style="17" customWidth="1"/>
    <col min="8" max="8" width="4.63333333333333" style="15" hidden="1" customWidth="1"/>
    <col min="9" max="9" width="5.26666666666667" style="15" hidden="1" customWidth="1"/>
    <col min="10" max="10" width="11.725" style="18" customWidth="1"/>
    <col min="11" max="11" width="5.26666666666667" style="15" customWidth="1"/>
    <col min="12" max="12" width="11.725" style="15" customWidth="1"/>
    <col min="13" max="13" width="12.45" style="15" customWidth="1" outlineLevel="1"/>
    <col min="14" max="15" width="9" style="15" customWidth="1" outlineLevel="1"/>
    <col min="16" max="16" width="11.0916666666667" style="15" customWidth="1" outlineLevel="1"/>
    <col min="17" max="17" width="9.725" style="15" customWidth="1"/>
    <col min="18" max="18" width="9.45" style="15" customWidth="1"/>
    <col min="19" max="19" width="13.3666666666667" style="15" customWidth="1"/>
    <col min="20" max="21" width="12.2666666666667" style="15" customWidth="1"/>
    <col min="22" max="27" width="9" style="15" customWidth="1" outlineLevel="1"/>
    <col min="28" max="28" width="11.2666666666667" style="15" customWidth="1"/>
    <col min="29" max="29" width="8.45" style="15" customWidth="1"/>
    <col min="30" max="30" width="15.2666666666667" style="15" customWidth="1"/>
    <col min="31" max="31" width="14" style="15" customWidth="1"/>
    <col min="32" max="32" width="10.725" style="15" customWidth="1"/>
    <col min="33" max="33" width="12.2666666666667" style="15" customWidth="1"/>
    <col min="34" max="34" width="11.45" style="15" customWidth="1"/>
    <col min="35" max="35" width="7.90833333333333" style="19" customWidth="1"/>
    <col min="36" max="36" width="11.45" style="15" customWidth="1"/>
    <col min="37" max="37" width="9" style="15"/>
    <col min="38" max="38" width="11.45" style="15" customWidth="1"/>
    <col min="39" max="40" width="9" style="15" customWidth="1"/>
    <col min="41" max="41" width="19" style="15" customWidth="1"/>
    <col min="42" max="42" width="12.2666666666667" style="15" customWidth="1"/>
    <col min="43" max="43" width="9" style="15"/>
    <col min="44" max="44" width="7" style="15" customWidth="1"/>
    <col min="45" max="45" width="6.725" style="15" customWidth="1"/>
    <col min="46" max="46" width="6.09166666666667" style="15" customWidth="1"/>
    <col min="47" max="16384" width="9" style="15"/>
  </cols>
  <sheetData>
    <row r="1" s="10" customFormat="1" ht="29.25" customHeight="1" spans="1:45">
      <c r="A1" s="20" t="s">
        <v>140</v>
      </c>
      <c r="B1" s="21"/>
      <c r="C1" s="22"/>
      <c r="D1" s="23"/>
      <c r="E1" s="24"/>
      <c r="F1" s="24"/>
      <c r="G1" s="25"/>
      <c r="J1" s="65"/>
      <c r="L1" s="66"/>
      <c r="M1" s="67" t="s">
        <v>141</v>
      </c>
      <c r="N1" s="67"/>
      <c r="O1" s="67"/>
      <c r="P1" s="67"/>
      <c r="Q1" s="90"/>
      <c r="R1" s="90"/>
      <c r="S1" s="90"/>
      <c r="T1" s="90"/>
      <c r="U1" s="90"/>
      <c r="V1" s="90"/>
      <c r="W1" s="90"/>
      <c r="X1" s="90"/>
      <c r="Y1" s="90"/>
      <c r="Z1" s="90"/>
      <c r="AA1" s="90"/>
      <c r="AB1" s="90"/>
      <c r="AC1" s="90"/>
      <c r="AD1" s="66"/>
      <c r="AE1" s="66"/>
      <c r="AF1" s="66"/>
      <c r="AG1" s="66"/>
      <c r="AH1" s="66"/>
      <c r="AI1" s="104"/>
      <c r="AJ1" s="66"/>
      <c r="AK1" s="66"/>
      <c r="AL1" s="66"/>
      <c r="AM1" s="24"/>
      <c r="AN1" s="24"/>
      <c r="AO1" s="114"/>
      <c r="AP1" s="24"/>
      <c r="AQ1" s="24"/>
      <c r="AR1" s="24"/>
      <c r="AS1" s="24"/>
    </row>
    <row r="2" s="11" customFormat="1" ht="20.15" customHeight="1" spans="1:46">
      <c r="A2" s="26" t="s">
        <v>0</v>
      </c>
      <c r="B2" s="27" t="s">
        <v>142</v>
      </c>
      <c r="C2" s="28" t="s">
        <v>143</v>
      </c>
      <c r="D2" s="28" t="s">
        <v>144</v>
      </c>
      <c r="E2" s="29" t="s">
        <v>145</v>
      </c>
      <c r="F2" s="30" t="s">
        <v>146</v>
      </c>
      <c r="G2" s="29" t="s">
        <v>147</v>
      </c>
      <c r="H2" s="29" t="s">
        <v>148</v>
      </c>
      <c r="I2" s="29" t="s">
        <v>149</v>
      </c>
      <c r="J2" s="68" t="s">
        <v>150</v>
      </c>
      <c r="K2" s="29" t="s">
        <v>151</v>
      </c>
      <c r="L2" s="29" t="s">
        <v>152</v>
      </c>
      <c r="M2" s="69" t="s">
        <v>153</v>
      </c>
      <c r="N2" s="70"/>
      <c r="O2" s="70"/>
      <c r="P2" s="71"/>
      <c r="Q2" s="30" t="s">
        <v>154</v>
      </c>
      <c r="R2" s="29" t="s">
        <v>155</v>
      </c>
      <c r="S2" s="30" t="s">
        <v>156</v>
      </c>
      <c r="T2" s="91" t="s">
        <v>157</v>
      </c>
      <c r="U2" s="30" t="s">
        <v>158</v>
      </c>
      <c r="V2" s="92" t="s">
        <v>159</v>
      </c>
      <c r="W2" s="93"/>
      <c r="X2" s="93"/>
      <c r="Y2" s="93"/>
      <c r="Z2" s="93"/>
      <c r="AA2" s="99"/>
      <c r="AB2" s="30" t="s">
        <v>160</v>
      </c>
      <c r="AC2" s="30" t="s">
        <v>161</v>
      </c>
      <c r="AD2" s="91" t="s">
        <v>162</v>
      </c>
      <c r="AE2" s="91" t="s">
        <v>163</v>
      </c>
      <c r="AF2" s="91" t="s">
        <v>164</v>
      </c>
      <c r="AG2" s="91" t="s">
        <v>165</v>
      </c>
      <c r="AH2" s="105" t="s">
        <v>166</v>
      </c>
      <c r="AI2" s="106" t="s">
        <v>167</v>
      </c>
      <c r="AJ2" s="105" t="s">
        <v>168</v>
      </c>
      <c r="AK2" s="28" t="s">
        <v>22</v>
      </c>
      <c r="AL2" s="105" t="s">
        <v>169</v>
      </c>
      <c r="AM2" s="29" t="s">
        <v>170</v>
      </c>
      <c r="AN2" s="29" t="s">
        <v>171</v>
      </c>
      <c r="AO2" s="115" t="s">
        <v>172</v>
      </c>
      <c r="AP2" s="29" t="s">
        <v>173</v>
      </c>
      <c r="AQ2" s="29" t="s">
        <v>174</v>
      </c>
      <c r="AR2" s="30" t="s">
        <v>175</v>
      </c>
      <c r="AS2" s="30" t="s">
        <v>176</v>
      </c>
      <c r="AT2" s="30" t="s">
        <v>177</v>
      </c>
    </row>
    <row r="3" s="11" customFormat="1" ht="27" customHeight="1" spans="1:46">
      <c r="A3" s="31"/>
      <c r="B3" s="32"/>
      <c r="C3" s="33"/>
      <c r="D3" s="33"/>
      <c r="E3" s="34"/>
      <c r="F3" s="35"/>
      <c r="G3" s="34"/>
      <c r="H3" s="34"/>
      <c r="I3" s="34"/>
      <c r="J3" s="72"/>
      <c r="K3" s="34"/>
      <c r="L3" s="34"/>
      <c r="M3" s="73" t="s">
        <v>178</v>
      </c>
      <c r="N3" s="73" t="s">
        <v>179</v>
      </c>
      <c r="O3" s="73" t="s">
        <v>180</v>
      </c>
      <c r="P3" s="73" t="s">
        <v>37</v>
      </c>
      <c r="Q3" s="35"/>
      <c r="R3" s="34"/>
      <c r="S3" s="35"/>
      <c r="T3" s="94"/>
      <c r="U3" s="35"/>
      <c r="V3" s="95" t="s">
        <v>181</v>
      </c>
      <c r="W3" s="95" t="s">
        <v>182</v>
      </c>
      <c r="X3" s="95" t="s">
        <v>183</v>
      </c>
      <c r="Y3" s="95" t="s">
        <v>184</v>
      </c>
      <c r="Z3" s="95" t="s">
        <v>185</v>
      </c>
      <c r="AA3" s="95" t="s">
        <v>186</v>
      </c>
      <c r="AB3" s="35"/>
      <c r="AC3" s="35"/>
      <c r="AD3" s="94"/>
      <c r="AE3" s="94"/>
      <c r="AF3" s="94"/>
      <c r="AG3" s="94"/>
      <c r="AH3" s="107"/>
      <c r="AI3" s="108"/>
      <c r="AJ3" s="107"/>
      <c r="AK3" s="33"/>
      <c r="AL3" s="107"/>
      <c r="AM3" s="34"/>
      <c r="AN3" s="34"/>
      <c r="AO3" s="116"/>
      <c r="AP3" s="34"/>
      <c r="AQ3" s="34"/>
      <c r="AR3" s="35"/>
      <c r="AS3" s="35"/>
      <c r="AT3" s="35"/>
    </row>
    <row r="4" s="12" customFormat="1" ht="18" customHeight="1" spans="1:46">
      <c r="A4" s="36">
        <v>1</v>
      </c>
      <c r="B4" s="37" t="s">
        <v>187</v>
      </c>
      <c r="C4" s="37" t="s">
        <v>43</v>
      </c>
      <c r="D4" s="37" t="s">
        <v>188</v>
      </c>
      <c r="E4" s="37" t="s">
        <v>44</v>
      </c>
      <c r="F4" s="38" t="s">
        <v>189</v>
      </c>
      <c r="G4" s="45">
        <v>18035163638</v>
      </c>
      <c r="H4" s="40"/>
      <c r="I4" s="40"/>
      <c r="J4" s="74"/>
      <c r="K4" s="40"/>
      <c r="L4" s="78">
        <v>10160</v>
      </c>
      <c r="M4" s="76">
        <v>264</v>
      </c>
      <c r="N4" s="76">
        <v>66</v>
      </c>
      <c r="O4" s="76">
        <v>9.9</v>
      </c>
      <c r="P4" s="76">
        <v>180</v>
      </c>
      <c r="Q4" s="96">
        <f>ROUND(SUM(M4:P4),2)</f>
        <v>519.9</v>
      </c>
      <c r="R4" s="78">
        <v>0</v>
      </c>
      <c r="S4" s="97">
        <f>L4+IFERROR(VLOOKUP($E:$E,'（居民）工资表-5月'!$E:$S,15,0),0)</f>
        <v>57810</v>
      </c>
      <c r="T4" s="98">
        <f>5000+IFERROR(VLOOKUP($E:$E,'（居民）工资表-5月'!$E:$T,16,0),0)</f>
        <v>30000</v>
      </c>
      <c r="U4" s="98">
        <f>Q4+IFERROR(VLOOKUP($E:$E,'（居民）工资表-5月'!$E:$U,17,0),0)</f>
        <v>3119.4</v>
      </c>
      <c r="V4" s="78">
        <v>6000</v>
      </c>
      <c r="W4" s="78"/>
      <c r="X4" s="78">
        <v>6000</v>
      </c>
      <c r="Y4" s="78"/>
      <c r="Z4" s="78">
        <v>2400</v>
      </c>
      <c r="AA4" s="78"/>
      <c r="AB4" s="97">
        <f>ROUND(SUM(V4:AA4),2)</f>
        <v>14400</v>
      </c>
      <c r="AC4" s="97">
        <f>R4+IFERROR(VLOOKUP($E:$E,'（居民）工资表-5月'!$E:$AC,25,0),0)</f>
        <v>0</v>
      </c>
      <c r="AD4" s="100">
        <f>ROUND(S4-T4-U4-AB4-AC4,2)</f>
        <v>10290.6</v>
      </c>
      <c r="AE4" s="101">
        <f>ROUND(MAX((AD4)*{0.03;0.1;0.2;0.25;0.3;0.35;0.45}-{0;2520;16920;31920;52920;85920;181920},0),2)</f>
        <v>308.72</v>
      </c>
      <c r="AF4" s="102">
        <f>IFERROR(VLOOKUP(E:E,'（居民）工资表-5月'!E:AF,28,0)+VLOOKUP(E:E,'（居民）工资表-5月'!E:AG,29,0),0)</f>
        <v>301.52</v>
      </c>
      <c r="AG4" s="102">
        <f>IF((AE4-AF4)&lt;0,0,AE4-AF4)</f>
        <v>7.20000000000005</v>
      </c>
      <c r="AH4" s="109">
        <f>ROUND(IF((L4-Q4-AG4)&lt;0,0,(L4-Q4-AG4)),2)</f>
        <v>9632.9</v>
      </c>
      <c r="AI4" s="110"/>
      <c r="AJ4" s="109">
        <f>AH4+AI4</f>
        <v>9632.9</v>
      </c>
      <c r="AK4" s="111"/>
      <c r="AL4" s="109">
        <f>AJ4+AG4+AK4</f>
        <v>9640.1</v>
      </c>
      <c r="AM4" s="111"/>
      <c r="AN4" s="111"/>
      <c r="AO4" s="111"/>
      <c r="AP4" s="111"/>
      <c r="AQ4" s="111"/>
      <c r="AR4" s="117"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7" t="str">
        <f>IF(SUMPRODUCT(N(E$1:E$18=E4))&gt;1,"重复","不")</f>
        <v>不</v>
      </c>
      <c r="AT4" s="117" t="str">
        <f>IF(SUMPRODUCT(N(AO$1:AO$18=AO4))&gt;1,"重复","不")</f>
        <v>重复</v>
      </c>
    </row>
    <row r="5" s="12" customFormat="1" ht="18" customHeight="1" spans="1:46">
      <c r="A5" s="36">
        <v>2</v>
      </c>
      <c r="B5" s="37" t="s">
        <v>187</v>
      </c>
      <c r="C5" s="37" t="s">
        <v>61</v>
      </c>
      <c r="D5" s="37" t="s">
        <v>188</v>
      </c>
      <c r="E5" s="37" t="s">
        <v>62</v>
      </c>
      <c r="F5" s="38" t="s">
        <v>189</v>
      </c>
      <c r="G5" s="45">
        <v>13944441728</v>
      </c>
      <c r="H5" s="40"/>
      <c r="I5" s="40"/>
      <c r="J5" s="74"/>
      <c r="K5" s="40"/>
      <c r="L5" s="78">
        <v>7000</v>
      </c>
      <c r="M5" s="76">
        <v>268.81</v>
      </c>
      <c r="N5" s="76">
        <v>72.06</v>
      </c>
      <c r="O5" s="76">
        <v>10.08</v>
      </c>
      <c r="P5" s="76">
        <v>82</v>
      </c>
      <c r="Q5" s="96">
        <f>ROUND(SUM(M5:P5),2)</f>
        <v>432.95</v>
      </c>
      <c r="R5" s="78">
        <v>0</v>
      </c>
      <c r="S5" s="97">
        <f>L5+IFERROR(VLOOKUP($E:$E,'（居民）工资表-5月'!$E:$S,15,0),0)</f>
        <v>42000</v>
      </c>
      <c r="T5" s="98">
        <f>5000+IFERROR(VLOOKUP($E:$E,'（居民）工资表-5月'!$E:$T,16,0),0)</f>
        <v>30000</v>
      </c>
      <c r="U5" s="98">
        <f>Q5+IFERROR(VLOOKUP($E:$E,'（居民）工资表-5月'!$E:$U,17,0),0)</f>
        <v>2597.7</v>
      </c>
      <c r="V5" s="78"/>
      <c r="W5" s="78"/>
      <c r="X5" s="78">
        <v>6000</v>
      </c>
      <c r="Y5" s="78"/>
      <c r="Z5" s="78"/>
      <c r="AA5" s="78"/>
      <c r="AB5" s="97">
        <f>ROUND(SUM(V5:AA5),2)</f>
        <v>6000</v>
      </c>
      <c r="AC5" s="97">
        <f>R5+IFERROR(VLOOKUP($E:$E,'（居民）工资表-5月'!$E:$AC,25,0),0)</f>
        <v>0</v>
      </c>
      <c r="AD5" s="100">
        <f>ROUND(S5-T5-U5-AB5-AC5,2)</f>
        <v>3402.3</v>
      </c>
      <c r="AE5" s="101">
        <f>ROUND(MAX((AD5)*{0.03;0.1;0.2;0.25;0.3;0.35;0.45}-{0;2520;16920;31920;52920;85920;181920},0),2)</f>
        <v>102.07</v>
      </c>
      <c r="AF5" s="102">
        <f>IFERROR(VLOOKUP(E:E,'（居民）工资表-5月'!E:AF,28,0)+VLOOKUP(E:E,'（居民）工资表-5月'!E:AG,29,0),0)</f>
        <v>85.06</v>
      </c>
      <c r="AG5" s="102">
        <f>IF((AE5-AF5)&lt;0,0,AE5-AF5)</f>
        <v>17.01</v>
      </c>
      <c r="AH5" s="109">
        <f>ROUND(IF((L5-Q5-AG5)&lt;0,0,(L5-Q5-AG5)),2)</f>
        <v>6550.04</v>
      </c>
      <c r="AI5" s="110"/>
      <c r="AJ5" s="109">
        <f>AH5+AI5</f>
        <v>6550.04</v>
      </c>
      <c r="AK5" s="111"/>
      <c r="AL5" s="109">
        <f>AJ5+AG5+AK5</f>
        <v>6567.05</v>
      </c>
      <c r="AM5" s="111"/>
      <c r="AN5" s="111"/>
      <c r="AO5" s="111"/>
      <c r="AP5" s="111"/>
      <c r="AQ5" s="111"/>
      <c r="AR5" s="117"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117" t="str">
        <f>IF(SUMPRODUCT(N(E$1:E$18=E5))&gt;1,"重复","不")</f>
        <v>不</v>
      </c>
      <c r="AT5" s="117" t="str">
        <f>IF(SUMPRODUCT(N(AO$1:AO$18=AO5))&gt;1,"重复","不")</f>
        <v>重复</v>
      </c>
    </row>
    <row r="6" s="12" customFormat="1" ht="18" customHeight="1" spans="1:46">
      <c r="A6" s="36">
        <v>3</v>
      </c>
      <c r="B6" s="37" t="s">
        <v>187</v>
      </c>
      <c r="C6" s="37" t="s">
        <v>104</v>
      </c>
      <c r="D6" s="37" t="s">
        <v>188</v>
      </c>
      <c r="E6" s="398" t="s">
        <v>105</v>
      </c>
      <c r="F6" s="38" t="s">
        <v>190</v>
      </c>
      <c r="G6" s="45">
        <v>15360550807</v>
      </c>
      <c r="H6" s="40"/>
      <c r="I6" s="40"/>
      <c r="J6" s="74"/>
      <c r="K6" s="40"/>
      <c r="L6" s="78">
        <v>5700</v>
      </c>
      <c r="M6" s="76">
        <v>367.04</v>
      </c>
      <c r="N6" s="76">
        <v>135.14</v>
      </c>
      <c r="O6" s="76">
        <v>4.6</v>
      </c>
      <c r="P6" s="76">
        <v>115</v>
      </c>
      <c r="Q6" s="96">
        <f>ROUND(SUM(M6:P6),2)</f>
        <v>621.78</v>
      </c>
      <c r="R6" s="78">
        <v>0</v>
      </c>
      <c r="S6" s="97">
        <f>L6+IFERROR(VLOOKUP($E:$E,'（居民）工资表-5月'!$E:$S,15,0),0)</f>
        <v>34200</v>
      </c>
      <c r="T6" s="98">
        <f>5000+IFERROR(VLOOKUP($E:$E,'（居民）工资表-5月'!$E:$T,16,0),0)</f>
        <v>30000</v>
      </c>
      <c r="U6" s="98">
        <f>Q6+IFERROR(VLOOKUP($E:$E,'（居民）工资表-5月'!$E:$U,17,0),0)</f>
        <v>3759.96</v>
      </c>
      <c r="V6" s="78"/>
      <c r="W6" s="78"/>
      <c r="X6" s="78"/>
      <c r="Y6" s="78">
        <v>9000</v>
      </c>
      <c r="Z6" s="78"/>
      <c r="AA6" s="78"/>
      <c r="AB6" s="97">
        <f>ROUND(SUM(V6:AA6),2)</f>
        <v>9000</v>
      </c>
      <c r="AC6" s="97">
        <f>R6+IFERROR(VLOOKUP($E:$E,'（居民）工资表-5月'!$E:$AC,25,0),0)</f>
        <v>0</v>
      </c>
      <c r="AD6" s="100">
        <f>ROUND(S6-T6-U6-AB6-AC6,2)</f>
        <v>-8559.96</v>
      </c>
      <c r="AE6" s="101">
        <f>ROUND(MAX((AD6)*{0.03;0.1;0.2;0.25;0.3;0.35;0.45}-{0;2520;16920;31920;52920;85920;181920},0),2)</f>
        <v>0</v>
      </c>
      <c r="AF6" s="102">
        <f>IFERROR(VLOOKUP(E:E,'（居民）工资表-5月'!E:AF,28,0)+VLOOKUP(E:E,'（居民）工资表-5月'!E:AG,29,0),0)</f>
        <v>0</v>
      </c>
      <c r="AG6" s="102">
        <f>IF((AE6-AF6)&lt;0,0,AE6-AF6)</f>
        <v>0</v>
      </c>
      <c r="AH6" s="109">
        <f>ROUND(IF((L6-Q6-AG6)&lt;0,0,(L6-Q6-AG6)),2)</f>
        <v>5078.22</v>
      </c>
      <c r="AI6" s="110"/>
      <c r="AJ6" s="109">
        <f>AH6+AI6</f>
        <v>5078.22</v>
      </c>
      <c r="AK6" s="111"/>
      <c r="AL6" s="109">
        <f>AJ6+AG6+AK6</f>
        <v>5078.22</v>
      </c>
      <c r="AM6" s="111"/>
      <c r="AN6" s="111"/>
      <c r="AO6" s="111"/>
      <c r="AP6" s="111"/>
      <c r="AQ6" s="111"/>
      <c r="AR6" s="117"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117" t="str">
        <f>IF(SUMPRODUCT(N(E$1:E$18=E6))&gt;1,"重复","不")</f>
        <v>不</v>
      </c>
      <c r="AT6" s="117" t="str">
        <f>IF(SUMPRODUCT(N(AO$1:AO$18=AO6))&gt;1,"重复","不")</f>
        <v>重复</v>
      </c>
    </row>
    <row r="7" s="12" customFormat="1" ht="18" customHeight="1" spans="1:46">
      <c r="A7" s="36">
        <v>4</v>
      </c>
      <c r="B7" s="37" t="s">
        <v>187</v>
      </c>
      <c r="C7" s="37" t="s">
        <v>191</v>
      </c>
      <c r="D7" s="37" t="s">
        <v>188</v>
      </c>
      <c r="E7" s="37" t="s">
        <v>192</v>
      </c>
      <c r="F7" s="38" t="s">
        <v>189</v>
      </c>
      <c r="G7" s="45">
        <v>18037463616</v>
      </c>
      <c r="H7" s="40"/>
      <c r="I7" s="40"/>
      <c r="J7" s="74"/>
      <c r="K7" s="40"/>
      <c r="L7" s="78">
        <v>14320</v>
      </c>
      <c r="M7" s="76">
        <v>254.32</v>
      </c>
      <c r="N7" s="76">
        <v>63.94</v>
      </c>
      <c r="O7" s="76">
        <v>9.54</v>
      </c>
      <c r="P7" s="76">
        <v>254.32</v>
      </c>
      <c r="Q7" s="96">
        <f t="shared" ref="Q7:Q17" si="0">ROUND(SUM(M7:P7),2)</f>
        <v>582.12</v>
      </c>
      <c r="R7" s="78">
        <v>0</v>
      </c>
      <c r="S7" s="97">
        <f>L7+IFERROR(VLOOKUP($E:$E,'（居民）工资表-5月'!$E:$S,15,0),0)</f>
        <v>70732.63</v>
      </c>
      <c r="T7" s="98">
        <f>5000+IFERROR(VLOOKUP($E:$E,'（居民）工资表-5月'!$E:$T,16,0),0)</f>
        <v>25000</v>
      </c>
      <c r="U7" s="98">
        <f>Q7+IFERROR(VLOOKUP($E:$E,'（居民）工资表-5月'!$E:$U,17,0),0)</f>
        <v>3392.25</v>
      </c>
      <c r="V7" s="78"/>
      <c r="W7" s="78"/>
      <c r="X7" s="78">
        <v>5000</v>
      </c>
      <c r="Y7" s="78"/>
      <c r="Z7" s="78"/>
      <c r="AA7" s="78"/>
      <c r="AB7" s="97">
        <f t="shared" ref="AB7:AB17" si="1">ROUND(SUM(V7:AA7),2)</f>
        <v>5000</v>
      </c>
      <c r="AC7" s="97">
        <f>R7+IFERROR(VLOOKUP($E:$E,'（居民）工资表-5月'!$E:$AC,25,0),0)</f>
        <v>0</v>
      </c>
      <c r="AD7" s="100">
        <f t="shared" ref="AD7:AD17" si="2">ROUND(S7-T7-U7-AB7-AC7,2)</f>
        <v>37340.38</v>
      </c>
      <c r="AE7" s="101">
        <f>ROUND(MAX((AD7)*{0.03;0.1;0.2;0.25;0.3;0.35;0.45}-{0;2520;16920;31920;52920;85920;181920},0),2)</f>
        <v>1214.04</v>
      </c>
      <c r="AF7" s="102">
        <f>IFERROR(VLOOKUP(E:E,'（居民）工资表-5月'!E:AF,28,0)+VLOOKUP(E:E,'（居民）工资表-5月'!E:AG,29,0),0)</f>
        <v>888.08</v>
      </c>
      <c r="AG7" s="102">
        <f t="shared" ref="AG7:AG17" si="3">IF((AE7-AF7)&lt;0,0,AE7-AF7)</f>
        <v>325.96</v>
      </c>
      <c r="AH7" s="109">
        <f t="shared" ref="AH7:AH17" si="4">ROUND(IF((L7-Q7-AG7)&lt;0,0,(L7-Q7-AG7)),2)</f>
        <v>13411.92</v>
      </c>
      <c r="AI7" s="110"/>
      <c r="AJ7" s="109">
        <f t="shared" ref="AJ7:AJ17" si="5">AH7+AI7</f>
        <v>13411.92</v>
      </c>
      <c r="AK7" s="111"/>
      <c r="AL7" s="109">
        <f t="shared" ref="AL7:AL17" si="6">AJ7+AG7+AK7</f>
        <v>13737.88</v>
      </c>
      <c r="AM7" s="111"/>
      <c r="AN7" s="111"/>
      <c r="AO7" s="111"/>
      <c r="AP7" s="111"/>
      <c r="AQ7" s="111"/>
      <c r="AR7" s="117" t="str">
        <f t="shared" ref="AR7:AR17" si="7">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117" t="str">
        <f t="shared" ref="AS7:AS17" si="8">IF(SUMPRODUCT(N(E$1:E$18=E7))&gt;1,"重复","不")</f>
        <v>不</v>
      </c>
      <c r="AT7" s="117" t="str">
        <f t="shared" ref="AT7:AT17" si="9">IF(SUMPRODUCT(N(AO$1:AO$18=AO7))&gt;1,"重复","不")</f>
        <v>重复</v>
      </c>
    </row>
    <row r="8" s="12" customFormat="1" ht="18" customHeight="1" spans="1:46">
      <c r="A8" s="36">
        <v>5</v>
      </c>
      <c r="B8" s="37" t="s">
        <v>187</v>
      </c>
      <c r="C8" s="37" t="s">
        <v>193</v>
      </c>
      <c r="D8" s="37" t="s">
        <v>188</v>
      </c>
      <c r="E8" s="398" t="s">
        <v>194</v>
      </c>
      <c r="F8" s="38" t="s">
        <v>189</v>
      </c>
      <c r="G8" s="45">
        <v>18500634358</v>
      </c>
      <c r="H8" s="40"/>
      <c r="I8" s="40"/>
      <c r="J8" s="74"/>
      <c r="K8" s="40"/>
      <c r="L8" s="78">
        <v>14620</v>
      </c>
      <c r="M8" s="76">
        <v>254.32</v>
      </c>
      <c r="N8" s="76">
        <v>63.94</v>
      </c>
      <c r="O8" s="76">
        <v>9.54</v>
      </c>
      <c r="P8" s="76">
        <v>254.32</v>
      </c>
      <c r="Q8" s="96">
        <f t="shared" si="0"/>
        <v>582.12</v>
      </c>
      <c r="R8" s="78">
        <v>0</v>
      </c>
      <c r="S8" s="97">
        <f>L8+IFERROR(VLOOKUP($E:$E,'（居民）工资表-5月'!$E:$S,15,0),0)</f>
        <v>73280</v>
      </c>
      <c r="T8" s="98">
        <f>5000+IFERROR(VLOOKUP($E:$E,'（居民）工资表-5月'!$E:$T,16,0),0)</f>
        <v>25000</v>
      </c>
      <c r="U8" s="98">
        <f>Q8+IFERROR(VLOOKUP($E:$E,'（居民）工资表-5月'!$E:$U,17,0),0)</f>
        <v>3392.25</v>
      </c>
      <c r="V8" s="78"/>
      <c r="W8" s="78"/>
      <c r="X8" s="78"/>
      <c r="Y8" s="78"/>
      <c r="Z8" s="78"/>
      <c r="AA8" s="78"/>
      <c r="AB8" s="97">
        <f t="shared" si="1"/>
        <v>0</v>
      </c>
      <c r="AC8" s="97">
        <f>R8+IFERROR(VLOOKUP($E:$E,'（居民）工资表-5月'!$E:$AC,25,0),0)</f>
        <v>0</v>
      </c>
      <c r="AD8" s="100">
        <f t="shared" si="2"/>
        <v>44887.75</v>
      </c>
      <c r="AE8" s="101">
        <f>ROUND(MAX((AD8)*{0.03;0.1;0.2;0.25;0.3;0.35;0.45}-{0;2520;16920;31920;52920;85920;181920},0),2)</f>
        <v>1968.78</v>
      </c>
      <c r="AF8" s="102">
        <f>IFERROR(VLOOKUP(E:E,'（居民）工资表-5月'!E:AF,28,0)+VLOOKUP(E:E,'（居民）工资表-5月'!E:AG,29,0),0)</f>
        <v>1075.5</v>
      </c>
      <c r="AG8" s="102">
        <f t="shared" si="3"/>
        <v>893.28</v>
      </c>
      <c r="AH8" s="109">
        <f t="shared" si="4"/>
        <v>13144.6</v>
      </c>
      <c r="AI8" s="110"/>
      <c r="AJ8" s="109">
        <f t="shared" si="5"/>
        <v>13144.6</v>
      </c>
      <c r="AK8" s="111"/>
      <c r="AL8" s="109">
        <f t="shared" si="6"/>
        <v>14037.88</v>
      </c>
      <c r="AM8" s="111"/>
      <c r="AN8" s="111"/>
      <c r="AO8" s="111"/>
      <c r="AP8" s="111"/>
      <c r="AQ8" s="111"/>
      <c r="AR8" s="117" t="str">
        <f t="shared" si="7"/>
        <v>正确</v>
      </c>
      <c r="AS8" s="117" t="str">
        <f t="shared" si="8"/>
        <v>不</v>
      </c>
      <c r="AT8" s="117" t="str">
        <f t="shared" si="9"/>
        <v>重复</v>
      </c>
    </row>
    <row r="9" s="12" customFormat="1" ht="18" customHeight="1" spans="1:46">
      <c r="A9" s="36">
        <v>6</v>
      </c>
      <c r="B9" s="37" t="s">
        <v>187</v>
      </c>
      <c r="C9" s="37" t="s">
        <v>195</v>
      </c>
      <c r="D9" s="37" t="s">
        <v>188</v>
      </c>
      <c r="E9" s="37" t="s">
        <v>196</v>
      </c>
      <c r="F9" s="38" t="s">
        <v>189</v>
      </c>
      <c r="G9" s="45">
        <v>18738169923</v>
      </c>
      <c r="H9" s="40"/>
      <c r="I9" s="40"/>
      <c r="J9" s="74"/>
      <c r="K9" s="40"/>
      <c r="L9" s="78">
        <v>12120</v>
      </c>
      <c r="M9" s="76">
        <v>254.32</v>
      </c>
      <c r="N9" s="76">
        <v>63.94</v>
      </c>
      <c r="O9" s="76">
        <v>9.54</v>
      </c>
      <c r="P9" s="76">
        <v>254.32</v>
      </c>
      <c r="Q9" s="96">
        <f t="shared" si="0"/>
        <v>582.12</v>
      </c>
      <c r="R9" s="78">
        <v>0</v>
      </c>
      <c r="S9" s="97">
        <f>L9+IFERROR(VLOOKUP($E:$E,'（居民）工资表-5月'!$E:$S,15,0),0)</f>
        <v>60780</v>
      </c>
      <c r="T9" s="98">
        <f>5000+IFERROR(VLOOKUP($E:$E,'（居民）工资表-5月'!$E:$T,16,0),0)</f>
        <v>25000</v>
      </c>
      <c r="U9" s="98">
        <f>Q9+IFERROR(VLOOKUP($E:$E,'（居民）工资表-5月'!$E:$U,17,0),0)</f>
        <v>3492.72</v>
      </c>
      <c r="V9" s="78"/>
      <c r="W9" s="78"/>
      <c r="X9" s="78"/>
      <c r="Y9" s="78"/>
      <c r="Z9" s="78"/>
      <c r="AA9" s="78"/>
      <c r="AB9" s="97">
        <f t="shared" si="1"/>
        <v>0</v>
      </c>
      <c r="AC9" s="97">
        <f>R9+IFERROR(VLOOKUP($E:$E,'（居民）工资表-5月'!$E:$AC,25,0),0)</f>
        <v>0</v>
      </c>
      <c r="AD9" s="100">
        <f t="shared" si="2"/>
        <v>32287.28</v>
      </c>
      <c r="AE9" s="101">
        <f>ROUND(MAX((AD9)*{0.03;0.1;0.2;0.25;0.3;0.35;0.45}-{0;2520;16920;31920;52920;85920;181920},0),2)</f>
        <v>968.62</v>
      </c>
      <c r="AF9" s="102">
        <f>IFERROR(VLOOKUP(E:E,'（居民）工资表-5月'!E:AF,28,0)+VLOOKUP(E:E,'（居民）工资表-5月'!E:AG,29,0),0)</f>
        <v>772.48</v>
      </c>
      <c r="AG9" s="102">
        <f t="shared" si="3"/>
        <v>196.14</v>
      </c>
      <c r="AH9" s="109">
        <f t="shared" si="4"/>
        <v>11341.74</v>
      </c>
      <c r="AI9" s="110"/>
      <c r="AJ9" s="109">
        <f t="shared" si="5"/>
        <v>11341.74</v>
      </c>
      <c r="AK9" s="111"/>
      <c r="AL9" s="109">
        <f t="shared" si="6"/>
        <v>11537.88</v>
      </c>
      <c r="AM9" s="111"/>
      <c r="AN9" s="111"/>
      <c r="AO9" s="111"/>
      <c r="AP9" s="111"/>
      <c r="AQ9" s="111"/>
      <c r="AR9" s="117" t="str">
        <f t="shared" si="7"/>
        <v>正确</v>
      </c>
      <c r="AS9" s="117" t="str">
        <f t="shared" si="8"/>
        <v>不</v>
      </c>
      <c r="AT9" s="117" t="str">
        <f t="shared" si="9"/>
        <v>重复</v>
      </c>
    </row>
    <row r="10" s="12" customFormat="1" ht="18" customHeight="1" spans="1:46">
      <c r="A10" s="36">
        <v>7</v>
      </c>
      <c r="B10" s="37" t="s">
        <v>187</v>
      </c>
      <c r="C10" s="37" t="s">
        <v>197</v>
      </c>
      <c r="D10" s="37" t="s">
        <v>188</v>
      </c>
      <c r="E10" s="37" t="s">
        <v>198</v>
      </c>
      <c r="F10" s="38" t="s">
        <v>189</v>
      </c>
      <c r="G10" s="45" t="s">
        <v>199</v>
      </c>
      <c r="H10" s="40"/>
      <c r="I10" s="40"/>
      <c r="J10" s="74"/>
      <c r="K10" s="40"/>
      <c r="L10" s="78">
        <v>17120</v>
      </c>
      <c r="M10" s="76">
        <v>254.32</v>
      </c>
      <c r="N10" s="76">
        <v>63.94</v>
      </c>
      <c r="O10" s="76">
        <v>9.54</v>
      </c>
      <c r="P10" s="76">
        <v>254.32</v>
      </c>
      <c r="Q10" s="96">
        <f t="shared" si="0"/>
        <v>582.12</v>
      </c>
      <c r="R10" s="78">
        <v>0</v>
      </c>
      <c r="S10" s="97">
        <f>L10+IFERROR(VLOOKUP($E:$E,'（居民）工资表-5月'!$E:$S,15,0),0)</f>
        <v>52254.74</v>
      </c>
      <c r="T10" s="98">
        <f>5000+IFERROR(VLOOKUP($E:$E,'（居民）工资表-5月'!$E:$T,16,0),0)</f>
        <v>15000</v>
      </c>
      <c r="U10" s="98">
        <f>Q10+IFERROR(VLOOKUP($E:$E,'（居民）工资表-5月'!$E:$U,17,0),0)</f>
        <v>2328.48</v>
      </c>
      <c r="V10" s="78"/>
      <c r="W10" s="78"/>
      <c r="X10" s="78"/>
      <c r="Y10" s="78"/>
      <c r="Z10" s="78"/>
      <c r="AA10" s="78"/>
      <c r="AB10" s="97">
        <f t="shared" si="1"/>
        <v>0</v>
      </c>
      <c r="AC10" s="97">
        <f>R10+IFERROR(VLOOKUP($E:$E,'（居民）工资表-5月'!$E:$AC,25,0),0)</f>
        <v>0</v>
      </c>
      <c r="AD10" s="100">
        <f t="shared" si="2"/>
        <v>34926.26</v>
      </c>
      <c r="AE10" s="101">
        <f>ROUND(MAX((AD10)*{0.03;0.1;0.2;0.25;0.3;0.35;0.45}-{0;2520;16920;31920;52920;85920;181920},0),2)</f>
        <v>1047.79</v>
      </c>
      <c r="AF10" s="102">
        <f>IFERROR(VLOOKUP(E:E,'（居民）工资表-5月'!E:AF,28,0)+VLOOKUP(E:E,'（居民）工资表-5月'!E:AG,29,0),0)</f>
        <v>701.65</v>
      </c>
      <c r="AG10" s="102">
        <f t="shared" si="3"/>
        <v>346.14</v>
      </c>
      <c r="AH10" s="109">
        <f t="shared" si="4"/>
        <v>16191.74</v>
      </c>
      <c r="AI10" s="110"/>
      <c r="AJ10" s="109">
        <f t="shared" si="5"/>
        <v>16191.74</v>
      </c>
      <c r="AK10" s="111"/>
      <c r="AL10" s="109">
        <f t="shared" si="6"/>
        <v>16537.88</v>
      </c>
      <c r="AM10" s="111"/>
      <c r="AN10" s="111"/>
      <c r="AO10" s="111"/>
      <c r="AP10" s="111"/>
      <c r="AQ10" s="111"/>
      <c r="AR10" s="117" t="str">
        <f t="shared" si="7"/>
        <v>正确</v>
      </c>
      <c r="AS10" s="117" t="str">
        <f t="shared" si="8"/>
        <v>不</v>
      </c>
      <c r="AT10" s="117" t="str">
        <f t="shared" si="9"/>
        <v>重复</v>
      </c>
    </row>
    <row r="11" s="12" customFormat="1" ht="18" customHeight="1" spans="1:46">
      <c r="A11" s="36">
        <v>8</v>
      </c>
      <c r="B11" s="37" t="s">
        <v>187</v>
      </c>
      <c r="C11" s="37" t="s">
        <v>200</v>
      </c>
      <c r="D11" s="37" t="s">
        <v>188</v>
      </c>
      <c r="E11" s="37" t="s">
        <v>201</v>
      </c>
      <c r="F11" s="38" t="s">
        <v>189</v>
      </c>
      <c r="G11" s="45" t="s">
        <v>202</v>
      </c>
      <c r="H11" s="40"/>
      <c r="I11" s="40"/>
      <c r="J11" s="74"/>
      <c r="K11" s="40"/>
      <c r="L11" s="78">
        <v>18420</v>
      </c>
      <c r="M11" s="76">
        <v>254.32</v>
      </c>
      <c r="N11" s="76">
        <v>63.94</v>
      </c>
      <c r="O11" s="76">
        <v>9.54</v>
      </c>
      <c r="P11" s="76">
        <v>254.32</v>
      </c>
      <c r="Q11" s="96">
        <f t="shared" si="0"/>
        <v>582.12</v>
      </c>
      <c r="R11" s="78">
        <v>0</v>
      </c>
      <c r="S11" s="97">
        <f>L11+IFERROR(VLOOKUP($E:$E,'（居民）工资表-5月'!$E:$S,15,0),0)</f>
        <v>51957.39</v>
      </c>
      <c r="T11" s="98">
        <f>5000+IFERROR(VLOOKUP($E:$E,'（居民）工资表-5月'!$E:$T,16,0),0)</f>
        <v>15000</v>
      </c>
      <c r="U11" s="98">
        <f>Q11+IFERROR(VLOOKUP($E:$E,'（居民）工资表-5月'!$E:$U,17,0),0)</f>
        <v>2328.48</v>
      </c>
      <c r="V11" s="78"/>
      <c r="W11" s="78">
        <v>3000</v>
      </c>
      <c r="X11" s="78"/>
      <c r="Y11" s="78">
        <v>4500</v>
      </c>
      <c r="Z11" s="78">
        <v>1200</v>
      </c>
      <c r="AA11" s="78"/>
      <c r="AB11" s="97">
        <f t="shared" si="1"/>
        <v>8700</v>
      </c>
      <c r="AC11" s="97">
        <f>R11+IFERROR(VLOOKUP($E:$E,'（居民）工资表-5月'!$E:$AC,25,0),0)</f>
        <v>0</v>
      </c>
      <c r="AD11" s="100">
        <f t="shared" si="2"/>
        <v>25928.91</v>
      </c>
      <c r="AE11" s="101">
        <f>ROUND(MAX((AD11)*{0.03;0.1;0.2;0.25;0.3;0.35;0.45}-{0;2520;16920;31920;52920;85920;181920},0),2)</f>
        <v>777.87</v>
      </c>
      <c r="AF11" s="102">
        <f>IFERROR(VLOOKUP(E:E,'（居民）工资表-5月'!E:AF,28,0)+VLOOKUP(E:E,'（居民）工资表-5月'!E:AG,29,0),0)</f>
        <v>653.73</v>
      </c>
      <c r="AG11" s="102">
        <f t="shared" si="3"/>
        <v>124.14</v>
      </c>
      <c r="AH11" s="109">
        <f t="shared" si="4"/>
        <v>17713.74</v>
      </c>
      <c r="AI11" s="110"/>
      <c r="AJ11" s="109">
        <f t="shared" si="5"/>
        <v>17713.74</v>
      </c>
      <c r="AK11" s="111"/>
      <c r="AL11" s="109">
        <f t="shared" si="6"/>
        <v>17837.88</v>
      </c>
      <c r="AM11" s="111"/>
      <c r="AN11" s="111"/>
      <c r="AO11" s="111"/>
      <c r="AP11" s="111"/>
      <c r="AQ11" s="111"/>
      <c r="AR11" s="117" t="str">
        <f t="shared" si="7"/>
        <v>正确</v>
      </c>
      <c r="AS11" s="117" t="str">
        <f t="shared" si="8"/>
        <v>不</v>
      </c>
      <c r="AT11" s="117" t="str">
        <f t="shared" si="9"/>
        <v>重复</v>
      </c>
    </row>
    <row r="12" s="12" customFormat="1" ht="18" customHeight="1" spans="1:46">
      <c r="A12" s="36">
        <v>9</v>
      </c>
      <c r="B12" s="37" t="s">
        <v>187</v>
      </c>
      <c r="C12" s="37" t="s">
        <v>203</v>
      </c>
      <c r="D12" s="37" t="s">
        <v>188</v>
      </c>
      <c r="E12" s="37" t="s">
        <v>204</v>
      </c>
      <c r="F12" s="38" t="s">
        <v>189</v>
      </c>
      <c r="G12" s="45" t="s">
        <v>205</v>
      </c>
      <c r="H12" s="40"/>
      <c r="I12" s="40"/>
      <c r="J12" s="74"/>
      <c r="K12" s="40"/>
      <c r="L12" s="78">
        <v>13620</v>
      </c>
      <c r="M12" s="76">
        <v>254.32</v>
      </c>
      <c r="N12" s="76">
        <v>63.94</v>
      </c>
      <c r="O12" s="76">
        <v>9.54</v>
      </c>
      <c r="P12" s="76">
        <v>254.32</v>
      </c>
      <c r="Q12" s="96">
        <f t="shared" si="0"/>
        <v>582.12</v>
      </c>
      <c r="R12" s="78">
        <v>0</v>
      </c>
      <c r="S12" s="97">
        <f>L12+IFERROR(VLOOKUP($E:$E,'（居民）工资表-5月'!$E:$S,15,0),0)</f>
        <v>38392.17</v>
      </c>
      <c r="T12" s="98">
        <f>5000+IFERROR(VLOOKUP($E:$E,'（居民）工资表-5月'!$E:$T,16,0),0)</f>
        <v>15000</v>
      </c>
      <c r="U12" s="98">
        <f>Q12+IFERROR(VLOOKUP($E:$E,'（居民）工资表-5月'!$E:$U,17,0),0)</f>
        <v>2328.48</v>
      </c>
      <c r="V12" s="78"/>
      <c r="W12" s="78"/>
      <c r="X12" s="78"/>
      <c r="Y12" s="78"/>
      <c r="Z12" s="78"/>
      <c r="AA12" s="78"/>
      <c r="AB12" s="97">
        <f t="shared" si="1"/>
        <v>0</v>
      </c>
      <c r="AC12" s="97">
        <f>R12+IFERROR(VLOOKUP($E:$E,'（居民）工资表-5月'!$E:$AC,25,0),0)</f>
        <v>0</v>
      </c>
      <c r="AD12" s="100">
        <f t="shared" si="2"/>
        <v>21063.69</v>
      </c>
      <c r="AE12" s="101">
        <f>ROUND(MAX((AD12)*{0.03;0.1;0.2;0.25;0.3;0.35;0.45}-{0;2520;16920;31920;52920;85920;181920},0),2)</f>
        <v>631.91</v>
      </c>
      <c r="AF12" s="102">
        <f>IFERROR(VLOOKUP(E:E,'（居民）工资表-5月'!E:AF,28,0)+VLOOKUP(E:E,'（居民）工资表-5月'!E:AG,29,0),0)</f>
        <v>390.77</v>
      </c>
      <c r="AG12" s="102">
        <f t="shared" si="3"/>
        <v>241.14</v>
      </c>
      <c r="AH12" s="109">
        <f t="shared" si="4"/>
        <v>12796.74</v>
      </c>
      <c r="AI12" s="110"/>
      <c r="AJ12" s="109">
        <f t="shared" si="5"/>
        <v>12796.74</v>
      </c>
      <c r="AK12" s="111"/>
      <c r="AL12" s="109">
        <f t="shared" si="6"/>
        <v>13037.88</v>
      </c>
      <c r="AM12" s="111"/>
      <c r="AN12" s="111"/>
      <c r="AO12" s="111"/>
      <c r="AP12" s="111"/>
      <c r="AQ12" s="111"/>
      <c r="AR12" s="117" t="str">
        <f t="shared" si="7"/>
        <v>正确</v>
      </c>
      <c r="AS12" s="117" t="str">
        <f t="shared" si="8"/>
        <v>不</v>
      </c>
      <c r="AT12" s="117" t="str">
        <f t="shared" si="9"/>
        <v>重复</v>
      </c>
    </row>
    <row r="13" s="12" customFormat="1" ht="18" customHeight="1" spans="1:46">
      <c r="A13" s="36">
        <v>10</v>
      </c>
      <c r="B13" s="37" t="s">
        <v>187</v>
      </c>
      <c r="C13" s="37" t="s">
        <v>206</v>
      </c>
      <c r="D13" s="37" t="s">
        <v>188</v>
      </c>
      <c r="E13" s="37" t="s">
        <v>207</v>
      </c>
      <c r="F13" s="38" t="s">
        <v>189</v>
      </c>
      <c r="G13" s="45">
        <v>15001138812</v>
      </c>
      <c r="H13" s="40"/>
      <c r="I13" s="40"/>
      <c r="J13" s="74"/>
      <c r="K13" s="40"/>
      <c r="L13" s="78">
        <v>10120</v>
      </c>
      <c r="M13" s="76">
        <v>254.32</v>
      </c>
      <c r="N13" s="76">
        <v>63.94</v>
      </c>
      <c r="O13" s="76">
        <v>9.54</v>
      </c>
      <c r="P13" s="76">
        <v>254.32</v>
      </c>
      <c r="Q13" s="96">
        <f t="shared" si="0"/>
        <v>582.12</v>
      </c>
      <c r="R13" s="78">
        <v>0</v>
      </c>
      <c r="S13" s="97">
        <f>L13+IFERROR(VLOOKUP($E:$E,'（居民）工资表-5月'!$E:$S,15,0),0)</f>
        <v>50780</v>
      </c>
      <c r="T13" s="98">
        <f>5000+IFERROR(VLOOKUP($E:$E,'（居民）工资表-5月'!$E:$T,16,0),0)</f>
        <v>25000</v>
      </c>
      <c r="U13" s="98">
        <f>Q13+IFERROR(VLOOKUP($E:$E,'（居民）工资表-5月'!$E:$U,17,0),0)</f>
        <v>3492.72</v>
      </c>
      <c r="V13" s="78"/>
      <c r="W13" s="78"/>
      <c r="X13" s="78"/>
      <c r="Y13" s="78"/>
      <c r="Z13" s="78"/>
      <c r="AA13" s="78"/>
      <c r="AB13" s="97">
        <f t="shared" si="1"/>
        <v>0</v>
      </c>
      <c r="AC13" s="97">
        <f>R13+IFERROR(VLOOKUP($E:$E,'（居民）工资表-5月'!$E:$AC,25,0),0)</f>
        <v>0</v>
      </c>
      <c r="AD13" s="100">
        <f t="shared" si="2"/>
        <v>22287.28</v>
      </c>
      <c r="AE13" s="101">
        <f>ROUND(MAX((AD13)*{0.03;0.1;0.2;0.25;0.3;0.35;0.45}-{0;2520;16920;31920;52920;85920;181920},0),2)</f>
        <v>668.62</v>
      </c>
      <c r="AF13" s="102">
        <f>IFERROR(VLOOKUP(E:E,'（居民）工资表-5月'!E:AF,28,0)+VLOOKUP(E:E,'（居民）工资表-5月'!E:AG,29,0),0)</f>
        <v>532.48</v>
      </c>
      <c r="AG13" s="102">
        <f t="shared" si="3"/>
        <v>136.14</v>
      </c>
      <c r="AH13" s="109">
        <f t="shared" si="4"/>
        <v>9401.74</v>
      </c>
      <c r="AI13" s="110"/>
      <c r="AJ13" s="109">
        <f t="shared" si="5"/>
        <v>9401.74</v>
      </c>
      <c r="AK13" s="111"/>
      <c r="AL13" s="109">
        <f t="shared" si="6"/>
        <v>9537.88</v>
      </c>
      <c r="AM13" s="111"/>
      <c r="AN13" s="111"/>
      <c r="AO13" s="111"/>
      <c r="AP13" s="111"/>
      <c r="AQ13" s="111"/>
      <c r="AR13" s="117" t="str">
        <f t="shared" si="7"/>
        <v>正确</v>
      </c>
      <c r="AS13" s="117" t="str">
        <f t="shared" si="8"/>
        <v>不</v>
      </c>
      <c r="AT13" s="117" t="str">
        <f t="shared" si="9"/>
        <v>重复</v>
      </c>
    </row>
    <row r="14" s="12" customFormat="1" ht="18" customHeight="1" spans="1:46">
      <c r="A14" s="36">
        <v>11</v>
      </c>
      <c r="B14" s="37" t="s">
        <v>187</v>
      </c>
      <c r="C14" s="37" t="s">
        <v>208</v>
      </c>
      <c r="D14" s="37" t="s">
        <v>188</v>
      </c>
      <c r="E14" s="37" t="s">
        <v>209</v>
      </c>
      <c r="F14" s="38" t="s">
        <v>189</v>
      </c>
      <c r="G14" s="45">
        <v>15333903368</v>
      </c>
      <c r="H14" s="40"/>
      <c r="I14" s="40"/>
      <c r="J14" s="74"/>
      <c r="K14" s="40"/>
      <c r="L14" s="78">
        <v>15120</v>
      </c>
      <c r="M14" s="76">
        <v>254.32</v>
      </c>
      <c r="N14" s="76">
        <v>63.94</v>
      </c>
      <c r="O14" s="76">
        <v>9.54</v>
      </c>
      <c r="P14" s="76">
        <v>254.32</v>
      </c>
      <c r="Q14" s="96">
        <f t="shared" si="0"/>
        <v>582.12</v>
      </c>
      <c r="R14" s="78">
        <v>0</v>
      </c>
      <c r="S14" s="97">
        <f>L14+IFERROR(VLOOKUP($E:$E,'（居民）工资表-5月'!$E:$S,15,0),0)</f>
        <v>36109.57</v>
      </c>
      <c r="T14" s="98">
        <f>5000+IFERROR(VLOOKUP($E:$E,'（居民）工资表-5月'!$E:$T,16,0),0)</f>
        <v>15000</v>
      </c>
      <c r="U14" s="98">
        <f>Q14+IFERROR(VLOOKUP($E:$E,'（居民）工资表-5月'!$E:$U,17,0),0)</f>
        <v>1746.36</v>
      </c>
      <c r="V14" s="78"/>
      <c r="W14" s="78"/>
      <c r="X14" s="78"/>
      <c r="Y14" s="78"/>
      <c r="Z14" s="78"/>
      <c r="AA14" s="78"/>
      <c r="AB14" s="97">
        <f t="shared" si="1"/>
        <v>0</v>
      </c>
      <c r="AC14" s="97">
        <f>R14+IFERROR(VLOOKUP($E:$E,'（居民）工资表-5月'!$E:$AC,25,0),0)</f>
        <v>0</v>
      </c>
      <c r="AD14" s="100">
        <f t="shared" si="2"/>
        <v>19363.21</v>
      </c>
      <c r="AE14" s="101">
        <f>ROUND(MAX((AD14)*{0.03;0.1;0.2;0.25;0.3;0.35;0.45}-{0;2520;16920;31920;52920;85920;181920},0),2)</f>
        <v>580.9</v>
      </c>
      <c r="AF14" s="102">
        <f>IFERROR(VLOOKUP(E:E,'（居民）工资表-5月'!E:AF,28,0)+VLOOKUP(E:E,'（居民）工资表-5月'!E:AG,29,0),0)</f>
        <v>294.76</v>
      </c>
      <c r="AG14" s="102">
        <f t="shared" si="3"/>
        <v>286.14</v>
      </c>
      <c r="AH14" s="109">
        <f t="shared" si="4"/>
        <v>14251.74</v>
      </c>
      <c r="AI14" s="110"/>
      <c r="AJ14" s="109">
        <f t="shared" si="5"/>
        <v>14251.74</v>
      </c>
      <c r="AK14" s="111"/>
      <c r="AL14" s="109">
        <f t="shared" si="6"/>
        <v>14537.88</v>
      </c>
      <c r="AM14" s="111"/>
      <c r="AN14" s="111"/>
      <c r="AO14" s="111"/>
      <c r="AP14" s="111"/>
      <c r="AQ14" s="111"/>
      <c r="AR14" s="117" t="str">
        <f t="shared" si="7"/>
        <v>正确</v>
      </c>
      <c r="AS14" s="117" t="str">
        <f t="shared" si="8"/>
        <v>不</v>
      </c>
      <c r="AT14" s="117" t="str">
        <f t="shared" si="9"/>
        <v>重复</v>
      </c>
    </row>
    <row r="15" s="12" customFormat="1" ht="18" customHeight="1" spans="1:46">
      <c r="A15" s="36">
        <v>12</v>
      </c>
      <c r="B15" s="37" t="s">
        <v>187</v>
      </c>
      <c r="C15" s="37" t="s">
        <v>210</v>
      </c>
      <c r="D15" s="37" t="s">
        <v>188</v>
      </c>
      <c r="E15" s="37" t="s">
        <v>211</v>
      </c>
      <c r="F15" s="38" t="s">
        <v>189</v>
      </c>
      <c r="G15" s="45">
        <v>18009593554</v>
      </c>
      <c r="H15" s="40"/>
      <c r="I15" s="40"/>
      <c r="J15" s="74"/>
      <c r="K15" s="40"/>
      <c r="L15" s="78">
        <v>11820</v>
      </c>
      <c r="M15" s="76">
        <v>280.96</v>
      </c>
      <c r="N15" s="76">
        <v>83.24</v>
      </c>
      <c r="O15" s="76">
        <v>17.56</v>
      </c>
      <c r="P15" s="76">
        <v>195</v>
      </c>
      <c r="Q15" s="96">
        <f t="shared" si="0"/>
        <v>576.76</v>
      </c>
      <c r="R15" s="78">
        <v>0</v>
      </c>
      <c r="S15" s="97">
        <f>L15+IFERROR(VLOOKUP($E:$E,'（居民）工资表-5月'!$E:$S,15,0),0)</f>
        <v>18733.64</v>
      </c>
      <c r="T15" s="98">
        <f>5000+IFERROR(VLOOKUP($E:$E,'（居民）工资表-5月'!$E:$T,16,0),0)</f>
        <v>10000</v>
      </c>
      <c r="U15" s="98">
        <f>Q15+IFERROR(VLOOKUP($E:$E,'（居民）工资表-5月'!$E:$U,17,0),0)</f>
        <v>1730.28</v>
      </c>
      <c r="V15" s="78"/>
      <c r="W15" s="78"/>
      <c r="X15" s="78"/>
      <c r="Y15" s="78"/>
      <c r="Z15" s="78"/>
      <c r="AA15" s="78"/>
      <c r="AB15" s="97">
        <f t="shared" si="1"/>
        <v>0</v>
      </c>
      <c r="AC15" s="97">
        <f>R15+IFERROR(VLOOKUP($E:$E,'（居民）工资表-5月'!$E:$AC,25,0),0)</f>
        <v>0</v>
      </c>
      <c r="AD15" s="100">
        <f t="shared" si="2"/>
        <v>7003.36</v>
      </c>
      <c r="AE15" s="101">
        <f>ROUND(MAX((AD15)*{0.03;0.1;0.2;0.25;0.3;0.35;0.45}-{0;2520;16920;31920;52920;85920;181920},0),2)</f>
        <v>210.1</v>
      </c>
      <c r="AF15" s="102">
        <f>IFERROR(VLOOKUP(E:E,'（居民）工资表-5月'!E:AF,28,0)+VLOOKUP(E:E,'（居民）工资表-5月'!E:AG,29,0),0)</f>
        <v>22.8</v>
      </c>
      <c r="AG15" s="102">
        <f t="shared" si="3"/>
        <v>187.3</v>
      </c>
      <c r="AH15" s="109">
        <f t="shared" si="4"/>
        <v>11055.94</v>
      </c>
      <c r="AI15" s="110"/>
      <c r="AJ15" s="109">
        <f t="shared" si="5"/>
        <v>11055.94</v>
      </c>
      <c r="AK15" s="111"/>
      <c r="AL15" s="109">
        <f t="shared" si="6"/>
        <v>11243.24</v>
      </c>
      <c r="AM15" s="111"/>
      <c r="AN15" s="111"/>
      <c r="AO15" s="111"/>
      <c r="AP15" s="111"/>
      <c r="AQ15" s="111"/>
      <c r="AR15" s="117" t="str">
        <f t="shared" si="7"/>
        <v>正确</v>
      </c>
      <c r="AS15" s="117" t="str">
        <f t="shared" si="8"/>
        <v>不</v>
      </c>
      <c r="AT15" s="117" t="str">
        <f t="shared" si="9"/>
        <v>重复</v>
      </c>
    </row>
    <row r="16" s="12" customFormat="1" ht="18" customHeight="1" spans="1:46">
      <c r="A16" s="36">
        <v>13</v>
      </c>
      <c r="B16" s="37" t="s">
        <v>187</v>
      </c>
      <c r="C16" s="37" t="s">
        <v>212</v>
      </c>
      <c r="D16" s="37" t="s">
        <v>188</v>
      </c>
      <c r="E16" s="37" t="s">
        <v>213</v>
      </c>
      <c r="F16" s="38" t="s">
        <v>189</v>
      </c>
      <c r="G16" s="45">
        <v>17795512929</v>
      </c>
      <c r="H16" s="40"/>
      <c r="I16" s="40"/>
      <c r="J16" s="74"/>
      <c r="K16" s="40"/>
      <c r="L16" s="78">
        <v>11120</v>
      </c>
      <c r="M16" s="76">
        <v>280.96</v>
      </c>
      <c r="N16" s="76">
        <v>83.24</v>
      </c>
      <c r="O16" s="76">
        <v>17.56</v>
      </c>
      <c r="P16" s="76">
        <v>195</v>
      </c>
      <c r="Q16" s="96">
        <f t="shared" si="0"/>
        <v>576.76</v>
      </c>
      <c r="R16" s="78">
        <v>0</v>
      </c>
      <c r="S16" s="97">
        <f>L16+IFERROR(VLOOKUP($E:$E,'（居民）工资表-5月'!$E:$S,15,0),0)</f>
        <v>17620</v>
      </c>
      <c r="T16" s="98">
        <f>5000+IFERROR(VLOOKUP($E:$E,'（居民）工资表-5月'!$E:$T,16,0),0)</f>
        <v>10000</v>
      </c>
      <c r="U16" s="98">
        <f>Q16+IFERROR(VLOOKUP($E:$E,'（居民）工资表-5月'!$E:$U,17,0),0)</f>
        <v>1730.28</v>
      </c>
      <c r="V16" s="78"/>
      <c r="W16" s="78"/>
      <c r="X16" s="78"/>
      <c r="Y16" s="78"/>
      <c r="Z16" s="78"/>
      <c r="AA16" s="78"/>
      <c r="AB16" s="97">
        <f t="shared" si="1"/>
        <v>0</v>
      </c>
      <c r="AC16" s="97">
        <f>R16+IFERROR(VLOOKUP($E:$E,'（居民）工资表-5月'!$E:$AC,25,0),0)</f>
        <v>0</v>
      </c>
      <c r="AD16" s="100">
        <f t="shared" si="2"/>
        <v>5889.72</v>
      </c>
      <c r="AE16" s="101">
        <f>ROUND(MAX((AD16)*{0.03;0.1;0.2;0.25;0.3;0.35;0.45}-{0;2520;16920;31920;52920;85920;181920},0),2)</f>
        <v>176.69</v>
      </c>
      <c r="AF16" s="102">
        <f>IFERROR(VLOOKUP(E:E,'（居民）工资表-5月'!E:AF,28,0)+VLOOKUP(E:E,'（居民）工资表-5月'!E:AG,29,0),0)</f>
        <v>10.39</v>
      </c>
      <c r="AG16" s="102">
        <f t="shared" si="3"/>
        <v>166.3</v>
      </c>
      <c r="AH16" s="109">
        <f t="shared" si="4"/>
        <v>10376.94</v>
      </c>
      <c r="AI16" s="110"/>
      <c r="AJ16" s="109">
        <f t="shared" si="5"/>
        <v>10376.94</v>
      </c>
      <c r="AK16" s="111"/>
      <c r="AL16" s="109">
        <f t="shared" si="6"/>
        <v>10543.24</v>
      </c>
      <c r="AM16" s="111"/>
      <c r="AN16" s="111"/>
      <c r="AO16" s="111"/>
      <c r="AP16" s="111"/>
      <c r="AQ16" s="111"/>
      <c r="AR16" s="117" t="str">
        <f t="shared" si="7"/>
        <v>正确</v>
      </c>
      <c r="AS16" s="117" t="str">
        <f t="shared" si="8"/>
        <v>不</v>
      </c>
      <c r="AT16" s="117" t="str">
        <f t="shared" si="9"/>
        <v>重复</v>
      </c>
    </row>
    <row r="17" s="12" customFormat="1" ht="18" customHeight="1" spans="1:46">
      <c r="A17" s="36">
        <v>14</v>
      </c>
      <c r="B17" s="37" t="s">
        <v>187</v>
      </c>
      <c r="C17" s="37" t="s">
        <v>214</v>
      </c>
      <c r="D17" s="37" t="s">
        <v>188</v>
      </c>
      <c r="E17" s="37" t="s">
        <v>215</v>
      </c>
      <c r="F17" s="38" t="s">
        <v>189</v>
      </c>
      <c r="G17" s="45">
        <v>18995128068</v>
      </c>
      <c r="H17" s="40"/>
      <c r="I17" s="40"/>
      <c r="J17" s="74"/>
      <c r="K17" s="40"/>
      <c r="L17" s="78">
        <v>11120</v>
      </c>
      <c r="M17" s="76">
        <v>280.96</v>
      </c>
      <c r="N17" s="76">
        <v>83.24</v>
      </c>
      <c r="O17" s="76">
        <v>17.56</v>
      </c>
      <c r="P17" s="76">
        <v>195</v>
      </c>
      <c r="Q17" s="96">
        <f t="shared" si="0"/>
        <v>576.76</v>
      </c>
      <c r="R17" s="78">
        <v>0</v>
      </c>
      <c r="S17" s="97">
        <f>L17+IFERROR(VLOOKUP($E:$E,'（居民）工资表-5月'!$E:$S,15,0),0)</f>
        <v>17620</v>
      </c>
      <c r="T17" s="98">
        <f>5000+IFERROR(VLOOKUP($E:$E,'（居民）工资表-5月'!$E:$T,16,0),0)</f>
        <v>10000</v>
      </c>
      <c r="U17" s="98">
        <f>Q17+IFERROR(VLOOKUP($E:$E,'（居民）工资表-5月'!$E:$U,17,0),0)</f>
        <v>1730.28</v>
      </c>
      <c r="V17" s="78"/>
      <c r="W17" s="78"/>
      <c r="X17" s="78"/>
      <c r="Y17" s="78"/>
      <c r="Z17" s="78"/>
      <c r="AA17" s="78"/>
      <c r="AB17" s="97">
        <f t="shared" si="1"/>
        <v>0</v>
      </c>
      <c r="AC17" s="97">
        <f>R17+IFERROR(VLOOKUP($E:$E,'（居民）工资表-5月'!$E:$AC,25,0),0)</f>
        <v>0</v>
      </c>
      <c r="AD17" s="100">
        <f t="shared" si="2"/>
        <v>5889.72</v>
      </c>
      <c r="AE17" s="101">
        <f>ROUND(MAX((AD17)*{0.03;0.1;0.2;0.25;0.3;0.35;0.45}-{0;2520;16920;31920;52920;85920;181920},0),2)</f>
        <v>176.69</v>
      </c>
      <c r="AF17" s="102">
        <f>IFERROR(VLOOKUP(E:E,'（居民）工资表-5月'!E:AF,28,0)+VLOOKUP(E:E,'（居民）工资表-5月'!E:AG,29,0),0)</f>
        <v>10.39</v>
      </c>
      <c r="AG17" s="102">
        <f t="shared" si="3"/>
        <v>166.3</v>
      </c>
      <c r="AH17" s="109">
        <f t="shared" si="4"/>
        <v>10376.94</v>
      </c>
      <c r="AI17" s="110"/>
      <c r="AJ17" s="109">
        <f t="shared" si="5"/>
        <v>10376.94</v>
      </c>
      <c r="AK17" s="111"/>
      <c r="AL17" s="109">
        <f t="shared" si="6"/>
        <v>10543.24</v>
      </c>
      <c r="AM17" s="111"/>
      <c r="AN17" s="111"/>
      <c r="AO17" s="111"/>
      <c r="AP17" s="111"/>
      <c r="AQ17" s="111"/>
      <c r="AR17" s="117" t="str">
        <f t="shared" si="7"/>
        <v>正确</v>
      </c>
      <c r="AS17" s="117" t="str">
        <f t="shared" si="8"/>
        <v>不</v>
      </c>
      <c r="AT17" s="117" t="str">
        <f t="shared" si="9"/>
        <v>重复</v>
      </c>
    </row>
    <row r="18" s="12" customFormat="1" ht="18" customHeight="1" spans="1:46">
      <c r="A18" s="36"/>
      <c r="B18" s="37"/>
      <c r="C18" s="37"/>
      <c r="D18" s="37"/>
      <c r="E18" s="37"/>
      <c r="F18" s="38"/>
      <c r="G18" s="45"/>
      <c r="H18" s="40"/>
      <c r="I18" s="40"/>
      <c r="J18" s="74"/>
      <c r="K18" s="40"/>
      <c r="L18" s="78"/>
      <c r="M18" s="76"/>
      <c r="N18" s="76"/>
      <c r="O18" s="76"/>
      <c r="P18" s="76"/>
      <c r="Q18" s="96"/>
      <c r="R18" s="78"/>
      <c r="S18" s="97"/>
      <c r="T18" s="98"/>
      <c r="U18" s="98"/>
      <c r="V18" s="78"/>
      <c r="W18" s="78"/>
      <c r="X18" s="78"/>
      <c r="Y18" s="78"/>
      <c r="Z18" s="78"/>
      <c r="AA18" s="78"/>
      <c r="AB18" s="97"/>
      <c r="AC18" s="97"/>
      <c r="AD18" s="100"/>
      <c r="AE18" s="101"/>
      <c r="AF18" s="102"/>
      <c r="AG18" s="102"/>
      <c r="AH18" s="109"/>
      <c r="AI18" s="110"/>
      <c r="AJ18" s="109"/>
      <c r="AK18" s="111"/>
      <c r="AL18" s="109"/>
      <c r="AM18" s="111"/>
      <c r="AN18" s="111"/>
      <c r="AO18" s="111"/>
      <c r="AP18" s="111"/>
      <c r="AQ18" s="111"/>
      <c r="AR18" s="117"/>
      <c r="AS18" s="117"/>
      <c r="AT18" s="117"/>
    </row>
    <row r="19" s="13" customFormat="1" ht="18" customHeight="1" spans="1:46">
      <c r="A19" s="46"/>
      <c r="B19" s="47" t="s">
        <v>216</v>
      </c>
      <c r="C19" s="47"/>
      <c r="D19" s="48"/>
      <c r="E19" s="49"/>
      <c r="F19" s="50"/>
      <c r="G19" s="51"/>
      <c r="H19" s="50"/>
      <c r="I19" s="79"/>
      <c r="J19" s="80"/>
      <c r="K19" s="79"/>
      <c r="L19" s="81">
        <f t="shared" ref="L19:AL19" si="10">SUM(L4:L18)</f>
        <v>172380</v>
      </c>
      <c r="M19" s="81">
        <f t="shared" si="10"/>
        <v>3777.29</v>
      </c>
      <c r="N19" s="81">
        <f t="shared" si="10"/>
        <v>1034.44</v>
      </c>
      <c r="O19" s="81">
        <f t="shared" si="10"/>
        <v>153.58</v>
      </c>
      <c r="P19" s="81">
        <f t="shared" si="10"/>
        <v>2996.56</v>
      </c>
      <c r="Q19" s="81">
        <f t="shared" si="10"/>
        <v>7961.87</v>
      </c>
      <c r="R19" s="81">
        <f t="shared" si="10"/>
        <v>0</v>
      </c>
      <c r="S19" s="81">
        <f t="shared" si="10"/>
        <v>622270.14</v>
      </c>
      <c r="T19" s="81">
        <f t="shared" si="10"/>
        <v>280000</v>
      </c>
      <c r="U19" s="81">
        <f t="shared" si="10"/>
        <v>37169.64</v>
      </c>
      <c r="V19" s="81">
        <f t="shared" si="10"/>
        <v>6000</v>
      </c>
      <c r="W19" s="81">
        <f t="shared" si="10"/>
        <v>3000</v>
      </c>
      <c r="X19" s="81">
        <f t="shared" si="10"/>
        <v>17000</v>
      </c>
      <c r="Y19" s="81">
        <f t="shared" si="10"/>
        <v>13500</v>
      </c>
      <c r="Z19" s="81">
        <f t="shared" si="10"/>
        <v>3600</v>
      </c>
      <c r="AA19" s="81">
        <f t="shared" si="10"/>
        <v>0</v>
      </c>
      <c r="AB19" s="81">
        <f t="shared" si="10"/>
        <v>43100</v>
      </c>
      <c r="AC19" s="81">
        <f t="shared" si="10"/>
        <v>0</v>
      </c>
      <c r="AD19" s="81">
        <f t="shared" si="10"/>
        <v>262000.5</v>
      </c>
      <c r="AE19" s="81">
        <f t="shared" si="10"/>
        <v>8832.8</v>
      </c>
      <c r="AF19" s="81">
        <f t="shared" si="10"/>
        <v>5739.61</v>
      </c>
      <c r="AG19" s="81">
        <f t="shared" si="10"/>
        <v>3093.19</v>
      </c>
      <c r="AH19" s="81">
        <f t="shared" si="10"/>
        <v>161324.94</v>
      </c>
      <c r="AI19" s="159">
        <f t="shared" si="10"/>
        <v>0</v>
      </c>
      <c r="AJ19" s="81">
        <f t="shared" si="10"/>
        <v>161324.94</v>
      </c>
      <c r="AK19" s="81">
        <f t="shared" si="10"/>
        <v>0</v>
      </c>
      <c r="AL19" s="81">
        <f t="shared" si="10"/>
        <v>164418.13</v>
      </c>
      <c r="AM19" s="112"/>
      <c r="AN19" s="112"/>
      <c r="AO19" s="112"/>
      <c r="AP19" s="112"/>
      <c r="AQ19" s="112"/>
      <c r="AR19" s="50"/>
      <c r="AS19" s="50"/>
      <c r="AT19" s="118"/>
    </row>
    <row r="22" spans="30:30">
      <c r="AD22" s="103"/>
    </row>
    <row r="23" ht="18.75" customHeight="1" spans="2:36">
      <c r="B23" s="52" t="s">
        <v>168</v>
      </c>
      <c r="C23" s="52" t="s">
        <v>217</v>
      </c>
      <c r="D23" s="52" t="s">
        <v>22</v>
      </c>
      <c r="E23" s="52" t="s">
        <v>23</v>
      </c>
      <c r="AD23" s="10"/>
      <c r="AJ23" s="15">
        <v>80</v>
      </c>
    </row>
    <row r="24" ht="18.75" customHeight="1" spans="2:5">
      <c r="B24" s="53">
        <f>AJ19</f>
        <v>161324.94</v>
      </c>
      <c r="C24" s="53">
        <f>AG19</f>
        <v>3093.19</v>
      </c>
      <c r="D24" s="53">
        <f>AK19</f>
        <v>0</v>
      </c>
      <c r="E24" s="53">
        <f>B24+C24+D24</f>
        <v>164418.13</v>
      </c>
    </row>
    <row r="25" spans="2:5">
      <c r="B25" s="54"/>
      <c r="C25" s="54"/>
      <c r="D25" s="54"/>
      <c r="E25" s="54"/>
    </row>
    <row r="26" s="14" customFormat="1" spans="1:35">
      <c r="A26" s="55" t="s">
        <v>218</v>
      </c>
      <c r="B26" s="56" t="s">
        <v>219</v>
      </c>
      <c r="C26" s="57"/>
      <c r="D26" s="57"/>
      <c r="E26" s="57"/>
      <c r="G26" s="58"/>
      <c r="J26" s="82"/>
      <c r="M26" s="83"/>
      <c r="AI26" s="113"/>
    </row>
    <row r="27" s="14" customFormat="1" spans="1:35">
      <c r="A27" s="59"/>
      <c r="B27" s="60" t="s">
        <v>220</v>
      </c>
      <c r="C27" s="57"/>
      <c r="D27" s="57"/>
      <c r="E27" s="57"/>
      <c r="G27" s="58"/>
      <c r="J27" s="82"/>
      <c r="M27" s="83"/>
      <c r="AI27" s="113"/>
    </row>
    <row r="28" s="14" customFormat="1" spans="1:35">
      <c r="A28" s="56"/>
      <c r="B28" s="60" t="s">
        <v>221</v>
      </c>
      <c r="C28" s="61"/>
      <c r="D28" s="61"/>
      <c r="E28" s="61"/>
      <c r="F28" s="61"/>
      <c r="G28" s="61"/>
      <c r="H28" s="61"/>
      <c r="I28" s="61"/>
      <c r="J28" s="84"/>
      <c r="K28" s="61"/>
      <c r="L28" s="61"/>
      <c r="M28" s="85"/>
      <c r="N28" s="61"/>
      <c r="O28" s="61"/>
      <c r="P28" s="61"/>
      <c r="AI28" s="113"/>
    </row>
    <row r="29" s="14" customFormat="1" customHeight="1" spans="1:35">
      <c r="A29" s="60"/>
      <c r="B29" s="60" t="s">
        <v>222</v>
      </c>
      <c r="C29" s="62"/>
      <c r="D29" s="62"/>
      <c r="E29" s="62"/>
      <c r="F29" s="62"/>
      <c r="G29" s="62"/>
      <c r="H29" s="62"/>
      <c r="I29" s="86"/>
      <c r="J29" s="87"/>
      <c r="K29" s="86"/>
      <c r="L29" s="86"/>
      <c r="M29" s="88"/>
      <c r="N29" s="86"/>
      <c r="O29" s="86"/>
      <c r="P29" s="86"/>
      <c r="AI29" s="113"/>
    </row>
    <row r="30" s="14" customFormat="1" customHeight="1" spans="1:35">
      <c r="A30" s="60"/>
      <c r="B30" s="60" t="s">
        <v>223</v>
      </c>
      <c r="C30" s="62"/>
      <c r="D30" s="62"/>
      <c r="E30" s="62"/>
      <c r="F30" s="62"/>
      <c r="G30" s="62"/>
      <c r="H30" s="62"/>
      <c r="I30" s="62"/>
      <c r="J30" s="89"/>
      <c r="K30" s="62"/>
      <c r="L30" s="86"/>
      <c r="M30" s="88"/>
      <c r="N30" s="86"/>
      <c r="O30" s="86"/>
      <c r="P30" s="86"/>
      <c r="AI30" s="113"/>
    </row>
    <row r="31" s="14" customFormat="1" customHeight="1" spans="1:35">
      <c r="A31" s="60"/>
      <c r="B31" s="60" t="s">
        <v>224</v>
      </c>
      <c r="C31" s="62"/>
      <c r="D31" s="62"/>
      <c r="E31" s="62"/>
      <c r="F31" s="62"/>
      <c r="G31" s="62"/>
      <c r="H31" s="62"/>
      <c r="I31" s="86"/>
      <c r="J31" s="87"/>
      <c r="K31" s="86"/>
      <c r="L31" s="86"/>
      <c r="M31" s="88"/>
      <c r="N31" s="86"/>
      <c r="O31" s="86"/>
      <c r="P31" s="86"/>
      <c r="AI31" s="113"/>
    </row>
    <row r="33" ht="11.25" customHeight="1" spans="2:2">
      <c r="B33" s="63" t="s">
        <v>225</v>
      </c>
    </row>
    <row r="34" spans="2:2">
      <c r="B34" s="64" t="s">
        <v>226</v>
      </c>
    </row>
    <row r="35" spans="2:2">
      <c r="B35" s="64" t="s">
        <v>227</v>
      </c>
    </row>
  </sheetData>
  <autoFilter ref="A3:AT19">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31">
    <cfRule type="duplicateValues" dxfId="3" priority="2" stopIfTrue="1"/>
  </conditionalFormatting>
  <conditionalFormatting sqref="B26:B30">
    <cfRule type="duplicateValues" dxfId="3" priority="3" stopIfTrue="1"/>
  </conditionalFormatting>
  <conditionalFormatting sqref="B34:B35">
    <cfRule type="duplicateValues" dxfId="3" priority="1" stopIfTrue="1"/>
  </conditionalFormatting>
  <conditionalFormatting sqref="C23:C25">
    <cfRule type="duplicateValues" dxfId="3" priority="4" stopIfTrue="1"/>
    <cfRule type="expression" dxfId="4" priority="5" stopIfTrue="1">
      <formula>AND(COUNTIF($B$19:$B$65455,C23)+COUNTIF($B$1:$B$3,C23)&gt;1,NOT(ISBLANK(C23)))</formula>
    </cfRule>
    <cfRule type="expression" dxfId="4" priority="6" stopIfTrue="1">
      <formula>AND(COUNTIF($B$30:$B$65406,C23)+COUNTIF($B$1:$B$29,C23)&gt;1,NOT(ISBLANK(C23)))</formula>
    </cfRule>
    <cfRule type="expression" dxfId="4" priority="7" stopIfTrue="1">
      <formula>AND(COUNTIF($B$19:$B$65444,C23)+COUNTIF($B$1:$B$3,C23)&gt;1,NOT(ISBLANK(C23)))</formula>
    </cfRule>
  </conditionalFormatting>
  <pageMargins left="0.235416666666667" right="0.235416666666667" top="0.747916666666667" bottom="0.747916666666667" header="0.313888888888889" footer="0.313888888888889"/>
  <pageSetup paperSize="9" scale="56" fitToWidth="2" orientation="landscape"/>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AT35"/>
  <sheetViews>
    <sheetView workbookViewId="0">
      <pane xSplit="6" ySplit="3" topLeftCell="R4" activePane="bottomRight" state="frozen"/>
      <selection/>
      <selection pane="topRight"/>
      <selection pane="bottomLeft"/>
      <selection pane="bottomRight" activeCell="V4" sqref="V4:Z11"/>
    </sheetView>
  </sheetViews>
  <sheetFormatPr defaultColWidth="9" defaultRowHeight="13.5"/>
  <cols>
    <col min="1" max="1" width="4.45" style="15" customWidth="1"/>
    <col min="2" max="2" width="12.6333333333333" style="15" customWidth="1"/>
    <col min="3" max="3" width="10.45" style="15" customWidth="1"/>
    <col min="4" max="4" width="8.725" style="15" customWidth="1"/>
    <col min="5" max="5" width="19.45" style="16" customWidth="1"/>
    <col min="6" max="6" width="9" style="15"/>
    <col min="7" max="7" width="11.9083333333333" style="17" customWidth="1"/>
    <col min="8" max="8" width="4.63333333333333" style="15" hidden="1" customWidth="1"/>
    <col min="9" max="9" width="5.26666666666667" style="15" hidden="1" customWidth="1"/>
    <col min="10" max="10" width="11.725" style="18" customWidth="1"/>
    <col min="11" max="11" width="5.26666666666667" style="15" customWidth="1"/>
    <col min="12" max="12" width="11.725" style="15" customWidth="1"/>
    <col min="13" max="13" width="12.45" style="15" customWidth="1" outlineLevel="1"/>
    <col min="14" max="15" width="9" style="15" customWidth="1" outlineLevel="1"/>
    <col min="16" max="16" width="11.0916666666667" style="15" customWidth="1" outlineLevel="1"/>
    <col min="17" max="17" width="9.725" style="15" customWidth="1"/>
    <col min="18" max="18" width="9.45" style="15" customWidth="1"/>
    <col min="19" max="19" width="13.3666666666667" style="15" customWidth="1"/>
    <col min="20" max="21" width="12.2666666666667" style="15" customWidth="1"/>
    <col min="22" max="27" width="9" style="15" customWidth="1" outlineLevel="1"/>
    <col min="28" max="28" width="11.2666666666667" style="15" customWidth="1"/>
    <col min="29" max="29" width="8.45" style="15" customWidth="1"/>
    <col min="30" max="30" width="15.2666666666667" style="15" customWidth="1"/>
    <col min="31" max="31" width="14" style="15" customWidth="1"/>
    <col min="32" max="32" width="10.725" style="15" customWidth="1"/>
    <col min="33" max="33" width="12.2666666666667" style="15" customWidth="1"/>
    <col min="34" max="34" width="11.45" style="15" customWidth="1"/>
    <col min="35" max="35" width="7.90833333333333" style="19" customWidth="1"/>
    <col min="36" max="36" width="11.45" style="15" customWidth="1"/>
    <col min="37" max="37" width="9" style="15"/>
    <col min="38" max="38" width="11.45" style="15" customWidth="1"/>
    <col min="39" max="40" width="9" style="15" customWidth="1"/>
    <col min="41" max="41" width="19" style="15" customWidth="1"/>
    <col min="42" max="42" width="12.2666666666667" style="15" customWidth="1"/>
    <col min="43" max="43" width="9" style="15"/>
    <col min="44" max="44" width="7" style="15" customWidth="1"/>
    <col min="45" max="45" width="6.725" style="15" customWidth="1"/>
    <col min="46" max="46" width="6.09166666666667" style="15" customWidth="1"/>
    <col min="47" max="16384" width="9" style="15"/>
  </cols>
  <sheetData>
    <row r="1" s="10" customFormat="1" ht="29.25" customHeight="1" spans="1:45">
      <c r="A1" s="20" t="s">
        <v>140</v>
      </c>
      <c r="B1" s="21"/>
      <c r="C1" s="22"/>
      <c r="D1" s="23"/>
      <c r="E1" s="24"/>
      <c r="F1" s="24"/>
      <c r="G1" s="25"/>
      <c r="J1" s="65"/>
      <c r="L1" s="66"/>
      <c r="M1" s="67" t="s">
        <v>141</v>
      </c>
      <c r="N1" s="67"/>
      <c r="O1" s="67"/>
      <c r="P1" s="67"/>
      <c r="Q1" s="90"/>
      <c r="R1" s="90"/>
      <c r="S1" s="90"/>
      <c r="T1" s="90"/>
      <c r="U1" s="90"/>
      <c r="V1" s="90"/>
      <c r="W1" s="90"/>
      <c r="X1" s="90"/>
      <c r="Y1" s="90"/>
      <c r="Z1" s="90"/>
      <c r="AA1" s="90"/>
      <c r="AB1" s="90"/>
      <c r="AC1" s="90"/>
      <c r="AD1" s="66"/>
      <c r="AE1" s="66"/>
      <c r="AF1" s="66"/>
      <c r="AG1" s="66"/>
      <c r="AH1" s="66"/>
      <c r="AI1" s="104"/>
      <c r="AJ1" s="66"/>
      <c r="AK1" s="66"/>
      <c r="AL1" s="66"/>
      <c r="AM1" s="24"/>
      <c r="AN1" s="24"/>
      <c r="AO1" s="114"/>
      <c r="AP1" s="24"/>
      <c r="AQ1" s="24"/>
      <c r="AR1" s="24"/>
      <c r="AS1" s="24"/>
    </row>
    <row r="2" s="11" customFormat="1" ht="20.15" customHeight="1" spans="1:46">
      <c r="A2" s="26" t="s">
        <v>0</v>
      </c>
      <c r="B2" s="27" t="s">
        <v>142</v>
      </c>
      <c r="C2" s="28" t="s">
        <v>143</v>
      </c>
      <c r="D2" s="28" t="s">
        <v>144</v>
      </c>
      <c r="E2" s="29" t="s">
        <v>145</v>
      </c>
      <c r="F2" s="30" t="s">
        <v>146</v>
      </c>
      <c r="G2" s="29" t="s">
        <v>147</v>
      </c>
      <c r="H2" s="29" t="s">
        <v>148</v>
      </c>
      <c r="I2" s="29" t="s">
        <v>149</v>
      </c>
      <c r="J2" s="68" t="s">
        <v>150</v>
      </c>
      <c r="K2" s="29" t="s">
        <v>151</v>
      </c>
      <c r="L2" s="29" t="s">
        <v>152</v>
      </c>
      <c r="M2" s="69" t="s">
        <v>153</v>
      </c>
      <c r="N2" s="70"/>
      <c r="O2" s="70"/>
      <c r="P2" s="71"/>
      <c r="Q2" s="30" t="s">
        <v>154</v>
      </c>
      <c r="R2" s="29" t="s">
        <v>155</v>
      </c>
      <c r="S2" s="30" t="s">
        <v>156</v>
      </c>
      <c r="T2" s="91" t="s">
        <v>157</v>
      </c>
      <c r="U2" s="30" t="s">
        <v>158</v>
      </c>
      <c r="V2" s="92" t="s">
        <v>159</v>
      </c>
      <c r="W2" s="93"/>
      <c r="X2" s="93"/>
      <c r="Y2" s="93"/>
      <c r="Z2" s="93"/>
      <c r="AA2" s="99"/>
      <c r="AB2" s="30" t="s">
        <v>160</v>
      </c>
      <c r="AC2" s="30" t="s">
        <v>161</v>
      </c>
      <c r="AD2" s="91" t="s">
        <v>162</v>
      </c>
      <c r="AE2" s="91" t="s">
        <v>163</v>
      </c>
      <c r="AF2" s="91" t="s">
        <v>164</v>
      </c>
      <c r="AG2" s="91" t="s">
        <v>165</v>
      </c>
      <c r="AH2" s="105" t="s">
        <v>166</v>
      </c>
      <c r="AI2" s="106" t="s">
        <v>167</v>
      </c>
      <c r="AJ2" s="105" t="s">
        <v>168</v>
      </c>
      <c r="AK2" s="28" t="s">
        <v>22</v>
      </c>
      <c r="AL2" s="105" t="s">
        <v>169</v>
      </c>
      <c r="AM2" s="29" t="s">
        <v>170</v>
      </c>
      <c r="AN2" s="29" t="s">
        <v>171</v>
      </c>
      <c r="AO2" s="115" t="s">
        <v>172</v>
      </c>
      <c r="AP2" s="29" t="s">
        <v>173</v>
      </c>
      <c r="AQ2" s="29" t="s">
        <v>174</v>
      </c>
      <c r="AR2" s="30" t="s">
        <v>175</v>
      </c>
      <c r="AS2" s="30" t="s">
        <v>176</v>
      </c>
      <c r="AT2" s="30" t="s">
        <v>177</v>
      </c>
    </row>
    <row r="3" s="11" customFormat="1" ht="27" customHeight="1" spans="1:46">
      <c r="A3" s="31"/>
      <c r="B3" s="32"/>
      <c r="C3" s="33"/>
      <c r="D3" s="33"/>
      <c r="E3" s="34"/>
      <c r="F3" s="35"/>
      <c r="G3" s="34"/>
      <c r="H3" s="34"/>
      <c r="I3" s="34"/>
      <c r="J3" s="72"/>
      <c r="K3" s="34"/>
      <c r="L3" s="34"/>
      <c r="M3" s="73" t="s">
        <v>178</v>
      </c>
      <c r="N3" s="73" t="s">
        <v>179</v>
      </c>
      <c r="O3" s="73" t="s">
        <v>180</v>
      </c>
      <c r="P3" s="73" t="s">
        <v>37</v>
      </c>
      <c r="Q3" s="35"/>
      <c r="R3" s="34"/>
      <c r="S3" s="35"/>
      <c r="T3" s="94"/>
      <c r="U3" s="35"/>
      <c r="V3" s="95" t="s">
        <v>181</v>
      </c>
      <c r="W3" s="95" t="s">
        <v>182</v>
      </c>
      <c r="X3" s="95" t="s">
        <v>183</v>
      </c>
      <c r="Y3" s="95" t="s">
        <v>184</v>
      </c>
      <c r="Z3" s="95" t="s">
        <v>185</v>
      </c>
      <c r="AA3" s="95" t="s">
        <v>186</v>
      </c>
      <c r="AB3" s="35"/>
      <c r="AC3" s="35"/>
      <c r="AD3" s="94"/>
      <c r="AE3" s="94"/>
      <c r="AF3" s="94"/>
      <c r="AG3" s="94"/>
      <c r="AH3" s="107"/>
      <c r="AI3" s="108"/>
      <c r="AJ3" s="107"/>
      <c r="AK3" s="33"/>
      <c r="AL3" s="107"/>
      <c r="AM3" s="34"/>
      <c r="AN3" s="34"/>
      <c r="AO3" s="116"/>
      <c r="AP3" s="34"/>
      <c r="AQ3" s="34"/>
      <c r="AR3" s="35"/>
      <c r="AS3" s="35"/>
      <c r="AT3" s="35"/>
    </row>
    <row r="4" s="12" customFormat="1" ht="18" customHeight="1" spans="1:46">
      <c r="A4" s="36">
        <v>1</v>
      </c>
      <c r="B4" s="37" t="s">
        <v>187</v>
      </c>
      <c r="C4" s="37" t="s">
        <v>43</v>
      </c>
      <c r="D4" s="37" t="s">
        <v>188</v>
      </c>
      <c r="E4" s="37" t="s">
        <v>44</v>
      </c>
      <c r="F4" s="38" t="s">
        <v>189</v>
      </c>
      <c r="G4" s="45">
        <v>18035163638</v>
      </c>
      <c r="H4" s="40"/>
      <c r="I4" s="40"/>
      <c r="J4" s="74"/>
      <c r="K4" s="40"/>
      <c r="L4" s="78">
        <v>10230</v>
      </c>
      <c r="M4" s="76">
        <v>264</v>
      </c>
      <c r="N4" s="76">
        <v>66</v>
      </c>
      <c r="O4" s="76">
        <v>9.9</v>
      </c>
      <c r="P4" s="76">
        <v>180</v>
      </c>
      <c r="Q4" s="96">
        <f>ROUND(SUM(M4:P4),2)</f>
        <v>519.9</v>
      </c>
      <c r="R4" s="78">
        <v>0</v>
      </c>
      <c r="S4" s="97">
        <f>L4+IFERROR(VLOOKUP($E:$E,'（居民）工资表-6月'!$E:$S,15,0),0)</f>
        <v>68040</v>
      </c>
      <c r="T4" s="98">
        <f>5000+IFERROR(VLOOKUP($E:$E,'（居民）工资表-6月'!$E:$T,16,0),0)</f>
        <v>35000</v>
      </c>
      <c r="U4" s="98">
        <f>Q4+IFERROR(VLOOKUP($E:$E,'（居民）工资表-6月'!$E:$U,17,0),0)</f>
        <v>3639.3</v>
      </c>
      <c r="V4" s="78">
        <v>7000</v>
      </c>
      <c r="W4" s="78"/>
      <c r="X4" s="78">
        <v>7000</v>
      </c>
      <c r="Y4" s="78"/>
      <c r="Z4" s="78">
        <v>2800</v>
      </c>
      <c r="AA4" s="78"/>
      <c r="AB4" s="97">
        <f>ROUND(SUM(V4:AA4),2)</f>
        <v>16800</v>
      </c>
      <c r="AC4" s="97">
        <f>R4+IFERROR(VLOOKUP($E:$E,'（居民）工资表-6月'!$E:$AC,25,0),0)</f>
        <v>0</v>
      </c>
      <c r="AD4" s="100">
        <f>ROUND(S4-T4-U4-AB4-AC4,2)</f>
        <v>12600.7</v>
      </c>
      <c r="AE4" s="101">
        <f>ROUND(MAX((AD4)*{0.03;0.1;0.2;0.25;0.3;0.35;0.45}-{0;2520;16920;31920;52920;85920;181920},0),2)</f>
        <v>378.02</v>
      </c>
      <c r="AF4" s="102">
        <f>IFERROR(VLOOKUP(E:E,'（居民）工资表-6月'!E:AF,28,0)+VLOOKUP(E:E,'（居民）工资表-6月'!E:AG,29,0),0)</f>
        <v>308.72</v>
      </c>
      <c r="AG4" s="102">
        <f>IF((AE4-AF4)&lt;0,0,AE4-AF4)</f>
        <v>69.3</v>
      </c>
      <c r="AH4" s="109">
        <f>ROUND(IF((L4-Q4-AG4)&lt;0,0,(L4-Q4-AG4)),2)</f>
        <v>9640.8</v>
      </c>
      <c r="AI4" s="110"/>
      <c r="AJ4" s="109">
        <f>AH4+AI4</f>
        <v>9640.8</v>
      </c>
      <c r="AK4" s="111"/>
      <c r="AL4" s="109">
        <f>AJ4+AG4+AK4</f>
        <v>9710.1</v>
      </c>
      <c r="AM4" s="111"/>
      <c r="AN4" s="111"/>
      <c r="AO4" s="111"/>
      <c r="AP4" s="111"/>
      <c r="AQ4" s="111"/>
      <c r="AR4" s="117"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7" t="str">
        <f>IF(SUMPRODUCT(N(E$1:E$18=E4))&gt;1,"重复","不")</f>
        <v>不</v>
      </c>
      <c r="AT4" s="117" t="str">
        <f>IF(SUMPRODUCT(N(AO$1:AO$18=AO4))&gt;1,"重复","不")</f>
        <v>重复</v>
      </c>
    </row>
    <row r="5" s="12" customFormat="1" ht="18" customHeight="1" spans="1:46">
      <c r="A5" s="36">
        <v>2</v>
      </c>
      <c r="B5" s="37" t="s">
        <v>187</v>
      </c>
      <c r="C5" s="37" t="s">
        <v>61</v>
      </c>
      <c r="D5" s="37" t="s">
        <v>188</v>
      </c>
      <c r="E5" s="37" t="s">
        <v>62</v>
      </c>
      <c r="F5" s="38" t="s">
        <v>189</v>
      </c>
      <c r="G5" s="45">
        <v>13944441728</v>
      </c>
      <c r="H5" s="40"/>
      <c r="I5" s="40"/>
      <c r="J5" s="74"/>
      <c r="K5" s="40"/>
      <c r="L5" s="78">
        <v>7000</v>
      </c>
      <c r="M5" s="76">
        <v>268.81</v>
      </c>
      <c r="N5" s="76">
        <v>72.06</v>
      </c>
      <c r="O5" s="76">
        <v>10.08</v>
      </c>
      <c r="P5" s="76">
        <v>82</v>
      </c>
      <c r="Q5" s="96">
        <f>ROUND(SUM(M5:P5),2)</f>
        <v>432.95</v>
      </c>
      <c r="R5" s="78">
        <v>0</v>
      </c>
      <c r="S5" s="97">
        <f>L5+IFERROR(VLOOKUP($E:$E,'（居民）工资表-6月'!$E:$S,15,0),0)</f>
        <v>49000</v>
      </c>
      <c r="T5" s="98">
        <f>5000+IFERROR(VLOOKUP($E:$E,'（居民）工资表-6月'!$E:$T,16,0),0)</f>
        <v>35000</v>
      </c>
      <c r="U5" s="98">
        <f>Q5+IFERROR(VLOOKUP($E:$E,'（居民）工资表-6月'!$E:$U,17,0),0)</f>
        <v>3030.65</v>
      </c>
      <c r="V5" s="78"/>
      <c r="W5" s="78"/>
      <c r="X5" s="78">
        <v>7000</v>
      </c>
      <c r="Y5" s="78"/>
      <c r="Z5" s="78"/>
      <c r="AA5" s="78"/>
      <c r="AB5" s="97">
        <f>ROUND(SUM(V5:AA5),2)</f>
        <v>7000</v>
      </c>
      <c r="AC5" s="97">
        <f>R5+IFERROR(VLOOKUP($E:$E,'（居民）工资表-6月'!$E:$AC,25,0),0)</f>
        <v>0</v>
      </c>
      <c r="AD5" s="100">
        <f>ROUND(S5-T5-U5-AB5-AC5,2)</f>
        <v>3969.35</v>
      </c>
      <c r="AE5" s="101">
        <f>ROUND(MAX((AD5)*{0.03;0.1;0.2;0.25;0.3;0.35;0.45}-{0;2520;16920;31920;52920;85920;181920},0),2)</f>
        <v>119.08</v>
      </c>
      <c r="AF5" s="102">
        <f>IFERROR(VLOOKUP(E:E,'（居民）工资表-6月'!E:AF,28,0)+VLOOKUP(E:E,'（居民）工资表-6月'!E:AG,29,0),0)</f>
        <v>102.07</v>
      </c>
      <c r="AG5" s="102">
        <f>IF((AE5-AF5)&lt;0,0,AE5-AF5)</f>
        <v>17.01</v>
      </c>
      <c r="AH5" s="109">
        <f>ROUND(IF((L5-Q5-AG5)&lt;0,0,(L5-Q5-AG5)),2)</f>
        <v>6550.04</v>
      </c>
      <c r="AI5" s="110"/>
      <c r="AJ5" s="109">
        <f>AH5+AI5</f>
        <v>6550.04</v>
      </c>
      <c r="AK5" s="111"/>
      <c r="AL5" s="109">
        <f>AJ5+AG5+AK5</f>
        <v>6567.05</v>
      </c>
      <c r="AM5" s="111"/>
      <c r="AN5" s="111"/>
      <c r="AO5" s="111"/>
      <c r="AP5" s="111"/>
      <c r="AQ5" s="111"/>
      <c r="AR5" s="117"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117" t="str">
        <f>IF(SUMPRODUCT(N(E$1:E$18=E5))&gt;1,"重复","不")</f>
        <v>不</v>
      </c>
      <c r="AT5" s="117" t="str">
        <f>IF(SUMPRODUCT(N(AO$1:AO$18=AO5))&gt;1,"重复","不")</f>
        <v>重复</v>
      </c>
    </row>
    <row r="6" s="12" customFormat="1" ht="18" customHeight="1" spans="1:46">
      <c r="A6" s="36">
        <v>3</v>
      </c>
      <c r="B6" s="37" t="s">
        <v>187</v>
      </c>
      <c r="C6" s="37" t="s">
        <v>104</v>
      </c>
      <c r="D6" s="37" t="s">
        <v>188</v>
      </c>
      <c r="E6" s="398" t="s">
        <v>105</v>
      </c>
      <c r="F6" s="38" t="s">
        <v>190</v>
      </c>
      <c r="G6" s="45">
        <v>15360550807</v>
      </c>
      <c r="H6" s="40"/>
      <c r="I6" s="40"/>
      <c r="J6" s="74"/>
      <c r="K6" s="40"/>
      <c r="L6" s="78">
        <v>5700</v>
      </c>
      <c r="M6" s="76">
        <v>367.04</v>
      </c>
      <c r="N6" s="76">
        <v>135.14</v>
      </c>
      <c r="O6" s="76">
        <v>4.6</v>
      </c>
      <c r="P6" s="76">
        <v>115</v>
      </c>
      <c r="Q6" s="96">
        <f>ROUND(SUM(M6:P6),2)</f>
        <v>621.78</v>
      </c>
      <c r="R6" s="78">
        <v>0</v>
      </c>
      <c r="S6" s="97">
        <f>L6+IFERROR(VLOOKUP($E:$E,'（居民）工资表-6月'!$E:$S,15,0),0)</f>
        <v>39900</v>
      </c>
      <c r="T6" s="98">
        <f>5000+IFERROR(VLOOKUP($E:$E,'（居民）工资表-6月'!$E:$T,16,0),0)</f>
        <v>35000</v>
      </c>
      <c r="U6" s="98">
        <f>Q6+IFERROR(VLOOKUP($E:$E,'（居民）工资表-6月'!$E:$U,17,0),0)</f>
        <v>4381.74</v>
      </c>
      <c r="V6" s="78"/>
      <c r="W6" s="78"/>
      <c r="X6" s="78"/>
      <c r="Y6" s="78">
        <v>10500</v>
      </c>
      <c r="Z6" s="78"/>
      <c r="AA6" s="78"/>
      <c r="AB6" s="97">
        <f>ROUND(SUM(V6:AA6),2)</f>
        <v>10500</v>
      </c>
      <c r="AC6" s="97">
        <f>R6+IFERROR(VLOOKUP($E:$E,'（居民）工资表-6月'!$E:$AC,25,0),0)</f>
        <v>0</v>
      </c>
      <c r="AD6" s="100">
        <f>ROUND(S6-T6-U6-AB6-AC6,2)</f>
        <v>-9981.74</v>
      </c>
      <c r="AE6" s="101">
        <f>ROUND(MAX((AD6)*{0.03;0.1;0.2;0.25;0.3;0.35;0.45}-{0;2520;16920;31920;52920;85920;181920},0),2)</f>
        <v>0</v>
      </c>
      <c r="AF6" s="102">
        <f>IFERROR(VLOOKUP(E:E,'（居民）工资表-6月'!E:AF,28,0)+VLOOKUP(E:E,'（居民）工资表-6月'!E:AG,29,0),0)</f>
        <v>0</v>
      </c>
      <c r="AG6" s="102">
        <f>IF((AE6-AF6)&lt;0,0,AE6-AF6)</f>
        <v>0</v>
      </c>
      <c r="AH6" s="109">
        <f>ROUND(IF((L6-Q6-AG6)&lt;0,0,(L6-Q6-AG6)),2)</f>
        <v>5078.22</v>
      </c>
      <c r="AI6" s="110"/>
      <c r="AJ6" s="109">
        <f>AH6+AI6</f>
        <v>5078.22</v>
      </c>
      <c r="AK6" s="111"/>
      <c r="AL6" s="109">
        <f>AJ6+AG6+AK6</f>
        <v>5078.22</v>
      </c>
      <c r="AM6" s="111"/>
      <c r="AN6" s="111"/>
      <c r="AO6" s="111"/>
      <c r="AP6" s="111"/>
      <c r="AQ6" s="111"/>
      <c r="AR6" s="117"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117" t="str">
        <f>IF(SUMPRODUCT(N(E$1:E$18=E6))&gt;1,"重复","不")</f>
        <v>不</v>
      </c>
      <c r="AT6" s="117" t="str">
        <f>IF(SUMPRODUCT(N(AO$1:AO$18=AO6))&gt;1,"重复","不")</f>
        <v>重复</v>
      </c>
    </row>
    <row r="7" s="12" customFormat="1" ht="18" customHeight="1" spans="1:46">
      <c r="A7" s="36">
        <v>4</v>
      </c>
      <c r="B7" s="37" t="s">
        <v>187</v>
      </c>
      <c r="C7" s="37" t="s">
        <v>191</v>
      </c>
      <c r="D7" s="37" t="s">
        <v>188</v>
      </c>
      <c r="E7" s="37" t="s">
        <v>192</v>
      </c>
      <c r="F7" s="38" t="s">
        <v>189</v>
      </c>
      <c r="G7" s="45">
        <v>18037463616</v>
      </c>
      <c r="H7" s="40"/>
      <c r="I7" s="40"/>
      <c r="J7" s="74"/>
      <c r="K7" s="40"/>
      <c r="L7" s="78">
        <v>14620</v>
      </c>
      <c r="M7" s="76">
        <v>254.32</v>
      </c>
      <c r="N7" s="76">
        <v>63.94</v>
      </c>
      <c r="O7" s="76">
        <v>9.54</v>
      </c>
      <c r="P7" s="76">
        <v>254.32</v>
      </c>
      <c r="Q7" s="96">
        <f t="shared" ref="Q7:Q18" si="0">ROUND(SUM(M7:P7),2)</f>
        <v>582.12</v>
      </c>
      <c r="R7" s="78">
        <v>0</v>
      </c>
      <c r="S7" s="97">
        <f>L7+IFERROR(VLOOKUP($E:$E,'（居民）工资表-6月'!$E:$S,15,0),0)</f>
        <v>85352.63</v>
      </c>
      <c r="T7" s="98">
        <f>5000+IFERROR(VLOOKUP($E:$E,'（居民）工资表-6月'!$E:$T,16,0),0)</f>
        <v>30000</v>
      </c>
      <c r="U7" s="98">
        <f>Q7+IFERROR(VLOOKUP($E:$E,'（居民）工资表-6月'!$E:$U,17,0),0)</f>
        <v>3974.37</v>
      </c>
      <c r="V7" s="78"/>
      <c r="W7" s="78"/>
      <c r="X7" s="78">
        <v>5000</v>
      </c>
      <c r="Y7" s="78"/>
      <c r="Z7" s="78"/>
      <c r="AA7" s="78"/>
      <c r="AB7" s="97">
        <f t="shared" ref="AB7:AB18" si="1">ROUND(SUM(V7:AA7),2)</f>
        <v>5000</v>
      </c>
      <c r="AC7" s="97">
        <f>R7+IFERROR(VLOOKUP($E:$E,'（居民）工资表-6月'!$E:$AC,25,0),0)</f>
        <v>0</v>
      </c>
      <c r="AD7" s="100">
        <f t="shared" ref="AD7:AD18" si="2">ROUND(S7-T7-U7-AB7-AC7,2)</f>
        <v>46378.26</v>
      </c>
      <c r="AE7" s="101">
        <f>ROUND(MAX((AD7)*{0.03;0.1;0.2;0.25;0.3;0.35;0.45}-{0;2520;16920;31920;52920;85920;181920},0),2)</f>
        <v>2117.83</v>
      </c>
      <c r="AF7" s="102">
        <f>IFERROR(VLOOKUP(E:E,'（居民）工资表-6月'!E:AF,28,0)+VLOOKUP(E:E,'（居民）工资表-6月'!E:AG,29,0),0)</f>
        <v>1214.04</v>
      </c>
      <c r="AG7" s="102">
        <f t="shared" ref="AG7:AG18" si="3">IF((AE7-AF7)&lt;0,0,AE7-AF7)</f>
        <v>903.79</v>
      </c>
      <c r="AH7" s="109">
        <f t="shared" ref="AH7:AH18" si="4">ROUND(IF((L7-Q7-AG7)&lt;0,0,(L7-Q7-AG7)),2)</f>
        <v>13134.09</v>
      </c>
      <c r="AI7" s="110"/>
      <c r="AJ7" s="109">
        <f t="shared" ref="AJ7:AJ18" si="5">AH7+AI7</f>
        <v>13134.09</v>
      </c>
      <c r="AK7" s="111"/>
      <c r="AL7" s="109">
        <f t="shared" ref="AL7:AL18" si="6">AJ7+AG7+AK7</f>
        <v>14037.88</v>
      </c>
      <c r="AM7" s="111"/>
      <c r="AN7" s="111"/>
      <c r="AO7" s="111"/>
      <c r="AP7" s="111"/>
      <c r="AQ7" s="111"/>
      <c r="AR7" s="117" t="str">
        <f t="shared" ref="AR7:AR18" si="7">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117" t="str">
        <f t="shared" ref="AS7:AS15" si="8">IF(SUMPRODUCT(N(E$1:E$18=E7))&gt;1,"重复","不")</f>
        <v>不</v>
      </c>
      <c r="AT7" s="117" t="str">
        <f t="shared" ref="AT7:AT15" si="9">IF(SUMPRODUCT(N(AO$1:AO$18=AO7))&gt;1,"重复","不")</f>
        <v>重复</v>
      </c>
    </row>
    <row r="8" s="12" customFormat="1" ht="18" customHeight="1" spans="1:46">
      <c r="A8" s="36">
        <v>5</v>
      </c>
      <c r="B8" s="37" t="s">
        <v>187</v>
      </c>
      <c r="C8" s="37" t="s">
        <v>193</v>
      </c>
      <c r="D8" s="37" t="s">
        <v>188</v>
      </c>
      <c r="E8" s="398" t="s">
        <v>194</v>
      </c>
      <c r="F8" s="38" t="s">
        <v>189</v>
      </c>
      <c r="G8" s="45">
        <v>18500634358</v>
      </c>
      <c r="H8" s="40"/>
      <c r="I8" s="40"/>
      <c r="J8" s="74"/>
      <c r="K8" s="40"/>
      <c r="L8" s="78">
        <v>14920</v>
      </c>
      <c r="M8" s="76">
        <v>254.32</v>
      </c>
      <c r="N8" s="76">
        <v>63.94</v>
      </c>
      <c r="O8" s="76">
        <v>9.54</v>
      </c>
      <c r="P8" s="76">
        <v>254.32</v>
      </c>
      <c r="Q8" s="96">
        <f t="shared" si="0"/>
        <v>582.12</v>
      </c>
      <c r="R8" s="78">
        <v>0</v>
      </c>
      <c r="S8" s="97">
        <f>L8+IFERROR(VLOOKUP($E:$E,'（居民）工资表-6月'!$E:$S,15,0),0)</f>
        <v>88200</v>
      </c>
      <c r="T8" s="98">
        <f>5000+IFERROR(VLOOKUP($E:$E,'（居民）工资表-6月'!$E:$T,16,0),0)</f>
        <v>30000</v>
      </c>
      <c r="U8" s="98">
        <f>Q8+IFERROR(VLOOKUP($E:$E,'（居民）工资表-6月'!$E:$U,17,0),0)</f>
        <v>3974.37</v>
      </c>
      <c r="V8" s="78"/>
      <c r="W8" s="78"/>
      <c r="X8" s="78"/>
      <c r="Y8" s="78"/>
      <c r="Z8" s="78"/>
      <c r="AA8" s="78"/>
      <c r="AB8" s="97">
        <f t="shared" si="1"/>
        <v>0</v>
      </c>
      <c r="AC8" s="97">
        <f>R8+IFERROR(VLOOKUP($E:$E,'（居民）工资表-6月'!$E:$AC,25,0),0)</f>
        <v>0</v>
      </c>
      <c r="AD8" s="100">
        <f t="shared" si="2"/>
        <v>54225.63</v>
      </c>
      <c r="AE8" s="101">
        <f>ROUND(MAX((AD8)*{0.03;0.1;0.2;0.25;0.3;0.35;0.45}-{0;2520;16920;31920;52920;85920;181920},0),2)</f>
        <v>2902.56</v>
      </c>
      <c r="AF8" s="102">
        <f>IFERROR(VLOOKUP(E:E,'（居民）工资表-6月'!E:AF,28,0)+VLOOKUP(E:E,'（居民）工资表-6月'!E:AG,29,0),0)</f>
        <v>1968.78</v>
      </c>
      <c r="AG8" s="102">
        <f t="shared" si="3"/>
        <v>933.78</v>
      </c>
      <c r="AH8" s="109">
        <f t="shared" si="4"/>
        <v>13404.1</v>
      </c>
      <c r="AI8" s="110"/>
      <c r="AJ8" s="109">
        <f t="shared" si="5"/>
        <v>13404.1</v>
      </c>
      <c r="AK8" s="111"/>
      <c r="AL8" s="109">
        <f t="shared" si="6"/>
        <v>14337.88</v>
      </c>
      <c r="AM8" s="111"/>
      <c r="AN8" s="111"/>
      <c r="AO8" s="111"/>
      <c r="AP8" s="111"/>
      <c r="AQ8" s="111"/>
      <c r="AR8" s="117" t="str">
        <f t="shared" si="7"/>
        <v>正确</v>
      </c>
      <c r="AS8" s="117" t="str">
        <f t="shared" si="8"/>
        <v>不</v>
      </c>
      <c r="AT8" s="117" t="str">
        <f t="shared" si="9"/>
        <v>重复</v>
      </c>
    </row>
    <row r="9" s="12" customFormat="1" ht="18" customHeight="1" spans="1:46">
      <c r="A9" s="36">
        <v>6</v>
      </c>
      <c r="B9" s="37" t="s">
        <v>187</v>
      </c>
      <c r="C9" s="37" t="s">
        <v>195</v>
      </c>
      <c r="D9" s="37" t="s">
        <v>188</v>
      </c>
      <c r="E9" s="37" t="s">
        <v>196</v>
      </c>
      <c r="F9" s="38" t="s">
        <v>189</v>
      </c>
      <c r="G9" s="45">
        <v>18738169923</v>
      </c>
      <c r="H9" s="40"/>
      <c r="I9" s="40"/>
      <c r="J9" s="74"/>
      <c r="K9" s="40"/>
      <c r="L9" s="78">
        <v>12420</v>
      </c>
      <c r="M9" s="76">
        <v>254.32</v>
      </c>
      <c r="N9" s="76">
        <v>63.94</v>
      </c>
      <c r="O9" s="76">
        <v>9.54</v>
      </c>
      <c r="P9" s="76">
        <v>254.32</v>
      </c>
      <c r="Q9" s="96">
        <f t="shared" si="0"/>
        <v>582.12</v>
      </c>
      <c r="R9" s="78">
        <v>0</v>
      </c>
      <c r="S9" s="97">
        <f>L9+IFERROR(VLOOKUP($E:$E,'（居民）工资表-6月'!$E:$S,15,0),0)</f>
        <v>73200</v>
      </c>
      <c r="T9" s="98">
        <f>5000+IFERROR(VLOOKUP($E:$E,'（居民）工资表-6月'!$E:$T,16,0),0)</f>
        <v>30000</v>
      </c>
      <c r="U9" s="98">
        <f>Q9+IFERROR(VLOOKUP($E:$E,'（居民）工资表-6月'!$E:$U,17,0),0)</f>
        <v>4074.84</v>
      </c>
      <c r="V9" s="78"/>
      <c r="W9" s="78"/>
      <c r="X9" s="78"/>
      <c r="Y9" s="78"/>
      <c r="Z9" s="78"/>
      <c r="AA9" s="78"/>
      <c r="AB9" s="97">
        <f t="shared" si="1"/>
        <v>0</v>
      </c>
      <c r="AC9" s="97">
        <f>R9+IFERROR(VLOOKUP($E:$E,'（居民）工资表-6月'!$E:$AC,25,0),0)</f>
        <v>0</v>
      </c>
      <c r="AD9" s="100">
        <f t="shared" si="2"/>
        <v>39125.16</v>
      </c>
      <c r="AE9" s="101">
        <f>ROUND(MAX((AD9)*{0.03;0.1;0.2;0.25;0.3;0.35;0.45}-{0;2520;16920;31920;52920;85920;181920},0),2)</f>
        <v>1392.52</v>
      </c>
      <c r="AF9" s="102">
        <f>IFERROR(VLOOKUP(E:E,'（居民）工资表-6月'!E:AF,28,0)+VLOOKUP(E:E,'（居民）工资表-6月'!E:AG,29,0),0)</f>
        <v>968.62</v>
      </c>
      <c r="AG9" s="102">
        <f t="shared" si="3"/>
        <v>423.9</v>
      </c>
      <c r="AH9" s="109">
        <f t="shared" si="4"/>
        <v>11413.98</v>
      </c>
      <c r="AI9" s="110"/>
      <c r="AJ9" s="109">
        <f t="shared" si="5"/>
        <v>11413.98</v>
      </c>
      <c r="AK9" s="111"/>
      <c r="AL9" s="109">
        <f t="shared" si="6"/>
        <v>11837.88</v>
      </c>
      <c r="AM9" s="111"/>
      <c r="AN9" s="111"/>
      <c r="AO9" s="111"/>
      <c r="AP9" s="111"/>
      <c r="AQ9" s="111"/>
      <c r="AR9" s="117" t="str">
        <f t="shared" si="7"/>
        <v>正确</v>
      </c>
      <c r="AS9" s="117" t="str">
        <f t="shared" si="8"/>
        <v>不</v>
      </c>
      <c r="AT9" s="117" t="str">
        <f t="shared" si="9"/>
        <v>重复</v>
      </c>
    </row>
    <row r="10" s="12" customFormat="1" ht="18" customHeight="1" spans="1:46">
      <c r="A10" s="36">
        <v>7</v>
      </c>
      <c r="B10" s="37" t="s">
        <v>187</v>
      </c>
      <c r="C10" s="37" t="s">
        <v>197</v>
      </c>
      <c r="D10" s="37" t="s">
        <v>188</v>
      </c>
      <c r="E10" s="37" t="s">
        <v>198</v>
      </c>
      <c r="F10" s="38" t="s">
        <v>189</v>
      </c>
      <c r="G10" s="45" t="s">
        <v>199</v>
      </c>
      <c r="H10" s="40"/>
      <c r="I10" s="40"/>
      <c r="J10" s="74"/>
      <c r="K10" s="40"/>
      <c r="L10" s="78">
        <v>17420</v>
      </c>
      <c r="M10" s="76">
        <v>254.32</v>
      </c>
      <c r="N10" s="76">
        <v>63.94</v>
      </c>
      <c r="O10" s="76">
        <v>9.54</v>
      </c>
      <c r="P10" s="76">
        <v>254.32</v>
      </c>
      <c r="Q10" s="96">
        <f t="shared" si="0"/>
        <v>582.12</v>
      </c>
      <c r="R10" s="78">
        <v>0</v>
      </c>
      <c r="S10" s="97">
        <f>L10+IFERROR(VLOOKUP($E:$E,'（居民）工资表-6月'!$E:$S,15,0),0)</f>
        <v>69674.74</v>
      </c>
      <c r="T10" s="98">
        <f>5000+IFERROR(VLOOKUP($E:$E,'（居民）工资表-6月'!$E:$T,16,0),0)</f>
        <v>20000</v>
      </c>
      <c r="U10" s="98">
        <f>Q10+IFERROR(VLOOKUP($E:$E,'（居民）工资表-6月'!$E:$U,17,0),0)</f>
        <v>2910.6</v>
      </c>
      <c r="V10" s="78"/>
      <c r="W10" s="78"/>
      <c r="X10" s="78"/>
      <c r="Y10" s="78"/>
      <c r="Z10" s="78"/>
      <c r="AA10" s="78"/>
      <c r="AB10" s="97">
        <f t="shared" si="1"/>
        <v>0</v>
      </c>
      <c r="AC10" s="97">
        <f>R10+IFERROR(VLOOKUP($E:$E,'（居民）工资表-6月'!$E:$AC,25,0),0)</f>
        <v>0</v>
      </c>
      <c r="AD10" s="100">
        <f t="shared" si="2"/>
        <v>46764.14</v>
      </c>
      <c r="AE10" s="101">
        <f>ROUND(MAX((AD10)*{0.03;0.1;0.2;0.25;0.3;0.35;0.45}-{0;2520;16920;31920;52920;85920;181920},0),2)</f>
        <v>2156.41</v>
      </c>
      <c r="AF10" s="102">
        <f>IFERROR(VLOOKUP(E:E,'（居民）工资表-6月'!E:AF,28,0)+VLOOKUP(E:E,'（居民）工资表-6月'!E:AG,29,0),0)</f>
        <v>1047.79</v>
      </c>
      <c r="AG10" s="102">
        <f t="shared" si="3"/>
        <v>1108.62</v>
      </c>
      <c r="AH10" s="109">
        <f t="shared" si="4"/>
        <v>15729.26</v>
      </c>
      <c r="AI10" s="110"/>
      <c r="AJ10" s="109">
        <f t="shared" si="5"/>
        <v>15729.26</v>
      </c>
      <c r="AK10" s="111"/>
      <c r="AL10" s="109">
        <f t="shared" si="6"/>
        <v>16837.88</v>
      </c>
      <c r="AM10" s="111"/>
      <c r="AN10" s="111"/>
      <c r="AO10" s="111"/>
      <c r="AP10" s="111"/>
      <c r="AQ10" s="111"/>
      <c r="AR10" s="117" t="str">
        <f t="shared" si="7"/>
        <v>正确</v>
      </c>
      <c r="AS10" s="117" t="str">
        <f t="shared" si="8"/>
        <v>不</v>
      </c>
      <c r="AT10" s="117" t="str">
        <f t="shared" si="9"/>
        <v>重复</v>
      </c>
    </row>
    <row r="11" s="12" customFormat="1" ht="18" customHeight="1" spans="1:46">
      <c r="A11" s="36">
        <v>8</v>
      </c>
      <c r="B11" s="37" t="s">
        <v>187</v>
      </c>
      <c r="C11" s="37" t="s">
        <v>200</v>
      </c>
      <c r="D11" s="37" t="s">
        <v>188</v>
      </c>
      <c r="E11" s="37" t="s">
        <v>201</v>
      </c>
      <c r="F11" s="38" t="s">
        <v>189</v>
      </c>
      <c r="G11" s="45" t="s">
        <v>202</v>
      </c>
      <c r="H11" s="40"/>
      <c r="I11" s="40"/>
      <c r="J11" s="74"/>
      <c r="K11" s="40"/>
      <c r="L11" s="78">
        <v>18720</v>
      </c>
      <c r="M11" s="76">
        <v>254.32</v>
      </c>
      <c r="N11" s="76">
        <v>63.94</v>
      </c>
      <c r="O11" s="76">
        <v>9.54</v>
      </c>
      <c r="P11" s="76">
        <v>254.32</v>
      </c>
      <c r="Q11" s="96">
        <f t="shared" si="0"/>
        <v>582.12</v>
      </c>
      <c r="R11" s="78">
        <v>0</v>
      </c>
      <c r="S11" s="97">
        <f>L11+IFERROR(VLOOKUP($E:$E,'（居民）工资表-6月'!$E:$S,15,0),0)</f>
        <v>70677.39</v>
      </c>
      <c r="T11" s="98">
        <f>5000+IFERROR(VLOOKUP($E:$E,'（居民）工资表-6月'!$E:$T,16,0),0)</f>
        <v>20000</v>
      </c>
      <c r="U11" s="98">
        <f>Q11+IFERROR(VLOOKUP($E:$E,'（居民）工资表-6月'!$E:$U,17,0),0)</f>
        <v>2910.6</v>
      </c>
      <c r="V11" s="78"/>
      <c r="W11" s="78">
        <v>4000</v>
      </c>
      <c r="X11" s="78"/>
      <c r="Y11" s="78">
        <v>6000</v>
      </c>
      <c r="Z11" s="78">
        <v>1600</v>
      </c>
      <c r="AA11" s="78"/>
      <c r="AB11" s="97">
        <f t="shared" si="1"/>
        <v>11600</v>
      </c>
      <c r="AC11" s="97">
        <f>R11+IFERROR(VLOOKUP($E:$E,'（居民）工资表-6月'!$E:$AC,25,0),0)</f>
        <v>0</v>
      </c>
      <c r="AD11" s="100">
        <f t="shared" si="2"/>
        <v>36166.79</v>
      </c>
      <c r="AE11" s="101">
        <f>ROUND(MAX((AD11)*{0.03;0.1;0.2;0.25;0.3;0.35;0.45}-{0;2520;16920;31920;52920;85920;181920},0),2)</f>
        <v>1096.68</v>
      </c>
      <c r="AF11" s="102">
        <f>IFERROR(VLOOKUP(E:E,'（居民）工资表-6月'!E:AF,28,0)+VLOOKUP(E:E,'（居民）工资表-6月'!E:AG,29,0),0)</f>
        <v>777.87</v>
      </c>
      <c r="AG11" s="102">
        <f t="shared" si="3"/>
        <v>318.81</v>
      </c>
      <c r="AH11" s="109">
        <f t="shared" si="4"/>
        <v>17819.07</v>
      </c>
      <c r="AI11" s="110"/>
      <c r="AJ11" s="109">
        <f t="shared" si="5"/>
        <v>17819.07</v>
      </c>
      <c r="AK11" s="111"/>
      <c r="AL11" s="109">
        <f t="shared" si="6"/>
        <v>18137.88</v>
      </c>
      <c r="AM11" s="111"/>
      <c r="AN11" s="111"/>
      <c r="AO11" s="111"/>
      <c r="AP11" s="111"/>
      <c r="AQ11" s="111"/>
      <c r="AR11" s="117" t="str">
        <f t="shared" si="7"/>
        <v>正确</v>
      </c>
      <c r="AS11" s="117" t="str">
        <f t="shared" si="8"/>
        <v>不</v>
      </c>
      <c r="AT11" s="117" t="str">
        <f t="shared" si="9"/>
        <v>重复</v>
      </c>
    </row>
    <row r="12" s="12" customFormat="1" ht="18" customHeight="1" spans="1:46">
      <c r="A12" s="36">
        <v>9</v>
      </c>
      <c r="B12" s="37" t="s">
        <v>187</v>
      </c>
      <c r="C12" s="37" t="s">
        <v>203</v>
      </c>
      <c r="D12" s="37" t="s">
        <v>188</v>
      </c>
      <c r="E12" s="37" t="s">
        <v>204</v>
      </c>
      <c r="F12" s="38" t="s">
        <v>189</v>
      </c>
      <c r="G12" s="45" t="s">
        <v>205</v>
      </c>
      <c r="H12" s="40"/>
      <c r="I12" s="40"/>
      <c r="J12" s="74"/>
      <c r="K12" s="40"/>
      <c r="L12" s="78">
        <v>13920</v>
      </c>
      <c r="M12" s="76">
        <v>254.32</v>
      </c>
      <c r="N12" s="76">
        <v>63.94</v>
      </c>
      <c r="O12" s="76">
        <v>9.54</v>
      </c>
      <c r="P12" s="76">
        <v>254.32</v>
      </c>
      <c r="Q12" s="96">
        <f t="shared" si="0"/>
        <v>582.12</v>
      </c>
      <c r="R12" s="78">
        <v>0</v>
      </c>
      <c r="S12" s="97">
        <f>L12+IFERROR(VLOOKUP($E:$E,'（居民）工资表-6月'!$E:$S,15,0),0)</f>
        <v>52312.17</v>
      </c>
      <c r="T12" s="98">
        <f>5000+IFERROR(VLOOKUP($E:$E,'（居民）工资表-6月'!$E:$T,16,0),0)</f>
        <v>20000</v>
      </c>
      <c r="U12" s="98">
        <f>Q12+IFERROR(VLOOKUP($E:$E,'（居民）工资表-6月'!$E:$U,17,0),0)</f>
        <v>2910.6</v>
      </c>
      <c r="V12" s="78"/>
      <c r="W12" s="78"/>
      <c r="X12" s="78"/>
      <c r="Y12" s="78"/>
      <c r="Z12" s="78"/>
      <c r="AA12" s="78"/>
      <c r="AB12" s="97">
        <f t="shared" si="1"/>
        <v>0</v>
      </c>
      <c r="AC12" s="97">
        <f>R12+IFERROR(VLOOKUP($E:$E,'（居民）工资表-6月'!$E:$AC,25,0),0)</f>
        <v>0</v>
      </c>
      <c r="AD12" s="100">
        <f t="shared" si="2"/>
        <v>29401.57</v>
      </c>
      <c r="AE12" s="101">
        <f>ROUND(MAX((AD12)*{0.03;0.1;0.2;0.25;0.3;0.35;0.45}-{0;2520;16920;31920;52920;85920;181920},0),2)</f>
        <v>882.05</v>
      </c>
      <c r="AF12" s="102">
        <f>IFERROR(VLOOKUP(E:E,'（居民）工资表-6月'!E:AF,28,0)+VLOOKUP(E:E,'（居民）工资表-6月'!E:AG,29,0),0)</f>
        <v>631.91</v>
      </c>
      <c r="AG12" s="102">
        <f t="shared" si="3"/>
        <v>250.14</v>
      </c>
      <c r="AH12" s="109">
        <f t="shared" si="4"/>
        <v>13087.74</v>
      </c>
      <c r="AI12" s="110"/>
      <c r="AJ12" s="109">
        <f t="shared" si="5"/>
        <v>13087.74</v>
      </c>
      <c r="AK12" s="111"/>
      <c r="AL12" s="109">
        <f t="shared" si="6"/>
        <v>13337.88</v>
      </c>
      <c r="AM12" s="111"/>
      <c r="AN12" s="111"/>
      <c r="AO12" s="111"/>
      <c r="AP12" s="111"/>
      <c r="AQ12" s="111"/>
      <c r="AR12" s="117" t="str">
        <f t="shared" si="7"/>
        <v>正确</v>
      </c>
      <c r="AS12" s="117" t="str">
        <f t="shared" si="8"/>
        <v>不</v>
      </c>
      <c r="AT12" s="117" t="str">
        <f t="shared" si="9"/>
        <v>重复</v>
      </c>
    </row>
    <row r="13" s="12" customFormat="1" ht="18" customHeight="1" spans="1:46">
      <c r="A13" s="36">
        <v>10</v>
      </c>
      <c r="B13" s="37" t="s">
        <v>187</v>
      </c>
      <c r="C13" s="37" t="s">
        <v>206</v>
      </c>
      <c r="D13" s="37" t="s">
        <v>188</v>
      </c>
      <c r="E13" s="37" t="s">
        <v>207</v>
      </c>
      <c r="F13" s="38" t="s">
        <v>189</v>
      </c>
      <c r="G13" s="45">
        <v>15001138812</v>
      </c>
      <c r="H13" s="40"/>
      <c r="I13" s="40"/>
      <c r="J13" s="74"/>
      <c r="K13" s="40"/>
      <c r="L13" s="78">
        <v>10420</v>
      </c>
      <c r="M13" s="76">
        <v>254.32</v>
      </c>
      <c r="N13" s="76">
        <v>63.94</v>
      </c>
      <c r="O13" s="76">
        <v>9.54</v>
      </c>
      <c r="P13" s="76">
        <v>254.32</v>
      </c>
      <c r="Q13" s="96">
        <f t="shared" si="0"/>
        <v>582.12</v>
      </c>
      <c r="R13" s="78">
        <v>0</v>
      </c>
      <c r="S13" s="97">
        <f>L13+IFERROR(VLOOKUP($E:$E,'（居民）工资表-6月'!$E:$S,15,0),0)</f>
        <v>61200</v>
      </c>
      <c r="T13" s="98">
        <f>5000+IFERROR(VLOOKUP($E:$E,'（居民）工资表-6月'!$E:$T,16,0),0)</f>
        <v>30000</v>
      </c>
      <c r="U13" s="98">
        <f>Q13+IFERROR(VLOOKUP($E:$E,'（居民）工资表-6月'!$E:$U,17,0),0)</f>
        <v>4074.84</v>
      </c>
      <c r="V13" s="78"/>
      <c r="W13" s="78"/>
      <c r="X13" s="78"/>
      <c r="Y13" s="78"/>
      <c r="Z13" s="78"/>
      <c r="AA13" s="78"/>
      <c r="AB13" s="97">
        <f t="shared" si="1"/>
        <v>0</v>
      </c>
      <c r="AC13" s="97">
        <f>R13+IFERROR(VLOOKUP($E:$E,'（居民）工资表-6月'!$E:$AC,25,0),0)</f>
        <v>0</v>
      </c>
      <c r="AD13" s="100">
        <f t="shared" si="2"/>
        <v>27125.16</v>
      </c>
      <c r="AE13" s="101">
        <f>ROUND(MAX((AD13)*{0.03;0.1;0.2;0.25;0.3;0.35;0.45}-{0;2520;16920;31920;52920;85920;181920},0),2)</f>
        <v>813.75</v>
      </c>
      <c r="AF13" s="102">
        <f>IFERROR(VLOOKUP(E:E,'（居民）工资表-6月'!E:AF,28,0)+VLOOKUP(E:E,'（居民）工资表-6月'!E:AG,29,0),0)</f>
        <v>668.62</v>
      </c>
      <c r="AG13" s="102">
        <f t="shared" si="3"/>
        <v>145.13</v>
      </c>
      <c r="AH13" s="109">
        <f t="shared" si="4"/>
        <v>9692.75</v>
      </c>
      <c r="AI13" s="110"/>
      <c r="AJ13" s="109">
        <f t="shared" si="5"/>
        <v>9692.75</v>
      </c>
      <c r="AK13" s="111"/>
      <c r="AL13" s="109">
        <f t="shared" si="6"/>
        <v>9837.88</v>
      </c>
      <c r="AM13" s="111"/>
      <c r="AN13" s="111"/>
      <c r="AO13" s="111"/>
      <c r="AP13" s="111"/>
      <c r="AQ13" s="111"/>
      <c r="AR13" s="117" t="str">
        <f t="shared" si="7"/>
        <v>正确</v>
      </c>
      <c r="AS13" s="117" t="str">
        <f t="shared" si="8"/>
        <v>不</v>
      </c>
      <c r="AT13" s="117" t="str">
        <f t="shared" si="9"/>
        <v>重复</v>
      </c>
    </row>
    <row r="14" s="12" customFormat="1" ht="18" customHeight="1" spans="1:46">
      <c r="A14" s="36">
        <v>11</v>
      </c>
      <c r="B14" s="37" t="s">
        <v>187</v>
      </c>
      <c r="C14" s="37" t="s">
        <v>208</v>
      </c>
      <c r="D14" s="37" t="s">
        <v>188</v>
      </c>
      <c r="E14" s="37" t="s">
        <v>209</v>
      </c>
      <c r="F14" s="38" t="s">
        <v>189</v>
      </c>
      <c r="G14" s="45">
        <v>15333903368</v>
      </c>
      <c r="H14" s="40"/>
      <c r="I14" s="40"/>
      <c r="J14" s="74"/>
      <c r="K14" s="40"/>
      <c r="L14" s="78">
        <v>15420</v>
      </c>
      <c r="M14" s="76">
        <v>254.32</v>
      </c>
      <c r="N14" s="76">
        <v>63.94</v>
      </c>
      <c r="O14" s="76">
        <v>9.54</v>
      </c>
      <c r="P14" s="76">
        <v>254.32</v>
      </c>
      <c r="Q14" s="96">
        <f t="shared" si="0"/>
        <v>582.12</v>
      </c>
      <c r="R14" s="78">
        <v>0</v>
      </c>
      <c r="S14" s="97">
        <f>L14+IFERROR(VLOOKUP($E:$E,'（居民）工资表-6月'!$E:$S,15,0),0)</f>
        <v>51529.57</v>
      </c>
      <c r="T14" s="98">
        <f>5000+IFERROR(VLOOKUP($E:$E,'（居民）工资表-6月'!$E:$T,16,0),0)</f>
        <v>20000</v>
      </c>
      <c r="U14" s="98">
        <f>Q14+IFERROR(VLOOKUP($E:$E,'（居民）工资表-6月'!$E:$U,17,0),0)</f>
        <v>2328.48</v>
      </c>
      <c r="V14" s="78"/>
      <c r="W14" s="78"/>
      <c r="X14" s="78"/>
      <c r="Y14" s="78"/>
      <c r="Z14" s="78"/>
      <c r="AA14" s="78"/>
      <c r="AB14" s="97">
        <f t="shared" si="1"/>
        <v>0</v>
      </c>
      <c r="AC14" s="97">
        <f>R14+IFERROR(VLOOKUP($E:$E,'（居民）工资表-6月'!$E:$AC,25,0),0)</f>
        <v>0</v>
      </c>
      <c r="AD14" s="100">
        <f t="shared" si="2"/>
        <v>29201.09</v>
      </c>
      <c r="AE14" s="101">
        <f>ROUND(MAX((AD14)*{0.03;0.1;0.2;0.25;0.3;0.35;0.45}-{0;2520;16920;31920;52920;85920;181920},0),2)</f>
        <v>876.03</v>
      </c>
      <c r="AF14" s="102">
        <f>IFERROR(VLOOKUP(E:E,'（居民）工资表-6月'!E:AF,28,0)+VLOOKUP(E:E,'（居民）工资表-6月'!E:AG,29,0),0)</f>
        <v>580.9</v>
      </c>
      <c r="AG14" s="102">
        <f t="shared" si="3"/>
        <v>295.13</v>
      </c>
      <c r="AH14" s="109">
        <f t="shared" si="4"/>
        <v>14542.75</v>
      </c>
      <c r="AI14" s="110"/>
      <c r="AJ14" s="109">
        <f t="shared" si="5"/>
        <v>14542.75</v>
      </c>
      <c r="AK14" s="111"/>
      <c r="AL14" s="109">
        <f t="shared" si="6"/>
        <v>14837.88</v>
      </c>
      <c r="AM14" s="111"/>
      <c r="AN14" s="111"/>
      <c r="AO14" s="111"/>
      <c r="AP14" s="111"/>
      <c r="AQ14" s="111"/>
      <c r="AR14" s="117" t="str">
        <f t="shared" si="7"/>
        <v>正确</v>
      </c>
      <c r="AS14" s="117" t="str">
        <f t="shared" si="8"/>
        <v>不</v>
      </c>
      <c r="AT14" s="117" t="str">
        <f t="shared" si="9"/>
        <v>重复</v>
      </c>
    </row>
    <row r="15" s="12" customFormat="1" ht="18" customHeight="1" spans="1:46">
      <c r="A15" s="36">
        <v>12</v>
      </c>
      <c r="B15" s="37" t="s">
        <v>187</v>
      </c>
      <c r="C15" s="37" t="s">
        <v>210</v>
      </c>
      <c r="D15" s="37" t="s">
        <v>188</v>
      </c>
      <c r="E15" s="37" t="s">
        <v>211</v>
      </c>
      <c r="F15" s="38" t="s">
        <v>189</v>
      </c>
      <c r="G15" s="45">
        <v>18009593554</v>
      </c>
      <c r="H15" s="40"/>
      <c r="I15" s="40"/>
      <c r="J15" s="74"/>
      <c r="K15" s="40"/>
      <c r="L15" s="78">
        <v>11820</v>
      </c>
      <c r="M15" s="76">
        <v>280.96</v>
      </c>
      <c r="N15" s="76">
        <v>83.24</v>
      </c>
      <c r="O15" s="76">
        <v>17.56</v>
      </c>
      <c r="P15" s="76">
        <v>195</v>
      </c>
      <c r="Q15" s="96">
        <f t="shared" si="0"/>
        <v>576.76</v>
      </c>
      <c r="R15" s="78">
        <v>0</v>
      </c>
      <c r="S15" s="97">
        <f>L15+IFERROR(VLOOKUP($E:$E,'（居民）工资表-6月'!$E:$S,15,0),0)</f>
        <v>30553.64</v>
      </c>
      <c r="T15" s="98">
        <f>5000+IFERROR(VLOOKUP($E:$E,'（居民）工资表-6月'!$E:$T,16,0),0)</f>
        <v>15000</v>
      </c>
      <c r="U15" s="98">
        <f>Q15+IFERROR(VLOOKUP($E:$E,'（居民）工资表-6月'!$E:$U,17,0),0)</f>
        <v>2307.04</v>
      </c>
      <c r="V15" s="78"/>
      <c r="W15" s="78"/>
      <c r="X15" s="78"/>
      <c r="Y15" s="78"/>
      <c r="Z15" s="78"/>
      <c r="AA15" s="78"/>
      <c r="AB15" s="97">
        <f t="shared" si="1"/>
        <v>0</v>
      </c>
      <c r="AC15" s="97">
        <f>R15+IFERROR(VLOOKUP($E:$E,'（居民）工资表-6月'!$E:$AC,25,0),0)</f>
        <v>0</v>
      </c>
      <c r="AD15" s="100">
        <f t="shared" si="2"/>
        <v>13246.6</v>
      </c>
      <c r="AE15" s="101">
        <f>ROUND(MAX((AD15)*{0.03;0.1;0.2;0.25;0.3;0.35;0.45}-{0;2520;16920;31920;52920;85920;181920},0),2)</f>
        <v>397.4</v>
      </c>
      <c r="AF15" s="102">
        <f>IFERROR(VLOOKUP(E:E,'（居民）工资表-6月'!E:AF,28,0)+VLOOKUP(E:E,'（居民）工资表-6月'!E:AG,29,0),0)</f>
        <v>210.1</v>
      </c>
      <c r="AG15" s="102">
        <f t="shared" si="3"/>
        <v>187.3</v>
      </c>
      <c r="AH15" s="109">
        <f t="shared" si="4"/>
        <v>11055.94</v>
      </c>
      <c r="AI15" s="110"/>
      <c r="AJ15" s="109">
        <f t="shared" si="5"/>
        <v>11055.94</v>
      </c>
      <c r="AK15" s="111"/>
      <c r="AL15" s="109">
        <f t="shared" si="6"/>
        <v>11243.24</v>
      </c>
      <c r="AM15" s="111"/>
      <c r="AN15" s="111"/>
      <c r="AO15" s="111"/>
      <c r="AP15" s="111"/>
      <c r="AQ15" s="111"/>
      <c r="AR15" s="117" t="str">
        <f t="shared" si="7"/>
        <v>正确</v>
      </c>
      <c r="AS15" s="117" t="str">
        <f t="shared" si="8"/>
        <v>不</v>
      </c>
      <c r="AT15" s="117" t="str">
        <f t="shared" si="9"/>
        <v>重复</v>
      </c>
    </row>
    <row r="16" s="12" customFormat="1" ht="18" customHeight="1" spans="1:46">
      <c r="A16" s="36">
        <v>13</v>
      </c>
      <c r="B16" s="37" t="s">
        <v>187</v>
      </c>
      <c r="C16" s="37" t="s">
        <v>212</v>
      </c>
      <c r="D16" s="37" t="s">
        <v>188</v>
      </c>
      <c r="E16" s="37" t="s">
        <v>213</v>
      </c>
      <c r="F16" s="38" t="s">
        <v>189</v>
      </c>
      <c r="G16" s="45">
        <v>17795512929</v>
      </c>
      <c r="H16" s="40"/>
      <c r="I16" s="40"/>
      <c r="J16" s="74"/>
      <c r="K16" s="40"/>
      <c r="L16" s="78">
        <v>11120</v>
      </c>
      <c r="M16" s="76">
        <v>280.96</v>
      </c>
      <c r="N16" s="76">
        <v>83.24</v>
      </c>
      <c r="O16" s="76">
        <v>17.56</v>
      </c>
      <c r="P16" s="76">
        <v>195</v>
      </c>
      <c r="Q16" s="96">
        <f t="shared" si="0"/>
        <v>576.76</v>
      </c>
      <c r="R16" s="78">
        <v>0</v>
      </c>
      <c r="S16" s="97">
        <f>L16+IFERROR(VLOOKUP($E:$E,'（居民）工资表-6月'!$E:$S,15,0),0)</f>
        <v>28740</v>
      </c>
      <c r="T16" s="98">
        <f>5000+IFERROR(VLOOKUP($E:$E,'（居民）工资表-6月'!$E:$T,16,0),0)</f>
        <v>15000</v>
      </c>
      <c r="U16" s="98">
        <f>Q16+IFERROR(VLOOKUP($E:$E,'（居民）工资表-6月'!$E:$U,17,0),0)</f>
        <v>2307.04</v>
      </c>
      <c r="V16" s="78"/>
      <c r="W16" s="78"/>
      <c r="X16" s="78"/>
      <c r="Y16" s="78"/>
      <c r="Z16" s="78"/>
      <c r="AA16" s="78"/>
      <c r="AB16" s="97">
        <f t="shared" si="1"/>
        <v>0</v>
      </c>
      <c r="AC16" s="97">
        <f>R16+IFERROR(VLOOKUP($E:$E,'（居民）工资表-6月'!$E:$AC,25,0),0)</f>
        <v>0</v>
      </c>
      <c r="AD16" s="100">
        <f t="shared" si="2"/>
        <v>11432.96</v>
      </c>
      <c r="AE16" s="101">
        <f>ROUND(MAX((AD16)*{0.03;0.1;0.2;0.25;0.3;0.35;0.45}-{0;2520;16920;31920;52920;85920;181920},0),2)</f>
        <v>342.99</v>
      </c>
      <c r="AF16" s="102">
        <f>IFERROR(VLOOKUP(E:E,'（居民）工资表-6月'!E:AF,28,0)+VLOOKUP(E:E,'（居民）工资表-6月'!E:AG,29,0),0)</f>
        <v>176.69</v>
      </c>
      <c r="AG16" s="102">
        <f t="shared" si="3"/>
        <v>166.3</v>
      </c>
      <c r="AH16" s="109">
        <f t="shared" si="4"/>
        <v>10376.94</v>
      </c>
      <c r="AI16" s="110"/>
      <c r="AJ16" s="109">
        <f t="shared" si="5"/>
        <v>10376.94</v>
      </c>
      <c r="AK16" s="111"/>
      <c r="AL16" s="109">
        <f t="shared" si="6"/>
        <v>10543.24</v>
      </c>
      <c r="AM16" s="111"/>
      <c r="AN16" s="111"/>
      <c r="AO16" s="111"/>
      <c r="AP16" s="111"/>
      <c r="AQ16" s="111"/>
      <c r="AR16" s="117" t="str">
        <f t="shared" si="7"/>
        <v>正确</v>
      </c>
      <c r="AS16" s="117" t="str">
        <f>IF(SUMPRODUCT(N(E$1:E$18=E16))&gt;1,"重复","不")</f>
        <v>不</v>
      </c>
      <c r="AT16" s="117" t="str">
        <f>IF(SUMPRODUCT(N(AO$1:AO$18=AO16))&gt;1,"重复","不")</f>
        <v>重复</v>
      </c>
    </row>
    <row r="17" s="12" customFormat="1" ht="18" customHeight="1" spans="1:46">
      <c r="A17" s="36">
        <v>14</v>
      </c>
      <c r="B17" s="37" t="s">
        <v>187</v>
      </c>
      <c r="C17" s="37" t="s">
        <v>214</v>
      </c>
      <c r="D17" s="37" t="s">
        <v>188</v>
      </c>
      <c r="E17" s="37" t="s">
        <v>215</v>
      </c>
      <c r="F17" s="38" t="s">
        <v>189</v>
      </c>
      <c r="G17" s="45">
        <v>18995128068</v>
      </c>
      <c r="H17" s="40"/>
      <c r="I17" s="40"/>
      <c r="J17" s="74"/>
      <c r="K17" s="40"/>
      <c r="L17" s="78">
        <v>11120</v>
      </c>
      <c r="M17" s="76">
        <v>280.96</v>
      </c>
      <c r="N17" s="76">
        <v>83.24</v>
      </c>
      <c r="O17" s="76">
        <v>17.56</v>
      </c>
      <c r="P17" s="76">
        <v>195</v>
      </c>
      <c r="Q17" s="96">
        <f t="shared" si="0"/>
        <v>576.76</v>
      </c>
      <c r="R17" s="78">
        <v>0</v>
      </c>
      <c r="S17" s="97">
        <f>L17+IFERROR(VLOOKUP($E:$E,'（居民）工资表-6月'!$E:$S,15,0),0)</f>
        <v>28740</v>
      </c>
      <c r="T17" s="98">
        <f>5000+IFERROR(VLOOKUP($E:$E,'（居民）工资表-6月'!$E:$T,16,0),0)</f>
        <v>15000</v>
      </c>
      <c r="U17" s="98">
        <f>Q17+IFERROR(VLOOKUP($E:$E,'（居民）工资表-6月'!$E:$U,17,0),0)</f>
        <v>2307.04</v>
      </c>
      <c r="V17" s="78"/>
      <c r="W17" s="78"/>
      <c r="X17" s="78"/>
      <c r="Y17" s="78"/>
      <c r="Z17" s="78"/>
      <c r="AA17" s="78"/>
      <c r="AB17" s="97">
        <f t="shared" si="1"/>
        <v>0</v>
      </c>
      <c r="AC17" s="97">
        <f>R17+IFERROR(VLOOKUP($E:$E,'（居民）工资表-6月'!$E:$AC,25,0),0)</f>
        <v>0</v>
      </c>
      <c r="AD17" s="100">
        <f t="shared" si="2"/>
        <v>11432.96</v>
      </c>
      <c r="AE17" s="101">
        <f>ROUND(MAX((AD17)*{0.03;0.1;0.2;0.25;0.3;0.35;0.45}-{0;2520;16920;31920;52920;85920;181920},0),2)</f>
        <v>342.99</v>
      </c>
      <c r="AF17" s="102">
        <f>IFERROR(VLOOKUP(E:E,'（居民）工资表-6月'!E:AF,28,0)+VLOOKUP(E:E,'（居民）工资表-6月'!E:AG,29,0),0)</f>
        <v>176.69</v>
      </c>
      <c r="AG17" s="102">
        <f t="shared" si="3"/>
        <v>166.3</v>
      </c>
      <c r="AH17" s="109">
        <f t="shared" si="4"/>
        <v>10376.94</v>
      </c>
      <c r="AI17" s="110"/>
      <c r="AJ17" s="109">
        <f t="shared" si="5"/>
        <v>10376.94</v>
      </c>
      <c r="AK17" s="111"/>
      <c r="AL17" s="109">
        <f t="shared" si="6"/>
        <v>10543.24</v>
      </c>
      <c r="AM17" s="111"/>
      <c r="AN17" s="111"/>
      <c r="AO17" s="111"/>
      <c r="AP17" s="111"/>
      <c r="AQ17" s="111"/>
      <c r="AR17" s="117" t="str">
        <f t="shared" si="7"/>
        <v>正确</v>
      </c>
      <c r="AS17" s="117" t="str">
        <f>IF(SUMPRODUCT(N(E$1:E$18=E17))&gt;1,"重复","不")</f>
        <v>不</v>
      </c>
      <c r="AT17" s="117" t="str">
        <f>IF(SUMPRODUCT(N(AO$1:AO$18=AO17))&gt;1,"重复","不")</f>
        <v>重复</v>
      </c>
    </row>
    <row r="18" s="12" customFormat="1" ht="18" customHeight="1" spans="1:46">
      <c r="A18" s="36">
        <v>15</v>
      </c>
      <c r="B18" s="37" t="s">
        <v>187</v>
      </c>
      <c r="C18" s="37" t="s">
        <v>228</v>
      </c>
      <c r="D18" s="37" t="s">
        <v>188</v>
      </c>
      <c r="E18" s="398" t="s">
        <v>229</v>
      </c>
      <c r="F18" s="38" t="s">
        <v>189</v>
      </c>
      <c r="G18" s="45" t="s">
        <v>230</v>
      </c>
      <c r="H18" s="40"/>
      <c r="I18" s="40"/>
      <c r="J18" s="74"/>
      <c r="K18" s="40"/>
      <c r="L18" s="78">
        <v>2363.63</v>
      </c>
      <c r="M18" s="76">
        <f>274.4*2</f>
        <v>548.8</v>
      </c>
      <c r="N18" s="76">
        <f>68.6*2</f>
        <v>137.2</v>
      </c>
      <c r="O18" s="76">
        <v>34.3</v>
      </c>
      <c r="P18" s="76">
        <f>82.5*2</f>
        <v>165</v>
      </c>
      <c r="Q18" s="96">
        <f t="shared" si="0"/>
        <v>885.3</v>
      </c>
      <c r="R18" s="78">
        <v>0</v>
      </c>
      <c r="S18" s="97">
        <f>L18+IFERROR(VLOOKUP($E:$E,'（居民）工资表-6月'!$E:$S,15,0),0)</f>
        <v>2363.63</v>
      </c>
      <c r="T18" s="98">
        <f>5000+IFERROR(VLOOKUP($E:$E,'（居民）工资表-6月'!$E:$T,16,0),0)</f>
        <v>5000</v>
      </c>
      <c r="U18" s="98">
        <f>Q18+IFERROR(VLOOKUP($E:$E,'（居民）工资表-6月'!$E:$U,17,0),0)</f>
        <v>885.3</v>
      </c>
      <c r="V18" s="78"/>
      <c r="W18" s="78"/>
      <c r="X18" s="78"/>
      <c r="Y18" s="78"/>
      <c r="Z18" s="78"/>
      <c r="AA18" s="78"/>
      <c r="AB18" s="97">
        <f t="shared" si="1"/>
        <v>0</v>
      </c>
      <c r="AC18" s="97">
        <f>R18+IFERROR(VLOOKUP($E:$E,'（居民）工资表-6月'!$E:$AC,25,0),0)</f>
        <v>0</v>
      </c>
      <c r="AD18" s="100">
        <f t="shared" si="2"/>
        <v>-3521.67</v>
      </c>
      <c r="AE18" s="101">
        <f>ROUND(MAX((AD18)*{0.03;0.1;0.2;0.25;0.3;0.35;0.45}-{0;2520;16920;31920;52920;85920;181920},0),2)</f>
        <v>0</v>
      </c>
      <c r="AF18" s="102">
        <f>IFERROR(VLOOKUP(E:E,'（居民）工资表-6月'!E:AF,28,0)+VLOOKUP(E:E,'（居民）工资表-6月'!E:AG,29,0),0)</f>
        <v>0</v>
      </c>
      <c r="AG18" s="102">
        <f t="shared" si="3"/>
        <v>0</v>
      </c>
      <c r="AH18" s="109">
        <f t="shared" si="4"/>
        <v>1478.33</v>
      </c>
      <c r="AI18" s="110"/>
      <c r="AJ18" s="109">
        <f t="shared" si="5"/>
        <v>1478.33</v>
      </c>
      <c r="AK18" s="111"/>
      <c r="AL18" s="109">
        <f t="shared" si="6"/>
        <v>1478.33</v>
      </c>
      <c r="AM18" s="111"/>
      <c r="AN18" s="111"/>
      <c r="AO18" s="111"/>
      <c r="AP18" s="111"/>
      <c r="AQ18" s="111"/>
      <c r="AR18" s="117" t="str">
        <f t="shared" si="7"/>
        <v>正确</v>
      </c>
      <c r="AS18" s="117" t="str">
        <f>IF(SUMPRODUCT(N(E$1:E$18=E18))&gt;1,"重复","不")</f>
        <v>不</v>
      </c>
      <c r="AT18" s="117" t="str">
        <f>IF(SUMPRODUCT(N(AO$1:AO$18=AO18))&gt;1,"重复","不")</f>
        <v>重复</v>
      </c>
    </row>
    <row r="19" s="13" customFormat="1" ht="18" customHeight="1" spans="1:46">
      <c r="A19" s="46"/>
      <c r="B19" s="47" t="s">
        <v>216</v>
      </c>
      <c r="C19" s="47"/>
      <c r="D19" s="48"/>
      <c r="E19" s="49"/>
      <c r="F19" s="50"/>
      <c r="G19" s="51"/>
      <c r="H19" s="50"/>
      <c r="I19" s="79"/>
      <c r="J19" s="80"/>
      <c r="K19" s="79"/>
      <c r="L19" s="81">
        <f t="shared" ref="L19:Q19" si="10">SUM(L4:L18)</f>
        <v>177213.63</v>
      </c>
      <c r="M19" s="81">
        <f t="shared" si="10"/>
        <v>4326.09</v>
      </c>
      <c r="N19" s="81">
        <f t="shared" si="10"/>
        <v>1171.64</v>
      </c>
      <c r="O19" s="81">
        <f t="shared" si="10"/>
        <v>187.88</v>
      </c>
      <c r="P19" s="81">
        <f t="shared" si="10"/>
        <v>3161.56</v>
      </c>
      <c r="Q19" s="81">
        <f t="shared" si="10"/>
        <v>8847.17</v>
      </c>
      <c r="R19" s="81">
        <f t="shared" ref="R19:AL19" si="11">SUM(R4:R18)</f>
        <v>0</v>
      </c>
      <c r="S19" s="81">
        <f t="shared" si="11"/>
        <v>799483.77</v>
      </c>
      <c r="T19" s="81">
        <f t="shared" si="11"/>
        <v>355000</v>
      </c>
      <c r="U19" s="81">
        <f t="shared" si="11"/>
        <v>46016.81</v>
      </c>
      <c r="V19" s="81">
        <f t="shared" si="11"/>
        <v>7000</v>
      </c>
      <c r="W19" s="81">
        <f t="shared" si="11"/>
        <v>4000</v>
      </c>
      <c r="X19" s="81">
        <f t="shared" si="11"/>
        <v>19000</v>
      </c>
      <c r="Y19" s="81">
        <f t="shared" si="11"/>
        <v>16500</v>
      </c>
      <c r="Z19" s="81">
        <f t="shared" si="11"/>
        <v>4400</v>
      </c>
      <c r="AA19" s="81">
        <f t="shared" si="11"/>
        <v>0</v>
      </c>
      <c r="AB19" s="81">
        <f t="shared" si="11"/>
        <v>50900</v>
      </c>
      <c r="AC19" s="81">
        <f t="shared" si="11"/>
        <v>0</v>
      </c>
      <c r="AD19" s="81">
        <f t="shared" si="11"/>
        <v>347566.96</v>
      </c>
      <c r="AE19" s="81">
        <f t="shared" si="11"/>
        <v>13818.31</v>
      </c>
      <c r="AF19" s="81">
        <f t="shared" si="11"/>
        <v>8832.8</v>
      </c>
      <c r="AG19" s="81">
        <f t="shared" si="11"/>
        <v>4985.51</v>
      </c>
      <c r="AH19" s="81">
        <f t="shared" si="11"/>
        <v>163380.95</v>
      </c>
      <c r="AI19" s="159">
        <f t="shared" si="11"/>
        <v>0</v>
      </c>
      <c r="AJ19" s="81">
        <f t="shared" si="11"/>
        <v>163380.95</v>
      </c>
      <c r="AK19" s="81">
        <f t="shared" si="11"/>
        <v>0</v>
      </c>
      <c r="AL19" s="81">
        <f t="shared" si="11"/>
        <v>168366.46</v>
      </c>
      <c r="AM19" s="112"/>
      <c r="AN19" s="112"/>
      <c r="AO19" s="112"/>
      <c r="AP19" s="112"/>
      <c r="AQ19" s="112"/>
      <c r="AR19" s="50"/>
      <c r="AS19" s="50"/>
      <c r="AT19" s="118"/>
    </row>
    <row r="22" spans="30:30">
      <c r="AD22" s="103"/>
    </row>
    <row r="23" ht="18.75" customHeight="1" spans="2:30">
      <c r="B23" s="52" t="s">
        <v>168</v>
      </c>
      <c r="C23" s="52" t="s">
        <v>217</v>
      </c>
      <c r="D23" s="52" t="s">
        <v>22</v>
      </c>
      <c r="E23" s="52" t="s">
        <v>23</v>
      </c>
      <c r="AD23" s="10"/>
    </row>
    <row r="24" ht="18.75" customHeight="1" spans="2:5">
      <c r="B24" s="53">
        <f>AJ19</f>
        <v>163380.95</v>
      </c>
      <c r="C24" s="53">
        <f>AG19</f>
        <v>4985.51</v>
      </c>
      <c r="D24" s="53">
        <f>AK19</f>
        <v>0</v>
      </c>
      <c r="E24" s="53">
        <f>B24+C24+D24</f>
        <v>168366.46</v>
      </c>
    </row>
    <row r="25" spans="2:5">
      <c r="B25" s="54"/>
      <c r="C25" s="54"/>
      <c r="D25" s="54"/>
      <c r="E25" s="54">
        <f>社保1!BC19</f>
        <v>24047.26</v>
      </c>
    </row>
    <row r="26" s="14" customFormat="1" spans="1:35">
      <c r="A26" s="55" t="s">
        <v>218</v>
      </c>
      <c r="B26" s="56" t="s">
        <v>219</v>
      </c>
      <c r="C26" s="57"/>
      <c r="D26" s="57"/>
      <c r="E26" s="57"/>
      <c r="G26" s="58"/>
      <c r="J26" s="82"/>
      <c r="M26" s="83"/>
      <c r="AI26" s="113"/>
    </row>
    <row r="27" s="14" customFormat="1" spans="1:35">
      <c r="A27" s="59"/>
      <c r="B27" s="60" t="s">
        <v>220</v>
      </c>
      <c r="C27" s="57"/>
      <c r="D27" s="57"/>
      <c r="E27" s="57"/>
      <c r="G27" s="58"/>
      <c r="J27" s="82"/>
      <c r="M27" s="83"/>
      <c r="AI27" s="113"/>
    </row>
    <row r="28" s="14" customFormat="1" spans="1:35">
      <c r="A28" s="56"/>
      <c r="B28" s="60" t="s">
        <v>221</v>
      </c>
      <c r="C28" s="61"/>
      <c r="D28" s="61"/>
      <c r="E28" s="61"/>
      <c r="F28" s="61"/>
      <c r="G28" s="61"/>
      <c r="H28" s="61"/>
      <c r="I28" s="61"/>
      <c r="J28" s="84"/>
      <c r="K28" s="61"/>
      <c r="L28" s="61"/>
      <c r="M28" s="85"/>
      <c r="N28" s="61"/>
      <c r="O28" s="61"/>
      <c r="P28" s="61"/>
      <c r="AI28" s="113"/>
    </row>
    <row r="29" s="14" customFormat="1" customHeight="1" spans="1:35">
      <c r="A29" s="60"/>
      <c r="B29" s="60" t="s">
        <v>222</v>
      </c>
      <c r="C29" s="62"/>
      <c r="D29" s="62"/>
      <c r="E29" s="62"/>
      <c r="F29" s="62"/>
      <c r="G29" s="62"/>
      <c r="H29" s="62"/>
      <c r="I29" s="86"/>
      <c r="J29" s="87"/>
      <c r="K29" s="86"/>
      <c r="L29" s="86"/>
      <c r="M29" s="88"/>
      <c r="N29" s="86"/>
      <c r="O29" s="86"/>
      <c r="P29" s="86"/>
      <c r="AI29" s="113"/>
    </row>
    <row r="30" s="14" customFormat="1" customHeight="1" spans="1:35">
      <c r="A30" s="60"/>
      <c r="B30" s="60" t="s">
        <v>223</v>
      </c>
      <c r="C30" s="62"/>
      <c r="D30" s="62"/>
      <c r="E30" s="62"/>
      <c r="F30" s="62"/>
      <c r="G30" s="62"/>
      <c r="H30" s="62"/>
      <c r="I30" s="62"/>
      <c r="J30" s="89"/>
      <c r="K30" s="62"/>
      <c r="L30" s="86"/>
      <c r="M30" s="88"/>
      <c r="N30" s="86"/>
      <c r="O30" s="86"/>
      <c r="P30" s="86"/>
      <c r="AI30" s="113"/>
    </row>
    <row r="31" s="14" customFormat="1" customHeight="1" spans="1:35">
      <c r="A31" s="60"/>
      <c r="B31" s="60" t="s">
        <v>224</v>
      </c>
      <c r="C31" s="62"/>
      <c r="D31" s="62"/>
      <c r="E31" s="62"/>
      <c r="F31" s="62"/>
      <c r="G31" s="62"/>
      <c r="H31" s="62"/>
      <c r="I31" s="86"/>
      <c r="J31" s="87"/>
      <c r="K31" s="86"/>
      <c r="L31" s="86"/>
      <c r="M31" s="88"/>
      <c r="N31" s="86"/>
      <c r="O31" s="86"/>
      <c r="P31" s="86"/>
      <c r="AI31" s="113"/>
    </row>
    <row r="33" ht="11.25" customHeight="1" spans="2:2">
      <c r="B33" s="63" t="s">
        <v>225</v>
      </c>
    </row>
    <row r="34" spans="2:2">
      <c r="B34" s="64" t="s">
        <v>226</v>
      </c>
    </row>
    <row r="35" spans="2:2">
      <c r="B35" s="64" t="s">
        <v>227</v>
      </c>
    </row>
  </sheetData>
  <autoFilter ref="A3:AT19">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31">
    <cfRule type="duplicateValues" dxfId="3" priority="2" stopIfTrue="1"/>
  </conditionalFormatting>
  <conditionalFormatting sqref="B26:B30">
    <cfRule type="duplicateValues" dxfId="3" priority="3" stopIfTrue="1"/>
  </conditionalFormatting>
  <conditionalFormatting sqref="B34:B35">
    <cfRule type="duplicateValues" dxfId="3" priority="1" stopIfTrue="1"/>
  </conditionalFormatting>
  <conditionalFormatting sqref="C23:C25">
    <cfRule type="duplicateValues" dxfId="3" priority="4" stopIfTrue="1"/>
    <cfRule type="expression" dxfId="4" priority="5" stopIfTrue="1">
      <formula>AND(COUNTIF($B$19:$B$65455,C23)+COUNTIF($B$1:$B$3,C23)&gt;1,NOT(ISBLANK(C23)))</formula>
    </cfRule>
    <cfRule type="expression" dxfId="4" priority="6" stopIfTrue="1">
      <formula>AND(COUNTIF($B$30:$B$65406,C23)+COUNTIF($B$1:$B$29,C23)&gt;1,NOT(ISBLANK(C23)))</formula>
    </cfRule>
    <cfRule type="expression" dxfId="4" priority="7" stopIfTrue="1">
      <formula>AND(COUNTIF($B$19:$B$65444,C23)+COUNTIF($B$1:$B$3,C23)&gt;1,NOT(ISBLANK(C23)))</formula>
    </cfRule>
  </conditionalFormatting>
  <pageMargins left="0.235416666666667" right="0.235416666666667" top="0.747916666666667" bottom="0.747916666666667" header="0.313888888888889" footer="0.313888888888889"/>
  <pageSetup paperSize="9" scale="56" fitToWidth="2" orientation="landscape"/>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AT36"/>
  <sheetViews>
    <sheetView workbookViewId="0">
      <pane xSplit="6" ySplit="3" topLeftCell="Q4" activePane="bottomRight" state="frozen"/>
      <selection/>
      <selection pane="topRight"/>
      <selection pane="bottomLeft"/>
      <selection pane="bottomRight" activeCell="W6" sqref="W6:Z11"/>
    </sheetView>
  </sheetViews>
  <sheetFormatPr defaultColWidth="9" defaultRowHeight="13.5"/>
  <cols>
    <col min="1" max="1" width="4.45" style="15" customWidth="1"/>
    <col min="2" max="2" width="12.6333333333333" style="15" customWidth="1"/>
    <col min="3" max="3" width="10.45" style="15" customWidth="1"/>
    <col min="4" max="4" width="8.725" style="15" customWidth="1"/>
    <col min="5" max="5" width="19.45" style="16" customWidth="1"/>
    <col min="6" max="6" width="9" style="15"/>
    <col min="7" max="7" width="11.9083333333333" style="17" customWidth="1"/>
    <col min="8" max="8" width="4.63333333333333" style="15" hidden="1" customWidth="1"/>
    <col min="9" max="9" width="5.26666666666667" style="15" hidden="1" customWidth="1"/>
    <col min="10" max="10" width="11.725" style="18" customWidth="1"/>
    <col min="11" max="11" width="5.26666666666667" style="15" customWidth="1"/>
    <col min="12" max="12" width="11.725" style="15" customWidth="1"/>
    <col min="13" max="13" width="12.45" style="15" customWidth="1" outlineLevel="1"/>
    <col min="14" max="15" width="9" style="15" customWidth="1" outlineLevel="1"/>
    <col min="16" max="16" width="11.0916666666667" style="15" customWidth="1" outlineLevel="1"/>
    <col min="17" max="17" width="9.725" style="15" customWidth="1"/>
    <col min="18" max="18" width="9.45" style="15" customWidth="1"/>
    <col min="19" max="19" width="13.3666666666667" style="15" customWidth="1"/>
    <col min="20" max="21" width="12.2666666666667" style="15" customWidth="1"/>
    <col min="22" max="27" width="9" style="15" customWidth="1" outlineLevel="1"/>
    <col min="28" max="28" width="11.2666666666667" style="15" customWidth="1"/>
    <col min="29" max="29" width="8.45" style="15" customWidth="1"/>
    <col min="30" max="30" width="15.2666666666667" style="15" customWidth="1"/>
    <col min="31" max="31" width="13.3666666666667" style="15" customWidth="1"/>
    <col min="32" max="32" width="10.725" style="15" customWidth="1"/>
    <col min="33" max="33" width="12.2666666666667" style="15" customWidth="1"/>
    <col min="34" max="34" width="11.45" style="15" customWidth="1"/>
    <col min="35" max="35" width="7.90833333333333" style="19" customWidth="1"/>
    <col min="36" max="36" width="11.45" style="15" customWidth="1"/>
    <col min="37" max="37" width="9" style="15"/>
    <col min="38" max="38" width="11.45" style="15" customWidth="1"/>
    <col min="39" max="40" width="9" style="15" customWidth="1"/>
    <col min="41" max="41" width="19" style="15" customWidth="1"/>
    <col min="42" max="42" width="12.2666666666667" style="15" customWidth="1"/>
    <col min="43" max="43" width="9" style="15"/>
    <col min="44" max="44" width="7" style="15" customWidth="1"/>
    <col min="45" max="45" width="6.725" style="15" customWidth="1"/>
    <col min="46" max="46" width="6.09166666666667" style="15" customWidth="1"/>
    <col min="47" max="16384" width="9" style="15"/>
  </cols>
  <sheetData>
    <row r="1" s="10" customFormat="1" ht="29.25" customHeight="1" spans="1:45">
      <c r="A1" s="20" t="s">
        <v>140</v>
      </c>
      <c r="B1" s="21"/>
      <c r="C1" s="22"/>
      <c r="D1" s="23"/>
      <c r="E1" s="24"/>
      <c r="F1" s="24"/>
      <c r="G1" s="25"/>
      <c r="J1" s="65"/>
      <c r="L1" s="66"/>
      <c r="M1" s="67" t="s">
        <v>141</v>
      </c>
      <c r="N1" s="67"/>
      <c r="O1" s="67"/>
      <c r="P1" s="67"/>
      <c r="Q1" s="90"/>
      <c r="R1" s="90"/>
      <c r="S1" s="90"/>
      <c r="T1" s="90"/>
      <c r="U1" s="90"/>
      <c r="V1" s="90"/>
      <c r="W1" s="90"/>
      <c r="X1" s="90"/>
      <c r="Y1" s="90"/>
      <c r="Z1" s="90"/>
      <c r="AA1" s="90"/>
      <c r="AB1" s="90"/>
      <c r="AC1" s="90"/>
      <c r="AD1" s="66"/>
      <c r="AE1" s="66"/>
      <c r="AF1" s="66"/>
      <c r="AG1" s="66"/>
      <c r="AH1" s="66"/>
      <c r="AI1" s="104"/>
      <c r="AJ1" s="66"/>
      <c r="AK1" s="66"/>
      <c r="AL1" s="66"/>
      <c r="AM1" s="24"/>
      <c r="AN1" s="24"/>
      <c r="AO1" s="114"/>
      <c r="AP1" s="24"/>
      <c r="AQ1" s="24"/>
      <c r="AR1" s="24"/>
      <c r="AS1" s="24"/>
    </row>
    <row r="2" s="11" customFormat="1" ht="20.15" customHeight="1" spans="1:46">
      <c r="A2" s="26" t="s">
        <v>0</v>
      </c>
      <c r="B2" s="27" t="s">
        <v>142</v>
      </c>
      <c r="C2" s="28" t="s">
        <v>143</v>
      </c>
      <c r="D2" s="28" t="s">
        <v>144</v>
      </c>
      <c r="E2" s="29" t="s">
        <v>145</v>
      </c>
      <c r="F2" s="30" t="s">
        <v>146</v>
      </c>
      <c r="G2" s="29" t="s">
        <v>147</v>
      </c>
      <c r="H2" s="29" t="s">
        <v>148</v>
      </c>
      <c r="I2" s="29" t="s">
        <v>149</v>
      </c>
      <c r="J2" s="68" t="s">
        <v>150</v>
      </c>
      <c r="K2" s="29" t="s">
        <v>151</v>
      </c>
      <c r="L2" s="29" t="s">
        <v>152</v>
      </c>
      <c r="M2" s="69" t="s">
        <v>153</v>
      </c>
      <c r="N2" s="70"/>
      <c r="O2" s="70"/>
      <c r="P2" s="71"/>
      <c r="Q2" s="30" t="s">
        <v>154</v>
      </c>
      <c r="R2" s="29" t="s">
        <v>155</v>
      </c>
      <c r="S2" s="30" t="s">
        <v>156</v>
      </c>
      <c r="T2" s="91" t="s">
        <v>157</v>
      </c>
      <c r="U2" s="30" t="s">
        <v>158</v>
      </c>
      <c r="V2" s="92" t="s">
        <v>159</v>
      </c>
      <c r="W2" s="93"/>
      <c r="X2" s="93"/>
      <c r="Y2" s="93"/>
      <c r="Z2" s="93"/>
      <c r="AA2" s="99"/>
      <c r="AB2" s="30" t="s">
        <v>160</v>
      </c>
      <c r="AC2" s="30" t="s">
        <v>161</v>
      </c>
      <c r="AD2" s="91" t="s">
        <v>162</v>
      </c>
      <c r="AE2" s="91" t="s">
        <v>163</v>
      </c>
      <c r="AF2" s="91" t="s">
        <v>164</v>
      </c>
      <c r="AG2" s="91" t="s">
        <v>165</v>
      </c>
      <c r="AH2" s="105" t="s">
        <v>166</v>
      </c>
      <c r="AI2" s="106" t="s">
        <v>167</v>
      </c>
      <c r="AJ2" s="105" t="s">
        <v>168</v>
      </c>
      <c r="AK2" s="28" t="s">
        <v>22</v>
      </c>
      <c r="AL2" s="105" t="s">
        <v>169</v>
      </c>
      <c r="AM2" s="29" t="s">
        <v>170</v>
      </c>
      <c r="AN2" s="29" t="s">
        <v>171</v>
      </c>
      <c r="AO2" s="115" t="s">
        <v>172</v>
      </c>
      <c r="AP2" s="29" t="s">
        <v>173</v>
      </c>
      <c r="AQ2" s="29" t="s">
        <v>174</v>
      </c>
      <c r="AR2" s="30" t="s">
        <v>175</v>
      </c>
      <c r="AS2" s="30" t="s">
        <v>176</v>
      </c>
      <c r="AT2" s="30" t="s">
        <v>177</v>
      </c>
    </row>
    <row r="3" s="11" customFormat="1" ht="27" customHeight="1" spans="1:46">
      <c r="A3" s="31"/>
      <c r="B3" s="32"/>
      <c r="C3" s="33"/>
      <c r="D3" s="33"/>
      <c r="E3" s="34"/>
      <c r="F3" s="35"/>
      <c r="G3" s="34"/>
      <c r="H3" s="34"/>
      <c r="I3" s="34"/>
      <c r="J3" s="72"/>
      <c r="K3" s="34"/>
      <c r="L3" s="34"/>
      <c r="M3" s="73" t="s">
        <v>178</v>
      </c>
      <c r="N3" s="73" t="s">
        <v>179</v>
      </c>
      <c r="O3" s="73" t="s">
        <v>180</v>
      </c>
      <c r="P3" s="73" t="s">
        <v>37</v>
      </c>
      <c r="Q3" s="35"/>
      <c r="R3" s="34"/>
      <c r="S3" s="35"/>
      <c r="T3" s="94"/>
      <c r="U3" s="35"/>
      <c r="V3" s="95" t="s">
        <v>181</v>
      </c>
      <c r="W3" s="95" t="s">
        <v>182</v>
      </c>
      <c r="X3" s="95" t="s">
        <v>183</v>
      </c>
      <c r="Y3" s="95" t="s">
        <v>184</v>
      </c>
      <c r="Z3" s="95" t="s">
        <v>185</v>
      </c>
      <c r="AA3" s="95" t="s">
        <v>186</v>
      </c>
      <c r="AB3" s="35"/>
      <c r="AC3" s="35"/>
      <c r="AD3" s="94"/>
      <c r="AE3" s="94"/>
      <c r="AF3" s="94"/>
      <c r="AG3" s="94"/>
      <c r="AH3" s="107"/>
      <c r="AI3" s="108"/>
      <c r="AJ3" s="107"/>
      <c r="AK3" s="33"/>
      <c r="AL3" s="107"/>
      <c r="AM3" s="34"/>
      <c r="AN3" s="34"/>
      <c r="AO3" s="116"/>
      <c r="AP3" s="34"/>
      <c r="AQ3" s="34"/>
      <c r="AR3" s="35"/>
      <c r="AS3" s="35"/>
      <c r="AT3" s="35"/>
    </row>
    <row r="4" s="12" customFormat="1" ht="18" customHeight="1" spans="1:46">
      <c r="A4" s="36">
        <v>1</v>
      </c>
      <c r="B4" s="37" t="s">
        <v>187</v>
      </c>
      <c r="C4" s="37" t="s">
        <v>43</v>
      </c>
      <c r="D4" s="37" t="s">
        <v>188</v>
      </c>
      <c r="E4" s="37" t="s">
        <v>44</v>
      </c>
      <c r="F4" s="38" t="s">
        <v>189</v>
      </c>
      <c r="G4" s="45">
        <v>18035163638</v>
      </c>
      <c r="H4" s="40"/>
      <c r="I4" s="40"/>
      <c r="J4" s="74"/>
      <c r="K4" s="40"/>
      <c r="L4" s="78">
        <v>10560</v>
      </c>
      <c r="M4" s="76">
        <v>422.72</v>
      </c>
      <c r="N4" s="76">
        <v>66</v>
      </c>
      <c r="O4" s="76">
        <v>15.82</v>
      </c>
      <c r="P4" s="76">
        <v>180</v>
      </c>
      <c r="Q4" s="96">
        <f>ROUND(SUM(M4:P4),2)</f>
        <v>684.54</v>
      </c>
      <c r="R4" s="78">
        <v>0</v>
      </c>
      <c r="S4" s="97">
        <f>L4+IFERROR(VLOOKUP($E:$E,'（居民）工资表-7月'!$E:$S,15,0),0)</f>
        <v>78600</v>
      </c>
      <c r="T4" s="98">
        <f>5000+IFERROR(VLOOKUP($E:$E,'（居民）工资表-7月'!$E:$T,16,0),0)</f>
        <v>40000</v>
      </c>
      <c r="U4" s="98">
        <f>Q4+IFERROR(VLOOKUP($E:$E,'（居民）工资表-7月'!$E:$U,17,0),0)</f>
        <v>4323.84</v>
      </c>
      <c r="V4" s="78">
        <v>8000</v>
      </c>
      <c r="W4" s="78"/>
      <c r="X4" s="78">
        <v>8000</v>
      </c>
      <c r="Y4" s="78"/>
      <c r="Z4" s="78">
        <v>3200</v>
      </c>
      <c r="AA4" s="78"/>
      <c r="AB4" s="97">
        <f>ROUND(SUM(V4:AA4),2)</f>
        <v>19200</v>
      </c>
      <c r="AC4" s="97">
        <f>R4+IFERROR(VLOOKUP($E:$E,'（居民）工资表-7月'!$E:$AC,25,0),0)</f>
        <v>0</v>
      </c>
      <c r="AD4" s="100">
        <f>ROUND(S4-T4-U4-AB4-AC4,2)</f>
        <v>15076.16</v>
      </c>
      <c r="AE4" s="101">
        <f>ROUND(MAX((AD4)*{0.03;0.1;0.2;0.25;0.3;0.35;0.45}-{0;2520;16920;31920;52920;85920;181920},0),2)</f>
        <v>452.28</v>
      </c>
      <c r="AF4" s="102">
        <f>IFERROR(VLOOKUP(E:E,'（居民）工资表-7月'!E:AF,28,0)+VLOOKUP(E:E,'（居民）工资表-7月'!E:AG,29,0),0)</f>
        <v>378.02</v>
      </c>
      <c r="AG4" s="102">
        <f>IF((AE4-AF4)&lt;0,0,AE4-AF4)</f>
        <v>74.26</v>
      </c>
      <c r="AH4" s="109">
        <f>ROUND(IF((L4-Q4-AG4)&lt;0,0,(L4-Q4-AG4)),2)</f>
        <v>9801.2</v>
      </c>
      <c r="AI4" s="110"/>
      <c r="AJ4" s="109">
        <f>AH4+AI4</f>
        <v>9801.2</v>
      </c>
      <c r="AK4" s="111"/>
      <c r="AL4" s="109">
        <f>AJ4+AG4+AK4</f>
        <v>9875.46</v>
      </c>
      <c r="AM4" s="111"/>
      <c r="AN4" s="111"/>
      <c r="AO4" s="111"/>
      <c r="AP4" s="111"/>
      <c r="AQ4" s="111"/>
      <c r="AR4" s="117"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7" t="str">
        <f>IF(SUMPRODUCT(N(E$1:E$18=E4))&gt;1,"重复","不")</f>
        <v>不</v>
      </c>
      <c r="AT4" s="117" t="str">
        <f>IF(SUMPRODUCT(N(AO$1:AO$18=AO4))&gt;1,"重复","不")</f>
        <v>重复</v>
      </c>
    </row>
    <row r="5" s="12" customFormat="1" ht="18" customHeight="1" spans="1:46">
      <c r="A5" s="36">
        <v>2</v>
      </c>
      <c r="B5" s="37" t="s">
        <v>187</v>
      </c>
      <c r="C5" s="37" t="s">
        <v>61</v>
      </c>
      <c r="D5" s="37" t="s">
        <v>188</v>
      </c>
      <c r="E5" s="37" t="s">
        <v>62</v>
      </c>
      <c r="F5" s="38" t="s">
        <v>189</v>
      </c>
      <c r="G5" s="45">
        <v>13944441728</v>
      </c>
      <c r="H5" s="40"/>
      <c r="I5" s="40"/>
      <c r="J5" s="74"/>
      <c r="K5" s="40"/>
      <c r="L5" s="78">
        <v>7000</v>
      </c>
      <c r="M5" s="76">
        <v>268.81</v>
      </c>
      <c r="N5" s="76">
        <v>72.06</v>
      </c>
      <c r="O5" s="76">
        <v>10.08</v>
      </c>
      <c r="P5" s="76">
        <v>82</v>
      </c>
      <c r="Q5" s="96">
        <f>ROUND(SUM(M5:P5),2)</f>
        <v>432.95</v>
      </c>
      <c r="R5" s="78">
        <v>0</v>
      </c>
      <c r="S5" s="97">
        <f>L5+IFERROR(VLOOKUP($E:$E,'（居民）工资表-7月'!$E:$S,15,0),0)</f>
        <v>56000</v>
      </c>
      <c r="T5" s="98">
        <f>5000+IFERROR(VLOOKUP($E:$E,'（居民）工资表-7月'!$E:$T,16,0),0)</f>
        <v>40000</v>
      </c>
      <c r="U5" s="98">
        <f>Q5+IFERROR(VLOOKUP($E:$E,'（居民）工资表-7月'!$E:$U,17,0),0)</f>
        <v>3463.6</v>
      </c>
      <c r="V5" s="78"/>
      <c r="W5" s="78"/>
      <c r="X5" s="78">
        <v>8000</v>
      </c>
      <c r="Y5" s="78"/>
      <c r="Z5" s="78"/>
      <c r="AA5" s="78"/>
      <c r="AB5" s="97">
        <f>ROUND(SUM(V5:AA5),2)</f>
        <v>8000</v>
      </c>
      <c r="AC5" s="97">
        <f>R5+IFERROR(VLOOKUP($E:$E,'（居民）工资表-7月'!$E:$AC,25,0),0)</f>
        <v>0</v>
      </c>
      <c r="AD5" s="100">
        <f>ROUND(S5-T5-U5-AB5-AC5,2)</f>
        <v>4536.4</v>
      </c>
      <c r="AE5" s="101">
        <f>ROUND(MAX((AD5)*{0.03;0.1;0.2;0.25;0.3;0.35;0.45}-{0;2520;16920;31920;52920;85920;181920},0),2)</f>
        <v>136.09</v>
      </c>
      <c r="AF5" s="102">
        <f>IFERROR(VLOOKUP(E:E,'（居民）工资表-7月'!E:AF,28,0)+VLOOKUP(E:E,'（居民）工资表-7月'!E:AG,29,0),0)</f>
        <v>119.08</v>
      </c>
      <c r="AG5" s="102">
        <f>IF((AE5-AF5)&lt;0,0,AE5-AF5)</f>
        <v>17.01</v>
      </c>
      <c r="AH5" s="109">
        <f>ROUND(IF((L5-Q5-AG5)&lt;0,0,(L5-Q5-AG5)),2)</f>
        <v>6550.04</v>
      </c>
      <c r="AI5" s="110"/>
      <c r="AJ5" s="109">
        <f>AH5+AI5</f>
        <v>6550.04</v>
      </c>
      <c r="AK5" s="111"/>
      <c r="AL5" s="109">
        <f>AJ5+AG5+AK5</f>
        <v>6567.05</v>
      </c>
      <c r="AM5" s="111"/>
      <c r="AN5" s="111"/>
      <c r="AO5" s="111"/>
      <c r="AP5" s="111"/>
      <c r="AQ5" s="111"/>
      <c r="AR5" s="117"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117" t="str">
        <f>IF(SUMPRODUCT(N(E$1:E$18=E5))&gt;1,"重复","不")</f>
        <v>不</v>
      </c>
      <c r="AT5" s="117" t="str">
        <f>IF(SUMPRODUCT(N(AO$1:AO$18=AO5))&gt;1,"重复","不")</f>
        <v>重复</v>
      </c>
    </row>
    <row r="6" s="12" customFormat="1" ht="18" customHeight="1" spans="1:46">
      <c r="A6" s="36">
        <v>3</v>
      </c>
      <c r="B6" s="37" t="s">
        <v>187</v>
      </c>
      <c r="C6" s="37" t="s">
        <v>104</v>
      </c>
      <c r="D6" s="37" t="s">
        <v>188</v>
      </c>
      <c r="E6" s="398" t="s">
        <v>105</v>
      </c>
      <c r="F6" s="38" t="s">
        <v>190</v>
      </c>
      <c r="G6" s="45">
        <v>15360550807</v>
      </c>
      <c r="H6" s="40"/>
      <c r="I6" s="40"/>
      <c r="J6" s="74"/>
      <c r="K6" s="40"/>
      <c r="L6" s="78">
        <v>5700</v>
      </c>
      <c r="M6" s="76">
        <v>367.04</v>
      </c>
      <c r="N6" s="76">
        <v>153.42</v>
      </c>
      <c r="O6" s="76">
        <v>4.6</v>
      </c>
      <c r="P6" s="76">
        <v>115</v>
      </c>
      <c r="Q6" s="96">
        <f t="shared" ref="Q6:Q19" si="0">ROUND(SUM(M6:P6),2)</f>
        <v>640.06</v>
      </c>
      <c r="R6" s="78">
        <v>0</v>
      </c>
      <c r="S6" s="97">
        <f>L6+IFERROR(VLOOKUP($E:$E,'（居民）工资表-7月'!$E:$S,15,0),0)</f>
        <v>45600</v>
      </c>
      <c r="T6" s="98">
        <f>5000+IFERROR(VLOOKUP($E:$E,'（居民）工资表-7月'!$E:$T,16,0),0)</f>
        <v>40000</v>
      </c>
      <c r="U6" s="98">
        <f>Q6+IFERROR(VLOOKUP($E:$E,'（居民）工资表-7月'!$E:$U,17,0),0)</f>
        <v>5021.8</v>
      </c>
      <c r="V6" s="78"/>
      <c r="W6" s="78"/>
      <c r="X6" s="78"/>
      <c r="Y6" s="78">
        <v>12000</v>
      </c>
      <c r="Z6" s="78"/>
      <c r="AA6" s="78"/>
      <c r="AB6" s="97">
        <f t="shared" ref="AB6:AB19" si="1">ROUND(SUM(V6:AA6),2)</f>
        <v>12000</v>
      </c>
      <c r="AC6" s="97">
        <f>R6+IFERROR(VLOOKUP($E:$E,'（居民）工资表-7月'!$E:$AC,25,0),0)</f>
        <v>0</v>
      </c>
      <c r="AD6" s="100">
        <f t="shared" ref="AD6:AD19" si="2">ROUND(S6-T6-U6-AB6-AC6,2)</f>
        <v>-11421.8</v>
      </c>
      <c r="AE6" s="101">
        <f>ROUND(MAX((AD6)*{0.03;0.1;0.2;0.25;0.3;0.35;0.45}-{0;2520;16920;31920;52920;85920;181920},0),2)</f>
        <v>0</v>
      </c>
      <c r="AF6" s="102">
        <f>IFERROR(VLOOKUP(E:E,'（居民）工资表-7月'!E:AF,28,0)+VLOOKUP(E:E,'（居民）工资表-7月'!E:AG,29,0),0)</f>
        <v>0</v>
      </c>
      <c r="AG6" s="102">
        <f t="shared" ref="AG6:AG19" si="3">IF((AE6-AF6)&lt;0,0,AE6-AF6)</f>
        <v>0</v>
      </c>
      <c r="AH6" s="109">
        <f t="shared" ref="AH6:AH19" si="4">ROUND(IF((L6-Q6-AG6)&lt;0,0,(L6-Q6-AG6)),2)</f>
        <v>5059.94</v>
      </c>
      <c r="AI6" s="110"/>
      <c r="AJ6" s="109">
        <f t="shared" ref="AJ6:AJ19" si="5">AH6+AI6</f>
        <v>5059.94</v>
      </c>
      <c r="AK6" s="111"/>
      <c r="AL6" s="109">
        <f t="shared" ref="AL6:AL19" si="6">AJ6+AG6+AK6</f>
        <v>5059.94</v>
      </c>
      <c r="AM6" s="111"/>
      <c r="AN6" s="111"/>
      <c r="AO6" s="111"/>
      <c r="AP6" s="111"/>
      <c r="AQ6" s="111"/>
      <c r="AR6" s="117" t="str">
        <f t="shared" ref="AR6:AR19" si="7">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117" t="str">
        <f t="shared" ref="AS6:AS16" si="8">IF(SUMPRODUCT(N(E$1:E$18=E6))&gt;1,"重复","不")</f>
        <v>不</v>
      </c>
      <c r="AT6" s="117" t="str">
        <f t="shared" ref="AT6:AT16" si="9">IF(SUMPRODUCT(N(AO$1:AO$18=AO6))&gt;1,"重复","不")</f>
        <v>重复</v>
      </c>
    </row>
    <row r="7" s="12" customFormat="1" ht="18" customHeight="1" spans="1:46">
      <c r="A7" s="36">
        <v>4</v>
      </c>
      <c r="B7" s="37" t="s">
        <v>187</v>
      </c>
      <c r="C7" s="37" t="s">
        <v>191</v>
      </c>
      <c r="D7" s="37" t="s">
        <v>188</v>
      </c>
      <c r="E7" s="37" t="s">
        <v>192</v>
      </c>
      <c r="F7" s="38" t="s">
        <v>189</v>
      </c>
      <c r="G7" s="45">
        <v>18037463616</v>
      </c>
      <c r="H7" s="40"/>
      <c r="I7" s="40"/>
      <c r="J7" s="74"/>
      <c r="K7" s="40"/>
      <c r="L7" s="78">
        <v>14320</v>
      </c>
      <c r="M7" s="76">
        <v>309.52</v>
      </c>
      <c r="N7" s="76">
        <v>77.38</v>
      </c>
      <c r="O7" s="76">
        <v>11.61</v>
      </c>
      <c r="P7" s="76">
        <v>254.32</v>
      </c>
      <c r="Q7" s="96">
        <f t="shared" si="0"/>
        <v>652.83</v>
      </c>
      <c r="R7" s="78">
        <v>0</v>
      </c>
      <c r="S7" s="97">
        <f>L7+IFERROR(VLOOKUP($E:$E,'（居民）工资表-7月'!$E:$S,15,0),0)</f>
        <v>99672.63</v>
      </c>
      <c r="T7" s="98">
        <f>5000+IFERROR(VLOOKUP($E:$E,'（居民）工资表-7月'!$E:$T,16,0),0)</f>
        <v>35000</v>
      </c>
      <c r="U7" s="98">
        <f>Q7+IFERROR(VLOOKUP($E:$E,'（居民）工资表-7月'!$E:$U,17,0),0)</f>
        <v>4627.2</v>
      </c>
      <c r="V7" s="78"/>
      <c r="W7" s="78"/>
      <c r="Y7" s="78"/>
      <c r="Z7" s="78"/>
      <c r="AA7" s="78"/>
      <c r="AB7" s="97">
        <f t="shared" si="1"/>
        <v>0</v>
      </c>
      <c r="AC7" s="97">
        <f>R7+IFERROR(VLOOKUP($E:$E,'（居民）工资表-7月'!$E:$AC,25,0),0)</f>
        <v>0</v>
      </c>
      <c r="AD7" s="100">
        <f t="shared" si="2"/>
        <v>60045.43</v>
      </c>
      <c r="AE7" s="101">
        <f>ROUND(MAX((AD7)*{0.03;0.1;0.2;0.25;0.3;0.35;0.45}-{0;2520;16920;31920;52920;85920;181920},0),2)</f>
        <v>3484.54</v>
      </c>
      <c r="AF7" s="102">
        <f>IFERROR(VLOOKUP(E:E,'（居民）工资表-7月'!E:AF,28,0)+VLOOKUP(E:E,'（居民）工资表-7月'!E:AG,29,0),0)</f>
        <v>2117.83</v>
      </c>
      <c r="AG7" s="102">
        <f t="shared" si="3"/>
        <v>1366.71</v>
      </c>
      <c r="AH7" s="109">
        <f t="shared" si="4"/>
        <v>12300.46</v>
      </c>
      <c r="AI7" s="110"/>
      <c r="AJ7" s="109">
        <f t="shared" si="5"/>
        <v>12300.46</v>
      </c>
      <c r="AK7" s="111"/>
      <c r="AL7" s="109">
        <f t="shared" si="6"/>
        <v>13667.17</v>
      </c>
      <c r="AM7" s="111"/>
      <c r="AN7" s="111"/>
      <c r="AO7" s="111"/>
      <c r="AP7" s="111"/>
      <c r="AQ7" s="111"/>
      <c r="AR7" s="117" t="str">
        <f t="shared" si="7"/>
        <v>正确</v>
      </c>
      <c r="AS7" s="117" t="str">
        <f t="shared" si="8"/>
        <v>不</v>
      </c>
      <c r="AT7" s="117" t="str">
        <f t="shared" si="9"/>
        <v>重复</v>
      </c>
    </row>
    <row r="8" s="12" customFormat="1" ht="18" customHeight="1" spans="1:46">
      <c r="A8" s="36">
        <v>5</v>
      </c>
      <c r="B8" s="37" t="s">
        <v>187</v>
      </c>
      <c r="C8" s="37" t="s">
        <v>193</v>
      </c>
      <c r="D8" s="37" t="s">
        <v>188</v>
      </c>
      <c r="E8" s="398" t="s">
        <v>194</v>
      </c>
      <c r="F8" s="38" t="s">
        <v>189</v>
      </c>
      <c r="G8" s="45">
        <v>18500634358</v>
      </c>
      <c r="H8" s="40"/>
      <c r="I8" s="40"/>
      <c r="J8" s="74"/>
      <c r="K8" s="40"/>
      <c r="L8" s="78">
        <v>14620</v>
      </c>
      <c r="M8" s="76">
        <v>309.52</v>
      </c>
      <c r="N8" s="76">
        <v>77.38</v>
      </c>
      <c r="O8" s="76">
        <v>11.61</v>
      </c>
      <c r="P8" s="76">
        <v>254.32</v>
      </c>
      <c r="Q8" s="96">
        <f t="shared" si="0"/>
        <v>652.83</v>
      </c>
      <c r="R8" s="78">
        <v>0</v>
      </c>
      <c r="S8" s="97">
        <f>L8+IFERROR(VLOOKUP($E:$E,'（居民）工资表-7月'!$E:$S,15,0),0)</f>
        <v>102820</v>
      </c>
      <c r="T8" s="98">
        <f>5000+IFERROR(VLOOKUP($E:$E,'（居民）工资表-7月'!$E:$T,16,0),0)</f>
        <v>35000</v>
      </c>
      <c r="U8" s="98">
        <f>Q8+IFERROR(VLOOKUP($E:$E,'（居民）工资表-7月'!$E:$U,17,0),0)</f>
        <v>4627.2</v>
      </c>
      <c r="V8" s="78"/>
      <c r="W8" s="78"/>
      <c r="X8" s="78">
        <v>5000</v>
      </c>
      <c r="Y8" s="78"/>
      <c r="Z8" s="78"/>
      <c r="AA8" s="78"/>
      <c r="AB8" s="97">
        <f t="shared" si="1"/>
        <v>5000</v>
      </c>
      <c r="AC8" s="97">
        <f>R8+IFERROR(VLOOKUP($E:$E,'（居民）工资表-7月'!$E:$AC,25,0),0)</f>
        <v>0</v>
      </c>
      <c r="AD8" s="100">
        <f t="shared" si="2"/>
        <v>58192.8</v>
      </c>
      <c r="AE8" s="101">
        <f>ROUND(MAX((AD8)*{0.03;0.1;0.2;0.25;0.3;0.35;0.45}-{0;2520;16920;31920;52920;85920;181920},0),2)</f>
        <v>3299.28</v>
      </c>
      <c r="AF8" s="102">
        <f>IFERROR(VLOOKUP(E:E,'（居民）工资表-7月'!E:AF,28,0)+VLOOKUP(E:E,'（居民）工资表-7月'!E:AG,29,0),0)</f>
        <v>2902.56</v>
      </c>
      <c r="AG8" s="102">
        <f t="shared" si="3"/>
        <v>396.72</v>
      </c>
      <c r="AH8" s="109">
        <f t="shared" si="4"/>
        <v>13570.45</v>
      </c>
      <c r="AI8" s="110"/>
      <c r="AJ8" s="109">
        <f t="shared" si="5"/>
        <v>13570.45</v>
      </c>
      <c r="AK8" s="111"/>
      <c r="AL8" s="109">
        <f t="shared" si="6"/>
        <v>13967.17</v>
      </c>
      <c r="AM8" s="111"/>
      <c r="AN8" s="111"/>
      <c r="AO8" s="111"/>
      <c r="AP8" s="111"/>
      <c r="AQ8" s="111"/>
      <c r="AR8" s="117" t="str">
        <f t="shared" si="7"/>
        <v>正确</v>
      </c>
      <c r="AS8" s="117" t="str">
        <f t="shared" si="8"/>
        <v>不</v>
      </c>
      <c r="AT8" s="117" t="str">
        <f t="shared" si="9"/>
        <v>重复</v>
      </c>
    </row>
    <row r="9" s="12" customFormat="1" ht="18" customHeight="1" spans="1:46">
      <c r="A9" s="36">
        <v>6</v>
      </c>
      <c r="B9" s="37" t="s">
        <v>187</v>
      </c>
      <c r="C9" s="37" t="s">
        <v>195</v>
      </c>
      <c r="D9" s="37" t="s">
        <v>188</v>
      </c>
      <c r="E9" s="37" t="s">
        <v>196</v>
      </c>
      <c r="F9" s="38" t="s">
        <v>189</v>
      </c>
      <c r="G9" s="45">
        <v>18738169923</v>
      </c>
      <c r="H9" s="40"/>
      <c r="I9" s="40"/>
      <c r="J9" s="74"/>
      <c r="K9" s="40"/>
      <c r="L9" s="78">
        <v>12120</v>
      </c>
      <c r="M9" s="76">
        <v>309.52</v>
      </c>
      <c r="N9" s="76">
        <v>77.38</v>
      </c>
      <c r="O9" s="76">
        <v>11.61</v>
      </c>
      <c r="P9" s="76">
        <v>254.32</v>
      </c>
      <c r="Q9" s="96">
        <f t="shared" si="0"/>
        <v>652.83</v>
      </c>
      <c r="R9" s="78">
        <v>0</v>
      </c>
      <c r="S9" s="97">
        <f>L9+IFERROR(VLOOKUP($E:$E,'（居民）工资表-7月'!$E:$S,15,0),0)</f>
        <v>85320</v>
      </c>
      <c r="T9" s="98">
        <f>5000+IFERROR(VLOOKUP($E:$E,'（居民）工资表-7月'!$E:$T,16,0),0)</f>
        <v>35000</v>
      </c>
      <c r="U9" s="98">
        <f>Q9+IFERROR(VLOOKUP($E:$E,'（居民）工资表-7月'!$E:$U,17,0),0)</f>
        <v>4727.67</v>
      </c>
      <c r="V9" s="78"/>
      <c r="W9" s="78"/>
      <c r="X9" s="78"/>
      <c r="Y9" s="78"/>
      <c r="Z9" s="78"/>
      <c r="AA9" s="78"/>
      <c r="AB9" s="97">
        <f t="shared" si="1"/>
        <v>0</v>
      </c>
      <c r="AC9" s="97">
        <f>R9+IFERROR(VLOOKUP($E:$E,'（居民）工资表-7月'!$E:$AC,25,0),0)</f>
        <v>0</v>
      </c>
      <c r="AD9" s="100">
        <f t="shared" si="2"/>
        <v>45592.33</v>
      </c>
      <c r="AE9" s="101">
        <f>ROUND(MAX((AD9)*{0.03;0.1;0.2;0.25;0.3;0.35;0.45}-{0;2520;16920;31920;52920;85920;181920},0),2)</f>
        <v>2039.23</v>
      </c>
      <c r="AF9" s="102">
        <f>IFERROR(VLOOKUP(E:E,'（居民）工资表-7月'!E:AF,28,0)+VLOOKUP(E:E,'（居民）工资表-7月'!E:AG,29,0),0)</f>
        <v>1392.52</v>
      </c>
      <c r="AG9" s="102">
        <f t="shared" si="3"/>
        <v>646.71</v>
      </c>
      <c r="AH9" s="109">
        <f t="shared" si="4"/>
        <v>10820.46</v>
      </c>
      <c r="AI9" s="110"/>
      <c r="AJ9" s="109">
        <f t="shared" si="5"/>
        <v>10820.46</v>
      </c>
      <c r="AK9" s="111"/>
      <c r="AL9" s="109">
        <f t="shared" si="6"/>
        <v>11467.17</v>
      </c>
      <c r="AM9" s="111"/>
      <c r="AN9" s="111"/>
      <c r="AO9" s="111"/>
      <c r="AP9" s="111"/>
      <c r="AQ9" s="111"/>
      <c r="AR9" s="117" t="str">
        <f t="shared" si="7"/>
        <v>正确</v>
      </c>
      <c r="AS9" s="117" t="str">
        <f t="shared" si="8"/>
        <v>不</v>
      </c>
      <c r="AT9" s="117" t="str">
        <f t="shared" si="9"/>
        <v>重复</v>
      </c>
    </row>
    <row r="10" s="12" customFormat="1" ht="18" customHeight="1" spans="1:46">
      <c r="A10" s="36">
        <v>7</v>
      </c>
      <c r="B10" s="37" t="s">
        <v>187</v>
      </c>
      <c r="C10" s="37" t="s">
        <v>197</v>
      </c>
      <c r="D10" s="37" t="s">
        <v>188</v>
      </c>
      <c r="E10" s="37" t="s">
        <v>198</v>
      </c>
      <c r="F10" s="38" t="s">
        <v>189</v>
      </c>
      <c r="G10" s="45" t="s">
        <v>199</v>
      </c>
      <c r="H10" s="40"/>
      <c r="I10" s="40"/>
      <c r="J10" s="74"/>
      <c r="K10" s="40"/>
      <c r="L10" s="78">
        <v>17120</v>
      </c>
      <c r="M10" s="76">
        <v>309.52</v>
      </c>
      <c r="N10" s="76">
        <v>77.38</v>
      </c>
      <c r="O10" s="76">
        <v>11.61</v>
      </c>
      <c r="P10" s="76">
        <v>254.32</v>
      </c>
      <c r="Q10" s="96">
        <f t="shared" si="0"/>
        <v>652.83</v>
      </c>
      <c r="R10" s="78">
        <v>0</v>
      </c>
      <c r="S10" s="97">
        <f>L10+IFERROR(VLOOKUP($E:$E,'（居民）工资表-7月'!$E:$S,15,0),0)</f>
        <v>86794.74</v>
      </c>
      <c r="T10" s="98">
        <f>5000+IFERROR(VLOOKUP($E:$E,'（居民）工资表-7月'!$E:$T,16,0),0)</f>
        <v>25000</v>
      </c>
      <c r="U10" s="98">
        <f>Q10+IFERROR(VLOOKUP($E:$E,'（居民）工资表-7月'!$E:$U,17,0),0)</f>
        <v>3563.43</v>
      </c>
      <c r="V10" s="78"/>
      <c r="W10" s="78"/>
      <c r="X10" s="78"/>
      <c r="Y10" s="78"/>
      <c r="Z10" s="78"/>
      <c r="AA10" s="78"/>
      <c r="AB10" s="97">
        <f t="shared" si="1"/>
        <v>0</v>
      </c>
      <c r="AC10" s="97">
        <f>R10+IFERROR(VLOOKUP($E:$E,'（居民）工资表-7月'!$E:$AC,25,0),0)</f>
        <v>0</v>
      </c>
      <c r="AD10" s="100">
        <f t="shared" si="2"/>
        <v>58231.31</v>
      </c>
      <c r="AE10" s="101">
        <f>ROUND(MAX((AD10)*{0.03;0.1;0.2;0.25;0.3;0.35;0.45}-{0;2520;16920;31920;52920;85920;181920},0),2)</f>
        <v>3303.13</v>
      </c>
      <c r="AF10" s="102">
        <f>IFERROR(VLOOKUP(E:E,'（居民）工资表-7月'!E:AF,28,0)+VLOOKUP(E:E,'（居民）工资表-7月'!E:AG,29,0),0)</f>
        <v>2156.41</v>
      </c>
      <c r="AG10" s="102">
        <f t="shared" si="3"/>
        <v>1146.72</v>
      </c>
      <c r="AH10" s="109">
        <f t="shared" si="4"/>
        <v>15320.45</v>
      </c>
      <c r="AI10" s="110"/>
      <c r="AJ10" s="109">
        <f t="shared" si="5"/>
        <v>15320.45</v>
      </c>
      <c r="AK10" s="111"/>
      <c r="AL10" s="109">
        <f t="shared" si="6"/>
        <v>16467.17</v>
      </c>
      <c r="AM10" s="111"/>
      <c r="AN10" s="111"/>
      <c r="AO10" s="111"/>
      <c r="AP10" s="111"/>
      <c r="AQ10" s="111"/>
      <c r="AR10" s="117" t="str">
        <f t="shared" si="7"/>
        <v>正确</v>
      </c>
      <c r="AS10" s="117" t="str">
        <f t="shared" si="8"/>
        <v>不</v>
      </c>
      <c r="AT10" s="117" t="str">
        <f t="shared" si="9"/>
        <v>重复</v>
      </c>
    </row>
    <row r="11" s="12" customFormat="1" ht="18" customHeight="1" spans="1:46">
      <c r="A11" s="36">
        <v>8</v>
      </c>
      <c r="B11" s="37" t="s">
        <v>187</v>
      </c>
      <c r="C11" s="37" t="s">
        <v>200</v>
      </c>
      <c r="D11" s="37" t="s">
        <v>188</v>
      </c>
      <c r="E11" s="37" t="s">
        <v>201</v>
      </c>
      <c r="F11" s="38" t="s">
        <v>189</v>
      </c>
      <c r="G11" s="45" t="s">
        <v>202</v>
      </c>
      <c r="H11" s="40"/>
      <c r="I11" s="40"/>
      <c r="J11" s="74"/>
      <c r="K11" s="40"/>
      <c r="L11" s="78">
        <v>18420</v>
      </c>
      <c r="M11" s="76">
        <v>309.52</v>
      </c>
      <c r="N11" s="76">
        <v>77.38</v>
      </c>
      <c r="O11" s="76">
        <v>11.61</v>
      </c>
      <c r="P11" s="76">
        <v>254.32</v>
      </c>
      <c r="Q11" s="96">
        <f t="shared" si="0"/>
        <v>652.83</v>
      </c>
      <c r="R11" s="78">
        <v>0</v>
      </c>
      <c r="S11" s="97">
        <f>L11+IFERROR(VLOOKUP($E:$E,'（居民）工资表-7月'!$E:$S,15,0),0)</f>
        <v>89097.39</v>
      </c>
      <c r="T11" s="98">
        <f>5000+IFERROR(VLOOKUP($E:$E,'（居民）工资表-7月'!$E:$T,16,0),0)</f>
        <v>25000</v>
      </c>
      <c r="U11" s="98">
        <f>Q11+IFERROR(VLOOKUP($E:$E,'（居民）工资表-7月'!$E:$U,17,0),0)</f>
        <v>3563.43</v>
      </c>
      <c r="V11" s="78"/>
      <c r="W11" s="78">
        <v>5000</v>
      </c>
      <c r="X11" s="78"/>
      <c r="Y11" s="78">
        <v>7500</v>
      </c>
      <c r="Z11" s="78">
        <v>2000</v>
      </c>
      <c r="AA11" s="78"/>
      <c r="AB11" s="97">
        <f t="shared" si="1"/>
        <v>14500</v>
      </c>
      <c r="AC11" s="97">
        <f>R11+IFERROR(VLOOKUP($E:$E,'（居民）工资表-7月'!$E:$AC,25,0),0)</f>
        <v>0</v>
      </c>
      <c r="AD11" s="100">
        <f t="shared" si="2"/>
        <v>46033.96</v>
      </c>
      <c r="AE11" s="101">
        <f>ROUND(MAX((AD11)*{0.03;0.1;0.2;0.25;0.3;0.35;0.45}-{0;2520;16920;31920;52920;85920;181920},0),2)</f>
        <v>2083.4</v>
      </c>
      <c r="AF11" s="102">
        <f>IFERROR(VLOOKUP(E:E,'（居民）工资表-7月'!E:AF,28,0)+VLOOKUP(E:E,'（居民）工资表-7月'!E:AG,29,0),0)</f>
        <v>1096.68</v>
      </c>
      <c r="AG11" s="102">
        <f t="shared" si="3"/>
        <v>986.72</v>
      </c>
      <c r="AH11" s="109">
        <f t="shared" si="4"/>
        <v>16780.45</v>
      </c>
      <c r="AI11" s="110"/>
      <c r="AJ11" s="109">
        <f t="shared" si="5"/>
        <v>16780.45</v>
      </c>
      <c r="AK11" s="111"/>
      <c r="AL11" s="109">
        <f t="shared" si="6"/>
        <v>17767.17</v>
      </c>
      <c r="AM11" s="111"/>
      <c r="AN11" s="111"/>
      <c r="AO11" s="111"/>
      <c r="AP11" s="111"/>
      <c r="AQ11" s="111"/>
      <c r="AR11" s="117" t="str">
        <f t="shared" si="7"/>
        <v>正确</v>
      </c>
      <c r="AS11" s="117" t="str">
        <f t="shared" si="8"/>
        <v>不</v>
      </c>
      <c r="AT11" s="117" t="str">
        <f t="shared" si="9"/>
        <v>重复</v>
      </c>
    </row>
    <row r="12" s="12" customFormat="1" ht="18" customHeight="1" spans="1:46">
      <c r="A12" s="36">
        <v>9</v>
      </c>
      <c r="B12" s="37" t="s">
        <v>187</v>
      </c>
      <c r="C12" s="37" t="s">
        <v>203</v>
      </c>
      <c r="D12" s="37" t="s">
        <v>188</v>
      </c>
      <c r="E12" s="37" t="s">
        <v>204</v>
      </c>
      <c r="F12" s="38" t="s">
        <v>189</v>
      </c>
      <c r="G12" s="45" t="s">
        <v>205</v>
      </c>
      <c r="H12" s="40"/>
      <c r="I12" s="40"/>
      <c r="J12" s="74"/>
      <c r="K12" s="40"/>
      <c r="L12" s="78">
        <v>13620</v>
      </c>
      <c r="M12" s="76">
        <v>309.52</v>
      </c>
      <c r="N12" s="76">
        <v>77.38</v>
      </c>
      <c r="O12" s="76">
        <v>11.61</v>
      </c>
      <c r="P12" s="76">
        <v>254.32</v>
      </c>
      <c r="Q12" s="96">
        <f t="shared" si="0"/>
        <v>652.83</v>
      </c>
      <c r="R12" s="78">
        <v>0</v>
      </c>
      <c r="S12" s="97">
        <f>L12+IFERROR(VLOOKUP($E:$E,'（居民）工资表-7月'!$E:$S,15,0),0)</f>
        <v>65932.17</v>
      </c>
      <c r="T12" s="98">
        <f>5000+IFERROR(VLOOKUP($E:$E,'（居民）工资表-7月'!$E:$T,16,0),0)</f>
        <v>25000</v>
      </c>
      <c r="U12" s="98">
        <f>Q12+IFERROR(VLOOKUP($E:$E,'（居民）工资表-7月'!$E:$U,17,0),0)</f>
        <v>3563.43</v>
      </c>
      <c r="V12" s="78"/>
      <c r="W12" s="78"/>
      <c r="X12" s="78"/>
      <c r="Y12" s="78"/>
      <c r="Z12" s="78"/>
      <c r="AA12" s="78"/>
      <c r="AB12" s="97">
        <f t="shared" si="1"/>
        <v>0</v>
      </c>
      <c r="AC12" s="97">
        <f>R12+IFERROR(VLOOKUP($E:$E,'（居民）工资表-7月'!$E:$AC,25,0),0)</f>
        <v>0</v>
      </c>
      <c r="AD12" s="100">
        <f t="shared" si="2"/>
        <v>37368.74</v>
      </c>
      <c r="AE12" s="101">
        <f>ROUND(MAX((AD12)*{0.03;0.1;0.2;0.25;0.3;0.35;0.45}-{0;2520;16920;31920;52920;85920;181920},0),2)</f>
        <v>1216.87</v>
      </c>
      <c r="AF12" s="102">
        <f>IFERROR(VLOOKUP(E:E,'（居民）工资表-7月'!E:AF,28,0)+VLOOKUP(E:E,'（居民）工资表-7月'!E:AG,29,0),0)</f>
        <v>882.05</v>
      </c>
      <c r="AG12" s="102">
        <f t="shared" si="3"/>
        <v>334.82</v>
      </c>
      <c r="AH12" s="109">
        <f t="shared" si="4"/>
        <v>12632.35</v>
      </c>
      <c r="AI12" s="110"/>
      <c r="AJ12" s="109">
        <f t="shared" si="5"/>
        <v>12632.35</v>
      </c>
      <c r="AK12" s="111"/>
      <c r="AL12" s="109">
        <f t="shared" si="6"/>
        <v>12967.17</v>
      </c>
      <c r="AM12" s="111"/>
      <c r="AN12" s="111"/>
      <c r="AO12" s="111"/>
      <c r="AP12" s="111"/>
      <c r="AQ12" s="111"/>
      <c r="AR12" s="117" t="str">
        <f t="shared" si="7"/>
        <v>正确</v>
      </c>
      <c r="AS12" s="117" t="str">
        <f t="shared" si="8"/>
        <v>不</v>
      </c>
      <c r="AT12" s="117" t="str">
        <f t="shared" si="9"/>
        <v>重复</v>
      </c>
    </row>
    <row r="13" s="12" customFormat="1" ht="18" customHeight="1" spans="1:46">
      <c r="A13" s="36">
        <v>10</v>
      </c>
      <c r="B13" s="37" t="s">
        <v>187</v>
      </c>
      <c r="C13" s="37" t="s">
        <v>206</v>
      </c>
      <c r="D13" s="37" t="s">
        <v>188</v>
      </c>
      <c r="E13" s="37" t="s">
        <v>207</v>
      </c>
      <c r="F13" s="38" t="s">
        <v>189</v>
      </c>
      <c r="G13" s="45">
        <v>15001138812</v>
      </c>
      <c r="H13" s="40"/>
      <c r="I13" s="40"/>
      <c r="J13" s="74"/>
      <c r="K13" s="40"/>
      <c r="L13" s="78">
        <v>10120</v>
      </c>
      <c r="M13" s="76">
        <v>309.52</v>
      </c>
      <c r="N13" s="76">
        <v>77.38</v>
      </c>
      <c r="O13" s="76">
        <v>11.61</v>
      </c>
      <c r="P13" s="76">
        <v>254.32</v>
      </c>
      <c r="Q13" s="96">
        <f t="shared" si="0"/>
        <v>652.83</v>
      </c>
      <c r="R13" s="78">
        <v>0</v>
      </c>
      <c r="S13" s="97">
        <f>L13+IFERROR(VLOOKUP($E:$E,'（居民）工资表-7月'!$E:$S,15,0),0)</f>
        <v>71320</v>
      </c>
      <c r="T13" s="98">
        <f>5000+IFERROR(VLOOKUP($E:$E,'（居民）工资表-7月'!$E:$T,16,0),0)</f>
        <v>35000</v>
      </c>
      <c r="U13" s="98">
        <f>Q13+IFERROR(VLOOKUP($E:$E,'（居民）工资表-7月'!$E:$U,17,0),0)</f>
        <v>4727.67</v>
      </c>
      <c r="V13" s="78"/>
      <c r="W13" s="78"/>
      <c r="X13" s="78"/>
      <c r="Y13" s="78"/>
      <c r="Z13" s="78"/>
      <c r="AA13" s="78"/>
      <c r="AB13" s="97">
        <f t="shared" si="1"/>
        <v>0</v>
      </c>
      <c r="AC13" s="97">
        <f>R13+IFERROR(VLOOKUP($E:$E,'（居民）工资表-7月'!$E:$AC,25,0),0)</f>
        <v>0</v>
      </c>
      <c r="AD13" s="100">
        <f t="shared" si="2"/>
        <v>31592.33</v>
      </c>
      <c r="AE13" s="101">
        <f>ROUND(MAX((AD13)*{0.03;0.1;0.2;0.25;0.3;0.35;0.45}-{0;2520;16920;31920;52920;85920;181920},0),2)</f>
        <v>947.77</v>
      </c>
      <c r="AF13" s="102">
        <f>IFERROR(VLOOKUP(E:E,'（居民）工资表-7月'!E:AF,28,0)+VLOOKUP(E:E,'（居民）工资表-7月'!E:AG,29,0),0)</f>
        <v>813.75</v>
      </c>
      <c r="AG13" s="102">
        <f t="shared" si="3"/>
        <v>134.02</v>
      </c>
      <c r="AH13" s="109">
        <f t="shared" si="4"/>
        <v>9333.15</v>
      </c>
      <c r="AI13" s="110"/>
      <c r="AJ13" s="109">
        <f t="shared" si="5"/>
        <v>9333.15</v>
      </c>
      <c r="AK13" s="111"/>
      <c r="AL13" s="109">
        <f t="shared" si="6"/>
        <v>9467.17</v>
      </c>
      <c r="AM13" s="111"/>
      <c r="AN13" s="111"/>
      <c r="AO13" s="111"/>
      <c r="AP13" s="111"/>
      <c r="AQ13" s="111"/>
      <c r="AR13" s="117" t="str">
        <f t="shared" si="7"/>
        <v>正确</v>
      </c>
      <c r="AS13" s="117" t="str">
        <f t="shared" si="8"/>
        <v>不</v>
      </c>
      <c r="AT13" s="117" t="str">
        <f t="shared" si="9"/>
        <v>重复</v>
      </c>
    </row>
    <row r="14" s="12" customFormat="1" ht="18" customHeight="1" spans="1:46">
      <c r="A14" s="36">
        <v>11</v>
      </c>
      <c r="B14" s="37" t="s">
        <v>187</v>
      </c>
      <c r="C14" s="37" t="s">
        <v>208</v>
      </c>
      <c r="D14" s="37" t="s">
        <v>188</v>
      </c>
      <c r="E14" s="37" t="s">
        <v>209</v>
      </c>
      <c r="F14" s="38" t="s">
        <v>189</v>
      </c>
      <c r="G14" s="45">
        <v>15333903368</v>
      </c>
      <c r="H14" s="40"/>
      <c r="I14" s="40"/>
      <c r="J14" s="74"/>
      <c r="K14" s="40"/>
      <c r="L14" s="78">
        <v>15120</v>
      </c>
      <c r="M14" s="76">
        <v>309.52</v>
      </c>
      <c r="N14" s="76">
        <v>77.38</v>
      </c>
      <c r="O14" s="76">
        <v>11.61</v>
      </c>
      <c r="P14" s="76">
        <v>254.32</v>
      </c>
      <c r="Q14" s="96">
        <f t="shared" si="0"/>
        <v>652.83</v>
      </c>
      <c r="R14" s="78">
        <v>0</v>
      </c>
      <c r="S14" s="97">
        <f>L14+IFERROR(VLOOKUP($E:$E,'（居民）工资表-7月'!$E:$S,15,0),0)</f>
        <v>66649.57</v>
      </c>
      <c r="T14" s="98">
        <f>5000+IFERROR(VLOOKUP($E:$E,'（居民）工资表-7月'!$E:$T,16,0),0)</f>
        <v>25000</v>
      </c>
      <c r="U14" s="98">
        <f>Q14+IFERROR(VLOOKUP($E:$E,'（居民）工资表-7月'!$E:$U,17,0),0)</f>
        <v>2981.31</v>
      </c>
      <c r="V14" s="78"/>
      <c r="W14" s="78"/>
      <c r="X14" s="78"/>
      <c r="Y14" s="78"/>
      <c r="Z14" s="78"/>
      <c r="AA14" s="78"/>
      <c r="AB14" s="97">
        <f t="shared" si="1"/>
        <v>0</v>
      </c>
      <c r="AC14" s="97">
        <f>R14+IFERROR(VLOOKUP($E:$E,'（居民）工资表-7月'!$E:$AC,25,0),0)</f>
        <v>0</v>
      </c>
      <c r="AD14" s="100">
        <f t="shared" si="2"/>
        <v>38668.26</v>
      </c>
      <c r="AE14" s="101">
        <f>ROUND(MAX((AD14)*{0.03;0.1;0.2;0.25;0.3;0.35;0.45}-{0;2520;16920;31920;52920;85920;181920},0),2)</f>
        <v>1346.83</v>
      </c>
      <c r="AF14" s="102">
        <f>IFERROR(VLOOKUP(E:E,'（居民）工资表-7月'!E:AF,28,0)+VLOOKUP(E:E,'（居民）工资表-7月'!E:AG,29,0),0)</f>
        <v>876.03</v>
      </c>
      <c r="AG14" s="102">
        <f t="shared" si="3"/>
        <v>470.8</v>
      </c>
      <c r="AH14" s="109">
        <f t="shared" si="4"/>
        <v>13996.37</v>
      </c>
      <c r="AI14" s="110"/>
      <c r="AJ14" s="109">
        <f t="shared" si="5"/>
        <v>13996.37</v>
      </c>
      <c r="AK14" s="111"/>
      <c r="AL14" s="109">
        <f t="shared" si="6"/>
        <v>14467.17</v>
      </c>
      <c r="AM14" s="111"/>
      <c r="AN14" s="111"/>
      <c r="AO14" s="111"/>
      <c r="AP14" s="111"/>
      <c r="AQ14" s="111"/>
      <c r="AR14" s="117" t="str">
        <f t="shared" si="7"/>
        <v>正确</v>
      </c>
      <c r="AS14" s="117" t="str">
        <f t="shared" si="8"/>
        <v>不</v>
      </c>
      <c r="AT14" s="117" t="str">
        <f t="shared" si="9"/>
        <v>重复</v>
      </c>
    </row>
    <row r="15" s="12" customFormat="1" ht="18" customHeight="1" spans="1:46">
      <c r="A15" s="36">
        <v>12</v>
      </c>
      <c r="B15" s="37" t="s">
        <v>187</v>
      </c>
      <c r="C15" s="37" t="s">
        <v>210</v>
      </c>
      <c r="D15" s="37" t="s">
        <v>188</v>
      </c>
      <c r="E15" s="37" t="s">
        <v>211</v>
      </c>
      <c r="F15" s="38" t="s">
        <v>189</v>
      </c>
      <c r="G15" s="45">
        <v>18009593554</v>
      </c>
      <c r="H15" s="40"/>
      <c r="I15" s="40"/>
      <c r="J15" s="74"/>
      <c r="K15" s="40"/>
      <c r="L15" s="78">
        <v>11141</v>
      </c>
      <c r="M15" s="76">
        <v>280.96</v>
      </c>
      <c r="N15" s="76">
        <v>83.24</v>
      </c>
      <c r="O15" s="76">
        <v>17.56</v>
      </c>
      <c r="P15" s="76">
        <v>195</v>
      </c>
      <c r="Q15" s="96">
        <f t="shared" si="0"/>
        <v>576.76</v>
      </c>
      <c r="R15" s="78">
        <v>0</v>
      </c>
      <c r="S15" s="97">
        <f>L15+IFERROR(VLOOKUP($E:$E,'（居民）工资表-7月'!$E:$S,15,0),0)</f>
        <v>41694.64</v>
      </c>
      <c r="T15" s="98">
        <f>5000+IFERROR(VLOOKUP($E:$E,'（居民）工资表-7月'!$E:$T,16,0),0)</f>
        <v>20000</v>
      </c>
      <c r="U15" s="98">
        <f>Q15+IFERROR(VLOOKUP($E:$E,'（居民）工资表-7月'!$E:$U,17,0),0)</f>
        <v>2883.8</v>
      </c>
      <c r="V15" s="78"/>
      <c r="W15" s="78"/>
      <c r="X15" s="78"/>
      <c r="Y15" s="78"/>
      <c r="Z15" s="78"/>
      <c r="AA15" s="78"/>
      <c r="AB15" s="97">
        <f t="shared" si="1"/>
        <v>0</v>
      </c>
      <c r="AC15" s="97">
        <f>R15+IFERROR(VLOOKUP($E:$E,'（居民）工资表-7月'!$E:$AC,25,0),0)</f>
        <v>0</v>
      </c>
      <c r="AD15" s="100">
        <f t="shared" si="2"/>
        <v>18810.84</v>
      </c>
      <c r="AE15" s="101">
        <f>ROUND(MAX((AD15)*{0.03;0.1;0.2;0.25;0.3;0.35;0.45}-{0;2520;16920;31920;52920;85920;181920},0),2)</f>
        <v>564.33</v>
      </c>
      <c r="AF15" s="102">
        <f>IFERROR(VLOOKUP(E:E,'（居民）工资表-7月'!E:AF,28,0)+VLOOKUP(E:E,'（居民）工资表-7月'!E:AG,29,0),0)</f>
        <v>397.4</v>
      </c>
      <c r="AG15" s="102">
        <f t="shared" si="3"/>
        <v>166.93</v>
      </c>
      <c r="AH15" s="109">
        <f t="shared" si="4"/>
        <v>10397.31</v>
      </c>
      <c r="AI15" s="110"/>
      <c r="AJ15" s="109">
        <f t="shared" si="5"/>
        <v>10397.31</v>
      </c>
      <c r="AK15" s="111"/>
      <c r="AL15" s="109">
        <f t="shared" si="6"/>
        <v>10564.24</v>
      </c>
      <c r="AM15" s="111"/>
      <c r="AN15" s="111"/>
      <c r="AO15" s="111"/>
      <c r="AP15" s="111"/>
      <c r="AQ15" s="111"/>
      <c r="AR15" s="117" t="str">
        <f t="shared" si="7"/>
        <v>正确</v>
      </c>
      <c r="AS15" s="117" t="str">
        <f t="shared" si="8"/>
        <v>不</v>
      </c>
      <c r="AT15" s="117" t="str">
        <f t="shared" si="9"/>
        <v>重复</v>
      </c>
    </row>
    <row r="16" s="12" customFormat="1" ht="18" customHeight="1" spans="1:46">
      <c r="A16" s="36">
        <v>13</v>
      </c>
      <c r="B16" s="37" t="s">
        <v>187</v>
      </c>
      <c r="C16" s="37" t="s">
        <v>212</v>
      </c>
      <c r="D16" s="37" t="s">
        <v>188</v>
      </c>
      <c r="E16" s="37" t="s">
        <v>213</v>
      </c>
      <c r="F16" s="38" t="s">
        <v>189</v>
      </c>
      <c r="G16" s="45">
        <v>17795512929</v>
      </c>
      <c r="H16" s="40"/>
      <c r="I16" s="40"/>
      <c r="J16" s="74"/>
      <c r="K16" s="40"/>
      <c r="L16" s="78">
        <v>11120</v>
      </c>
      <c r="M16" s="76">
        <v>280.96</v>
      </c>
      <c r="N16" s="76">
        <v>83.24</v>
      </c>
      <c r="O16" s="76">
        <v>17.56</v>
      </c>
      <c r="P16" s="76">
        <v>195</v>
      </c>
      <c r="Q16" s="96">
        <f t="shared" si="0"/>
        <v>576.76</v>
      </c>
      <c r="R16" s="78">
        <v>0</v>
      </c>
      <c r="S16" s="97">
        <f>L16+IFERROR(VLOOKUP($E:$E,'（居民）工资表-7月'!$E:$S,15,0),0)</f>
        <v>39860</v>
      </c>
      <c r="T16" s="98">
        <f>5000+IFERROR(VLOOKUP($E:$E,'（居民）工资表-7月'!$E:$T,16,0),0)</f>
        <v>20000</v>
      </c>
      <c r="U16" s="98">
        <f>Q16+IFERROR(VLOOKUP($E:$E,'（居民）工资表-7月'!$E:$U,17,0),0)</f>
        <v>2883.8</v>
      </c>
      <c r="V16" s="78"/>
      <c r="W16" s="78"/>
      <c r="X16" s="78"/>
      <c r="Y16" s="78"/>
      <c r="Z16" s="78"/>
      <c r="AA16" s="78"/>
      <c r="AB16" s="97">
        <f t="shared" si="1"/>
        <v>0</v>
      </c>
      <c r="AC16" s="97">
        <f>R16+IFERROR(VLOOKUP($E:$E,'（居民）工资表-7月'!$E:$AC,25,0),0)</f>
        <v>0</v>
      </c>
      <c r="AD16" s="100">
        <f t="shared" si="2"/>
        <v>16976.2</v>
      </c>
      <c r="AE16" s="101">
        <f>ROUND(MAX((AD16)*{0.03;0.1;0.2;0.25;0.3;0.35;0.45}-{0;2520;16920;31920;52920;85920;181920},0),2)</f>
        <v>509.29</v>
      </c>
      <c r="AF16" s="102">
        <f>IFERROR(VLOOKUP(E:E,'（居民）工资表-7月'!E:AF,28,0)+VLOOKUP(E:E,'（居民）工资表-7月'!E:AG,29,0),0)</f>
        <v>342.99</v>
      </c>
      <c r="AG16" s="102">
        <f t="shared" si="3"/>
        <v>166.3</v>
      </c>
      <c r="AH16" s="109">
        <f t="shared" si="4"/>
        <v>10376.94</v>
      </c>
      <c r="AI16" s="110"/>
      <c r="AJ16" s="109">
        <f t="shared" si="5"/>
        <v>10376.94</v>
      </c>
      <c r="AK16" s="111"/>
      <c r="AL16" s="109">
        <f t="shared" si="6"/>
        <v>10543.24</v>
      </c>
      <c r="AM16" s="111"/>
      <c r="AN16" s="111"/>
      <c r="AO16" s="111"/>
      <c r="AP16" s="111"/>
      <c r="AQ16" s="111"/>
      <c r="AR16" s="117" t="str">
        <f t="shared" si="7"/>
        <v>正确</v>
      </c>
      <c r="AS16" s="117" t="str">
        <f t="shared" si="8"/>
        <v>不</v>
      </c>
      <c r="AT16" s="117" t="str">
        <f t="shared" si="9"/>
        <v>重复</v>
      </c>
    </row>
    <row r="17" s="12" customFormat="1" ht="18" customHeight="1" spans="1:46">
      <c r="A17" s="36">
        <v>14</v>
      </c>
      <c r="B17" s="37" t="s">
        <v>187</v>
      </c>
      <c r="C17" s="37" t="s">
        <v>214</v>
      </c>
      <c r="D17" s="37" t="s">
        <v>188</v>
      </c>
      <c r="E17" s="37" t="s">
        <v>215</v>
      </c>
      <c r="F17" s="38" t="s">
        <v>189</v>
      </c>
      <c r="G17" s="45">
        <v>18995128068</v>
      </c>
      <c r="H17" s="40"/>
      <c r="I17" s="40"/>
      <c r="J17" s="74"/>
      <c r="K17" s="40"/>
      <c r="L17" s="78">
        <v>11799</v>
      </c>
      <c r="M17" s="76">
        <v>280.96</v>
      </c>
      <c r="N17" s="76">
        <v>83.24</v>
      </c>
      <c r="O17" s="76">
        <v>17.56</v>
      </c>
      <c r="P17" s="76">
        <v>195</v>
      </c>
      <c r="Q17" s="96">
        <f t="shared" si="0"/>
        <v>576.76</v>
      </c>
      <c r="R17" s="78">
        <v>0</v>
      </c>
      <c r="S17" s="97">
        <f>L17+IFERROR(VLOOKUP($E:$E,'（居民）工资表-7月'!$E:$S,15,0),0)</f>
        <v>40539</v>
      </c>
      <c r="T17" s="98">
        <f>5000+IFERROR(VLOOKUP($E:$E,'（居民）工资表-7月'!$E:$T,16,0),0)</f>
        <v>20000</v>
      </c>
      <c r="U17" s="98">
        <f>Q17+IFERROR(VLOOKUP($E:$E,'（居民）工资表-7月'!$E:$U,17,0),0)</f>
        <v>2883.8</v>
      </c>
      <c r="V17" s="78"/>
      <c r="W17" s="78"/>
      <c r="X17" s="78"/>
      <c r="Y17" s="78"/>
      <c r="Z17" s="78"/>
      <c r="AA17" s="78"/>
      <c r="AB17" s="97">
        <f t="shared" si="1"/>
        <v>0</v>
      </c>
      <c r="AC17" s="97">
        <f>R17+IFERROR(VLOOKUP($E:$E,'（居民）工资表-7月'!$E:$AC,25,0),0)</f>
        <v>0</v>
      </c>
      <c r="AD17" s="100">
        <f t="shared" si="2"/>
        <v>17655.2</v>
      </c>
      <c r="AE17" s="101">
        <f>ROUND(MAX((AD17)*{0.03;0.1;0.2;0.25;0.3;0.35;0.45}-{0;2520;16920;31920;52920;85920;181920},0),2)</f>
        <v>529.66</v>
      </c>
      <c r="AF17" s="102">
        <f>IFERROR(VLOOKUP(E:E,'（居民）工资表-7月'!E:AF,28,0)+VLOOKUP(E:E,'（居民）工资表-7月'!E:AG,29,0),0)</f>
        <v>342.99</v>
      </c>
      <c r="AG17" s="102">
        <f t="shared" si="3"/>
        <v>186.67</v>
      </c>
      <c r="AH17" s="109">
        <f t="shared" si="4"/>
        <v>11035.57</v>
      </c>
      <c r="AI17" s="110"/>
      <c r="AJ17" s="109">
        <f t="shared" si="5"/>
        <v>11035.57</v>
      </c>
      <c r="AK17" s="111"/>
      <c r="AL17" s="109">
        <f t="shared" si="6"/>
        <v>11222.24</v>
      </c>
      <c r="AM17" s="111"/>
      <c r="AN17" s="111"/>
      <c r="AO17" s="111"/>
      <c r="AP17" s="111"/>
      <c r="AQ17" s="111"/>
      <c r="AR17" s="117" t="str">
        <f t="shared" si="7"/>
        <v>正确</v>
      </c>
      <c r="AS17" s="117" t="str">
        <f>IF(SUMPRODUCT(N(E$1:E$18=E17))&gt;1,"重复","不")</f>
        <v>不</v>
      </c>
      <c r="AT17" s="117" t="str">
        <f>IF(SUMPRODUCT(N(AO$1:AO$18=AO17))&gt;1,"重复","不")</f>
        <v>重复</v>
      </c>
    </row>
    <row r="18" s="12" customFormat="1" ht="18" customHeight="1" spans="1:46">
      <c r="A18" s="36">
        <v>15</v>
      </c>
      <c r="B18" s="37" t="s">
        <v>187</v>
      </c>
      <c r="C18" s="37" t="s">
        <v>228</v>
      </c>
      <c r="D18" s="37" t="s">
        <v>188</v>
      </c>
      <c r="E18" s="398" t="s">
        <v>229</v>
      </c>
      <c r="F18" s="38" t="s">
        <v>189</v>
      </c>
      <c r="G18" s="45" t="s">
        <v>230</v>
      </c>
      <c r="H18" s="40"/>
      <c r="I18" s="40"/>
      <c r="J18" s="74"/>
      <c r="K18" s="40"/>
      <c r="L18" s="78">
        <v>4844</v>
      </c>
      <c r="M18" s="76">
        <v>274.4</v>
      </c>
      <c r="N18" s="76">
        <v>68.6</v>
      </c>
      <c r="O18" s="76">
        <v>17.15</v>
      </c>
      <c r="P18" s="76">
        <v>82.5</v>
      </c>
      <c r="Q18" s="96">
        <f t="shared" si="0"/>
        <v>442.65</v>
      </c>
      <c r="R18" s="78">
        <v>0</v>
      </c>
      <c r="S18" s="97">
        <f>L18+IFERROR(VLOOKUP($E:$E,'（居民）工资表-7月'!$E:$S,15,0),0)</f>
        <v>7207.63</v>
      </c>
      <c r="T18" s="98">
        <f>5000+IFERROR(VLOOKUP($E:$E,'（居民）工资表-7月'!$E:$T,16,0),0)</f>
        <v>10000</v>
      </c>
      <c r="U18" s="98">
        <f>Q18+IFERROR(VLOOKUP($E:$E,'（居民）工资表-7月'!$E:$U,17,0),0)</f>
        <v>1327.95</v>
      </c>
      <c r="V18" s="78"/>
      <c r="W18" s="78"/>
      <c r="X18" s="78"/>
      <c r="Y18" s="78"/>
      <c r="Z18" s="78"/>
      <c r="AA18" s="78"/>
      <c r="AB18" s="97">
        <f t="shared" si="1"/>
        <v>0</v>
      </c>
      <c r="AC18" s="97">
        <f>R18+IFERROR(VLOOKUP($E:$E,'（居民）工资表-7月'!$E:$AC,25,0),0)</f>
        <v>0</v>
      </c>
      <c r="AD18" s="100">
        <f t="shared" si="2"/>
        <v>-4120.32</v>
      </c>
      <c r="AE18" s="101">
        <f>ROUND(MAX((AD18)*{0.03;0.1;0.2;0.25;0.3;0.35;0.45}-{0;2520;16920;31920;52920;85920;181920},0),2)</f>
        <v>0</v>
      </c>
      <c r="AF18" s="102">
        <f>IFERROR(VLOOKUP(E:E,'（居民）工资表-7月'!E:AF,28,0)+VLOOKUP(E:E,'（居民）工资表-7月'!E:AG,29,0),0)</f>
        <v>0</v>
      </c>
      <c r="AG18" s="102">
        <f t="shared" si="3"/>
        <v>0</v>
      </c>
      <c r="AH18" s="109">
        <f t="shared" si="4"/>
        <v>4401.35</v>
      </c>
      <c r="AI18" s="110"/>
      <c r="AJ18" s="109">
        <f t="shared" si="5"/>
        <v>4401.35</v>
      </c>
      <c r="AK18" s="111"/>
      <c r="AL18" s="109">
        <f t="shared" si="6"/>
        <v>4401.35</v>
      </c>
      <c r="AM18" s="111"/>
      <c r="AN18" s="111"/>
      <c r="AO18" s="111"/>
      <c r="AP18" s="111"/>
      <c r="AQ18" s="111"/>
      <c r="AR18" s="117" t="str">
        <f t="shared" si="7"/>
        <v>正确</v>
      </c>
      <c r="AS18" s="117" t="str">
        <f>IF(SUMPRODUCT(N(E$1:E$18=E18))&gt;1,"重复","不")</f>
        <v>不</v>
      </c>
      <c r="AT18" s="117" t="str">
        <f>IF(SUMPRODUCT(N(AO$1:AO$18=AO18))&gt;1,"重复","不")</f>
        <v>重复</v>
      </c>
    </row>
    <row r="19" s="12" customFormat="1" ht="18" customHeight="1" spans="1:46">
      <c r="A19" s="36">
        <v>15</v>
      </c>
      <c r="B19" s="37" t="s">
        <v>187</v>
      </c>
      <c r="C19" s="37" t="s">
        <v>113</v>
      </c>
      <c r="D19" s="37" t="s">
        <v>188</v>
      </c>
      <c r="E19" s="398" t="s">
        <v>114</v>
      </c>
      <c r="F19" s="38" t="s">
        <v>189</v>
      </c>
      <c r="G19" s="45" t="s">
        <v>231</v>
      </c>
      <c r="H19" s="40"/>
      <c r="I19" s="40"/>
      <c r="J19" s="74"/>
      <c r="K19" s="40"/>
      <c r="L19" s="78">
        <v>228.57</v>
      </c>
      <c r="M19" s="76">
        <v>228.57</v>
      </c>
      <c r="N19" s="76">
        <v>0</v>
      </c>
      <c r="O19" s="76">
        <v>0</v>
      </c>
      <c r="P19" s="76">
        <v>0</v>
      </c>
      <c r="Q19" s="96">
        <f t="shared" si="0"/>
        <v>228.57</v>
      </c>
      <c r="R19" s="78">
        <v>0</v>
      </c>
      <c r="S19" s="97">
        <f>L19+IFERROR(VLOOKUP($E:$E,'（居民）工资表-7月'!$E:$S,15,0),0)</f>
        <v>228.57</v>
      </c>
      <c r="T19" s="98">
        <f>5000+IFERROR(VLOOKUP($E:$E,'（居民）工资表-7月'!$E:$T,16,0),0)</f>
        <v>5000</v>
      </c>
      <c r="U19" s="98">
        <f>Q19+IFERROR(VLOOKUP($E:$E,'（居民）工资表-7月'!$E:$U,17,0),0)</f>
        <v>228.57</v>
      </c>
      <c r="V19" s="78"/>
      <c r="W19" s="78"/>
      <c r="X19" s="78"/>
      <c r="Y19" s="78"/>
      <c r="Z19" s="78"/>
      <c r="AA19" s="78"/>
      <c r="AB19" s="97">
        <f t="shared" si="1"/>
        <v>0</v>
      </c>
      <c r="AC19" s="97">
        <f>R19+IFERROR(VLOOKUP($E:$E,'（居民）工资表-7月'!$E:$AC,25,0),0)</f>
        <v>0</v>
      </c>
      <c r="AD19" s="100">
        <f t="shared" si="2"/>
        <v>-5000</v>
      </c>
      <c r="AE19" s="101">
        <f>ROUND(MAX((AD19)*{0.03;0.1;0.2;0.25;0.3;0.35;0.45}-{0;2520;16920;31920;52920;85920;181920},0),2)</f>
        <v>0</v>
      </c>
      <c r="AF19" s="102">
        <f>IFERROR(VLOOKUP(E:E,'（居民）工资表-7月'!E:AF,28,0)+VLOOKUP(E:E,'（居民）工资表-7月'!E:AG,29,0),0)</f>
        <v>0</v>
      </c>
      <c r="AG19" s="102">
        <f t="shared" si="3"/>
        <v>0</v>
      </c>
      <c r="AH19" s="109">
        <f t="shared" si="4"/>
        <v>0</v>
      </c>
      <c r="AI19" s="110"/>
      <c r="AJ19" s="109">
        <f t="shared" si="5"/>
        <v>0</v>
      </c>
      <c r="AK19" s="111"/>
      <c r="AL19" s="109">
        <f t="shared" si="6"/>
        <v>0</v>
      </c>
      <c r="AM19" s="111"/>
      <c r="AN19" s="111"/>
      <c r="AO19" s="111"/>
      <c r="AP19" s="111"/>
      <c r="AQ19" s="111"/>
      <c r="AR19" s="117" t="str">
        <f t="shared" si="7"/>
        <v>正确</v>
      </c>
      <c r="AS19" s="117" t="str">
        <f>IF(SUMPRODUCT(N(E$1:E$18=E19))&gt;1,"重复","不")</f>
        <v>不</v>
      </c>
      <c r="AT19" s="117" t="str">
        <f>IF(SUMPRODUCT(N(AO$1:AO$18=AO19))&gt;1,"重复","不")</f>
        <v>重复</v>
      </c>
    </row>
    <row r="20" s="13" customFormat="1" ht="18" customHeight="1" spans="1:46">
      <c r="A20" s="46"/>
      <c r="B20" s="47" t="s">
        <v>216</v>
      </c>
      <c r="C20" s="47"/>
      <c r="D20" s="48"/>
      <c r="E20" s="49"/>
      <c r="F20" s="50"/>
      <c r="G20" s="51"/>
      <c r="H20" s="50"/>
      <c r="I20" s="79"/>
      <c r="J20" s="80"/>
      <c r="K20" s="79"/>
      <c r="L20" s="81">
        <f>SUM(L4:L19)</f>
        <v>177852.57</v>
      </c>
      <c r="M20" s="81">
        <f t="shared" ref="M20:AL20" si="10">SUM(M4:M19)</f>
        <v>4880.58</v>
      </c>
      <c r="N20" s="81">
        <f t="shared" si="10"/>
        <v>1228.84</v>
      </c>
      <c r="O20" s="81">
        <f t="shared" si="10"/>
        <v>193.21</v>
      </c>
      <c r="P20" s="81">
        <f t="shared" si="10"/>
        <v>3079.06</v>
      </c>
      <c r="Q20" s="81">
        <f t="shared" si="10"/>
        <v>9381.69</v>
      </c>
      <c r="R20" s="81">
        <f t="shared" si="10"/>
        <v>0</v>
      </c>
      <c r="S20" s="81">
        <f t="shared" si="10"/>
        <v>977336.34</v>
      </c>
      <c r="T20" s="81">
        <f t="shared" si="10"/>
        <v>435000</v>
      </c>
      <c r="U20" s="81">
        <f t="shared" si="10"/>
        <v>55398.5</v>
      </c>
      <c r="V20" s="81">
        <f t="shared" si="10"/>
        <v>8000</v>
      </c>
      <c r="W20" s="81">
        <f t="shared" si="10"/>
        <v>5000</v>
      </c>
      <c r="X20" s="81">
        <f t="shared" si="10"/>
        <v>21000</v>
      </c>
      <c r="Y20" s="81">
        <f t="shared" si="10"/>
        <v>19500</v>
      </c>
      <c r="Z20" s="81">
        <f t="shared" si="10"/>
        <v>5200</v>
      </c>
      <c r="AA20" s="81">
        <f t="shared" si="10"/>
        <v>0</v>
      </c>
      <c r="AB20" s="81">
        <f t="shared" si="10"/>
        <v>58700</v>
      </c>
      <c r="AC20" s="81">
        <f t="shared" si="10"/>
        <v>0</v>
      </c>
      <c r="AD20" s="81">
        <f t="shared" si="10"/>
        <v>428237.84</v>
      </c>
      <c r="AE20" s="81">
        <f t="shared" si="10"/>
        <v>19912.7</v>
      </c>
      <c r="AF20" s="81">
        <f t="shared" si="10"/>
        <v>13818.31</v>
      </c>
      <c r="AG20" s="81">
        <f t="shared" si="10"/>
        <v>6094.39</v>
      </c>
      <c r="AH20" s="81">
        <f t="shared" si="10"/>
        <v>162376.49</v>
      </c>
      <c r="AI20" s="81">
        <f t="shared" si="10"/>
        <v>0</v>
      </c>
      <c r="AJ20" s="81">
        <f t="shared" si="10"/>
        <v>162376.49</v>
      </c>
      <c r="AK20" s="81">
        <f t="shared" si="10"/>
        <v>0</v>
      </c>
      <c r="AL20" s="81">
        <f t="shared" si="10"/>
        <v>168470.88</v>
      </c>
      <c r="AM20" s="112"/>
      <c r="AN20" s="112"/>
      <c r="AO20" s="112"/>
      <c r="AP20" s="112"/>
      <c r="AQ20" s="112"/>
      <c r="AR20" s="50"/>
      <c r="AS20" s="50"/>
      <c r="AT20" s="118"/>
    </row>
    <row r="23" spans="30:30">
      <c r="AD23" s="103"/>
    </row>
    <row r="24" ht="18.75" customHeight="1" spans="2:30">
      <c r="B24" s="52" t="s">
        <v>168</v>
      </c>
      <c r="C24" s="52" t="s">
        <v>217</v>
      </c>
      <c r="D24" s="52" t="s">
        <v>22</v>
      </c>
      <c r="E24" s="52" t="s">
        <v>23</v>
      </c>
      <c r="AD24" s="10"/>
    </row>
    <row r="25" ht="18.75" customHeight="1" spans="2:5">
      <c r="B25" s="53">
        <f>AJ20</f>
        <v>162376.49</v>
      </c>
      <c r="C25" s="53">
        <f>AG20</f>
        <v>6094.39</v>
      </c>
      <c r="D25" s="53">
        <f>AK20</f>
        <v>0</v>
      </c>
      <c r="E25" s="53">
        <f>B25+C25+D25</f>
        <v>168470.88</v>
      </c>
    </row>
    <row r="26" spans="2:5">
      <c r="B26" s="54"/>
      <c r="C26" s="54"/>
      <c r="D26" s="54"/>
      <c r="E26" s="54"/>
    </row>
    <row r="27" s="14" customFormat="1" spans="1:35">
      <c r="A27" s="55" t="s">
        <v>218</v>
      </c>
      <c r="B27" s="56" t="s">
        <v>219</v>
      </c>
      <c r="C27" s="57"/>
      <c r="D27" s="57"/>
      <c r="E27" s="57"/>
      <c r="G27" s="58"/>
      <c r="J27" s="82"/>
      <c r="M27" s="83"/>
      <c r="AI27" s="113"/>
    </row>
    <row r="28" s="14" customFormat="1" spans="1:35">
      <c r="A28" s="59"/>
      <c r="B28" s="60" t="s">
        <v>220</v>
      </c>
      <c r="C28" s="57"/>
      <c r="D28" s="57"/>
      <c r="E28" s="57"/>
      <c r="G28" s="58"/>
      <c r="J28" s="82"/>
      <c r="M28" s="83"/>
      <c r="AI28" s="113"/>
    </row>
    <row r="29" s="14" customFormat="1" spans="1:35">
      <c r="A29" s="56"/>
      <c r="B29" s="60" t="s">
        <v>221</v>
      </c>
      <c r="C29" s="61"/>
      <c r="D29" s="61"/>
      <c r="E29" s="61"/>
      <c r="F29" s="61"/>
      <c r="G29" s="61"/>
      <c r="H29" s="61"/>
      <c r="I29" s="61"/>
      <c r="J29" s="84"/>
      <c r="K29" s="61"/>
      <c r="L29" s="61"/>
      <c r="M29" s="85"/>
      <c r="N29" s="61"/>
      <c r="O29" s="61"/>
      <c r="P29" s="61"/>
      <c r="AI29" s="113"/>
    </row>
    <row r="30" s="14" customFormat="1" customHeight="1" spans="1:35">
      <c r="A30" s="60"/>
      <c r="B30" s="60" t="s">
        <v>222</v>
      </c>
      <c r="C30" s="62"/>
      <c r="D30" s="62"/>
      <c r="E30" s="62"/>
      <c r="F30" s="62"/>
      <c r="G30" s="62"/>
      <c r="H30" s="62"/>
      <c r="I30" s="86"/>
      <c r="J30" s="87"/>
      <c r="K30" s="86"/>
      <c r="L30" s="86"/>
      <c r="M30" s="88"/>
      <c r="N30" s="86"/>
      <c r="O30" s="86"/>
      <c r="P30" s="86"/>
      <c r="AI30" s="113"/>
    </row>
    <row r="31" s="14" customFormat="1" customHeight="1" spans="1:35">
      <c r="A31" s="60"/>
      <c r="B31" s="60" t="s">
        <v>223</v>
      </c>
      <c r="C31" s="62"/>
      <c r="D31" s="62"/>
      <c r="E31" s="62"/>
      <c r="F31" s="62"/>
      <c r="G31" s="62"/>
      <c r="H31" s="62"/>
      <c r="I31" s="62"/>
      <c r="J31" s="89"/>
      <c r="K31" s="62"/>
      <c r="L31" s="86"/>
      <c r="M31" s="88"/>
      <c r="N31" s="86"/>
      <c r="O31" s="86"/>
      <c r="P31" s="86"/>
      <c r="AI31" s="113"/>
    </row>
    <row r="32" s="14" customFormat="1" customHeight="1" spans="1:35">
      <c r="A32" s="60"/>
      <c r="B32" s="60" t="s">
        <v>224</v>
      </c>
      <c r="C32" s="62"/>
      <c r="D32" s="62"/>
      <c r="E32" s="62"/>
      <c r="F32" s="62"/>
      <c r="G32" s="62"/>
      <c r="H32" s="62"/>
      <c r="I32" s="86"/>
      <c r="J32" s="87"/>
      <c r="K32" s="86"/>
      <c r="L32" s="86"/>
      <c r="M32" s="88"/>
      <c r="N32" s="86"/>
      <c r="O32" s="86"/>
      <c r="P32" s="86"/>
      <c r="AI32" s="113"/>
    </row>
    <row r="34" ht="11.25" customHeight="1" spans="2:2">
      <c r="B34" s="63" t="s">
        <v>225</v>
      </c>
    </row>
    <row r="35" spans="2:2">
      <c r="B35" s="64" t="s">
        <v>226</v>
      </c>
    </row>
    <row r="36" spans="2:2">
      <c r="B36" s="64" t="s">
        <v>227</v>
      </c>
    </row>
  </sheetData>
  <autoFilter ref="A3:AT20">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32">
    <cfRule type="duplicateValues" dxfId="3" priority="2" stopIfTrue="1"/>
  </conditionalFormatting>
  <conditionalFormatting sqref="B27:B31">
    <cfRule type="duplicateValues" dxfId="3" priority="3" stopIfTrue="1"/>
  </conditionalFormatting>
  <conditionalFormatting sqref="B35:B36">
    <cfRule type="duplicateValues" dxfId="3" priority="1" stopIfTrue="1"/>
  </conditionalFormatting>
  <conditionalFormatting sqref="C24:C26">
    <cfRule type="duplicateValues" dxfId="3" priority="4" stopIfTrue="1"/>
    <cfRule type="expression" dxfId="4" priority="5" stopIfTrue="1">
      <formula>AND(COUNTIF($B$20:$B$65456,C24)+COUNTIF($B$1:$B$3,C24)&gt;1,NOT(ISBLANK(C24)))</formula>
    </cfRule>
    <cfRule type="expression" dxfId="4" priority="6" stopIfTrue="1">
      <formula>AND(COUNTIF($B$31:$B$65407,C24)+COUNTIF($B$1:$B$30,C24)&gt;1,NOT(ISBLANK(C24)))</formula>
    </cfRule>
    <cfRule type="expression" dxfId="4" priority="7" stopIfTrue="1">
      <formula>AND(COUNTIF($B$20:$B$65445,C24)+COUNTIF($B$1:$B$3,C24)&gt;1,NOT(ISBLANK(C24)))</formula>
    </cfRule>
  </conditionalFormatting>
  <pageMargins left="0.235416666666667" right="0.235416666666667" top="0.747916666666667" bottom="0.747916666666667" header="0.313888888888889" footer="0.313888888888889"/>
  <pageSetup paperSize="9" scale="56" fitToWidth="2" orientation="landscape"/>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AT29"/>
  <sheetViews>
    <sheetView workbookViewId="0">
      <pane xSplit="6" ySplit="3" topLeftCell="U4" activePane="bottomRight" state="frozen"/>
      <selection/>
      <selection pane="topRight"/>
      <selection pane="bottomLeft"/>
      <selection pane="bottomRight" activeCell="K13" sqref="K13"/>
    </sheetView>
  </sheetViews>
  <sheetFormatPr defaultColWidth="9" defaultRowHeight="13.5"/>
  <cols>
    <col min="1" max="1" width="4.45" style="15" customWidth="1"/>
    <col min="2" max="2" width="12.6333333333333" style="15" customWidth="1"/>
    <col min="3" max="3" width="10.45" style="15" customWidth="1"/>
    <col min="4" max="4" width="8.725" style="15" customWidth="1"/>
    <col min="5" max="5" width="19.45" style="16" customWidth="1"/>
    <col min="6" max="6" width="9" style="15"/>
    <col min="7" max="7" width="11.9083333333333" style="17" customWidth="1"/>
    <col min="8" max="8" width="4.63333333333333" style="15" hidden="1" customWidth="1"/>
    <col min="9" max="9" width="5.26666666666667" style="15" hidden="1" customWidth="1"/>
    <col min="10" max="10" width="11.725" style="18" customWidth="1"/>
    <col min="11" max="11" width="5.26666666666667" style="15" customWidth="1"/>
    <col min="12" max="12" width="11.725" style="15" customWidth="1"/>
    <col min="13" max="13" width="12.45" style="15" customWidth="1" outlineLevel="1"/>
    <col min="14" max="15" width="9" style="15" customWidth="1" outlineLevel="1"/>
    <col min="16" max="16" width="11.0916666666667" style="15" customWidth="1" outlineLevel="1"/>
    <col min="17" max="17" width="9.725" style="15" customWidth="1"/>
    <col min="18" max="18" width="9.45" style="15" customWidth="1"/>
    <col min="19" max="19" width="13.3666666666667" style="15" customWidth="1"/>
    <col min="20" max="21" width="12.2666666666667" style="15" customWidth="1"/>
    <col min="22" max="27" width="9" style="15" customWidth="1" outlineLevel="1"/>
    <col min="28" max="28" width="11.2666666666667" style="15" customWidth="1"/>
    <col min="29" max="29" width="8.45" style="15" customWidth="1"/>
    <col min="30" max="30" width="15.2666666666667" style="15" customWidth="1"/>
    <col min="31" max="31" width="13.3666666666667" style="15" customWidth="1"/>
    <col min="32" max="32" width="10.725" style="15" customWidth="1"/>
    <col min="33" max="33" width="12.2666666666667" style="15" customWidth="1"/>
    <col min="34" max="34" width="11.45" style="15" customWidth="1"/>
    <col min="35" max="35" width="7.90833333333333" style="19" customWidth="1"/>
    <col min="36" max="36" width="11.45" style="15" customWidth="1"/>
    <col min="37" max="37" width="9" style="15"/>
    <col min="38" max="38" width="11.45" style="15" customWidth="1"/>
    <col min="39" max="40" width="9" style="15" customWidth="1"/>
    <col min="41" max="41" width="19" style="15" customWidth="1"/>
    <col min="42" max="42" width="12.2666666666667" style="15" customWidth="1"/>
    <col min="43" max="43" width="9" style="15"/>
    <col min="44" max="44" width="7" style="15" customWidth="1"/>
    <col min="45" max="45" width="6.725" style="15" customWidth="1"/>
    <col min="46" max="46" width="6.09166666666667" style="15" customWidth="1"/>
    <col min="47" max="16384" width="9" style="15"/>
  </cols>
  <sheetData>
    <row r="1" s="10" customFormat="1" ht="29.25" customHeight="1" spans="1:45">
      <c r="A1" s="20" t="s">
        <v>140</v>
      </c>
      <c r="B1" s="21"/>
      <c r="C1" s="22"/>
      <c r="D1" s="23"/>
      <c r="E1" s="24"/>
      <c r="F1" s="24"/>
      <c r="G1" s="25"/>
      <c r="J1" s="65"/>
      <c r="L1" s="66"/>
      <c r="M1" s="67" t="s">
        <v>141</v>
      </c>
      <c r="N1" s="67"/>
      <c r="O1" s="67"/>
      <c r="P1" s="67"/>
      <c r="Q1" s="90"/>
      <c r="R1" s="90"/>
      <c r="S1" s="90"/>
      <c r="T1" s="90"/>
      <c r="U1" s="90"/>
      <c r="V1" s="90"/>
      <c r="W1" s="90"/>
      <c r="X1" s="90"/>
      <c r="Y1" s="90"/>
      <c r="Z1" s="90"/>
      <c r="AA1" s="90"/>
      <c r="AB1" s="90"/>
      <c r="AC1" s="90"/>
      <c r="AD1" s="66"/>
      <c r="AE1" s="66"/>
      <c r="AF1" s="66"/>
      <c r="AG1" s="66"/>
      <c r="AH1" s="66"/>
      <c r="AI1" s="104"/>
      <c r="AJ1" s="66"/>
      <c r="AK1" s="66"/>
      <c r="AL1" s="66"/>
      <c r="AM1" s="24"/>
      <c r="AN1" s="24"/>
      <c r="AO1" s="114"/>
      <c r="AP1" s="24"/>
      <c r="AQ1" s="24"/>
      <c r="AR1" s="24"/>
      <c r="AS1" s="24"/>
    </row>
    <row r="2" s="11" customFormat="1" ht="20.15" customHeight="1" spans="1:46">
      <c r="A2" s="26" t="s">
        <v>0</v>
      </c>
      <c r="B2" s="27" t="s">
        <v>142</v>
      </c>
      <c r="C2" s="28" t="s">
        <v>143</v>
      </c>
      <c r="D2" s="28" t="s">
        <v>144</v>
      </c>
      <c r="E2" s="29" t="s">
        <v>145</v>
      </c>
      <c r="F2" s="30" t="s">
        <v>146</v>
      </c>
      <c r="G2" s="29" t="s">
        <v>147</v>
      </c>
      <c r="H2" s="29" t="s">
        <v>148</v>
      </c>
      <c r="I2" s="29" t="s">
        <v>149</v>
      </c>
      <c r="J2" s="68" t="s">
        <v>150</v>
      </c>
      <c r="K2" s="29" t="s">
        <v>151</v>
      </c>
      <c r="L2" s="29" t="s">
        <v>152</v>
      </c>
      <c r="M2" s="69" t="s">
        <v>153</v>
      </c>
      <c r="N2" s="70"/>
      <c r="O2" s="70"/>
      <c r="P2" s="71"/>
      <c r="Q2" s="30" t="s">
        <v>154</v>
      </c>
      <c r="R2" s="29" t="s">
        <v>155</v>
      </c>
      <c r="S2" s="30" t="s">
        <v>156</v>
      </c>
      <c r="T2" s="91" t="s">
        <v>157</v>
      </c>
      <c r="U2" s="30" t="s">
        <v>158</v>
      </c>
      <c r="V2" s="92" t="s">
        <v>159</v>
      </c>
      <c r="W2" s="93"/>
      <c r="X2" s="93"/>
      <c r="Y2" s="93"/>
      <c r="Z2" s="93"/>
      <c r="AA2" s="99"/>
      <c r="AB2" s="30" t="s">
        <v>160</v>
      </c>
      <c r="AC2" s="30" t="s">
        <v>161</v>
      </c>
      <c r="AD2" s="91" t="s">
        <v>162</v>
      </c>
      <c r="AE2" s="91" t="s">
        <v>163</v>
      </c>
      <c r="AF2" s="91" t="s">
        <v>164</v>
      </c>
      <c r="AG2" s="91" t="s">
        <v>165</v>
      </c>
      <c r="AH2" s="105" t="s">
        <v>166</v>
      </c>
      <c r="AI2" s="106" t="s">
        <v>167</v>
      </c>
      <c r="AJ2" s="105" t="s">
        <v>168</v>
      </c>
      <c r="AK2" s="28" t="s">
        <v>22</v>
      </c>
      <c r="AL2" s="105" t="s">
        <v>169</v>
      </c>
      <c r="AM2" s="29" t="s">
        <v>170</v>
      </c>
      <c r="AN2" s="29" t="s">
        <v>171</v>
      </c>
      <c r="AO2" s="115" t="s">
        <v>172</v>
      </c>
      <c r="AP2" s="29" t="s">
        <v>173</v>
      </c>
      <c r="AQ2" s="29" t="s">
        <v>174</v>
      </c>
      <c r="AR2" s="30" t="s">
        <v>175</v>
      </c>
      <c r="AS2" s="30" t="s">
        <v>176</v>
      </c>
      <c r="AT2" s="30" t="s">
        <v>177</v>
      </c>
    </row>
    <row r="3" s="11" customFormat="1" ht="27" customHeight="1" spans="1:46">
      <c r="A3" s="31"/>
      <c r="B3" s="32"/>
      <c r="C3" s="33"/>
      <c r="D3" s="33"/>
      <c r="E3" s="34"/>
      <c r="F3" s="35"/>
      <c r="G3" s="34"/>
      <c r="H3" s="34"/>
      <c r="I3" s="34"/>
      <c r="J3" s="72"/>
      <c r="K3" s="34"/>
      <c r="L3" s="34"/>
      <c r="M3" s="73" t="s">
        <v>178</v>
      </c>
      <c r="N3" s="73" t="s">
        <v>179</v>
      </c>
      <c r="O3" s="73" t="s">
        <v>180</v>
      </c>
      <c r="P3" s="73" t="s">
        <v>37</v>
      </c>
      <c r="Q3" s="35"/>
      <c r="R3" s="34"/>
      <c r="S3" s="35"/>
      <c r="T3" s="94"/>
      <c r="U3" s="35"/>
      <c r="V3" s="95" t="s">
        <v>181</v>
      </c>
      <c r="W3" s="95" t="s">
        <v>182</v>
      </c>
      <c r="X3" s="95" t="s">
        <v>183</v>
      </c>
      <c r="Y3" s="95" t="s">
        <v>184</v>
      </c>
      <c r="Z3" s="95" t="s">
        <v>185</v>
      </c>
      <c r="AA3" s="95" t="s">
        <v>186</v>
      </c>
      <c r="AB3" s="35"/>
      <c r="AC3" s="35"/>
      <c r="AD3" s="94"/>
      <c r="AE3" s="94"/>
      <c r="AF3" s="94"/>
      <c r="AG3" s="94"/>
      <c r="AH3" s="107"/>
      <c r="AI3" s="108"/>
      <c r="AJ3" s="107"/>
      <c r="AK3" s="33"/>
      <c r="AL3" s="107"/>
      <c r="AM3" s="34"/>
      <c r="AN3" s="34"/>
      <c r="AO3" s="116"/>
      <c r="AP3" s="34"/>
      <c r="AQ3" s="34"/>
      <c r="AR3" s="35"/>
      <c r="AS3" s="35"/>
      <c r="AT3" s="35"/>
    </row>
    <row r="4" s="12" customFormat="1" ht="18" customHeight="1" spans="1:46">
      <c r="A4" s="36">
        <v>1</v>
      </c>
      <c r="B4" s="37" t="s">
        <v>187</v>
      </c>
      <c r="C4" s="37" t="s">
        <v>43</v>
      </c>
      <c r="D4" s="37" t="s">
        <v>188</v>
      </c>
      <c r="E4" s="37" t="s">
        <v>44</v>
      </c>
      <c r="F4" s="38" t="s">
        <v>189</v>
      </c>
      <c r="G4" s="45">
        <v>18035163638</v>
      </c>
      <c r="H4" s="40"/>
      <c r="I4" s="40"/>
      <c r="J4" s="74"/>
      <c r="K4" s="40"/>
      <c r="L4" s="78">
        <v>10560</v>
      </c>
      <c r="M4" s="76">
        <v>283.84</v>
      </c>
      <c r="N4" s="76">
        <v>66</v>
      </c>
      <c r="O4" s="76">
        <v>10.64</v>
      </c>
      <c r="P4" s="76">
        <v>180</v>
      </c>
      <c r="Q4" s="96">
        <f t="shared" ref="Q4:Q11" si="0">ROUND(SUM(M4:P4),2)</f>
        <v>540.48</v>
      </c>
      <c r="R4" s="78">
        <v>0</v>
      </c>
      <c r="S4" s="97">
        <f>L4+IFERROR(VLOOKUP($E:$E,'（居民）工资表-8月'!$E:$S,15,0),0)</f>
        <v>89160</v>
      </c>
      <c r="T4" s="98">
        <f>5000+IFERROR(VLOOKUP($E:$E,'（居民）工资表-8月'!$E:$T,16,0),0)</f>
        <v>45000</v>
      </c>
      <c r="U4" s="98">
        <f>Q4+IFERROR(VLOOKUP($E:$E,'（居民）工资表-8月'!$E:$U,17,0),0)</f>
        <v>4864.32</v>
      </c>
      <c r="V4" s="78">
        <v>9000</v>
      </c>
      <c r="X4" s="78"/>
      <c r="Y4" s="78">
        <v>9000</v>
      </c>
      <c r="Z4" s="78">
        <v>3600</v>
      </c>
      <c r="AA4" s="78"/>
      <c r="AB4" s="97">
        <f t="shared" ref="AB4:AB11" si="1">ROUND(SUM(V4:AA4),2)</f>
        <v>21600</v>
      </c>
      <c r="AC4" s="97">
        <f>R4+IFERROR(VLOOKUP($E:$E,'（居民）工资表-8月'!$E:$AC,25,0),0)</f>
        <v>0</v>
      </c>
      <c r="AD4" s="100">
        <f t="shared" ref="AD4:AD11" si="2">ROUND(S4-T4-U4-AB4-AC4,2)</f>
        <v>17695.68</v>
      </c>
      <c r="AE4" s="101">
        <f>ROUND(MAX((AD4)*{0.03;0.1;0.2;0.25;0.3;0.35;0.45}-{0;2520;16920;31920;52920;85920;181920},0),2)</f>
        <v>530.87</v>
      </c>
      <c r="AF4" s="102">
        <f>IFERROR(VLOOKUP(E:E,'（居民）工资表-8月'!E:AF,28,0)+VLOOKUP(E:E,'（居民）工资表-8月'!E:AG,29,0),0)</f>
        <v>452.28</v>
      </c>
      <c r="AG4" s="102">
        <f>AE4-AF4</f>
        <v>78.59</v>
      </c>
      <c r="AH4" s="109">
        <f t="shared" ref="AH4:AH11" si="3">ROUND(IF((L4-Q4-AG4)&lt;0,0,(L4-Q4-AG4)),2)</f>
        <v>9940.93</v>
      </c>
      <c r="AI4" s="110"/>
      <c r="AJ4" s="109">
        <f t="shared" ref="AJ4:AJ11" si="4">AH4+AI4</f>
        <v>9940.93</v>
      </c>
      <c r="AK4" s="111"/>
      <c r="AL4" s="109">
        <f t="shared" ref="AL4:AL11" si="5">AJ4+AG4+AK4</f>
        <v>10019.52</v>
      </c>
      <c r="AM4" s="111"/>
      <c r="AN4" s="111"/>
      <c r="AO4" s="111"/>
      <c r="AP4" s="111"/>
      <c r="AQ4" s="111"/>
      <c r="AR4" s="117" t="str">
        <f>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7" t="str">
        <f>IF(SUMPRODUCT(N(E$1:E$8=E4))&gt;1,"重复","不")</f>
        <v>不</v>
      </c>
      <c r="AT4" s="117" t="str">
        <f>IF(SUMPRODUCT(N(AO$1:AO$8=AO4))&gt;1,"重复","不")</f>
        <v>重复</v>
      </c>
    </row>
    <row r="5" s="12" customFormat="1" ht="18" customHeight="1" spans="1:46">
      <c r="A5" s="36">
        <v>2</v>
      </c>
      <c r="B5" s="37" t="s">
        <v>187</v>
      </c>
      <c r="C5" s="37" t="s">
        <v>61</v>
      </c>
      <c r="D5" s="37" t="s">
        <v>188</v>
      </c>
      <c r="E5" s="37" t="s">
        <v>62</v>
      </c>
      <c r="F5" s="38" t="s">
        <v>189</v>
      </c>
      <c r="G5" s="45">
        <v>13944441728</v>
      </c>
      <c r="H5" s="40"/>
      <c r="I5" s="40"/>
      <c r="J5" s="74"/>
      <c r="K5" s="40"/>
      <c r="L5" s="78">
        <v>7000</v>
      </c>
      <c r="M5" s="76">
        <v>268.81</v>
      </c>
      <c r="N5" s="76">
        <v>72.06</v>
      </c>
      <c r="O5" s="76">
        <v>10.08</v>
      </c>
      <c r="P5" s="76">
        <v>82</v>
      </c>
      <c r="Q5" s="96">
        <f t="shared" si="0"/>
        <v>432.95</v>
      </c>
      <c r="R5" s="78">
        <v>0</v>
      </c>
      <c r="S5" s="97">
        <f>L5+IFERROR(VLOOKUP($E:$E,'（居民）工资表-8月'!$E:$S,15,0),0)</f>
        <v>63000</v>
      </c>
      <c r="T5" s="98">
        <f>5000+IFERROR(VLOOKUP($E:$E,'（居民）工资表-8月'!$E:$T,16,0),0)</f>
        <v>45000</v>
      </c>
      <c r="U5" s="98">
        <f>Q5+IFERROR(VLOOKUP($E:$E,'（居民）工资表-8月'!$E:$U,17,0),0)</f>
        <v>3896.55</v>
      </c>
      <c r="V5" s="78"/>
      <c r="W5" s="78"/>
      <c r="X5" s="78"/>
      <c r="Y5" s="78"/>
      <c r="Z5" s="78"/>
      <c r="AA5" s="78"/>
      <c r="AB5" s="97">
        <f t="shared" si="1"/>
        <v>0</v>
      </c>
      <c r="AC5" s="97">
        <f>R5+IFERROR(VLOOKUP($E:$E,'（居民）工资表-8月'!$E:$AC,25,0),0)</f>
        <v>0</v>
      </c>
      <c r="AD5" s="100">
        <f t="shared" si="2"/>
        <v>14103.45</v>
      </c>
      <c r="AE5" s="101">
        <f>ROUND(MAX((AD5)*{0.03;0.1;0.2;0.25;0.3;0.35;0.45}-{0;2520;16920;31920;52920;85920;181920},0),2)</f>
        <v>423.1</v>
      </c>
      <c r="AF5" s="102">
        <f>IFERROR(VLOOKUP(E:E,'（居民）工资表-8月'!E:AF,28,0)+VLOOKUP(E:E,'（居民）工资表-8月'!E:AG,29,0),0)</f>
        <v>136.09</v>
      </c>
      <c r="AG5" s="102">
        <f t="shared" ref="AG5:AG11" si="6">AE5-AF5</f>
        <v>287.01</v>
      </c>
      <c r="AH5" s="109">
        <f t="shared" si="3"/>
        <v>6280.04</v>
      </c>
      <c r="AI5" s="110"/>
      <c r="AJ5" s="109">
        <f t="shared" si="4"/>
        <v>6280.04</v>
      </c>
      <c r="AK5" s="111"/>
      <c r="AL5" s="109">
        <f t="shared" si="5"/>
        <v>6567.05</v>
      </c>
      <c r="AM5" s="111"/>
      <c r="AN5" s="111"/>
      <c r="AO5" s="111"/>
      <c r="AP5" s="111"/>
      <c r="AQ5" s="111"/>
      <c r="AR5" s="117" t="str">
        <f>IF(LEN(E5)=18,IF(RIGHT(E5,1)="X",IF(CHOOSE(MOD(SUM(LEFT(RIGHT(E5,18))*7+LEFT(RIGHT(E5,17))*9+LEFT(RIGHT(E5,16))*10+LEFT(RIGHT(E5,15))*5+LEFT(RIGHT(E5,14))*8+LEFT(RIGHT(E5,13))*4+LEFT(RIGHT(E5,12))*2+LEFT(RIGHT(E5,11))*1+LEFT(RIGHT(E5,10))*6+LEFT(RIGHT(E5,9))*3+LEFT(RIGHT(E5,8))*7+LEFT(RIGHT(E5,7))*9+LEFT(RIGHT(E5,6))*10+LEFT(RIGHT(E5,5))*5+LEFT(RIGHT(E5,4))*8+LEFT(RIGHT(E5,3))*4+LEFT(RIGHT(E5,2))*2),11)+1,1,0,"X",9,8,7,6,5,4,3,2)=LEFT(RIGHT(E5,1)),"正确","错误"),IF(CHOOSE(MOD(SUM(LEFT(RIGHT(E5,18))*7+LEFT(RIGHT(E5,17))*9+LEFT(RIGHT(E5,16))*10+LEFT(RIGHT(E5,15))*5+LEFT(RIGHT(E5,14))*8+LEFT(RIGHT(E5,13))*4+LEFT(RIGHT(E5,12))*2+LEFT(RIGHT(E5,11))*1+LEFT(RIGHT(E5,10))*6+LEFT(RIGHT(E5,9))*3+LEFT(RIGHT(E5,8))*7+LEFT(RIGHT(E5,7))*9+LEFT(RIGHT(E5,6))*10+LEFT(RIGHT(E5,5))*5+LEFT(RIGHT(E5,4))*8+LEFT(RIGHT(E5,3))*4+LEFT(RIGHT(E5,2))*2),11)+1,1,0,"X",9,8,7,6,5,4,3,2)=LEFT(RIGHT(E5,1))*1,"正确","错误")),IF(LEN(E5)=15,"老号，请注意！",IF(LEN(E5)=0,"未填写身份证号码","位数不对！")))</f>
        <v>正确</v>
      </c>
      <c r="AS5" s="117" t="str">
        <f>IF(SUMPRODUCT(N(E$1:E$8=E5))&gt;1,"重复","不")</f>
        <v>不</v>
      </c>
      <c r="AT5" s="117" t="str">
        <f>IF(SUMPRODUCT(N(AO$1:AO$8=AO5))&gt;1,"重复","不")</f>
        <v>重复</v>
      </c>
    </row>
    <row r="6" s="12" customFormat="1" ht="18" customHeight="1" spans="1:46">
      <c r="A6" s="36">
        <v>3</v>
      </c>
      <c r="B6" s="37" t="s">
        <v>187</v>
      </c>
      <c r="C6" s="37" t="s">
        <v>104</v>
      </c>
      <c r="D6" s="37" t="s">
        <v>188</v>
      </c>
      <c r="E6" s="37" t="s">
        <v>105</v>
      </c>
      <c r="F6" s="38" t="s">
        <v>190</v>
      </c>
      <c r="G6" s="45">
        <v>15360550807</v>
      </c>
      <c r="H6" s="40"/>
      <c r="I6" s="40"/>
      <c r="J6" s="74"/>
      <c r="K6" s="40"/>
      <c r="L6" s="78">
        <v>5700</v>
      </c>
      <c r="M6" s="76">
        <v>367.04</v>
      </c>
      <c r="N6" s="76">
        <v>144.28</v>
      </c>
      <c r="O6" s="76">
        <v>4.6</v>
      </c>
      <c r="P6" s="76">
        <v>115</v>
      </c>
      <c r="Q6" s="96">
        <f t="shared" si="0"/>
        <v>630.92</v>
      </c>
      <c r="R6" s="78">
        <v>0</v>
      </c>
      <c r="S6" s="97">
        <f>L6+IFERROR(VLOOKUP($E:$E,'（居民）工资表-8月'!$E:$S,15,0),0)</f>
        <v>51300</v>
      </c>
      <c r="T6" s="98">
        <f>5000+IFERROR(VLOOKUP($E:$E,'（居民）工资表-8月'!$E:$T,16,0),0)</f>
        <v>45000</v>
      </c>
      <c r="U6" s="98">
        <f>Q6+IFERROR(VLOOKUP($E:$E,'（居民）工资表-8月'!$E:$U,17,0),0)</f>
        <v>5652.72</v>
      </c>
      <c r="V6" s="78"/>
      <c r="W6" s="78"/>
      <c r="X6" s="78"/>
      <c r="Y6" s="78"/>
      <c r="Z6" s="78"/>
      <c r="AA6" s="78"/>
      <c r="AB6" s="97">
        <f t="shared" si="1"/>
        <v>0</v>
      </c>
      <c r="AC6" s="97">
        <f>R6+IFERROR(VLOOKUP($E:$E,'（居民）工资表-8月'!$E:$AC,25,0),0)</f>
        <v>0</v>
      </c>
      <c r="AD6" s="100">
        <f t="shared" si="2"/>
        <v>647.28</v>
      </c>
      <c r="AE6" s="101">
        <f>ROUND(MAX((AD6)*{0.03;0.1;0.2;0.25;0.3;0.35;0.45}-{0;2520;16920;31920;52920;85920;181920},0),2)</f>
        <v>19.42</v>
      </c>
      <c r="AF6" s="102">
        <f>IFERROR(VLOOKUP(E:E,'（居民）工资表-8月'!E:AF,28,0)+VLOOKUP(E:E,'（居民）工资表-8月'!E:AG,29,0),0)</f>
        <v>0</v>
      </c>
      <c r="AG6" s="102">
        <f t="shared" si="6"/>
        <v>19.42</v>
      </c>
      <c r="AH6" s="109">
        <f t="shared" si="3"/>
        <v>5049.66</v>
      </c>
      <c r="AI6" s="110"/>
      <c r="AJ6" s="109">
        <f t="shared" si="4"/>
        <v>5049.66</v>
      </c>
      <c r="AK6" s="111"/>
      <c r="AL6" s="109">
        <f t="shared" si="5"/>
        <v>5069.08</v>
      </c>
      <c r="AM6" s="111"/>
      <c r="AN6" s="111"/>
      <c r="AO6" s="111"/>
      <c r="AP6" s="111"/>
      <c r="AQ6" s="111"/>
      <c r="AR6" s="117" t="str">
        <f>IF(LEN(E6)=18,IF(RIGHT(E6,1)="X",IF(CHOOSE(MOD(SUM(LEFT(RIGHT(E6,18))*7+LEFT(RIGHT(E6,17))*9+LEFT(RIGHT(E6,16))*10+LEFT(RIGHT(E6,15))*5+LEFT(RIGHT(E6,14))*8+LEFT(RIGHT(E6,13))*4+LEFT(RIGHT(E6,12))*2+LEFT(RIGHT(E6,11))*1+LEFT(RIGHT(E6,10))*6+LEFT(RIGHT(E6,9))*3+LEFT(RIGHT(E6,8))*7+LEFT(RIGHT(E6,7))*9+LEFT(RIGHT(E6,6))*10+LEFT(RIGHT(E6,5))*5+LEFT(RIGHT(E6,4))*8+LEFT(RIGHT(E6,3))*4+LEFT(RIGHT(E6,2))*2),11)+1,1,0,"X",9,8,7,6,5,4,3,2)=LEFT(RIGHT(E6,1)),"正确","错误"),IF(CHOOSE(MOD(SUM(LEFT(RIGHT(E6,18))*7+LEFT(RIGHT(E6,17))*9+LEFT(RIGHT(E6,16))*10+LEFT(RIGHT(E6,15))*5+LEFT(RIGHT(E6,14))*8+LEFT(RIGHT(E6,13))*4+LEFT(RIGHT(E6,12))*2+LEFT(RIGHT(E6,11))*1+LEFT(RIGHT(E6,10))*6+LEFT(RIGHT(E6,9))*3+LEFT(RIGHT(E6,8))*7+LEFT(RIGHT(E6,7))*9+LEFT(RIGHT(E6,6))*10+LEFT(RIGHT(E6,5))*5+LEFT(RIGHT(E6,4))*8+LEFT(RIGHT(E6,3))*4+LEFT(RIGHT(E6,2))*2),11)+1,1,0,"X",9,8,7,6,5,4,3,2)=LEFT(RIGHT(E6,1))*1,"正确","错误")),IF(LEN(E6)=15,"老号，请注意！",IF(LEN(E6)=0,"未填写身份证号码","位数不对！")))</f>
        <v>正确</v>
      </c>
      <c r="AS6" s="117" t="str">
        <f>IF(SUMPRODUCT(N(E$1:E$8=E6))&gt;1,"重复","不")</f>
        <v>不</v>
      </c>
      <c r="AT6" s="117" t="str">
        <f>IF(SUMPRODUCT(N(AO$1:AO$8=AO6))&gt;1,"重复","不")</f>
        <v>重复</v>
      </c>
    </row>
    <row r="7" s="12" customFormat="1" ht="19" customHeight="1" spans="1:46">
      <c r="A7" s="36">
        <v>4</v>
      </c>
      <c r="B7" s="37" t="s">
        <v>187</v>
      </c>
      <c r="C7" s="37" t="s">
        <v>228</v>
      </c>
      <c r="D7" s="37" t="s">
        <v>188</v>
      </c>
      <c r="E7" s="398" t="s">
        <v>229</v>
      </c>
      <c r="F7" s="38" t="s">
        <v>189</v>
      </c>
      <c r="G7" s="45" t="s">
        <v>230</v>
      </c>
      <c r="H7" s="40"/>
      <c r="I7" s="40"/>
      <c r="J7" s="74"/>
      <c r="K7" s="40"/>
      <c r="L7" s="78">
        <v>4069.57</v>
      </c>
      <c r="M7" s="76">
        <v>0</v>
      </c>
      <c r="N7" s="76">
        <v>0</v>
      </c>
      <c r="O7" s="76">
        <v>0</v>
      </c>
      <c r="P7" s="76">
        <v>0</v>
      </c>
      <c r="Q7" s="96">
        <f t="shared" si="0"/>
        <v>0</v>
      </c>
      <c r="R7" s="78">
        <v>0</v>
      </c>
      <c r="S7" s="97">
        <f>L7+IFERROR(VLOOKUP($E:$E,'（居民）工资表-8月'!$E:$S,15,0),0)</f>
        <v>11277.2</v>
      </c>
      <c r="T7" s="98">
        <f>5000+IFERROR(VLOOKUP($E:$E,'（居民）工资表-8月'!$E:$T,16,0),0)</f>
        <v>15000</v>
      </c>
      <c r="U7" s="98">
        <f>Q7+IFERROR(VLOOKUP($E:$E,'（居民）工资表-8月'!$E:$U,17,0),0)</f>
        <v>1327.95</v>
      </c>
      <c r="V7" s="78"/>
      <c r="W7" s="78"/>
      <c r="X7" s="78"/>
      <c r="Y7" s="78"/>
      <c r="Z7" s="78"/>
      <c r="AA7" s="78"/>
      <c r="AB7" s="97">
        <f t="shared" si="1"/>
        <v>0</v>
      </c>
      <c r="AC7" s="97">
        <f>R7+IFERROR(VLOOKUP($E:$E,'（居民）工资表-8月'!$E:$AC,25,0),0)</f>
        <v>0</v>
      </c>
      <c r="AD7" s="100">
        <f t="shared" si="2"/>
        <v>-5050.75</v>
      </c>
      <c r="AE7" s="101">
        <f>ROUND(MAX((AD7)*{0.03;0.1;0.2;0.25;0.3;0.35;0.45}-{0;2520;16920;31920;52920;85920;181920},0),2)</f>
        <v>0</v>
      </c>
      <c r="AF7" s="102">
        <f>IFERROR(VLOOKUP(E:E,'（居民）工资表-8月'!E:AF,28,0)+VLOOKUP(E:E,'（居民）工资表-8月'!E:AG,29,0),0)</f>
        <v>0</v>
      </c>
      <c r="AG7" s="102">
        <f t="shared" si="6"/>
        <v>0</v>
      </c>
      <c r="AH7" s="109">
        <f t="shared" si="3"/>
        <v>4069.57</v>
      </c>
      <c r="AI7" s="110"/>
      <c r="AJ7" s="109">
        <f t="shared" si="4"/>
        <v>4069.57</v>
      </c>
      <c r="AK7" s="111"/>
      <c r="AL7" s="109">
        <f t="shared" si="5"/>
        <v>4069.57</v>
      </c>
      <c r="AM7" s="111"/>
      <c r="AN7" s="111"/>
      <c r="AO7" s="111"/>
      <c r="AP7" s="111"/>
      <c r="AQ7" s="111"/>
      <c r="AR7" s="117" t="str">
        <f>IF(LEN(E7)=18,IF(RIGHT(E7,1)="X",IF(CHOOSE(MOD(SUM(LEFT(RIGHT(E7,18))*7+LEFT(RIGHT(E7,17))*9+LEFT(RIGHT(E7,16))*10+LEFT(RIGHT(E7,15))*5+LEFT(RIGHT(E7,14))*8+LEFT(RIGHT(E7,13))*4+LEFT(RIGHT(E7,12))*2+LEFT(RIGHT(E7,11))*1+LEFT(RIGHT(E7,10))*6+LEFT(RIGHT(E7,9))*3+LEFT(RIGHT(E7,8))*7+LEFT(RIGHT(E7,7))*9+LEFT(RIGHT(E7,6))*10+LEFT(RIGHT(E7,5))*5+LEFT(RIGHT(E7,4))*8+LEFT(RIGHT(E7,3))*4+LEFT(RIGHT(E7,2))*2),11)+1,1,0,"X",9,8,7,6,5,4,3,2)=LEFT(RIGHT(E7,1)),"正确","错误"),IF(CHOOSE(MOD(SUM(LEFT(RIGHT(E7,18))*7+LEFT(RIGHT(E7,17))*9+LEFT(RIGHT(E7,16))*10+LEFT(RIGHT(E7,15))*5+LEFT(RIGHT(E7,14))*8+LEFT(RIGHT(E7,13))*4+LEFT(RIGHT(E7,12))*2+LEFT(RIGHT(E7,11))*1+LEFT(RIGHT(E7,10))*6+LEFT(RIGHT(E7,9))*3+LEFT(RIGHT(E7,8))*7+LEFT(RIGHT(E7,7))*9+LEFT(RIGHT(E7,6))*10+LEFT(RIGHT(E7,5))*5+LEFT(RIGHT(E7,4))*8+LEFT(RIGHT(E7,3))*4+LEFT(RIGHT(E7,2))*2),11)+1,1,0,"X",9,8,7,6,5,4,3,2)=LEFT(RIGHT(E7,1))*1,"正确","错误")),IF(LEN(E7)=15,"老号，请注意！",IF(LEN(E7)=0,"未填写身份证号码","位数不对！")))</f>
        <v>正确</v>
      </c>
      <c r="AS7" s="117" t="str">
        <f>IF(SUMPRODUCT(N(E$1:E$8=E7))&gt;1,"重复","不")</f>
        <v>不</v>
      </c>
      <c r="AT7" s="117" t="str">
        <f>IF(SUMPRODUCT(N(AO$1:AO$8=AO7))&gt;1,"重复","不")</f>
        <v>重复</v>
      </c>
    </row>
    <row r="8" s="12" customFormat="1" ht="19" customHeight="1" spans="1:46">
      <c r="A8" s="36">
        <v>5</v>
      </c>
      <c r="B8" s="37" t="s">
        <v>187</v>
      </c>
      <c r="C8" s="37" t="s">
        <v>113</v>
      </c>
      <c r="D8" s="37" t="s">
        <v>188</v>
      </c>
      <c r="E8" s="398" t="s">
        <v>114</v>
      </c>
      <c r="F8" s="38" t="s">
        <v>189</v>
      </c>
      <c r="G8" s="45" t="s">
        <v>231</v>
      </c>
      <c r="H8" s="40"/>
      <c r="I8" s="40"/>
      <c r="J8" s="74"/>
      <c r="K8" s="40"/>
      <c r="L8" s="78">
        <v>4142.27</v>
      </c>
      <c r="M8" s="76">
        <v>274.4</v>
      </c>
      <c r="N8" s="76">
        <v>76.6</v>
      </c>
      <c r="O8" s="76">
        <v>17.15</v>
      </c>
      <c r="P8" s="76">
        <v>75</v>
      </c>
      <c r="Q8" s="96">
        <f t="shared" si="0"/>
        <v>443.15</v>
      </c>
      <c r="R8" s="78">
        <v>0</v>
      </c>
      <c r="S8" s="97">
        <f>L8+IFERROR(VLOOKUP($E:$E,'（居民）工资表-8月'!$E:$S,15,0),0)</f>
        <v>4370.84</v>
      </c>
      <c r="T8" s="98">
        <f>5000+IFERROR(VLOOKUP($E:$E,'（居民）工资表-8月'!$E:$T,16,0),0)</f>
        <v>10000</v>
      </c>
      <c r="U8" s="98">
        <f>Q8+IFERROR(VLOOKUP($E:$E,'（居民）工资表-8月'!$E:$U,17,0),0)</f>
        <v>671.72</v>
      </c>
      <c r="V8" s="78"/>
      <c r="W8" s="78"/>
      <c r="X8" s="78"/>
      <c r="Y8" s="78"/>
      <c r="Z8" s="78"/>
      <c r="AA8" s="78"/>
      <c r="AB8" s="97">
        <f t="shared" si="1"/>
        <v>0</v>
      </c>
      <c r="AC8" s="97">
        <f>R8+IFERROR(VLOOKUP($E:$E,'（居民）工资表-8月'!$E:$AC,25,0),0)</f>
        <v>0</v>
      </c>
      <c r="AD8" s="100">
        <f t="shared" si="2"/>
        <v>-6300.88</v>
      </c>
      <c r="AE8" s="101">
        <f>ROUND(MAX((AD8)*{0.03;0.1;0.2;0.25;0.3;0.35;0.45}-{0;2520;16920;31920;52920;85920;181920},0),2)</f>
        <v>0</v>
      </c>
      <c r="AF8" s="102">
        <f>IFERROR(VLOOKUP(E:E,'（居民）工资表-8月'!E:AF,28,0)+VLOOKUP(E:E,'（居民）工资表-8月'!E:AG,29,0),0)</f>
        <v>0</v>
      </c>
      <c r="AG8" s="102">
        <f t="shared" si="6"/>
        <v>0</v>
      </c>
      <c r="AH8" s="109">
        <f t="shared" si="3"/>
        <v>3699.12</v>
      </c>
      <c r="AI8" s="110"/>
      <c r="AJ8" s="109">
        <f t="shared" si="4"/>
        <v>3699.12</v>
      </c>
      <c r="AK8" s="111"/>
      <c r="AL8" s="109">
        <f t="shared" si="5"/>
        <v>3699.12</v>
      </c>
      <c r="AM8" s="111"/>
      <c r="AN8" s="111"/>
      <c r="AO8" s="111"/>
      <c r="AP8" s="111"/>
      <c r="AQ8" s="111"/>
      <c r="AR8" s="117" t="str">
        <f>IF(LEN(E8)=18,IF(RIGHT(E8,1)="X",IF(CHOOSE(MOD(SUM(LEFT(RIGHT(E8,18))*7+LEFT(RIGHT(E8,17))*9+LEFT(RIGHT(E8,16))*10+LEFT(RIGHT(E8,15))*5+LEFT(RIGHT(E8,14))*8+LEFT(RIGHT(E8,13))*4+LEFT(RIGHT(E8,12))*2+LEFT(RIGHT(E8,11))*1+LEFT(RIGHT(E8,10))*6+LEFT(RIGHT(E8,9))*3+LEFT(RIGHT(E8,8))*7+LEFT(RIGHT(E8,7))*9+LEFT(RIGHT(E8,6))*10+LEFT(RIGHT(E8,5))*5+LEFT(RIGHT(E8,4))*8+LEFT(RIGHT(E8,3))*4+LEFT(RIGHT(E8,2))*2),11)+1,1,0,"X",9,8,7,6,5,4,3,2)=LEFT(RIGHT(E8,1)),"正确","错误"),IF(CHOOSE(MOD(SUM(LEFT(RIGHT(E8,18))*7+LEFT(RIGHT(E8,17))*9+LEFT(RIGHT(E8,16))*10+LEFT(RIGHT(E8,15))*5+LEFT(RIGHT(E8,14))*8+LEFT(RIGHT(E8,13))*4+LEFT(RIGHT(E8,12))*2+LEFT(RIGHT(E8,11))*1+LEFT(RIGHT(E8,10))*6+LEFT(RIGHT(E8,9))*3+LEFT(RIGHT(E8,8))*7+LEFT(RIGHT(E8,7))*9+LEFT(RIGHT(E8,6))*10+LEFT(RIGHT(E8,5))*5+LEFT(RIGHT(E8,4))*8+LEFT(RIGHT(E8,3))*4+LEFT(RIGHT(E8,2))*2),11)+1,1,0,"X",9,8,7,6,5,4,3,2)=LEFT(RIGHT(E8,1))*1,"正确","错误")),IF(LEN(E8)=15,"老号，请注意！",IF(LEN(E8)=0,"未填写身份证号码","位数不对！")))</f>
        <v>正确</v>
      </c>
      <c r="AS8" s="117" t="str">
        <f>IF(SUMPRODUCT(N(E$1:E$8=E8))&gt;1,"重复","不")</f>
        <v>不</v>
      </c>
      <c r="AT8" s="117" t="str">
        <f>IF(SUMPRODUCT(N(AO$1:AO$8=AO8))&gt;1,"重复","不")</f>
        <v>重复</v>
      </c>
    </row>
    <row r="9" s="12" customFormat="1" ht="19" customHeight="1" spans="1:46">
      <c r="A9" s="36">
        <v>6</v>
      </c>
      <c r="B9" s="37" t="s">
        <v>187</v>
      </c>
      <c r="C9" s="37" t="s">
        <v>117</v>
      </c>
      <c r="D9" s="37" t="s">
        <v>188</v>
      </c>
      <c r="E9" s="398" t="s">
        <v>118</v>
      </c>
      <c r="F9" s="38" t="s">
        <v>189</v>
      </c>
      <c r="G9" s="45">
        <v>19356875630</v>
      </c>
      <c r="H9" s="40"/>
      <c r="I9" s="40"/>
      <c r="J9" s="74"/>
      <c r="K9" s="40"/>
      <c r="L9" s="78">
        <v>4973.92</v>
      </c>
      <c r="M9" s="76">
        <v>823.2</v>
      </c>
      <c r="N9" s="76">
        <v>223.8</v>
      </c>
      <c r="O9" s="76">
        <v>51.45</v>
      </c>
      <c r="P9" s="76">
        <v>510</v>
      </c>
      <c r="Q9" s="96">
        <f t="shared" si="0"/>
        <v>1608.45</v>
      </c>
      <c r="R9" s="78">
        <v>0</v>
      </c>
      <c r="S9" s="97">
        <f>L9+IFERROR(VLOOKUP($E:$E,'（居民）工资表-8月'!$E:$S,15,0),0)</f>
        <v>4973.92</v>
      </c>
      <c r="T9" s="98">
        <f>5000+IFERROR(VLOOKUP($E:$E,'（居民）工资表-8月'!$E:$T,16,0),0)</f>
        <v>5000</v>
      </c>
      <c r="U9" s="98">
        <f>Q9+IFERROR(VLOOKUP($E:$E,'（居民）工资表-8月'!$E:$U,17,0),0)</f>
        <v>1608.45</v>
      </c>
      <c r="V9" s="78"/>
      <c r="W9" s="78"/>
      <c r="X9" s="78"/>
      <c r="Y9" s="78"/>
      <c r="Z9" s="78"/>
      <c r="AA9" s="78"/>
      <c r="AB9" s="97">
        <f t="shared" si="1"/>
        <v>0</v>
      </c>
      <c r="AC9" s="97">
        <f>R9+IFERROR(VLOOKUP($E:$E,'（居民）工资表-8月'!$E:$AC,25,0),0)</f>
        <v>0</v>
      </c>
      <c r="AD9" s="100">
        <f t="shared" si="2"/>
        <v>-1634.53</v>
      </c>
      <c r="AE9" s="101">
        <f>ROUND(MAX((AD9)*{0.03;0.1;0.2;0.25;0.3;0.35;0.45}-{0;2520;16920;31920;52920;85920;181920},0),2)</f>
        <v>0</v>
      </c>
      <c r="AF9" s="102">
        <f>IFERROR(VLOOKUP(E:E,'（居民）工资表-8月'!E:AF,28,0)+VLOOKUP(E:E,'（居民）工资表-8月'!E:AG,29,0),0)</f>
        <v>0</v>
      </c>
      <c r="AG9" s="102">
        <f t="shared" si="6"/>
        <v>0</v>
      </c>
      <c r="AH9" s="109">
        <f t="shared" si="3"/>
        <v>3365.47</v>
      </c>
      <c r="AI9" s="110"/>
      <c r="AJ9" s="109">
        <f t="shared" si="4"/>
        <v>3365.47</v>
      </c>
      <c r="AK9" s="111"/>
      <c r="AL9" s="109">
        <f t="shared" si="5"/>
        <v>3365.47</v>
      </c>
      <c r="AM9" s="111"/>
      <c r="AN9" s="111"/>
      <c r="AO9" s="111"/>
      <c r="AP9" s="111"/>
      <c r="AQ9" s="111"/>
      <c r="AR9" s="117"/>
      <c r="AS9" s="117"/>
      <c r="AT9" s="117"/>
    </row>
    <row r="10" s="12" customFormat="1" ht="19" customHeight="1" spans="1:46">
      <c r="A10" s="36">
        <v>7</v>
      </c>
      <c r="B10" s="37" t="s">
        <v>187</v>
      </c>
      <c r="C10" s="37" t="s">
        <v>129</v>
      </c>
      <c r="D10" s="37" t="s">
        <v>188</v>
      </c>
      <c r="E10" s="398" t="s">
        <v>130</v>
      </c>
      <c r="F10" s="38" t="s">
        <v>189</v>
      </c>
      <c r="G10" s="45">
        <v>13973652684</v>
      </c>
      <c r="H10" s="40"/>
      <c r="I10" s="40"/>
      <c r="J10" s="74"/>
      <c r="K10" s="40"/>
      <c r="L10" s="78">
        <v>3617.39</v>
      </c>
      <c r="M10" s="76">
        <v>576.64</v>
      </c>
      <c r="N10" s="76">
        <v>147.04</v>
      </c>
      <c r="O10" s="76">
        <v>21.62</v>
      </c>
      <c r="P10" s="76">
        <v>200</v>
      </c>
      <c r="Q10" s="96">
        <f t="shared" si="0"/>
        <v>945.3</v>
      </c>
      <c r="R10" s="78">
        <v>0</v>
      </c>
      <c r="S10" s="97">
        <f>L10+IFERROR(VLOOKUP($E:$E,'（居民）工资表-8月'!$E:$S,15,0),0)</f>
        <v>3617.39</v>
      </c>
      <c r="T10" s="98">
        <f>5000+IFERROR(VLOOKUP($E:$E,'（居民）工资表-8月'!$E:$T,16,0),0)</f>
        <v>5000</v>
      </c>
      <c r="U10" s="98">
        <f>Q10+IFERROR(VLOOKUP($E:$E,'（居民）工资表-8月'!$E:$U,17,0),0)</f>
        <v>945.3</v>
      </c>
      <c r="V10" s="78"/>
      <c r="W10" s="78"/>
      <c r="X10" s="78"/>
      <c r="Y10" s="78"/>
      <c r="Z10" s="78"/>
      <c r="AA10" s="78"/>
      <c r="AB10" s="97">
        <f t="shared" si="1"/>
        <v>0</v>
      </c>
      <c r="AC10" s="97">
        <f>R10+IFERROR(VLOOKUP($E:$E,'（居民）工资表-8月'!$E:$AC,25,0),0)</f>
        <v>0</v>
      </c>
      <c r="AD10" s="100">
        <f t="shared" si="2"/>
        <v>-2327.91</v>
      </c>
      <c r="AE10" s="101">
        <f>ROUND(MAX((AD10)*{0.03;0.1;0.2;0.25;0.3;0.35;0.45}-{0;2520;16920;31920;52920;85920;181920},0),2)</f>
        <v>0</v>
      </c>
      <c r="AF10" s="102">
        <f>IFERROR(VLOOKUP(E:E,'（居民）工资表-8月'!E:AF,28,0)+VLOOKUP(E:E,'（居民）工资表-8月'!E:AG,29,0),0)</f>
        <v>0</v>
      </c>
      <c r="AG10" s="102">
        <f t="shared" si="6"/>
        <v>0</v>
      </c>
      <c r="AH10" s="109">
        <f t="shared" si="3"/>
        <v>2672.09</v>
      </c>
      <c r="AI10" s="110"/>
      <c r="AJ10" s="109">
        <f t="shared" si="4"/>
        <v>2672.09</v>
      </c>
      <c r="AK10" s="111"/>
      <c r="AL10" s="109">
        <f t="shared" si="5"/>
        <v>2672.09</v>
      </c>
      <c r="AM10" s="111"/>
      <c r="AN10" s="111"/>
      <c r="AO10" s="111"/>
      <c r="AP10" s="111"/>
      <c r="AQ10" s="111"/>
      <c r="AR10" s="117"/>
      <c r="AS10" s="117"/>
      <c r="AT10" s="117"/>
    </row>
    <row r="11" s="12" customFormat="1" ht="19" customHeight="1" spans="1:46">
      <c r="A11" s="36">
        <v>8</v>
      </c>
      <c r="B11" s="37" t="s">
        <v>187</v>
      </c>
      <c r="C11" s="37" t="s">
        <v>109</v>
      </c>
      <c r="D11" s="37" t="s">
        <v>188</v>
      </c>
      <c r="E11" s="398" t="s">
        <v>110</v>
      </c>
      <c r="F11" s="38" t="s">
        <v>189</v>
      </c>
      <c r="G11" s="45" t="s">
        <v>232</v>
      </c>
      <c r="H11" s="40"/>
      <c r="I11" s="40"/>
      <c r="J11" s="74"/>
      <c r="K11" s="40"/>
      <c r="L11" s="78">
        <v>19565.22</v>
      </c>
      <c r="M11" s="76">
        <v>1043.2</v>
      </c>
      <c r="N11" s="76">
        <v>260.8</v>
      </c>
      <c r="O11" s="76">
        <v>65.2</v>
      </c>
      <c r="P11" s="76">
        <v>362.6</v>
      </c>
      <c r="Q11" s="96">
        <f t="shared" si="0"/>
        <v>1731.8</v>
      </c>
      <c r="R11" s="78">
        <v>0</v>
      </c>
      <c r="S11" s="97">
        <f>L11+IFERROR(VLOOKUP($E:$E,'（居民）工资表-8月'!$E:$S,15,0),0)</f>
        <v>19565.22</v>
      </c>
      <c r="T11" s="98">
        <f>5000+IFERROR(VLOOKUP($E:$E,'（居民）工资表-8月'!$E:$T,16,0),0)</f>
        <v>5000</v>
      </c>
      <c r="U11" s="98">
        <f>Q11+IFERROR(VLOOKUP($E:$E,'（居民）工资表-8月'!$E:$U,17,0),0)</f>
        <v>1731.8</v>
      </c>
      <c r="V11" s="78"/>
      <c r="W11" s="78"/>
      <c r="X11" s="78"/>
      <c r="Y11" s="78"/>
      <c r="Z11" s="78"/>
      <c r="AA11" s="78"/>
      <c r="AB11" s="97">
        <f t="shared" si="1"/>
        <v>0</v>
      </c>
      <c r="AC11" s="97">
        <f>R11+IFERROR(VLOOKUP($E:$E,'（居民）工资表-8月'!$E:$AC,25,0),0)</f>
        <v>0</v>
      </c>
      <c r="AD11" s="100">
        <f t="shared" si="2"/>
        <v>12833.42</v>
      </c>
      <c r="AE11" s="101">
        <f>ROUND(MAX((AD11)*{0.03;0.1;0.2;0.25;0.3;0.35;0.45}-{0;2520;16920;31920;52920;85920;181920},0),2)</f>
        <v>385</v>
      </c>
      <c r="AF11" s="102">
        <f>IFERROR(VLOOKUP(E:E,'（居民）工资表-8月'!E:AF,28,0)+VLOOKUP(E:E,'（居民）工资表-8月'!E:AG,29,0),0)</f>
        <v>0</v>
      </c>
      <c r="AG11" s="102">
        <f t="shared" si="6"/>
        <v>385</v>
      </c>
      <c r="AH11" s="109">
        <f t="shared" si="3"/>
        <v>17448.42</v>
      </c>
      <c r="AI11" s="110"/>
      <c r="AJ11" s="109">
        <f t="shared" si="4"/>
        <v>17448.42</v>
      </c>
      <c r="AK11" s="111"/>
      <c r="AL11" s="109">
        <f t="shared" si="5"/>
        <v>17833.42</v>
      </c>
      <c r="AM11" s="111"/>
      <c r="AN11" s="111"/>
      <c r="AO11" s="111"/>
      <c r="AP11" s="111"/>
      <c r="AQ11" s="111"/>
      <c r="AR11" s="117"/>
      <c r="AS11" s="117"/>
      <c r="AT11" s="117"/>
    </row>
    <row r="12" s="12" customFormat="1" ht="19" customHeight="1" spans="1:46">
      <c r="A12" s="36"/>
      <c r="B12" s="37"/>
      <c r="C12" s="37"/>
      <c r="D12" s="37"/>
      <c r="E12" s="37"/>
      <c r="F12" s="38"/>
      <c r="G12" s="45"/>
      <c r="H12" s="40"/>
      <c r="I12" s="40"/>
      <c r="J12" s="74"/>
      <c r="K12" s="40"/>
      <c r="L12" s="78"/>
      <c r="M12" s="76"/>
      <c r="N12" s="76"/>
      <c r="O12" s="76"/>
      <c r="P12" s="76"/>
      <c r="Q12" s="96"/>
      <c r="R12" s="78"/>
      <c r="S12" s="97"/>
      <c r="T12" s="98"/>
      <c r="U12" s="98"/>
      <c r="V12" s="78"/>
      <c r="W12" s="78"/>
      <c r="X12" s="78"/>
      <c r="Y12" s="78"/>
      <c r="Z12" s="78"/>
      <c r="AA12" s="78"/>
      <c r="AB12" s="97"/>
      <c r="AC12" s="97"/>
      <c r="AD12" s="100"/>
      <c r="AE12" s="101"/>
      <c r="AF12" s="102"/>
      <c r="AG12" s="102"/>
      <c r="AH12" s="109"/>
      <c r="AI12" s="110"/>
      <c r="AJ12" s="109"/>
      <c r="AK12" s="111"/>
      <c r="AL12" s="109"/>
      <c r="AM12" s="111"/>
      <c r="AN12" s="111"/>
      <c r="AO12" s="111"/>
      <c r="AP12" s="111"/>
      <c r="AQ12" s="111"/>
      <c r="AR12" s="117"/>
      <c r="AS12" s="117"/>
      <c r="AT12" s="117"/>
    </row>
    <row r="13" s="13" customFormat="1" ht="19" customHeight="1" spans="1:46">
      <c r="A13" s="46"/>
      <c r="B13" s="47" t="s">
        <v>216</v>
      </c>
      <c r="C13" s="47"/>
      <c r="D13" s="48"/>
      <c r="E13" s="49"/>
      <c r="F13" s="50"/>
      <c r="G13" s="51"/>
      <c r="H13" s="50"/>
      <c r="I13" s="79"/>
      <c r="J13" s="80"/>
      <c r="K13" s="79"/>
      <c r="L13" s="81">
        <f>SUM(L4:L12)</f>
        <v>59628.37</v>
      </c>
      <c r="M13" s="81">
        <f t="shared" ref="M13:AL13" si="7">SUM(M4:M12)</f>
        <v>3637.13</v>
      </c>
      <c r="N13" s="81">
        <f t="shared" si="7"/>
        <v>990.58</v>
      </c>
      <c r="O13" s="81">
        <f t="shared" si="7"/>
        <v>180.74</v>
      </c>
      <c r="P13" s="81">
        <f t="shared" si="7"/>
        <v>1524.6</v>
      </c>
      <c r="Q13" s="81">
        <f t="shared" si="7"/>
        <v>6333.05</v>
      </c>
      <c r="R13" s="81">
        <f t="shared" si="7"/>
        <v>0</v>
      </c>
      <c r="S13" s="81">
        <f t="shared" si="7"/>
        <v>247264.57</v>
      </c>
      <c r="T13" s="81">
        <f t="shared" si="7"/>
        <v>175000</v>
      </c>
      <c r="U13" s="81">
        <f t="shared" si="7"/>
        <v>20698.81</v>
      </c>
      <c r="V13" s="81">
        <f t="shared" si="7"/>
        <v>9000</v>
      </c>
      <c r="W13" s="81">
        <f t="shared" si="7"/>
        <v>0</v>
      </c>
      <c r="X13" s="81">
        <f t="shared" si="7"/>
        <v>0</v>
      </c>
      <c r="Y13" s="81">
        <f t="shared" si="7"/>
        <v>9000</v>
      </c>
      <c r="Z13" s="81">
        <f t="shared" si="7"/>
        <v>3600</v>
      </c>
      <c r="AA13" s="81">
        <f t="shared" si="7"/>
        <v>0</v>
      </c>
      <c r="AB13" s="81">
        <f t="shared" si="7"/>
        <v>21600</v>
      </c>
      <c r="AC13" s="81">
        <f t="shared" si="7"/>
        <v>0</v>
      </c>
      <c r="AD13" s="81">
        <f t="shared" si="7"/>
        <v>29965.76</v>
      </c>
      <c r="AE13" s="81">
        <f t="shared" si="7"/>
        <v>1358.39</v>
      </c>
      <c r="AF13" s="81">
        <f t="shared" si="7"/>
        <v>588.37</v>
      </c>
      <c r="AG13" s="81">
        <f t="shared" si="7"/>
        <v>770.02</v>
      </c>
      <c r="AH13" s="81">
        <f t="shared" si="7"/>
        <v>52525.3</v>
      </c>
      <c r="AI13" s="81">
        <f t="shared" si="7"/>
        <v>0</v>
      </c>
      <c r="AJ13" s="81">
        <f t="shared" si="7"/>
        <v>52525.3</v>
      </c>
      <c r="AK13" s="81">
        <f t="shared" si="7"/>
        <v>0</v>
      </c>
      <c r="AL13" s="81">
        <f t="shared" si="7"/>
        <v>53295.32</v>
      </c>
      <c r="AM13" s="112"/>
      <c r="AN13" s="112"/>
      <c r="AO13" s="112"/>
      <c r="AP13" s="112"/>
      <c r="AQ13" s="112"/>
      <c r="AR13" s="50"/>
      <c r="AS13" s="50"/>
      <c r="AT13" s="118"/>
    </row>
    <row r="14" ht="19" customHeight="1"/>
    <row r="15" ht="19" customHeight="1"/>
    <row r="16" ht="19" customHeight="1" spans="30:30">
      <c r="AD16" s="103"/>
    </row>
    <row r="17" ht="19" customHeight="1" spans="2:30">
      <c r="B17" s="52" t="s">
        <v>168</v>
      </c>
      <c r="C17" s="52" t="s">
        <v>217</v>
      </c>
      <c r="D17" s="52" t="s">
        <v>22</v>
      </c>
      <c r="E17" s="52" t="s">
        <v>23</v>
      </c>
      <c r="AD17" s="10"/>
    </row>
    <row r="18" ht="19" customHeight="1" spans="2:5">
      <c r="B18" s="53">
        <f>AJ13</f>
        <v>52525.3</v>
      </c>
      <c r="C18" s="53">
        <f>AG13</f>
        <v>770.02</v>
      </c>
      <c r="D18" s="53">
        <f>AK13</f>
        <v>0</v>
      </c>
      <c r="E18" s="53">
        <f>B18+C18+D18</f>
        <v>53295.32</v>
      </c>
    </row>
    <row r="19" ht="19" customHeight="1" spans="2:5">
      <c r="B19" s="54"/>
      <c r="C19" s="54"/>
      <c r="D19" s="54"/>
      <c r="E19" s="54"/>
    </row>
    <row r="20" s="14" customFormat="1" ht="19" customHeight="1" spans="1:35">
      <c r="A20" s="55" t="s">
        <v>218</v>
      </c>
      <c r="B20" s="56" t="s">
        <v>219</v>
      </c>
      <c r="C20" s="57"/>
      <c r="D20" s="57"/>
      <c r="E20" s="57"/>
      <c r="G20" s="58"/>
      <c r="J20" s="82"/>
      <c r="M20" s="83"/>
      <c r="AI20" s="113"/>
    </row>
    <row r="21" s="14" customFormat="1" ht="19" customHeight="1" spans="1:35">
      <c r="A21" s="59"/>
      <c r="B21" s="60" t="s">
        <v>220</v>
      </c>
      <c r="C21" s="57"/>
      <c r="D21" s="57"/>
      <c r="E21" s="57"/>
      <c r="G21" s="58"/>
      <c r="J21" s="82"/>
      <c r="M21" s="83"/>
      <c r="AI21" s="113"/>
    </row>
    <row r="22" s="14" customFormat="1" spans="1:35">
      <c r="A22" s="56"/>
      <c r="B22" s="60" t="s">
        <v>221</v>
      </c>
      <c r="C22" s="61"/>
      <c r="D22" s="61"/>
      <c r="E22" s="61"/>
      <c r="F22" s="61"/>
      <c r="G22" s="61"/>
      <c r="H22" s="61"/>
      <c r="I22" s="61"/>
      <c r="J22" s="84"/>
      <c r="K22" s="61"/>
      <c r="L22" s="61"/>
      <c r="M22" s="85"/>
      <c r="N22" s="61"/>
      <c r="O22" s="61"/>
      <c r="P22" s="61"/>
      <c r="AI22" s="113"/>
    </row>
    <row r="23" s="14" customFormat="1" customHeight="1" spans="1:35">
      <c r="A23" s="60"/>
      <c r="B23" s="60" t="s">
        <v>222</v>
      </c>
      <c r="C23" s="62"/>
      <c r="D23" s="62"/>
      <c r="E23" s="62"/>
      <c r="F23" s="62"/>
      <c r="G23" s="62"/>
      <c r="H23" s="62"/>
      <c r="I23" s="86"/>
      <c r="J23" s="87"/>
      <c r="K23" s="86"/>
      <c r="L23" s="86"/>
      <c r="M23" s="88"/>
      <c r="N23" s="86"/>
      <c r="O23" s="86"/>
      <c r="P23" s="86"/>
      <c r="AI23" s="113"/>
    </row>
    <row r="24" s="14" customFormat="1" customHeight="1" spans="1:35">
      <c r="A24" s="60"/>
      <c r="B24" s="60" t="s">
        <v>223</v>
      </c>
      <c r="C24" s="62"/>
      <c r="D24" s="62"/>
      <c r="E24" s="62"/>
      <c r="F24" s="62"/>
      <c r="G24" s="62"/>
      <c r="H24" s="62"/>
      <c r="I24" s="62"/>
      <c r="J24" s="89"/>
      <c r="K24" s="62"/>
      <c r="L24" s="86"/>
      <c r="M24" s="88"/>
      <c r="N24" s="86"/>
      <c r="O24" s="86"/>
      <c r="P24" s="86"/>
      <c r="AI24" s="113"/>
    </row>
    <row r="25" s="14" customFormat="1" customHeight="1" spans="1:35">
      <c r="A25" s="60"/>
      <c r="B25" s="60" t="s">
        <v>224</v>
      </c>
      <c r="C25" s="62"/>
      <c r="D25" s="62"/>
      <c r="E25" s="62"/>
      <c r="F25" s="62"/>
      <c r="G25" s="62"/>
      <c r="H25" s="62"/>
      <c r="I25" s="86"/>
      <c r="J25" s="87"/>
      <c r="K25" s="86"/>
      <c r="L25" s="86"/>
      <c r="M25" s="88"/>
      <c r="N25" s="86"/>
      <c r="O25" s="86"/>
      <c r="P25" s="86"/>
      <c r="AI25" s="113"/>
    </row>
    <row r="27" ht="11.25" customHeight="1" spans="2:2">
      <c r="B27" s="63" t="s">
        <v>225</v>
      </c>
    </row>
    <row r="28" spans="2:2">
      <c r="B28" s="64" t="s">
        <v>226</v>
      </c>
    </row>
    <row r="29" spans="2:2">
      <c r="B29" s="64" t="s">
        <v>227</v>
      </c>
    </row>
  </sheetData>
  <autoFilter ref="A3:AT13">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25">
    <cfRule type="duplicateValues" dxfId="3" priority="2" stopIfTrue="1"/>
  </conditionalFormatting>
  <conditionalFormatting sqref="B20:B24">
    <cfRule type="duplicateValues" dxfId="3" priority="3" stopIfTrue="1"/>
  </conditionalFormatting>
  <conditionalFormatting sqref="B28:B29">
    <cfRule type="duplicateValues" dxfId="3" priority="1" stopIfTrue="1"/>
  </conditionalFormatting>
  <conditionalFormatting sqref="C17:C19">
    <cfRule type="duplicateValues" dxfId="3" priority="4" stopIfTrue="1"/>
    <cfRule type="expression" dxfId="4" priority="5" stopIfTrue="1">
      <formula>AND(COUNTIF($B$13:$B$65449,C17)+COUNTIF($B$1:$B$3,C17)&gt;1,NOT(ISBLANK(C17)))</formula>
    </cfRule>
    <cfRule type="expression" dxfId="4" priority="6" stopIfTrue="1">
      <formula>AND(COUNTIF($B$24:$B$65400,C17)+COUNTIF($B$1:$B$23,C17)&gt;1,NOT(ISBLANK(C17)))</formula>
    </cfRule>
    <cfRule type="expression" dxfId="4" priority="7" stopIfTrue="1">
      <formula>AND(COUNTIF($B$13:$B$65438,C17)+COUNTIF($B$1:$B$3,C17)&gt;1,NOT(ISBLANK(C17)))</formula>
    </cfRule>
  </conditionalFormatting>
  <pageMargins left="0.235416666666667" right="0.235416666666667" top="0.747916666666667" bottom="0.747916666666667" header="0.313888888888889" footer="0.313888888888889"/>
  <pageSetup paperSize="9" scale="56" fitToWidth="2" orientation="landscape"/>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AW28"/>
  <sheetViews>
    <sheetView workbookViewId="0">
      <pane xSplit="6" ySplit="3" topLeftCell="AE4" activePane="bottomRight" state="frozen"/>
      <selection/>
      <selection pane="topRight"/>
      <selection pane="bottomLeft"/>
      <selection pane="bottomRight" activeCell="AV4" sqref="AV4:AW11"/>
    </sheetView>
  </sheetViews>
  <sheetFormatPr defaultColWidth="9" defaultRowHeight="13.5"/>
  <cols>
    <col min="1" max="1" width="4.45" style="15" customWidth="1"/>
    <col min="2" max="2" width="12.6333333333333" style="15" customWidth="1"/>
    <col min="3" max="3" width="10.45" style="15" customWidth="1"/>
    <col min="4" max="4" width="8.725" style="15" customWidth="1"/>
    <col min="5" max="5" width="19.45" style="16" customWidth="1"/>
    <col min="6" max="6" width="9" style="15"/>
    <col min="7" max="7" width="11.9083333333333" style="17" customWidth="1"/>
    <col min="8" max="8" width="4.63333333333333" style="15" hidden="1" customWidth="1"/>
    <col min="9" max="9" width="5.26666666666667" style="15" hidden="1" customWidth="1"/>
    <col min="10" max="10" width="11.725" style="18" customWidth="1"/>
    <col min="11" max="11" width="5.26666666666667" style="15" customWidth="1"/>
    <col min="12" max="12" width="11.725" style="15" customWidth="1"/>
    <col min="13" max="13" width="12.45" style="15" customWidth="1" outlineLevel="1"/>
    <col min="14" max="15" width="9" style="15" customWidth="1" outlineLevel="1"/>
    <col min="16" max="16" width="11.0916666666667" style="15" customWidth="1" outlineLevel="1"/>
    <col min="17" max="17" width="9.725" style="15" customWidth="1"/>
    <col min="18" max="18" width="9.45" style="15" customWidth="1"/>
    <col min="19" max="19" width="13.3666666666667" style="15" customWidth="1"/>
    <col min="20" max="21" width="12.2666666666667" style="15" customWidth="1"/>
    <col min="22" max="27" width="9" style="15" customWidth="1" outlineLevel="1"/>
    <col min="28" max="28" width="11.2666666666667" style="15" customWidth="1"/>
    <col min="29" max="29" width="8.45" style="15" customWidth="1"/>
    <col min="30" max="30" width="15.2666666666667" style="15" customWidth="1"/>
    <col min="31" max="31" width="13.3666666666667" style="15" customWidth="1"/>
    <col min="32" max="32" width="10.725" style="15" customWidth="1"/>
    <col min="33" max="33" width="12.2666666666667" style="15" customWidth="1"/>
    <col min="34" max="34" width="11.45" style="15" customWidth="1"/>
    <col min="35" max="35" width="7.90833333333333" style="19" customWidth="1"/>
    <col min="36" max="36" width="11.45" style="15" customWidth="1"/>
    <col min="37" max="37" width="9" style="15"/>
    <col min="38" max="38" width="11.45" style="15" customWidth="1"/>
    <col min="39" max="40" width="9" style="15" hidden="1" customWidth="1"/>
    <col min="41" max="41" width="19" style="15" hidden="1" customWidth="1"/>
    <col min="42" max="42" width="12.2666666666667" style="15" hidden="1" customWidth="1"/>
    <col min="43" max="43" width="9" style="15" hidden="1" customWidth="1"/>
    <col min="44" max="44" width="7" style="15" hidden="1" customWidth="1"/>
    <col min="45" max="45" width="6.725" style="15" hidden="1" customWidth="1"/>
    <col min="46" max="46" width="6.09166666666667" style="15" hidden="1" customWidth="1"/>
    <col min="47" max="47" width="9" style="15" hidden="1" customWidth="1"/>
    <col min="48" max="16384" width="9" style="15"/>
  </cols>
  <sheetData>
    <row r="1" s="10" customFormat="1" ht="29.25" customHeight="1" spans="1:45">
      <c r="A1" s="20" t="s">
        <v>140</v>
      </c>
      <c r="B1" s="21"/>
      <c r="C1" s="22"/>
      <c r="D1" s="23"/>
      <c r="E1" s="24"/>
      <c r="F1" s="24"/>
      <c r="G1" s="25"/>
      <c r="J1" s="65"/>
      <c r="L1" s="66"/>
      <c r="M1" s="67" t="s">
        <v>141</v>
      </c>
      <c r="N1" s="67"/>
      <c r="O1" s="67"/>
      <c r="P1" s="67"/>
      <c r="Q1" s="90"/>
      <c r="R1" s="90"/>
      <c r="S1" s="90"/>
      <c r="T1" s="90"/>
      <c r="U1" s="90"/>
      <c r="V1" s="90"/>
      <c r="W1" s="90"/>
      <c r="X1" s="90"/>
      <c r="Y1" s="90"/>
      <c r="Z1" s="90"/>
      <c r="AA1" s="90"/>
      <c r="AB1" s="90"/>
      <c r="AC1" s="90"/>
      <c r="AD1" s="66"/>
      <c r="AE1" s="66"/>
      <c r="AF1" s="66"/>
      <c r="AG1" s="66"/>
      <c r="AH1" s="66"/>
      <c r="AI1" s="104"/>
      <c r="AJ1" s="66"/>
      <c r="AK1" s="66"/>
      <c r="AL1" s="66"/>
      <c r="AM1" s="24"/>
      <c r="AN1" s="24"/>
      <c r="AO1" s="114"/>
      <c r="AP1" s="24"/>
      <c r="AQ1" s="24"/>
      <c r="AR1" s="24"/>
      <c r="AS1" s="24"/>
    </row>
    <row r="2" s="11" customFormat="1" ht="20.15" customHeight="1" spans="1:46">
      <c r="A2" s="26" t="s">
        <v>0</v>
      </c>
      <c r="B2" s="27" t="s">
        <v>142</v>
      </c>
      <c r="C2" s="28" t="s">
        <v>143</v>
      </c>
      <c r="D2" s="28" t="s">
        <v>144</v>
      </c>
      <c r="E2" s="29" t="s">
        <v>145</v>
      </c>
      <c r="F2" s="30" t="s">
        <v>146</v>
      </c>
      <c r="G2" s="29" t="s">
        <v>147</v>
      </c>
      <c r="H2" s="29" t="s">
        <v>148</v>
      </c>
      <c r="I2" s="29" t="s">
        <v>149</v>
      </c>
      <c r="J2" s="68" t="s">
        <v>150</v>
      </c>
      <c r="K2" s="29" t="s">
        <v>151</v>
      </c>
      <c r="L2" s="29" t="s">
        <v>152</v>
      </c>
      <c r="M2" s="69" t="s">
        <v>153</v>
      </c>
      <c r="N2" s="70"/>
      <c r="O2" s="70"/>
      <c r="P2" s="71"/>
      <c r="Q2" s="30" t="s">
        <v>154</v>
      </c>
      <c r="R2" s="29" t="s">
        <v>155</v>
      </c>
      <c r="S2" s="30" t="s">
        <v>156</v>
      </c>
      <c r="T2" s="91" t="s">
        <v>157</v>
      </c>
      <c r="U2" s="30" t="s">
        <v>158</v>
      </c>
      <c r="V2" s="92" t="s">
        <v>159</v>
      </c>
      <c r="W2" s="93"/>
      <c r="X2" s="93"/>
      <c r="Y2" s="93"/>
      <c r="Z2" s="93"/>
      <c r="AA2" s="99"/>
      <c r="AB2" s="30" t="s">
        <v>160</v>
      </c>
      <c r="AC2" s="30" t="s">
        <v>161</v>
      </c>
      <c r="AD2" s="91" t="s">
        <v>162</v>
      </c>
      <c r="AE2" s="91" t="s">
        <v>163</v>
      </c>
      <c r="AF2" s="91" t="s">
        <v>164</v>
      </c>
      <c r="AG2" s="91" t="s">
        <v>165</v>
      </c>
      <c r="AH2" s="105" t="s">
        <v>166</v>
      </c>
      <c r="AI2" s="106" t="s">
        <v>167</v>
      </c>
      <c r="AJ2" s="105" t="s">
        <v>168</v>
      </c>
      <c r="AK2" s="28" t="s">
        <v>22</v>
      </c>
      <c r="AL2" s="105" t="s">
        <v>169</v>
      </c>
      <c r="AM2" s="29" t="s">
        <v>170</v>
      </c>
      <c r="AN2" s="29" t="s">
        <v>171</v>
      </c>
      <c r="AO2" s="115" t="s">
        <v>172</v>
      </c>
      <c r="AP2" s="29" t="s">
        <v>173</v>
      </c>
      <c r="AQ2" s="29" t="s">
        <v>174</v>
      </c>
      <c r="AR2" s="30" t="s">
        <v>175</v>
      </c>
      <c r="AS2" s="30" t="s">
        <v>176</v>
      </c>
      <c r="AT2" s="30" t="s">
        <v>177</v>
      </c>
    </row>
    <row r="3" s="11" customFormat="1" ht="27" customHeight="1" spans="1:46">
      <c r="A3" s="31"/>
      <c r="B3" s="32"/>
      <c r="C3" s="33"/>
      <c r="D3" s="33"/>
      <c r="E3" s="34"/>
      <c r="F3" s="35"/>
      <c r="G3" s="34"/>
      <c r="H3" s="34"/>
      <c r="I3" s="34"/>
      <c r="J3" s="72"/>
      <c r="K3" s="34"/>
      <c r="L3" s="34"/>
      <c r="M3" s="73" t="s">
        <v>178</v>
      </c>
      <c r="N3" s="73" t="s">
        <v>179</v>
      </c>
      <c r="O3" s="73" t="s">
        <v>180</v>
      </c>
      <c r="P3" s="73" t="s">
        <v>37</v>
      </c>
      <c r="Q3" s="35"/>
      <c r="R3" s="34"/>
      <c r="S3" s="35"/>
      <c r="T3" s="94"/>
      <c r="U3" s="35"/>
      <c r="V3" s="95" t="s">
        <v>181</v>
      </c>
      <c r="W3" s="95" t="s">
        <v>182</v>
      </c>
      <c r="X3" s="95" t="s">
        <v>183</v>
      </c>
      <c r="Y3" s="95" t="s">
        <v>184</v>
      </c>
      <c r="Z3" s="95" t="s">
        <v>185</v>
      </c>
      <c r="AA3" s="95" t="s">
        <v>186</v>
      </c>
      <c r="AB3" s="35"/>
      <c r="AC3" s="35"/>
      <c r="AD3" s="94"/>
      <c r="AE3" s="94"/>
      <c r="AF3" s="94"/>
      <c r="AG3" s="94"/>
      <c r="AH3" s="107"/>
      <c r="AI3" s="108"/>
      <c r="AJ3" s="107"/>
      <c r="AK3" s="33"/>
      <c r="AL3" s="107"/>
      <c r="AM3" s="34"/>
      <c r="AN3" s="34"/>
      <c r="AO3" s="116"/>
      <c r="AP3" s="34"/>
      <c r="AQ3" s="34"/>
      <c r="AR3" s="35"/>
      <c r="AS3" s="35"/>
      <c r="AT3" s="35"/>
    </row>
    <row r="4" s="12" customFormat="1" ht="18" customHeight="1" spans="1:48">
      <c r="A4" s="36">
        <v>1</v>
      </c>
      <c r="B4" s="37" t="s">
        <v>187</v>
      </c>
      <c r="C4" s="37" t="s">
        <v>43</v>
      </c>
      <c r="D4" s="37" t="s">
        <v>188</v>
      </c>
      <c r="E4" s="37" t="s">
        <v>44</v>
      </c>
      <c r="F4" s="38" t="s">
        <v>189</v>
      </c>
      <c r="G4" s="45">
        <v>18035163638</v>
      </c>
      <c r="H4" s="40"/>
      <c r="I4" s="40"/>
      <c r="J4" s="74"/>
      <c r="K4" s="40"/>
      <c r="L4" s="78">
        <v>10560</v>
      </c>
      <c r="M4" s="76">
        <v>283.84</v>
      </c>
      <c r="N4" s="76">
        <v>115.6</v>
      </c>
      <c r="O4" s="76">
        <v>10.64</v>
      </c>
      <c r="P4" s="76">
        <v>180</v>
      </c>
      <c r="Q4" s="96">
        <f t="shared" ref="Q4:Q11" si="0">ROUND(SUM(M4:P4),2)</f>
        <v>590.08</v>
      </c>
      <c r="R4" s="78">
        <v>0</v>
      </c>
      <c r="S4" s="97">
        <f>L4+IFERROR(VLOOKUP($E:$E,'（居民）工资表-9月'!$E:$S,15,0),0)</f>
        <v>99720</v>
      </c>
      <c r="T4" s="98">
        <f>5000+IFERROR(VLOOKUP($E:$E,'（居民）工资表-9月'!$E:$T,16,0),0)</f>
        <v>50000</v>
      </c>
      <c r="U4" s="98">
        <f>Q4+IFERROR(VLOOKUP($E:$E,'（居民）工资表-9月'!$E:$U,17,0),0)</f>
        <v>5454.4</v>
      </c>
      <c r="V4" s="78">
        <v>10000</v>
      </c>
      <c r="W4" s="78"/>
      <c r="X4" s="78">
        <v>10000</v>
      </c>
      <c r="Y4" s="78"/>
      <c r="Z4" s="78">
        <v>4000</v>
      </c>
      <c r="AA4" s="78"/>
      <c r="AB4" s="97">
        <f t="shared" ref="AB4:AB11" si="1">ROUND(SUM(V4:AA4),2)</f>
        <v>24000</v>
      </c>
      <c r="AC4" s="97">
        <f>R4+IFERROR(VLOOKUP($E:$E,'（居民）工资表-9月'!$E:$AC,25,0),0)</f>
        <v>0</v>
      </c>
      <c r="AD4" s="100">
        <f t="shared" ref="AD4:AD11" si="2">ROUND(S4-T4-U4-AB4-AC4,2)</f>
        <v>20265.6</v>
      </c>
      <c r="AE4" s="101">
        <f>ROUND(MAX((AD4)*{0.03;0.1;0.2;0.25;0.3;0.35;0.45}-{0;2520;16920;31920;52920;85920;181920},0),2)</f>
        <v>607.97</v>
      </c>
      <c r="AF4" s="102">
        <f>IFERROR(VLOOKUP(E:E,'（居民）工资表-9月'!E:AF,28,0)+VLOOKUP(E:E,'（居民）工资表-9月'!E:AG,29,0),0)</f>
        <v>530.87</v>
      </c>
      <c r="AG4" s="102">
        <f t="shared" ref="AG4:AG11" si="3">IF((AE4-AF4)&lt;0,0,AE4-AF4)</f>
        <v>77.1</v>
      </c>
      <c r="AH4" s="109">
        <f t="shared" ref="AH4:AH11" si="4">ROUND(IF((L4-Q4-AG4)&lt;0,0,(L4-Q4-AG4)),2)</f>
        <v>9892.82</v>
      </c>
      <c r="AI4" s="110"/>
      <c r="AJ4" s="109">
        <f t="shared" ref="AJ4:AJ11" si="5">AH4+AI4</f>
        <v>9892.82</v>
      </c>
      <c r="AK4" s="111"/>
      <c r="AL4" s="109">
        <f t="shared" ref="AL4:AL11" si="6">AJ4+AG4+AK4</f>
        <v>9969.92</v>
      </c>
      <c r="AM4" s="111"/>
      <c r="AN4" s="111"/>
      <c r="AO4" s="111"/>
      <c r="AP4" s="111"/>
      <c r="AQ4" s="111"/>
      <c r="AR4" s="117" t="str">
        <f t="shared" ref="AR4:AR11" si="7">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7" t="str">
        <f t="shared" ref="AS4:AS11" si="8">IF(SUMPRODUCT(N(E$1:E$7=E4))&gt;1,"重复","不")</f>
        <v>不</v>
      </c>
      <c r="AT4" s="117" t="str">
        <f t="shared" ref="AT4:AT11" si="9">IF(SUMPRODUCT(N(AO$1:AO$7=AO4))&gt;1,"重复","不")</f>
        <v>重复</v>
      </c>
      <c r="AV4" s="12" t="s">
        <v>40</v>
      </c>
    </row>
    <row r="5" s="12" customFormat="1" ht="18" customHeight="1" spans="1:49">
      <c r="A5" s="36">
        <v>2</v>
      </c>
      <c r="B5" s="37" t="s">
        <v>187</v>
      </c>
      <c r="C5" s="37" t="s">
        <v>61</v>
      </c>
      <c r="D5" s="37" t="s">
        <v>188</v>
      </c>
      <c r="E5" s="37" t="s">
        <v>62</v>
      </c>
      <c r="F5" s="38" t="s">
        <v>189</v>
      </c>
      <c r="G5" s="45">
        <v>13944441728</v>
      </c>
      <c r="H5" s="40"/>
      <c r="I5" s="40"/>
      <c r="J5" s="74"/>
      <c r="K5" s="40"/>
      <c r="L5" s="78">
        <v>7000</v>
      </c>
      <c r="M5" s="76">
        <v>378.59</v>
      </c>
      <c r="N5" s="76">
        <v>144.12</v>
      </c>
      <c r="O5" s="76">
        <v>14.2</v>
      </c>
      <c r="P5" s="76">
        <v>82</v>
      </c>
      <c r="Q5" s="96">
        <f t="shared" si="0"/>
        <v>618.91</v>
      </c>
      <c r="R5" s="78">
        <v>0</v>
      </c>
      <c r="S5" s="97">
        <f>L5+IFERROR(VLOOKUP($E:$E,'（居民）工资表-9月'!$E:$S,15,0),0)</f>
        <v>70000</v>
      </c>
      <c r="T5" s="98">
        <f>5000+IFERROR(VLOOKUP($E:$E,'（居民）工资表-9月'!$E:$T,16,0),0)</f>
        <v>50000</v>
      </c>
      <c r="U5" s="98">
        <f>Q5+IFERROR(VLOOKUP($E:$E,'（居民）工资表-9月'!$E:$U,17,0),0)</f>
        <v>4515.46</v>
      </c>
      <c r="V5" s="78"/>
      <c r="W5" s="78"/>
      <c r="X5" s="78"/>
      <c r="Y5" s="78"/>
      <c r="Z5" s="78"/>
      <c r="AA5" s="78"/>
      <c r="AB5" s="97">
        <f t="shared" si="1"/>
        <v>0</v>
      </c>
      <c r="AC5" s="97">
        <f>R5+IFERROR(VLOOKUP($E:$E,'（居民）工资表-9月'!$E:$AC,25,0),0)</f>
        <v>0</v>
      </c>
      <c r="AD5" s="100">
        <f t="shared" si="2"/>
        <v>15484.54</v>
      </c>
      <c r="AE5" s="101">
        <f>ROUND(MAX((AD5)*{0.03;0.1;0.2;0.25;0.3;0.35;0.45}-{0;2520;16920;31920;52920;85920;181920},0),2)</f>
        <v>464.54</v>
      </c>
      <c r="AF5" s="102">
        <f>IFERROR(VLOOKUP(E:E,'（居民）工资表-9月'!E:AF,28,0)+VLOOKUP(E:E,'（居民）工资表-9月'!E:AG,29,0),0)</f>
        <v>423.1</v>
      </c>
      <c r="AG5" s="102">
        <f t="shared" si="3"/>
        <v>41.44</v>
      </c>
      <c r="AH5" s="109">
        <f t="shared" si="4"/>
        <v>6339.65</v>
      </c>
      <c r="AI5" s="110"/>
      <c r="AJ5" s="109">
        <f t="shared" si="5"/>
        <v>6339.65</v>
      </c>
      <c r="AK5" s="111"/>
      <c r="AL5" s="109">
        <f t="shared" si="6"/>
        <v>6381.09</v>
      </c>
      <c r="AM5" s="111"/>
      <c r="AN5" s="111"/>
      <c r="AO5" s="111"/>
      <c r="AP5" s="111"/>
      <c r="AQ5" s="111"/>
      <c r="AR5" s="117" t="str">
        <f t="shared" si="7"/>
        <v>正确</v>
      </c>
      <c r="AS5" s="117" t="str">
        <f t="shared" si="8"/>
        <v>不</v>
      </c>
      <c r="AT5" s="117" t="str">
        <f t="shared" si="9"/>
        <v>重复</v>
      </c>
      <c r="AV5" s="12" t="s">
        <v>233</v>
      </c>
      <c r="AW5" s="12" t="s">
        <v>51</v>
      </c>
    </row>
    <row r="6" s="12" customFormat="1" ht="18" customHeight="1" spans="1:49">
      <c r="A6" s="36">
        <v>3</v>
      </c>
      <c r="B6" s="37" t="s">
        <v>187</v>
      </c>
      <c r="C6" s="37" t="s">
        <v>104</v>
      </c>
      <c r="D6" s="37" t="s">
        <v>188</v>
      </c>
      <c r="E6" s="37" t="s">
        <v>105</v>
      </c>
      <c r="F6" s="38" t="s">
        <v>190</v>
      </c>
      <c r="G6" s="45">
        <v>15360550807</v>
      </c>
      <c r="H6" s="40"/>
      <c r="I6" s="40"/>
      <c r="J6" s="74"/>
      <c r="K6" s="40"/>
      <c r="L6" s="78">
        <v>5700</v>
      </c>
      <c r="M6" s="76">
        <v>367.04</v>
      </c>
      <c r="N6" s="76">
        <v>144.28</v>
      </c>
      <c r="O6" s="76">
        <v>4.6</v>
      </c>
      <c r="P6" s="76">
        <v>115</v>
      </c>
      <c r="Q6" s="96">
        <f t="shared" si="0"/>
        <v>630.92</v>
      </c>
      <c r="R6" s="78">
        <v>0</v>
      </c>
      <c r="S6" s="97">
        <f>L6+IFERROR(VLOOKUP($E:$E,'（居民）工资表-9月'!$E:$S,15,0),0)</f>
        <v>57000</v>
      </c>
      <c r="T6" s="98">
        <f>5000+IFERROR(VLOOKUP($E:$E,'（居民）工资表-9月'!$E:$T,16,0),0)</f>
        <v>50000</v>
      </c>
      <c r="U6" s="98">
        <f>Q6+IFERROR(VLOOKUP($E:$E,'（居民）工资表-9月'!$E:$U,17,0),0)</f>
        <v>6283.64</v>
      </c>
      <c r="V6" s="78"/>
      <c r="W6" s="78"/>
      <c r="X6" s="78"/>
      <c r="Y6" s="78"/>
      <c r="Z6" s="78"/>
      <c r="AA6" s="78"/>
      <c r="AB6" s="97">
        <f t="shared" si="1"/>
        <v>0</v>
      </c>
      <c r="AC6" s="97">
        <f>R6+IFERROR(VLOOKUP($E:$E,'（居民）工资表-9月'!$E:$AC,25,0),0)</f>
        <v>0</v>
      </c>
      <c r="AD6" s="100">
        <f t="shared" si="2"/>
        <v>716.36</v>
      </c>
      <c r="AE6" s="101">
        <f>ROUND(MAX((AD6)*{0.03;0.1;0.2;0.25;0.3;0.35;0.45}-{0;2520;16920;31920;52920;85920;181920},0),2)</f>
        <v>21.49</v>
      </c>
      <c r="AF6" s="102">
        <f>IFERROR(VLOOKUP(E:E,'（居民）工资表-9月'!E:AF,28,0)+VLOOKUP(E:E,'（居民）工资表-9月'!E:AG,29,0),0)</f>
        <v>19.42</v>
      </c>
      <c r="AG6" s="102">
        <f t="shared" si="3"/>
        <v>2.07</v>
      </c>
      <c r="AH6" s="109">
        <f t="shared" si="4"/>
        <v>5067.01</v>
      </c>
      <c r="AI6" s="110"/>
      <c r="AJ6" s="109">
        <f t="shared" si="5"/>
        <v>5067.01</v>
      </c>
      <c r="AK6" s="111"/>
      <c r="AL6" s="109">
        <f t="shared" si="6"/>
        <v>5069.08</v>
      </c>
      <c r="AM6" s="111"/>
      <c r="AN6" s="111"/>
      <c r="AO6" s="111"/>
      <c r="AP6" s="111"/>
      <c r="AQ6" s="111"/>
      <c r="AR6" s="117" t="str">
        <f t="shared" si="7"/>
        <v>正确</v>
      </c>
      <c r="AS6" s="117" t="str">
        <f t="shared" si="8"/>
        <v>不</v>
      </c>
      <c r="AT6" s="117" t="str">
        <f t="shared" si="9"/>
        <v>重复</v>
      </c>
      <c r="AV6" s="12" t="s">
        <v>50</v>
      </c>
      <c r="AW6" s="12" t="s">
        <v>51</v>
      </c>
    </row>
    <row r="7" s="12" customFormat="1" ht="18" customHeight="1" spans="1:49">
      <c r="A7" s="36">
        <v>4</v>
      </c>
      <c r="B7" s="37" t="s">
        <v>187</v>
      </c>
      <c r="C7" s="37" t="s">
        <v>109</v>
      </c>
      <c r="D7" s="37" t="s">
        <v>188</v>
      </c>
      <c r="E7" s="398" t="s">
        <v>110</v>
      </c>
      <c r="F7" s="38" t="s">
        <v>189</v>
      </c>
      <c r="G7" s="45" t="s">
        <v>232</v>
      </c>
      <c r="H7" s="40"/>
      <c r="I7" s="40"/>
      <c r="J7" s="74"/>
      <c r="K7" s="40"/>
      <c r="L7" s="78">
        <v>30060</v>
      </c>
      <c r="M7" s="76">
        <v>521.6</v>
      </c>
      <c r="N7" s="76">
        <v>130.4</v>
      </c>
      <c r="O7" s="76">
        <v>32.6</v>
      </c>
      <c r="P7" s="76">
        <v>181.3</v>
      </c>
      <c r="Q7" s="96">
        <f t="shared" si="0"/>
        <v>865.9</v>
      </c>
      <c r="R7" s="78">
        <v>0</v>
      </c>
      <c r="S7" s="97">
        <f>L7+IFERROR(VLOOKUP($E:$E,'（居民）工资表-9月'!$E:$S,15,0),0)</f>
        <v>49625.22</v>
      </c>
      <c r="T7" s="98">
        <f>5000+IFERROR(VLOOKUP($E:$E,'（居民）工资表-9月'!$E:$T,16,0),0)</f>
        <v>10000</v>
      </c>
      <c r="U7" s="98">
        <f>Q7+IFERROR(VLOOKUP($E:$E,'（居民）工资表-9月'!$E:$U,17,0),0)</f>
        <v>2597.7</v>
      </c>
      <c r="V7" s="78"/>
      <c r="W7" s="78"/>
      <c r="X7" s="78"/>
      <c r="Y7" s="78"/>
      <c r="Z7" s="78"/>
      <c r="AA7" s="78"/>
      <c r="AB7" s="97">
        <f t="shared" si="1"/>
        <v>0</v>
      </c>
      <c r="AC7" s="97">
        <f>R7+IFERROR(VLOOKUP($E:$E,'（居民）工资表-9月'!$E:$AC,25,0),0)</f>
        <v>0</v>
      </c>
      <c r="AD7" s="100">
        <f t="shared" si="2"/>
        <v>37027.52</v>
      </c>
      <c r="AE7" s="101">
        <f>ROUND(MAX((AD7)*{0.03;0.1;0.2;0.25;0.3;0.35;0.45}-{0;2520;16920;31920;52920;85920;181920},0),2)</f>
        <v>1182.75</v>
      </c>
      <c r="AF7" s="102">
        <f>IFERROR(VLOOKUP(E:E,'（居民）工资表-9月'!E:AF,28,0)+VLOOKUP(E:E,'（居民）工资表-9月'!E:AG,29,0),0)</f>
        <v>385</v>
      </c>
      <c r="AG7" s="102">
        <f t="shared" si="3"/>
        <v>797.75</v>
      </c>
      <c r="AH7" s="109">
        <f t="shared" si="4"/>
        <v>28396.35</v>
      </c>
      <c r="AI7" s="110"/>
      <c r="AJ7" s="109">
        <f t="shared" si="5"/>
        <v>28396.35</v>
      </c>
      <c r="AK7" s="111"/>
      <c r="AL7" s="109">
        <f t="shared" si="6"/>
        <v>29194.1</v>
      </c>
      <c r="AM7" s="111"/>
      <c r="AN7" s="111"/>
      <c r="AO7" s="111"/>
      <c r="AP7" s="111"/>
      <c r="AQ7" s="111"/>
      <c r="AR7" s="117" t="str">
        <f t="shared" si="7"/>
        <v>正确</v>
      </c>
      <c r="AS7" s="117" t="str">
        <f t="shared" si="8"/>
        <v>不</v>
      </c>
      <c r="AT7" s="117" t="str">
        <f t="shared" si="9"/>
        <v>重复</v>
      </c>
      <c r="AV7" s="12" t="s">
        <v>108</v>
      </c>
      <c r="AW7" s="12" t="s">
        <v>234</v>
      </c>
    </row>
    <row r="8" s="12" customFormat="1" ht="18" customHeight="1" spans="1:49">
      <c r="A8" s="36">
        <v>5</v>
      </c>
      <c r="B8" s="37" t="s">
        <v>187</v>
      </c>
      <c r="C8" s="37" t="s">
        <v>113</v>
      </c>
      <c r="D8" s="37" t="s">
        <v>188</v>
      </c>
      <c r="E8" s="398" t="s">
        <v>114</v>
      </c>
      <c r="F8" s="38" t="s">
        <v>189</v>
      </c>
      <c r="G8" s="45" t="s">
        <v>231</v>
      </c>
      <c r="H8" s="40"/>
      <c r="I8" s="40"/>
      <c r="J8" s="74"/>
      <c r="K8" s="40"/>
      <c r="L8" s="78">
        <v>4800</v>
      </c>
      <c r="M8" s="76">
        <v>274.4</v>
      </c>
      <c r="N8" s="76">
        <v>76.6</v>
      </c>
      <c r="O8" s="76">
        <v>17.15</v>
      </c>
      <c r="P8" s="76">
        <v>75</v>
      </c>
      <c r="Q8" s="96">
        <f t="shared" si="0"/>
        <v>443.15</v>
      </c>
      <c r="R8" s="78">
        <v>0</v>
      </c>
      <c r="S8" s="97">
        <f>L8+IFERROR(VLOOKUP($E:$E,'（居民）工资表-9月'!$E:$S,15,0),0)</f>
        <v>9170.84</v>
      </c>
      <c r="T8" s="98">
        <f>5000+IFERROR(VLOOKUP($E:$E,'（居民）工资表-9月'!$E:$T,16,0),0)</f>
        <v>15000</v>
      </c>
      <c r="U8" s="98">
        <f>Q8+IFERROR(VLOOKUP($E:$E,'（居民）工资表-9月'!$E:$U,17,0),0)</f>
        <v>1114.87</v>
      </c>
      <c r="V8" s="78"/>
      <c r="W8" s="78"/>
      <c r="X8" s="78"/>
      <c r="Y8" s="78"/>
      <c r="Z8" s="78"/>
      <c r="AA8" s="78"/>
      <c r="AB8" s="97">
        <f t="shared" si="1"/>
        <v>0</v>
      </c>
      <c r="AC8" s="97">
        <f>R8+IFERROR(VLOOKUP($E:$E,'（居民）工资表-9月'!$E:$AC,25,0),0)</f>
        <v>0</v>
      </c>
      <c r="AD8" s="100">
        <f t="shared" si="2"/>
        <v>-6944.03</v>
      </c>
      <c r="AE8" s="101">
        <f>ROUND(MAX((AD8)*{0.03;0.1;0.2;0.25;0.3;0.35;0.45}-{0;2520;16920;31920;52920;85920;181920},0),2)</f>
        <v>0</v>
      </c>
      <c r="AF8" s="102">
        <f>IFERROR(VLOOKUP(E:E,'（居民）工资表-9月'!E:AF,28,0)+VLOOKUP(E:E,'（居民）工资表-9月'!E:AG,29,0),0)</f>
        <v>0</v>
      </c>
      <c r="AG8" s="102">
        <f t="shared" si="3"/>
        <v>0</v>
      </c>
      <c r="AH8" s="109">
        <f t="shared" si="4"/>
        <v>4356.85</v>
      </c>
      <c r="AI8" s="110"/>
      <c r="AJ8" s="109">
        <f t="shared" si="5"/>
        <v>4356.85</v>
      </c>
      <c r="AK8" s="111"/>
      <c r="AL8" s="109">
        <f t="shared" si="6"/>
        <v>4356.85</v>
      </c>
      <c r="AM8" s="111"/>
      <c r="AN8" s="111"/>
      <c r="AO8" s="111"/>
      <c r="AP8" s="111"/>
      <c r="AQ8" s="111"/>
      <c r="AR8" s="117" t="str">
        <f t="shared" si="7"/>
        <v>正确</v>
      </c>
      <c r="AS8" s="117" t="str">
        <f t="shared" si="8"/>
        <v>不</v>
      </c>
      <c r="AT8" s="117" t="str">
        <f t="shared" si="9"/>
        <v>重复</v>
      </c>
      <c r="AV8" s="12" t="s">
        <v>235</v>
      </c>
      <c r="AW8" s="12" t="s">
        <v>51</v>
      </c>
    </row>
    <row r="9" s="12" customFormat="1" ht="18" customHeight="1" spans="1:49">
      <c r="A9" s="36">
        <v>6</v>
      </c>
      <c r="B9" s="37" t="s">
        <v>187</v>
      </c>
      <c r="C9" s="37" t="s">
        <v>117</v>
      </c>
      <c r="D9" s="37" t="s">
        <v>188</v>
      </c>
      <c r="E9" s="398" t="s">
        <v>118</v>
      </c>
      <c r="F9" s="38" t="s">
        <v>189</v>
      </c>
      <c r="G9" s="45">
        <v>19356875630</v>
      </c>
      <c r="H9" s="40"/>
      <c r="I9" s="40"/>
      <c r="J9" s="74"/>
      <c r="K9" s="40"/>
      <c r="L9" s="78">
        <v>5200</v>
      </c>
      <c r="M9" s="76">
        <v>274.4</v>
      </c>
      <c r="N9" s="76">
        <v>74.6</v>
      </c>
      <c r="O9" s="76">
        <v>17.15</v>
      </c>
      <c r="P9" s="76">
        <v>170</v>
      </c>
      <c r="Q9" s="96">
        <f t="shared" si="0"/>
        <v>536.15</v>
      </c>
      <c r="R9" s="78">
        <v>0</v>
      </c>
      <c r="S9" s="97">
        <f>L9+IFERROR(VLOOKUP($E:$E,'（居民）工资表-9月'!$E:$S,15,0),0)</f>
        <v>10173.92</v>
      </c>
      <c r="T9" s="98">
        <f>5000+IFERROR(VLOOKUP($E:$E,'（居民）工资表-9月'!$E:$T,16,0),0)</f>
        <v>10000</v>
      </c>
      <c r="U9" s="98">
        <f>Q9+IFERROR(VLOOKUP($E:$E,'（居民）工资表-9月'!$E:$U,17,0),0)</f>
        <v>2144.6</v>
      </c>
      <c r="V9" s="78"/>
      <c r="W9" s="78"/>
      <c r="X9" s="78"/>
      <c r="Y9" s="78"/>
      <c r="Z9" s="78"/>
      <c r="AA9" s="78"/>
      <c r="AB9" s="97">
        <f t="shared" si="1"/>
        <v>0</v>
      </c>
      <c r="AC9" s="97">
        <f>R9+IFERROR(VLOOKUP($E:$E,'（居民）工资表-9月'!$E:$AC,25,0),0)</f>
        <v>0</v>
      </c>
      <c r="AD9" s="100">
        <f t="shared" si="2"/>
        <v>-1970.68</v>
      </c>
      <c r="AE9" s="101">
        <f>ROUND(MAX((AD9)*{0.03;0.1;0.2;0.25;0.3;0.35;0.45}-{0;2520;16920;31920;52920;85920;181920},0),2)</f>
        <v>0</v>
      </c>
      <c r="AF9" s="102">
        <f>IFERROR(VLOOKUP(E:E,'（居民）工资表-9月'!E:AF,28,0)+VLOOKUP(E:E,'（居民）工资表-9月'!E:AG,29,0),0)</f>
        <v>0</v>
      </c>
      <c r="AG9" s="102">
        <f t="shared" si="3"/>
        <v>0</v>
      </c>
      <c r="AH9" s="109">
        <f t="shared" si="4"/>
        <v>4663.85</v>
      </c>
      <c r="AI9" s="110"/>
      <c r="AJ9" s="109">
        <f t="shared" si="5"/>
        <v>4663.85</v>
      </c>
      <c r="AK9" s="111"/>
      <c r="AL9" s="109">
        <f t="shared" si="6"/>
        <v>4663.85</v>
      </c>
      <c r="AM9" s="111"/>
      <c r="AN9" s="111"/>
      <c r="AO9" s="111"/>
      <c r="AP9" s="111"/>
      <c r="AQ9" s="111"/>
      <c r="AR9" s="117" t="str">
        <f t="shared" si="7"/>
        <v>正确</v>
      </c>
      <c r="AS9" s="117" t="str">
        <f t="shared" si="8"/>
        <v>不</v>
      </c>
      <c r="AT9" s="117" t="str">
        <f t="shared" si="9"/>
        <v>重复</v>
      </c>
      <c r="AV9" s="12" t="s">
        <v>235</v>
      </c>
      <c r="AW9" s="12" t="s">
        <v>51</v>
      </c>
    </row>
    <row r="10" s="12" customFormat="1" ht="18" customHeight="1" spans="1:49">
      <c r="A10" s="36">
        <v>7</v>
      </c>
      <c r="B10" s="37" t="s">
        <v>187</v>
      </c>
      <c r="C10" s="37" t="s">
        <v>129</v>
      </c>
      <c r="D10" s="37" t="s">
        <v>188</v>
      </c>
      <c r="E10" s="398" t="s">
        <v>130</v>
      </c>
      <c r="F10" s="38" t="s">
        <v>189</v>
      </c>
      <c r="G10" s="45">
        <v>13973652684</v>
      </c>
      <c r="H10" s="40"/>
      <c r="I10" s="40"/>
      <c r="J10" s="74"/>
      <c r="K10" s="40"/>
      <c r="L10" s="78">
        <v>5200</v>
      </c>
      <c r="M10" s="76">
        <v>288.32</v>
      </c>
      <c r="N10" s="76">
        <v>73.52</v>
      </c>
      <c r="O10" s="76">
        <v>10.81</v>
      </c>
      <c r="P10" s="76">
        <v>100</v>
      </c>
      <c r="Q10" s="96">
        <f t="shared" si="0"/>
        <v>472.65</v>
      </c>
      <c r="R10" s="78">
        <v>0</v>
      </c>
      <c r="S10" s="97">
        <f>L10+IFERROR(VLOOKUP($E:$E,'（居民）工资表-9月'!$E:$S,15,0),0)</f>
        <v>8817.39</v>
      </c>
      <c r="T10" s="98">
        <f>5000+IFERROR(VLOOKUP($E:$E,'（居民）工资表-9月'!$E:$T,16,0),0)</f>
        <v>10000</v>
      </c>
      <c r="U10" s="98">
        <f>Q10+IFERROR(VLOOKUP($E:$E,'（居民）工资表-9月'!$E:$U,17,0),0)</f>
        <v>1417.95</v>
      </c>
      <c r="V10" s="78"/>
      <c r="W10" s="78"/>
      <c r="X10" s="78"/>
      <c r="Y10" s="78"/>
      <c r="Z10" s="78"/>
      <c r="AA10" s="78"/>
      <c r="AB10" s="97">
        <f t="shared" si="1"/>
        <v>0</v>
      </c>
      <c r="AC10" s="97">
        <f>R10+IFERROR(VLOOKUP($E:$E,'（居民）工资表-9月'!$E:$AC,25,0),0)</f>
        <v>0</v>
      </c>
      <c r="AD10" s="100">
        <f t="shared" si="2"/>
        <v>-2600.56</v>
      </c>
      <c r="AE10" s="101">
        <f>ROUND(MAX((AD10)*{0.03;0.1;0.2;0.25;0.3;0.35;0.45}-{0;2520;16920;31920;52920;85920;181920},0),2)</f>
        <v>0</v>
      </c>
      <c r="AF10" s="102">
        <f>IFERROR(VLOOKUP(E:E,'（居民）工资表-9月'!E:AF,28,0)+VLOOKUP(E:E,'（居民）工资表-9月'!E:AG,29,0),0)</f>
        <v>0</v>
      </c>
      <c r="AG10" s="102">
        <f t="shared" si="3"/>
        <v>0</v>
      </c>
      <c r="AH10" s="109">
        <f t="shared" si="4"/>
        <v>4727.35</v>
      </c>
      <c r="AI10" s="110"/>
      <c r="AJ10" s="109">
        <f t="shared" si="5"/>
        <v>4727.35</v>
      </c>
      <c r="AK10" s="111"/>
      <c r="AL10" s="109">
        <f t="shared" si="6"/>
        <v>4727.35</v>
      </c>
      <c r="AM10" s="111"/>
      <c r="AN10" s="111"/>
      <c r="AO10" s="111"/>
      <c r="AP10" s="111"/>
      <c r="AQ10" s="111"/>
      <c r="AR10" s="117" t="str">
        <f t="shared" si="7"/>
        <v>正确</v>
      </c>
      <c r="AS10" s="117" t="str">
        <f t="shared" si="8"/>
        <v>不</v>
      </c>
      <c r="AT10" s="117" t="str">
        <f t="shared" si="9"/>
        <v>重复</v>
      </c>
      <c r="AV10" s="12" t="s">
        <v>236</v>
      </c>
      <c r="AW10" s="12" t="s">
        <v>51</v>
      </c>
    </row>
    <row r="11" s="12" customFormat="1" ht="18" customHeight="1" spans="1:49">
      <c r="A11" s="36">
        <v>8</v>
      </c>
      <c r="B11" s="37" t="s">
        <v>187</v>
      </c>
      <c r="C11" s="160" t="s">
        <v>132</v>
      </c>
      <c r="D11" s="37" t="s">
        <v>188</v>
      </c>
      <c r="E11" s="37" t="s">
        <v>133</v>
      </c>
      <c r="F11" s="38" t="s">
        <v>189</v>
      </c>
      <c r="G11" s="45" t="s">
        <v>230</v>
      </c>
      <c r="H11" s="40"/>
      <c r="I11" s="40"/>
      <c r="J11" s="74"/>
      <c r="K11" s="40"/>
      <c r="L11" s="78">
        <v>5500</v>
      </c>
      <c r="M11" s="76">
        <v>295.92</v>
      </c>
      <c r="N11" s="76">
        <v>78.98</v>
      </c>
      <c r="O11" s="76">
        <v>18.5</v>
      </c>
      <c r="P11" s="76">
        <v>105</v>
      </c>
      <c r="Q11" s="96">
        <f t="shared" si="0"/>
        <v>498.4</v>
      </c>
      <c r="R11" s="78">
        <v>0</v>
      </c>
      <c r="S11" s="97">
        <f>L11+IFERROR(VLOOKUP($E:$E,'（居民）工资表-9月'!$E:$S,15,0),0)</f>
        <v>5500</v>
      </c>
      <c r="T11" s="98">
        <f>5000+IFERROR(VLOOKUP($E:$E,'（居民）工资表-9月'!$E:$T,16,0),0)</f>
        <v>5000</v>
      </c>
      <c r="U11" s="98">
        <f>Q11+IFERROR(VLOOKUP($E:$E,'（居民）工资表-9月'!$E:$U,17,0),0)</f>
        <v>498.4</v>
      </c>
      <c r="V11" s="78"/>
      <c r="W11" s="78"/>
      <c r="X11" s="78"/>
      <c r="Y11" s="78"/>
      <c r="Z11" s="78"/>
      <c r="AA11" s="78"/>
      <c r="AB11" s="97">
        <f t="shared" si="1"/>
        <v>0</v>
      </c>
      <c r="AC11" s="97">
        <f>R11+IFERROR(VLOOKUP($E:$E,'（居民）工资表-9月'!$E:$AC,25,0),0)</f>
        <v>0</v>
      </c>
      <c r="AD11" s="100">
        <f t="shared" si="2"/>
        <v>1.6</v>
      </c>
      <c r="AE11" s="101">
        <f>ROUND(MAX((AD11)*{0.03;0.1;0.2;0.25;0.3;0.35;0.45}-{0;2520;16920;31920;52920;85920;181920},0),2)</f>
        <v>0.05</v>
      </c>
      <c r="AF11" s="102">
        <f>IFERROR(VLOOKUP(E:E,'（居民）工资表-9月'!E:AF,28,0)+VLOOKUP(E:E,'（居民）工资表-9月'!E:AG,29,0),0)</f>
        <v>0</v>
      </c>
      <c r="AG11" s="102">
        <f t="shared" si="3"/>
        <v>0.05</v>
      </c>
      <c r="AH11" s="109">
        <f t="shared" si="4"/>
        <v>5001.55</v>
      </c>
      <c r="AI11" s="110"/>
      <c r="AJ11" s="109">
        <f t="shared" si="5"/>
        <v>5001.55</v>
      </c>
      <c r="AK11" s="111"/>
      <c r="AL11" s="109">
        <f t="shared" si="6"/>
        <v>5001.6</v>
      </c>
      <c r="AM11" s="111"/>
      <c r="AN11" s="111"/>
      <c r="AO11" s="111"/>
      <c r="AP11" s="111"/>
      <c r="AQ11" s="111"/>
      <c r="AR11" s="117" t="str">
        <f t="shared" si="7"/>
        <v>正确</v>
      </c>
      <c r="AS11" s="117" t="str">
        <f t="shared" si="8"/>
        <v>不</v>
      </c>
      <c r="AT11" s="117" t="str">
        <f t="shared" si="9"/>
        <v>重复</v>
      </c>
      <c r="AV11" s="12" t="s">
        <v>131</v>
      </c>
      <c r="AW11" s="12" t="s">
        <v>237</v>
      </c>
    </row>
    <row r="12" s="13" customFormat="1" ht="18" customHeight="1" spans="1:46">
      <c r="A12" s="46"/>
      <c r="B12" s="47" t="s">
        <v>216</v>
      </c>
      <c r="C12" s="47"/>
      <c r="D12" s="48"/>
      <c r="E12" s="49"/>
      <c r="F12" s="50"/>
      <c r="G12" s="51"/>
      <c r="H12" s="50"/>
      <c r="I12" s="79"/>
      <c r="J12" s="80"/>
      <c r="K12" s="79"/>
      <c r="L12" s="81">
        <f>SUM(L4:L11)</f>
        <v>74020</v>
      </c>
      <c r="M12" s="81">
        <f t="shared" ref="M12:AL12" si="10">SUM(M4:M11)</f>
        <v>2684.11</v>
      </c>
      <c r="N12" s="81">
        <f t="shared" si="10"/>
        <v>838.1</v>
      </c>
      <c r="O12" s="81">
        <f t="shared" si="10"/>
        <v>125.65</v>
      </c>
      <c r="P12" s="81">
        <f t="shared" si="10"/>
        <v>1008.3</v>
      </c>
      <c r="Q12" s="81">
        <f t="shared" si="10"/>
        <v>4656.16</v>
      </c>
      <c r="R12" s="81">
        <f t="shared" si="10"/>
        <v>0</v>
      </c>
      <c r="S12" s="81">
        <f t="shared" si="10"/>
        <v>310007.37</v>
      </c>
      <c r="T12" s="81">
        <f t="shared" si="10"/>
        <v>200000</v>
      </c>
      <c r="U12" s="81">
        <f t="shared" si="10"/>
        <v>24027.02</v>
      </c>
      <c r="V12" s="81">
        <f t="shared" si="10"/>
        <v>10000</v>
      </c>
      <c r="W12" s="81">
        <f t="shared" si="10"/>
        <v>0</v>
      </c>
      <c r="X12" s="81">
        <f t="shared" si="10"/>
        <v>10000</v>
      </c>
      <c r="Y12" s="81">
        <f t="shared" si="10"/>
        <v>0</v>
      </c>
      <c r="Z12" s="81">
        <f t="shared" si="10"/>
        <v>4000</v>
      </c>
      <c r="AA12" s="81">
        <f t="shared" si="10"/>
        <v>0</v>
      </c>
      <c r="AB12" s="81">
        <f t="shared" si="10"/>
        <v>24000</v>
      </c>
      <c r="AC12" s="81">
        <f t="shared" si="10"/>
        <v>0</v>
      </c>
      <c r="AD12" s="81">
        <f t="shared" si="10"/>
        <v>61980.35</v>
      </c>
      <c r="AE12" s="81">
        <f t="shared" si="10"/>
        <v>2276.8</v>
      </c>
      <c r="AF12" s="81">
        <f t="shared" si="10"/>
        <v>1358.39</v>
      </c>
      <c r="AG12" s="81">
        <f t="shared" si="10"/>
        <v>918.41</v>
      </c>
      <c r="AH12" s="81">
        <f t="shared" si="10"/>
        <v>68445.43</v>
      </c>
      <c r="AI12" s="81">
        <f t="shared" si="10"/>
        <v>0</v>
      </c>
      <c r="AJ12" s="81">
        <f t="shared" si="10"/>
        <v>68445.43</v>
      </c>
      <c r="AK12" s="81">
        <f t="shared" si="10"/>
        <v>0</v>
      </c>
      <c r="AL12" s="81">
        <f t="shared" si="10"/>
        <v>69363.84</v>
      </c>
      <c r="AM12" s="112"/>
      <c r="AN12" s="112"/>
      <c r="AO12" s="112"/>
      <c r="AP12" s="112"/>
      <c r="AQ12" s="112"/>
      <c r="AR12" s="50"/>
      <c r="AS12" s="50"/>
      <c r="AT12" s="118"/>
    </row>
    <row r="15" spans="30:30">
      <c r="AD15" s="103"/>
    </row>
    <row r="16" ht="18.75" customHeight="1" spans="2:30">
      <c r="B16" s="52" t="s">
        <v>168</v>
      </c>
      <c r="C16" s="52" t="s">
        <v>217</v>
      </c>
      <c r="D16" s="52" t="s">
        <v>22</v>
      </c>
      <c r="E16" s="52" t="s">
        <v>23</v>
      </c>
      <c r="AD16" s="10"/>
    </row>
    <row r="17" ht="18.75" customHeight="1" spans="2:5">
      <c r="B17" s="53">
        <f>AJ12</f>
        <v>68445.43</v>
      </c>
      <c r="C17" s="53">
        <f>AG12</f>
        <v>918.41</v>
      </c>
      <c r="D17" s="53">
        <f>AK12</f>
        <v>0</v>
      </c>
      <c r="E17" s="53">
        <f>B17+C17+D17</f>
        <v>69363.84</v>
      </c>
    </row>
    <row r="18" spans="2:5">
      <c r="B18" s="54"/>
      <c r="C18" s="54"/>
      <c r="D18" s="54"/>
      <c r="E18" s="54"/>
    </row>
    <row r="19" s="14" customFormat="1" spans="1:35">
      <c r="A19" s="55" t="s">
        <v>218</v>
      </c>
      <c r="B19" s="56" t="s">
        <v>219</v>
      </c>
      <c r="C19" s="57"/>
      <c r="D19" s="57"/>
      <c r="E19" s="57"/>
      <c r="G19" s="58"/>
      <c r="J19" s="82"/>
      <c r="M19" s="83"/>
      <c r="AI19" s="113"/>
    </row>
    <row r="20" s="14" customFormat="1" spans="1:35">
      <c r="A20" s="59"/>
      <c r="B20" s="60" t="s">
        <v>220</v>
      </c>
      <c r="C20" s="57"/>
      <c r="D20" s="57"/>
      <c r="E20" s="57"/>
      <c r="G20" s="58"/>
      <c r="J20" s="82"/>
      <c r="M20" s="83"/>
      <c r="AI20" s="113"/>
    </row>
    <row r="21" s="14" customFormat="1" spans="1:35">
      <c r="A21" s="56"/>
      <c r="B21" s="60" t="s">
        <v>221</v>
      </c>
      <c r="C21" s="61"/>
      <c r="D21" s="61"/>
      <c r="E21" s="61"/>
      <c r="F21" s="61"/>
      <c r="G21" s="61"/>
      <c r="H21" s="61"/>
      <c r="I21" s="61"/>
      <c r="J21" s="84"/>
      <c r="K21" s="61"/>
      <c r="L21" s="61"/>
      <c r="M21" s="85"/>
      <c r="N21" s="61"/>
      <c r="O21" s="61"/>
      <c r="P21" s="61"/>
      <c r="AI21" s="113"/>
    </row>
    <row r="22" s="14" customFormat="1" customHeight="1" spans="1:35">
      <c r="A22" s="60"/>
      <c r="B22" s="60" t="s">
        <v>222</v>
      </c>
      <c r="C22" s="62"/>
      <c r="D22" s="62"/>
      <c r="E22" s="62"/>
      <c r="F22" s="62"/>
      <c r="G22" s="62"/>
      <c r="H22" s="62"/>
      <c r="I22" s="86"/>
      <c r="J22" s="87"/>
      <c r="K22" s="86"/>
      <c r="L22" s="86"/>
      <c r="M22" s="88"/>
      <c r="N22" s="86"/>
      <c r="O22" s="86"/>
      <c r="P22" s="86"/>
      <c r="AI22" s="113"/>
    </row>
    <row r="23" s="14" customFormat="1" customHeight="1" spans="1:35">
      <c r="A23" s="60"/>
      <c r="B23" s="60" t="s">
        <v>223</v>
      </c>
      <c r="C23" s="62"/>
      <c r="D23" s="62"/>
      <c r="E23" s="62"/>
      <c r="F23" s="62"/>
      <c r="G23" s="62"/>
      <c r="H23" s="62"/>
      <c r="I23" s="62"/>
      <c r="J23" s="89"/>
      <c r="K23" s="62"/>
      <c r="L23" s="86"/>
      <c r="M23" s="88"/>
      <c r="N23" s="86"/>
      <c r="O23" s="86"/>
      <c r="P23" s="86"/>
      <c r="AI23" s="113"/>
    </row>
    <row r="24" s="14" customFormat="1" customHeight="1" spans="1:35">
      <c r="A24" s="60"/>
      <c r="B24" s="60" t="s">
        <v>224</v>
      </c>
      <c r="C24" s="62"/>
      <c r="D24" s="62"/>
      <c r="E24" s="62"/>
      <c r="F24" s="62"/>
      <c r="G24" s="62"/>
      <c r="H24" s="62"/>
      <c r="I24" s="86"/>
      <c r="J24" s="87"/>
      <c r="K24" s="86"/>
      <c r="L24" s="86"/>
      <c r="M24" s="88"/>
      <c r="N24" s="86"/>
      <c r="O24" s="86"/>
      <c r="P24" s="86"/>
      <c r="AI24" s="113"/>
    </row>
    <row r="26" ht="11.25" customHeight="1" spans="2:2">
      <c r="B26" s="63" t="s">
        <v>225</v>
      </c>
    </row>
    <row r="27" spans="2:2">
      <c r="B27" s="64" t="s">
        <v>226</v>
      </c>
    </row>
    <row r="28" spans="2:2">
      <c r="B28" s="64" t="s">
        <v>227</v>
      </c>
    </row>
  </sheetData>
  <autoFilter ref="A3:AT12">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C11">
    <cfRule type="duplicateValues" dxfId="3" priority="1"/>
  </conditionalFormatting>
  <conditionalFormatting sqref="B24">
    <cfRule type="duplicateValues" dxfId="3" priority="3" stopIfTrue="1"/>
  </conditionalFormatting>
  <conditionalFormatting sqref="B19:B23">
    <cfRule type="duplicateValues" dxfId="3" priority="4" stopIfTrue="1"/>
  </conditionalFormatting>
  <conditionalFormatting sqref="B27:B28">
    <cfRule type="duplicateValues" dxfId="3" priority="2" stopIfTrue="1"/>
  </conditionalFormatting>
  <conditionalFormatting sqref="C16:C18">
    <cfRule type="duplicateValues" dxfId="3" priority="5" stopIfTrue="1"/>
    <cfRule type="expression" dxfId="4" priority="6" stopIfTrue="1">
      <formula>AND(COUNTIF($B$12:$B$65448,C16)+COUNTIF($B$1:$B$3,C16)&gt;1,NOT(ISBLANK(C16)))</formula>
    </cfRule>
    <cfRule type="expression" dxfId="4" priority="7" stopIfTrue="1">
      <formula>AND(COUNTIF($B$23:$B$65399,C16)+COUNTIF($B$1:$B$22,C16)&gt;1,NOT(ISBLANK(C16)))</formula>
    </cfRule>
    <cfRule type="expression" dxfId="4" priority="8" stopIfTrue="1">
      <formula>AND(COUNTIF($B$12:$B$65437,C16)+COUNTIF($B$1:$B$3,C16)&gt;1,NOT(ISBLANK(C16)))</formula>
    </cfRule>
  </conditionalFormatting>
  <pageMargins left="0.235416666666667" right="0.235416666666667" top="0.747916666666667" bottom="0.747916666666667" header="0.313888888888889" footer="0.313888888888889"/>
  <pageSetup paperSize="9" scale="56" fitToWidth="2" orientation="landscape"/>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AV29"/>
  <sheetViews>
    <sheetView workbookViewId="0">
      <pane xSplit="6" ySplit="3" topLeftCell="Y4" activePane="bottomRight" state="frozen"/>
      <selection/>
      <selection pane="topRight"/>
      <selection pane="bottomLeft"/>
      <selection pane="bottomRight" activeCell="AG4" sqref="AG4"/>
    </sheetView>
  </sheetViews>
  <sheetFormatPr defaultColWidth="9" defaultRowHeight="13.5"/>
  <cols>
    <col min="1" max="1" width="4.45" style="15" customWidth="1"/>
    <col min="2" max="2" width="12.6333333333333" style="15" customWidth="1"/>
    <col min="3" max="3" width="10.45" style="15" customWidth="1"/>
    <col min="4" max="4" width="8.725" style="15" customWidth="1"/>
    <col min="5" max="5" width="19.45" style="16" customWidth="1"/>
    <col min="6" max="6" width="9" style="15"/>
    <col min="7" max="7" width="11.9083333333333" style="17" customWidth="1"/>
    <col min="8" max="8" width="4.63333333333333" style="15" hidden="1" customWidth="1"/>
    <col min="9" max="9" width="5.26666666666667" style="15" hidden="1" customWidth="1"/>
    <col min="10" max="10" width="11.725" style="18" customWidth="1"/>
    <col min="11" max="11" width="5.26666666666667" style="15" customWidth="1"/>
    <col min="12" max="12" width="11.725" style="15" customWidth="1"/>
    <col min="13" max="13" width="12.45" style="15" customWidth="1" outlineLevel="1"/>
    <col min="14" max="15" width="9" style="15" customWidth="1" outlineLevel="1"/>
    <col min="16" max="16" width="11.0916666666667" style="15" customWidth="1" outlineLevel="1"/>
    <col min="17" max="17" width="9.725" style="15" customWidth="1"/>
    <col min="18" max="18" width="9.45" style="15" customWidth="1"/>
    <col min="19" max="19" width="13.3666666666667" style="15" customWidth="1"/>
    <col min="20" max="21" width="12.2666666666667" style="15" customWidth="1"/>
    <col min="22" max="27" width="9" style="15" customWidth="1" outlineLevel="1"/>
    <col min="28" max="28" width="11.2666666666667" style="15" customWidth="1"/>
    <col min="29" max="29" width="8.45" style="15" customWidth="1"/>
    <col min="30" max="30" width="15.2666666666667" style="15" customWidth="1"/>
    <col min="31" max="31" width="13.3666666666667" style="15" customWidth="1"/>
    <col min="32" max="32" width="10.725" style="15" customWidth="1"/>
    <col min="33" max="33" width="12.2666666666667" style="15" customWidth="1"/>
    <col min="34" max="34" width="11.45" style="15" customWidth="1"/>
    <col min="35" max="35" width="7.90833333333333" style="19" customWidth="1"/>
    <col min="36" max="36" width="11.45" style="15" customWidth="1"/>
    <col min="37" max="37" width="9" style="15"/>
    <col min="38" max="38" width="11.45" style="15" customWidth="1"/>
    <col min="39" max="40" width="9" style="15" hidden="1" customWidth="1"/>
    <col min="41" max="41" width="19" style="15" hidden="1" customWidth="1"/>
    <col min="42" max="42" width="12.2666666666667" style="15" hidden="1" customWidth="1"/>
    <col min="43" max="43" width="9" style="15" hidden="1" customWidth="1"/>
    <col min="44" max="44" width="7" style="15" hidden="1" customWidth="1"/>
    <col min="45" max="45" width="6.725" style="15" hidden="1" customWidth="1"/>
    <col min="46" max="46" width="6.09166666666667" style="15" hidden="1" customWidth="1"/>
    <col min="47" max="16384" width="9" style="15"/>
  </cols>
  <sheetData>
    <row r="1" s="10" customFormat="1" ht="29.25" customHeight="1" spans="1:45">
      <c r="A1" s="20" t="s">
        <v>140</v>
      </c>
      <c r="B1" s="21"/>
      <c r="C1" s="22"/>
      <c r="D1" s="23"/>
      <c r="E1" s="24"/>
      <c r="F1" s="24"/>
      <c r="G1" s="25"/>
      <c r="J1" s="65"/>
      <c r="L1" s="66"/>
      <c r="M1" s="67" t="s">
        <v>141</v>
      </c>
      <c r="N1" s="67"/>
      <c r="O1" s="67"/>
      <c r="P1" s="67"/>
      <c r="Q1" s="90"/>
      <c r="R1" s="90"/>
      <c r="S1" s="90"/>
      <c r="T1" s="90"/>
      <c r="U1" s="90"/>
      <c r="V1" s="90"/>
      <c r="W1" s="90"/>
      <c r="X1" s="90"/>
      <c r="Y1" s="90"/>
      <c r="Z1" s="90"/>
      <c r="AA1" s="90"/>
      <c r="AB1" s="90"/>
      <c r="AC1" s="90"/>
      <c r="AD1" s="66"/>
      <c r="AE1" s="66"/>
      <c r="AF1" s="66"/>
      <c r="AG1" s="66"/>
      <c r="AH1" s="66"/>
      <c r="AI1" s="104"/>
      <c r="AJ1" s="66"/>
      <c r="AK1" s="66"/>
      <c r="AL1" s="66"/>
      <c r="AM1" s="24"/>
      <c r="AN1" s="24"/>
      <c r="AO1" s="114"/>
      <c r="AP1" s="24"/>
      <c r="AQ1" s="24"/>
      <c r="AR1" s="24"/>
      <c r="AS1" s="24"/>
    </row>
    <row r="2" s="11" customFormat="1" ht="20.15" customHeight="1" spans="1:46">
      <c r="A2" s="26" t="s">
        <v>0</v>
      </c>
      <c r="B2" s="27" t="s">
        <v>142</v>
      </c>
      <c r="C2" s="28" t="s">
        <v>143</v>
      </c>
      <c r="D2" s="28" t="s">
        <v>144</v>
      </c>
      <c r="E2" s="29" t="s">
        <v>145</v>
      </c>
      <c r="F2" s="30" t="s">
        <v>146</v>
      </c>
      <c r="G2" s="29" t="s">
        <v>147</v>
      </c>
      <c r="H2" s="29" t="s">
        <v>148</v>
      </c>
      <c r="I2" s="29" t="s">
        <v>149</v>
      </c>
      <c r="J2" s="68" t="s">
        <v>150</v>
      </c>
      <c r="K2" s="29" t="s">
        <v>151</v>
      </c>
      <c r="L2" s="29" t="s">
        <v>152</v>
      </c>
      <c r="M2" s="69" t="s">
        <v>153</v>
      </c>
      <c r="N2" s="70"/>
      <c r="O2" s="70"/>
      <c r="P2" s="71"/>
      <c r="Q2" s="30" t="s">
        <v>154</v>
      </c>
      <c r="R2" s="29" t="s">
        <v>155</v>
      </c>
      <c r="S2" s="30" t="s">
        <v>156</v>
      </c>
      <c r="T2" s="91" t="s">
        <v>157</v>
      </c>
      <c r="U2" s="30" t="s">
        <v>158</v>
      </c>
      <c r="V2" s="92" t="s">
        <v>159</v>
      </c>
      <c r="W2" s="93"/>
      <c r="X2" s="93"/>
      <c r="Y2" s="93"/>
      <c r="Z2" s="93"/>
      <c r="AA2" s="99"/>
      <c r="AB2" s="30" t="s">
        <v>160</v>
      </c>
      <c r="AC2" s="30" t="s">
        <v>161</v>
      </c>
      <c r="AD2" s="91" t="s">
        <v>162</v>
      </c>
      <c r="AE2" s="91" t="s">
        <v>163</v>
      </c>
      <c r="AF2" s="91" t="s">
        <v>164</v>
      </c>
      <c r="AG2" s="91" t="s">
        <v>165</v>
      </c>
      <c r="AH2" s="105" t="s">
        <v>166</v>
      </c>
      <c r="AI2" s="106" t="s">
        <v>167</v>
      </c>
      <c r="AJ2" s="105" t="s">
        <v>168</v>
      </c>
      <c r="AK2" s="28" t="s">
        <v>22</v>
      </c>
      <c r="AL2" s="105" t="s">
        <v>169</v>
      </c>
      <c r="AM2" s="29" t="s">
        <v>170</v>
      </c>
      <c r="AN2" s="29" t="s">
        <v>171</v>
      </c>
      <c r="AO2" s="115" t="s">
        <v>172</v>
      </c>
      <c r="AP2" s="29" t="s">
        <v>173</v>
      </c>
      <c r="AQ2" s="29" t="s">
        <v>174</v>
      </c>
      <c r="AR2" s="30" t="s">
        <v>175</v>
      </c>
      <c r="AS2" s="30" t="s">
        <v>176</v>
      </c>
      <c r="AT2" s="30" t="s">
        <v>177</v>
      </c>
    </row>
    <row r="3" s="11" customFormat="1" ht="27" customHeight="1" spans="1:46">
      <c r="A3" s="31"/>
      <c r="B3" s="32"/>
      <c r="C3" s="33"/>
      <c r="D3" s="33"/>
      <c r="E3" s="34"/>
      <c r="F3" s="35"/>
      <c r="G3" s="34"/>
      <c r="H3" s="34"/>
      <c r="I3" s="34"/>
      <c r="J3" s="72"/>
      <c r="K3" s="34"/>
      <c r="L3" s="34"/>
      <c r="M3" s="73" t="s">
        <v>178</v>
      </c>
      <c r="N3" s="73" t="s">
        <v>179</v>
      </c>
      <c r="O3" s="73" t="s">
        <v>180</v>
      </c>
      <c r="P3" s="73" t="s">
        <v>37</v>
      </c>
      <c r="Q3" s="35"/>
      <c r="R3" s="34"/>
      <c r="S3" s="35"/>
      <c r="T3" s="94"/>
      <c r="U3" s="35"/>
      <c r="V3" s="95" t="s">
        <v>181</v>
      </c>
      <c r="W3" s="95" t="s">
        <v>182</v>
      </c>
      <c r="X3" s="95" t="s">
        <v>183</v>
      </c>
      <c r="Y3" s="95" t="s">
        <v>184</v>
      </c>
      <c r="Z3" s="95" t="s">
        <v>185</v>
      </c>
      <c r="AA3" s="95" t="s">
        <v>186</v>
      </c>
      <c r="AB3" s="35"/>
      <c r="AC3" s="35"/>
      <c r="AD3" s="94"/>
      <c r="AE3" s="94"/>
      <c r="AF3" s="94"/>
      <c r="AG3" s="94"/>
      <c r="AH3" s="107"/>
      <c r="AI3" s="108"/>
      <c r="AJ3" s="107"/>
      <c r="AK3" s="33"/>
      <c r="AL3" s="107"/>
      <c r="AM3" s="34"/>
      <c r="AN3" s="34"/>
      <c r="AO3" s="116"/>
      <c r="AP3" s="34"/>
      <c r="AQ3" s="34"/>
      <c r="AR3" s="35"/>
      <c r="AS3" s="35"/>
      <c r="AT3" s="35"/>
    </row>
    <row r="4" s="12" customFormat="1" ht="18" customHeight="1" spans="1:48">
      <c r="A4" s="36">
        <v>1</v>
      </c>
      <c r="B4" s="37" t="s">
        <v>187</v>
      </c>
      <c r="C4" s="37" t="s">
        <v>43</v>
      </c>
      <c r="D4" s="37" t="s">
        <v>188</v>
      </c>
      <c r="E4" s="37" t="s">
        <v>44</v>
      </c>
      <c r="F4" s="38" t="s">
        <v>189</v>
      </c>
      <c r="G4" s="45">
        <v>18035163638</v>
      </c>
      <c r="H4" s="40"/>
      <c r="I4" s="40"/>
      <c r="J4" s="74"/>
      <c r="K4" s="40"/>
      <c r="L4" s="78">
        <v>10560</v>
      </c>
      <c r="M4" s="76">
        <v>283.84</v>
      </c>
      <c r="N4" s="76">
        <v>70.96</v>
      </c>
      <c r="O4" s="76">
        <v>10.64</v>
      </c>
      <c r="P4" s="76">
        <v>180</v>
      </c>
      <c r="Q4" s="96">
        <f t="shared" ref="Q4:Q12" si="0">ROUND(SUM(M4:P4),2)</f>
        <v>545.44</v>
      </c>
      <c r="R4" s="78">
        <v>0</v>
      </c>
      <c r="S4" s="97">
        <f>L4+IFERROR(VLOOKUP($E:$E,'（居民）工资表-10月'!$E:$S,15,0),0)</f>
        <v>110280</v>
      </c>
      <c r="T4" s="98">
        <f>5000+IFERROR(VLOOKUP($E:$E,'（居民）工资表-10月'!$E:$T,16,0),0)</f>
        <v>55000</v>
      </c>
      <c r="U4" s="98">
        <f>Q4+IFERROR(VLOOKUP($E:$E,'（居民）工资表-10月'!$E:$U,17,0),0)</f>
        <v>5999.84</v>
      </c>
      <c r="V4" s="78">
        <v>11000</v>
      </c>
      <c r="W4" s="78"/>
      <c r="X4" s="78"/>
      <c r="Y4" s="78">
        <v>11000</v>
      </c>
      <c r="Z4" s="78">
        <v>4400</v>
      </c>
      <c r="AA4" s="78"/>
      <c r="AB4" s="97">
        <f t="shared" ref="AB4:AB12" si="1">ROUND(SUM(V4:AA4),2)</f>
        <v>26400</v>
      </c>
      <c r="AC4" s="97">
        <f>R4+IFERROR(VLOOKUP($E:$E,'（居民）工资表-10月'!$E:$AC,25,0),0)</f>
        <v>0</v>
      </c>
      <c r="AD4" s="100">
        <f t="shared" ref="AD4:AD12" si="2">ROUND(S4-T4-U4-AB4-AC4,2)</f>
        <v>22880.16</v>
      </c>
      <c r="AE4" s="101">
        <f>ROUND(MAX((AD4)*{0.03;0.1;0.2;0.25;0.3;0.35;0.45}-{0;2520;16920;31920;52920;85920;181920},0),2)</f>
        <v>686.4</v>
      </c>
      <c r="AF4" s="102">
        <f>IFERROR(VLOOKUP(E:E,'（居民）工资表-10月'!E:AF,28,0)+VLOOKUP(E:E,'（居民）工资表-10月'!E:AG,29,0),0)</f>
        <v>607.97</v>
      </c>
      <c r="AG4" s="102">
        <f>IF((AE4-AF4)&lt;0,0,AE4-AF4)</f>
        <v>78.4299999999999</v>
      </c>
      <c r="AH4" s="109">
        <f t="shared" ref="AH4:AH12" si="3">ROUND(IF((L4-Q4-AG4)&lt;0,0,(L4-Q4-AG4)),2)</f>
        <v>9936.13</v>
      </c>
      <c r="AI4" s="110"/>
      <c r="AJ4" s="109">
        <f t="shared" ref="AJ4:AJ12" si="4">AH4+AI4</f>
        <v>9936.13</v>
      </c>
      <c r="AK4" s="111"/>
      <c r="AL4" s="109">
        <f t="shared" ref="AL4:AL12" si="5">AJ4+AG4+AK4</f>
        <v>10014.56</v>
      </c>
      <c r="AM4" s="111"/>
      <c r="AN4" s="111"/>
      <c r="AO4" s="111"/>
      <c r="AP4" s="111"/>
      <c r="AQ4" s="111"/>
      <c r="AR4" s="117" t="str">
        <f t="shared" ref="AR4:AR12" si="6">IF(LEN(E4)=18,IF(RIGHT(E4,1)="X",IF(CHOOSE(MOD(SUM(LEFT(RIGHT(E4,18))*7+LEFT(RIGHT(E4,17))*9+LEFT(RIGHT(E4,16))*10+LEFT(RIGHT(E4,15))*5+LEFT(RIGHT(E4,14))*8+LEFT(RIGHT(E4,13))*4+LEFT(RIGHT(E4,12))*2+LEFT(RIGHT(E4,11))*1+LEFT(RIGHT(E4,10))*6+LEFT(RIGHT(E4,9))*3+LEFT(RIGHT(E4,8))*7+LEFT(RIGHT(E4,7))*9+LEFT(RIGHT(E4,6))*10+LEFT(RIGHT(E4,5))*5+LEFT(RIGHT(E4,4))*8+LEFT(RIGHT(E4,3))*4+LEFT(RIGHT(E4,2))*2),11)+1,1,0,"X",9,8,7,6,5,4,3,2)=LEFT(RIGHT(E4,1)),"正确","错误"),IF(CHOOSE(MOD(SUM(LEFT(RIGHT(E4,18))*7+LEFT(RIGHT(E4,17))*9+LEFT(RIGHT(E4,16))*10+LEFT(RIGHT(E4,15))*5+LEFT(RIGHT(E4,14))*8+LEFT(RIGHT(E4,13))*4+LEFT(RIGHT(E4,12))*2+LEFT(RIGHT(E4,11))*1+LEFT(RIGHT(E4,10))*6+LEFT(RIGHT(E4,9))*3+LEFT(RIGHT(E4,8))*7+LEFT(RIGHT(E4,7))*9+LEFT(RIGHT(E4,6))*10+LEFT(RIGHT(E4,5))*5+LEFT(RIGHT(E4,4))*8+LEFT(RIGHT(E4,3))*4+LEFT(RIGHT(E4,2))*2),11)+1,1,0,"X",9,8,7,6,5,4,3,2)=LEFT(RIGHT(E4,1))*1,"正确","错误")),IF(LEN(E4)=15,"老号，请注意！",IF(LEN(E4)=0,"未填写身份证号码","位数不对！")))</f>
        <v>正确</v>
      </c>
      <c r="AS4" s="117" t="str">
        <f t="shared" ref="AS4:AS12" si="7">IF(SUMPRODUCT(N(E$1:E$6=E4))&gt;1,"重复","不")</f>
        <v>不</v>
      </c>
      <c r="AT4" s="117" t="str">
        <f t="shared" ref="AT4:AT12" si="8">IF(SUMPRODUCT(N(AO$1:AO$6=AO4))&gt;1,"重复","不")</f>
        <v>重复</v>
      </c>
      <c r="AU4" s="12" t="s">
        <v>40</v>
      </c>
      <c r="AV4" s="12" t="s">
        <v>42</v>
      </c>
    </row>
    <row r="5" s="12" customFormat="1" ht="18" customHeight="1" spans="1:48">
      <c r="A5" s="36">
        <v>2</v>
      </c>
      <c r="B5" s="37" t="s">
        <v>187</v>
      </c>
      <c r="C5" s="37" t="s">
        <v>61</v>
      </c>
      <c r="D5" s="37" t="s">
        <v>188</v>
      </c>
      <c r="E5" s="37" t="s">
        <v>62</v>
      </c>
      <c r="F5" s="38" t="s">
        <v>189</v>
      </c>
      <c r="G5" s="45">
        <v>13944441728</v>
      </c>
      <c r="H5" s="40"/>
      <c r="I5" s="40"/>
      <c r="J5" s="74"/>
      <c r="K5" s="40"/>
      <c r="L5" s="78">
        <v>7000</v>
      </c>
      <c r="M5" s="76">
        <v>296.26</v>
      </c>
      <c r="N5" s="76">
        <v>72.06</v>
      </c>
      <c r="O5" s="76">
        <v>11.11</v>
      </c>
      <c r="P5" s="76">
        <v>82</v>
      </c>
      <c r="Q5" s="96">
        <f t="shared" si="0"/>
        <v>461.43</v>
      </c>
      <c r="R5" s="78">
        <v>0</v>
      </c>
      <c r="S5" s="97">
        <f>L5+IFERROR(VLOOKUP($E:$E,'（居民）工资表-10月'!$E:$S,15,0),0)</f>
        <v>77000</v>
      </c>
      <c r="T5" s="98">
        <f>5000+IFERROR(VLOOKUP($E:$E,'（居民）工资表-10月'!$E:$T,16,0),0)</f>
        <v>55000</v>
      </c>
      <c r="U5" s="98">
        <f>Q5+IFERROR(VLOOKUP($E:$E,'（居民）工资表-10月'!$E:$U,17,0),0)</f>
        <v>4976.89</v>
      </c>
      <c r="V5" s="78"/>
      <c r="W5" s="78"/>
      <c r="X5" s="78"/>
      <c r="Y5" s="78"/>
      <c r="Z5" s="78"/>
      <c r="AA5" s="78"/>
      <c r="AB5" s="97">
        <f t="shared" si="1"/>
        <v>0</v>
      </c>
      <c r="AC5" s="97">
        <f>R5+IFERROR(VLOOKUP($E:$E,'（居民）工资表-10月'!$E:$AC,25,0),0)</f>
        <v>0</v>
      </c>
      <c r="AD5" s="100">
        <f t="shared" si="2"/>
        <v>17023.11</v>
      </c>
      <c r="AE5" s="101">
        <f>ROUND(MAX((AD5)*{0.03;0.1;0.2;0.25;0.3;0.35;0.45}-{0;2520;16920;31920;52920;85920;181920},0),2)</f>
        <v>510.69</v>
      </c>
      <c r="AF5" s="102">
        <f>IFERROR(VLOOKUP(E:E,'（居民）工资表-10月'!E:AF,28,0)+VLOOKUP(E:E,'（居民）工资表-10月'!E:AG,29,0),0)</f>
        <v>464.54</v>
      </c>
      <c r="AG5" s="102">
        <f t="shared" ref="AG5:AG12" si="9">IF((AE5-AF5)&lt;0,0,AE5-AF5)</f>
        <v>46.15</v>
      </c>
      <c r="AH5" s="109">
        <f t="shared" si="3"/>
        <v>6492.42</v>
      </c>
      <c r="AI5" s="110"/>
      <c r="AJ5" s="109">
        <f t="shared" si="4"/>
        <v>6492.42</v>
      </c>
      <c r="AK5" s="111"/>
      <c r="AL5" s="109">
        <f t="shared" si="5"/>
        <v>6538.57</v>
      </c>
      <c r="AM5" s="111"/>
      <c r="AN5" s="111"/>
      <c r="AO5" s="111"/>
      <c r="AP5" s="111"/>
      <c r="AQ5" s="111"/>
      <c r="AR5" s="117" t="str">
        <f t="shared" si="6"/>
        <v>正确</v>
      </c>
      <c r="AS5" s="117" t="str">
        <f t="shared" si="7"/>
        <v>不</v>
      </c>
      <c r="AT5" s="117" t="str">
        <f t="shared" si="8"/>
        <v>重复</v>
      </c>
      <c r="AU5" s="12" t="s">
        <v>233</v>
      </c>
      <c r="AV5" s="12" t="s">
        <v>51</v>
      </c>
    </row>
    <row r="6" s="12" customFormat="1" ht="18" customHeight="1" spans="1:48">
      <c r="A6" s="36">
        <v>3</v>
      </c>
      <c r="B6" s="37" t="s">
        <v>187</v>
      </c>
      <c r="C6" s="37" t="s">
        <v>104</v>
      </c>
      <c r="D6" s="37" t="s">
        <v>188</v>
      </c>
      <c r="E6" s="37" t="s">
        <v>105</v>
      </c>
      <c r="F6" s="38" t="s">
        <v>190</v>
      </c>
      <c r="G6" s="45">
        <v>15360550807</v>
      </c>
      <c r="H6" s="40"/>
      <c r="I6" s="40"/>
      <c r="J6" s="74"/>
      <c r="K6" s="40"/>
      <c r="L6" s="78">
        <v>5700</v>
      </c>
      <c r="M6" s="76">
        <v>367.04</v>
      </c>
      <c r="N6" s="76">
        <v>144.28</v>
      </c>
      <c r="O6" s="76">
        <v>4.6</v>
      </c>
      <c r="P6" s="76">
        <v>115</v>
      </c>
      <c r="Q6" s="96">
        <f t="shared" si="0"/>
        <v>630.92</v>
      </c>
      <c r="R6" s="78">
        <v>0</v>
      </c>
      <c r="S6" s="97">
        <f>L6+IFERROR(VLOOKUP($E:$E,'（居民）工资表-10月'!$E:$S,15,0),0)</f>
        <v>62700</v>
      </c>
      <c r="T6" s="98">
        <f>5000+IFERROR(VLOOKUP($E:$E,'（居民）工资表-10月'!$E:$T,16,0),0)</f>
        <v>55000</v>
      </c>
      <c r="U6" s="98">
        <f>Q6+IFERROR(VLOOKUP($E:$E,'（居民）工资表-10月'!$E:$U,17,0),0)</f>
        <v>6914.56</v>
      </c>
      <c r="V6" s="78"/>
      <c r="W6" s="78"/>
      <c r="X6" s="78"/>
      <c r="Y6" s="78"/>
      <c r="Z6" s="78"/>
      <c r="AA6" s="78"/>
      <c r="AB6" s="97">
        <f t="shared" si="1"/>
        <v>0</v>
      </c>
      <c r="AC6" s="97">
        <f>R6+IFERROR(VLOOKUP($E:$E,'（居民）工资表-10月'!$E:$AC,25,0),0)</f>
        <v>0</v>
      </c>
      <c r="AD6" s="100">
        <f t="shared" si="2"/>
        <v>785.44</v>
      </c>
      <c r="AE6" s="101">
        <f>ROUND(MAX((AD6)*{0.03;0.1;0.2;0.25;0.3;0.35;0.45}-{0;2520;16920;31920;52920;85920;181920},0),2)</f>
        <v>23.56</v>
      </c>
      <c r="AF6" s="102">
        <f>IFERROR(VLOOKUP(E:E,'（居民）工资表-10月'!E:AF,28,0)+VLOOKUP(E:E,'（居民）工资表-10月'!E:AG,29,0),0)</f>
        <v>21.49</v>
      </c>
      <c r="AG6" s="102">
        <f t="shared" si="9"/>
        <v>2.07</v>
      </c>
      <c r="AH6" s="109">
        <f t="shared" si="3"/>
        <v>5067.01</v>
      </c>
      <c r="AI6" s="110"/>
      <c r="AJ6" s="109">
        <f t="shared" si="4"/>
        <v>5067.01</v>
      </c>
      <c r="AK6" s="111"/>
      <c r="AL6" s="109">
        <f t="shared" si="5"/>
        <v>5069.08</v>
      </c>
      <c r="AM6" s="111"/>
      <c r="AN6" s="111"/>
      <c r="AO6" s="111"/>
      <c r="AP6" s="111"/>
      <c r="AQ6" s="111"/>
      <c r="AR6" s="117" t="str">
        <f t="shared" si="6"/>
        <v>正确</v>
      </c>
      <c r="AS6" s="117" t="str">
        <f t="shared" si="7"/>
        <v>不</v>
      </c>
      <c r="AT6" s="117" t="str">
        <f t="shared" si="8"/>
        <v>重复</v>
      </c>
      <c r="AU6" s="12" t="s">
        <v>50</v>
      </c>
      <c r="AV6" s="12" t="s">
        <v>51</v>
      </c>
    </row>
    <row r="7" s="12" customFormat="1" ht="19" customHeight="1" spans="1:48">
      <c r="A7" s="36">
        <v>4</v>
      </c>
      <c r="B7" s="37" t="s">
        <v>187</v>
      </c>
      <c r="C7" s="37" t="s">
        <v>109</v>
      </c>
      <c r="D7" s="37" t="s">
        <v>188</v>
      </c>
      <c r="E7" s="398" t="s">
        <v>110</v>
      </c>
      <c r="F7" s="38" t="s">
        <v>189</v>
      </c>
      <c r="G7" s="45" t="s">
        <v>232</v>
      </c>
      <c r="H7" s="40"/>
      <c r="I7" s="40"/>
      <c r="J7" s="74"/>
      <c r="K7" s="40"/>
      <c r="L7" s="78">
        <v>30060</v>
      </c>
      <c r="M7" s="76">
        <v>521.6</v>
      </c>
      <c r="N7" s="76">
        <v>130.4</v>
      </c>
      <c r="O7" s="76">
        <v>32.6</v>
      </c>
      <c r="P7" s="76">
        <v>181.3</v>
      </c>
      <c r="Q7" s="96">
        <f t="shared" si="0"/>
        <v>865.9</v>
      </c>
      <c r="R7" s="78">
        <v>0</v>
      </c>
      <c r="S7" s="97">
        <f>L7+IFERROR(VLOOKUP($E:$E,'（居民）工资表-10月'!$E:$S,15,0),0)</f>
        <v>79685.22</v>
      </c>
      <c r="T7" s="98">
        <f>5000+IFERROR(VLOOKUP($E:$E,'（居民）工资表-10月'!$E:$T,16,0),0)</f>
        <v>15000</v>
      </c>
      <c r="U7" s="98">
        <f>Q7+IFERROR(VLOOKUP($E:$E,'（居民）工资表-10月'!$E:$U,17,0),0)</f>
        <v>3463.6</v>
      </c>
      <c r="V7" s="78"/>
      <c r="W7" s="78"/>
      <c r="X7" s="78"/>
      <c r="Y7" s="78"/>
      <c r="Z7" s="78"/>
      <c r="AA7" s="78"/>
      <c r="AB7" s="97">
        <f t="shared" si="1"/>
        <v>0</v>
      </c>
      <c r="AC7" s="97">
        <f>R7+IFERROR(VLOOKUP($E:$E,'（居民）工资表-10月'!$E:$AC,25,0),0)</f>
        <v>0</v>
      </c>
      <c r="AD7" s="100">
        <f t="shared" si="2"/>
        <v>61221.62</v>
      </c>
      <c r="AE7" s="101">
        <f>ROUND(MAX((AD7)*{0.03;0.1;0.2;0.25;0.3;0.35;0.45}-{0;2520;16920;31920;52920;85920;181920},0),2)</f>
        <v>3602.16</v>
      </c>
      <c r="AF7" s="102">
        <f>IFERROR(VLOOKUP(E:E,'（居民）工资表-10月'!E:AF,28,0)+VLOOKUP(E:E,'（居民）工资表-10月'!E:AG,29,0),0)</f>
        <v>1182.75</v>
      </c>
      <c r="AG7" s="102">
        <f t="shared" si="9"/>
        <v>2419.41</v>
      </c>
      <c r="AH7" s="109">
        <f t="shared" si="3"/>
        <v>26774.69</v>
      </c>
      <c r="AI7" s="110"/>
      <c r="AJ7" s="109">
        <f t="shared" si="4"/>
        <v>26774.69</v>
      </c>
      <c r="AK7" s="111"/>
      <c r="AL7" s="109">
        <f t="shared" si="5"/>
        <v>29194.1</v>
      </c>
      <c r="AM7" s="111"/>
      <c r="AN7" s="111"/>
      <c r="AO7" s="111"/>
      <c r="AP7" s="111"/>
      <c r="AQ7" s="111"/>
      <c r="AR7" s="117" t="str">
        <f t="shared" si="6"/>
        <v>正确</v>
      </c>
      <c r="AS7" s="117" t="str">
        <f t="shared" si="7"/>
        <v>不</v>
      </c>
      <c r="AT7" s="117" t="str">
        <f t="shared" si="8"/>
        <v>重复</v>
      </c>
      <c r="AU7" s="12" t="s">
        <v>108</v>
      </c>
      <c r="AV7" s="12" t="s">
        <v>234</v>
      </c>
    </row>
    <row r="8" s="12" customFormat="1" ht="19" customHeight="1" spans="1:48">
      <c r="A8" s="36">
        <v>5</v>
      </c>
      <c r="B8" s="37" t="s">
        <v>187</v>
      </c>
      <c r="C8" s="37" t="s">
        <v>113</v>
      </c>
      <c r="D8" s="37" t="s">
        <v>188</v>
      </c>
      <c r="E8" s="398" t="s">
        <v>114</v>
      </c>
      <c r="F8" s="38" t="s">
        <v>189</v>
      </c>
      <c r="G8" s="45" t="s">
        <v>231</v>
      </c>
      <c r="H8" s="40"/>
      <c r="I8" s="40"/>
      <c r="J8" s="74"/>
      <c r="K8" s="40"/>
      <c r="L8" s="78">
        <v>4909.09</v>
      </c>
      <c r="M8" s="76">
        <v>274.4</v>
      </c>
      <c r="N8" s="76">
        <v>76.6</v>
      </c>
      <c r="O8" s="76">
        <v>17.15</v>
      </c>
      <c r="P8" s="76">
        <v>75</v>
      </c>
      <c r="Q8" s="96">
        <f t="shared" si="0"/>
        <v>443.15</v>
      </c>
      <c r="R8" s="78">
        <v>0</v>
      </c>
      <c r="S8" s="97">
        <f>L8+IFERROR(VLOOKUP($E:$E,'（居民）工资表-10月'!$E:$S,15,0),0)</f>
        <v>14079.93</v>
      </c>
      <c r="T8" s="98">
        <f>5000+IFERROR(VLOOKUP($E:$E,'（居民）工资表-10月'!$E:$T,16,0),0)</f>
        <v>20000</v>
      </c>
      <c r="U8" s="98">
        <f>Q8+IFERROR(VLOOKUP($E:$E,'（居民）工资表-10月'!$E:$U,17,0),0)</f>
        <v>1558.02</v>
      </c>
      <c r="V8" s="78"/>
      <c r="W8" s="78"/>
      <c r="X8" s="78"/>
      <c r="Y8" s="78"/>
      <c r="Z8" s="78"/>
      <c r="AA8" s="78"/>
      <c r="AB8" s="97">
        <f t="shared" si="1"/>
        <v>0</v>
      </c>
      <c r="AC8" s="97">
        <f>R8+IFERROR(VLOOKUP($E:$E,'（居民）工资表-10月'!$E:$AC,25,0),0)</f>
        <v>0</v>
      </c>
      <c r="AD8" s="100">
        <f t="shared" si="2"/>
        <v>-7478.09</v>
      </c>
      <c r="AE8" s="101">
        <f>ROUND(MAX((AD8)*{0.03;0.1;0.2;0.25;0.3;0.35;0.45}-{0;2520;16920;31920;52920;85920;181920},0),2)</f>
        <v>0</v>
      </c>
      <c r="AF8" s="102">
        <f>IFERROR(VLOOKUP(E:E,'（居民）工资表-10月'!E:AF,28,0)+VLOOKUP(E:E,'（居民）工资表-10月'!E:AG,29,0),0)</f>
        <v>0</v>
      </c>
      <c r="AG8" s="102">
        <f t="shared" si="9"/>
        <v>0</v>
      </c>
      <c r="AH8" s="109">
        <f t="shared" si="3"/>
        <v>4465.94</v>
      </c>
      <c r="AI8" s="110"/>
      <c r="AJ8" s="109">
        <f t="shared" si="4"/>
        <v>4465.94</v>
      </c>
      <c r="AK8" s="111"/>
      <c r="AL8" s="109">
        <f t="shared" si="5"/>
        <v>4465.94</v>
      </c>
      <c r="AM8" s="111"/>
      <c r="AN8" s="111"/>
      <c r="AO8" s="111"/>
      <c r="AP8" s="111"/>
      <c r="AQ8" s="111"/>
      <c r="AR8" s="117" t="str">
        <f t="shared" si="6"/>
        <v>正确</v>
      </c>
      <c r="AS8" s="117" t="str">
        <f t="shared" si="7"/>
        <v>不</v>
      </c>
      <c r="AT8" s="117" t="str">
        <f t="shared" si="8"/>
        <v>重复</v>
      </c>
      <c r="AU8" s="12" t="s">
        <v>235</v>
      </c>
      <c r="AV8" s="12" t="s">
        <v>51</v>
      </c>
    </row>
    <row r="9" s="12" customFormat="1" ht="19" customHeight="1" spans="1:48">
      <c r="A9" s="36">
        <v>6</v>
      </c>
      <c r="B9" s="37" t="s">
        <v>187</v>
      </c>
      <c r="C9" s="37" t="s">
        <v>117</v>
      </c>
      <c r="D9" s="37" t="s">
        <v>188</v>
      </c>
      <c r="E9" s="398" t="s">
        <v>118</v>
      </c>
      <c r="F9" s="38" t="s">
        <v>189</v>
      </c>
      <c r="G9" s="45">
        <v>19356875630</v>
      </c>
      <c r="H9" s="40"/>
      <c r="I9" s="40"/>
      <c r="J9" s="74"/>
      <c r="K9" s="40"/>
      <c r="L9" s="78">
        <v>5200</v>
      </c>
      <c r="M9" s="76">
        <v>274.4</v>
      </c>
      <c r="N9" s="76">
        <v>74.6</v>
      </c>
      <c r="O9" s="76">
        <v>17.15</v>
      </c>
      <c r="P9" s="76">
        <v>170</v>
      </c>
      <c r="Q9" s="96">
        <f t="shared" si="0"/>
        <v>536.15</v>
      </c>
      <c r="R9" s="78">
        <v>0</v>
      </c>
      <c r="S9" s="97">
        <f>L9+IFERROR(VLOOKUP($E:$E,'（居民）工资表-10月'!$E:$S,15,0),0)</f>
        <v>15373.92</v>
      </c>
      <c r="T9" s="98">
        <f>5000+IFERROR(VLOOKUP($E:$E,'（居民）工资表-10月'!$E:$T,16,0),0)</f>
        <v>15000</v>
      </c>
      <c r="U9" s="98">
        <f>Q9+IFERROR(VLOOKUP($E:$E,'（居民）工资表-10月'!$E:$U,17,0),0)</f>
        <v>2680.75</v>
      </c>
      <c r="V9" s="78"/>
      <c r="W9" s="78"/>
      <c r="X9" s="78"/>
      <c r="Y9" s="78"/>
      <c r="Z9" s="78"/>
      <c r="AA9" s="78"/>
      <c r="AB9" s="97">
        <f t="shared" si="1"/>
        <v>0</v>
      </c>
      <c r="AC9" s="97">
        <f>R9+IFERROR(VLOOKUP($E:$E,'（居民）工资表-10月'!$E:$AC,25,0),0)</f>
        <v>0</v>
      </c>
      <c r="AD9" s="100">
        <f t="shared" si="2"/>
        <v>-2306.83</v>
      </c>
      <c r="AE9" s="101">
        <f>ROUND(MAX((AD9)*{0.03;0.1;0.2;0.25;0.3;0.35;0.45}-{0;2520;16920;31920;52920;85920;181920},0),2)</f>
        <v>0</v>
      </c>
      <c r="AF9" s="102">
        <f>IFERROR(VLOOKUP(E:E,'（居民）工资表-10月'!E:AF,28,0)+VLOOKUP(E:E,'（居民）工资表-10月'!E:AG,29,0),0)</f>
        <v>0</v>
      </c>
      <c r="AG9" s="102">
        <f t="shared" si="9"/>
        <v>0</v>
      </c>
      <c r="AH9" s="109">
        <f t="shared" si="3"/>
        <v>4663.85</v>
      </c>
      <c r="AI9" s="110"/>
      <c r="AJ9" s="109">
        <f t="shared" si="4"/>
        <v>4663.85</v>
      </c>
      <c r="AK9" s="111"/>
      <c r="AL9" s="109">
        <f t="shared" si="5"/>
        <v>4663.85</v>
      </c>
      <c r="AM9" s="111"/>
      <c r="AN9" s="111"/>
      <c r="AO9" s="111"/>
      <c r="AP9" s="111"/>
      <c r="AQ9" s="111"/>
      <c r="AR9" s="117" t="str">
        <f t="shared" si="6"/>
        <v>正确</v>
      </c>
      <c r="AS9" s="117" t="str">
        <f t="shared" si="7"/>
        <v>不</v>
      </c>
      <c r="AT9" s="117" t="str">
        <f t="shared" si="8"/>
        <v>重复</v>
      </c>
      <c r="AU9" s="12" t="s">
        <v>235</v>
      </c>
      <c r="AV9" s="12" t="s">
        <v>51</v>
      </c>
    </row>
    <row r="10" s="12" customFormat="1" ht="19" customHeight="1" spans="1:48">
      <c r="A10" s="36">
        <v>7</v>
      </c>
      <c r="B10" s="37" t="s">
        <v>187</v>
      </c>
      <c r="C10" s="37" t="s">
        <v>129</v>
      </c>
      <c r="D10" s="37" t="s">
        <v>188</v>
      </c>
      <c r="E10" s="398" t="s">
        <v>130</v>
      </c>
      <c r="F10" s="38" t="s">
        <v>189</v>
      </c>
      <c r="G10" s="45">
        <v>13973652684</v>
      </c>
      <c r="H10" s="40"/>
      <c r="I10" s="40"/>
      <c r="J10" s="74"/>
      <c r="K10" s="40"/>
      <c r="L10" s="78">
        <v>5200</v>
      </c>
      <c r="M10" s="76">
        <v>288.32</v>
      </c>
      <c r="N10" s="76">
        <v>73.52</v>
      </c>
      <c r="O10" s="76">
        <v>10.81</v>
      </c>
      <c r="P10" s="76">
        <v>100</v>
      </c>
      <c r="Q10" s="96">
        <f t="shared" si="0"/>
        <v>472.65</v>
      </c>
      <c r="R10" s="78">
        <v>0</v>
      </c>
      <c r="S10" s="97">
        <f>L10+IFERROR(VLOOKUP($E:$E,'（居民）工资表-10月'!$E:$S,15,0),0)</f>
        <v>14017.39</v>
      </c>
      <c r="T10" s="98">
        <f>5000+IFERROR(VLOOKUP($E:$E,'（居民）工资表-10月'!$E:$T,16,0),0)</f>
        <v>15000</v>
      </c>
      <c r="U10" s="98">
        <f>Q10+IFERROR(VLOOKUP($E:$E,'（居民）工资表-10月'!$E:$U,17,0),0)</f>
        <v>1890.6</v>
      </c>
      <c r="V10" s="78"/>
      <c r="W10" s="78"/>
      <c r="X10" s="78"/>
      <c r="Y10" s="78"/>
      <c r="Z10" s="78"/>
      <c r="AA10" s="78"/>
      <c r="AB10" s="97">
        <f t="shared" si="1"/>
        <v>0</v>
      </c>
      <c r="AC10" s="97">
        <f>R10+IFERROR(VLOOKUP($E:$E,'（居民）工资表-10月'!$E:$AC,25,0),0)</f>
        <v>0</v>
      </c>
      <c r="AD10" s="100">
        <f t="shared" si="2"/>
        <v>-2873.21</v>
      </c>
      <c r="AE10" s="101">
        <f>ROUND(MAX((AD10)*{0.03;0.1;0.2;0.25;0.3;0.35;0.45}-{0;2520;16920;31920;52920;85920;181920},0),2)</f>
        <v>0</v>
      </c>
      <c r="AF10" s="102">
        <f>IFERROR(VLOOKUP(E:E,'（居民）工资表-10月'!E:AF,28,0)+VLOOKUP(E:E,'（居民）工资表-10月'!E:AG,29,0),0)</f>
        <v>0</v>
      </c>
      <c r="AG10" s="102">
        <f t="shared" si="9"/>
        <v>0</v>
      </c>
      <c r="AH10" s="109">
        <f t="shared" si="3"/>
        <v>4727.35</v>
      </c>
      <c r="AI10" s="110"/>
      <c r="AJ10" s="109">
        <f t="shared" si="4"/>
        <v>4727.35</v>
      </c>
      <c r="AK10" s="111"/>
      <c r="AL10" s="109">
        <f t="shared" si="5"/>
        <v>4727.35</v>
      </c>
      <c r="AM10" s="111"/>
      <c r="AN10" s="111"/>
      <c r="AO10" s="111"/>
      <c r="AP10" s="111"/>
      <c r="AQ10" s="111"/>
      <c r="AR10" s="117" t="str">
        <f t="shared" si="6"/>
        <v>正确</v>
      </c>
      <c r="AS10" s="117" t="str">
        <f t="shared" si="7"/>
        <v>不</v>
      </c>
      <c r="AT10" s="117" t="str">
        <f t="shared" si="8"/>
        <v>重复</v>
      </c>
      <c r="AU10" s="12" t="s">
        <v>236</v>
      </c>
      <c r="AV10" s="12" t="s">
        <v>51</v>
      </c>
    </row>
    <row r="11" s="12" customFormat="1" ht="18" customHeight="1" spans="1:48">
      <c r="A11" s="36">
        <v>8</v>
      </c>
      <c r="B11" s="37" t="s">
        <v>187</v>
      </c>
      <c r="C11" s="37" t="s">
        <v>132</v>
      </c>
      <c r="D11" s="37" t="s">
        <v>188</v>
      </c>
      <c r="E11" s="37" t="s">
        <v>133</v>
      </c>
      <c r="F11" s="38" t="s">
        <v>189</v>
      </c>
      <c r="G11" s="45" t="s">
        <v>230</v>
      </c>
      <c r="H11" s="40"/>
      <c r="I11" s="40"/>
      <c r="J11" s="74"/>
      <c r="K11" s="40"/>
      <c r="L11" s="78">
        <v>5500</v>
      </c>
      <c r="M11" s="76">
        <v>543.6</v>
      </c>
      <c r="N11" s="76">
        <v>140.9</v>
      </c>
      <c r="O11" s="76">
        <v>33.98</v>
      </c>
      <c r="P11" s="76">
        <v>105</v>
      </c>
      <c r="Q11" s="96">
        <f t="shared" si="0"/>
        <v>823.48</v>
      </c>
      <c r="R11" s="78">
        <v>0</v>
      </c>
      <c r="S11" s="97">
        <f>L11+IFERROR(VLOOKUP($E:$E,'（居民）工资表-10月'!$E:$S,15,0),0)</f>
        <v>11000</v>
      </c>
      <c r="T11" s="98">
        <f>5000+IFERROR(VLOOKUP($E:$E,'（居民）工资表-10月'!$E:$T,16,0),0)</f>
        <v>10000</v>
      </c>
      <c r="U11" s="98">
        <f>Q11+IFERROR(VLOOKUP($E:$E,'（居民）工资表-10月'!$E:$U,17,0),0)</f>
        <v>1321.88</v>
      </c>
      <c r="V11" s="78"/>
      <c r="W11" s="78"/>
      <c r="X11" s="78"/>
      <c r="Y11" s="78"/>
      <c r="Z11" s="78"/>
      <c r="AA11" s="78"/>
      <c r="AB11" s="97">
        <f t="shared" si="1"/>
        <v>0</v>
      </c>
      <c r="AC11" s="97">
        <f>R11+IFERROR(VLOOKUP($E:$E,'（居民）工资表-10月'!$E:$AC,25,0),0)</f>
        <v>0</v>
      </c>
      <c r="AD11" s="100">
        <f t="shared" si="2"/>
        <v>-321.88</v>
      </c>
      <c r="AE11" s="101">
        <f>ROUND(MAX((AD11)*{0.03;0.1;0.2;0.25;0.3;0.35;0.45}-{0;2520;16920;31920;52920;85920;181920},0),2)</f>
        <v>0</v>
      </c>
      <c r="AF11" s="102">
        <f>IFERROR(VLOOKUP(E:E,'（居民）工资表-10月'!E:AF,28,0)+VLOOKUP(E:E,'（居民）工资表-10月'!E:AG,29,0),0)</f>
        <v>0.05</v>
      </c>
      <c r="AG11" s="102">
        <f t="shared" si="9"/>
        <v>0</v>
      </c>
      <c r="AH11" s="109">
        <f t="shared" si="3"/>
        <v>4676.52</v>
      </c>
      <c r="AI11" s="110"/>
      <c r="AJ11" s="109">
        <f t="shared" si="4"/>
        <v>4676.52</v>
      </c>
      <c r="AK11" s="111"/>
      <c r="AL11" s="109">
        <f t="shared" si="5"/>
        <v>4676.52</v>
      </c>
      <c r="AM11" s="111"/>
      <c r="AN11" s="111"/>
      <c r="AO11" s="111"/>
      <c r="AP11" s="111"/>
      <c r="AQ11" s="111"/>
      <c r="AR11" s="117" t="str">
        <f t="shared" si="6"/>
        <v>正确</v>
      </c>
      <c r="AS11" s="117" t="str">
        <f t="shared" si="7"/>
        <v>不</v>
      </c>
      <c r="AT11" s="117" t="str">
        <f t="shared" si="8"/>
        <v>重复</v>
      </c>
      <c r="AU11" s="12" t="s">
        <v>131</v>
      </c>
      <c r="AV11" s="12" t="s">
        <v>237</v>
      </c>
    </row>
    <row r="12" s="12" customFormat="1" ht="18" customHeight="1" spans="1:48">
      <c r="A12" s="36">
        <v>9</v>
      </c>
      <c r="B12" s="37" t="s">
        <v>187</v>
      </c>
      <c r="C12" s="37" t="s">
        <v>137</v>
      </c>
      <c r="D12" s="37" t="s">
        <v>188</v>
      </c>
      <c r="E12" s="37" t="s">
        <v>138</v>
      </c>
      <c r="F12" s="38" t="s">
        <v>190</v>
      </c>
      <c r="G12" s="45" t="s">
        <v>238</v>
      </c>
      <c r="H12" s="40"/>
      <c r="I12" s="40"/>
      <c r="J12" s="74"/>
      <c r="K12" s="40"/>
      <c r="L12" s="78">
        <v>3197.6</v>
      </c>
      <c r="M12" s="76">
        <v>704</v>
      </c>
      <c r="N12" s="76">
        <v>220</v>
      </c>
      <c r="O12" s="76">
        <v>44</v>
      </c>
      <c r="P12" s="76">
        <v>218</v>
      </c>
      <c r="Q12" s="96">
        <f t="shared" si="0"/>
        <v>1186</v>
      </c>
      <c r="R12" s="78">
        <v>0</v>
      </c>
      <c r="S12" s="97">
        <f>L12+IFERROR(VLOOKUP($E:$E,'（居民）工资表-10月'!$E:$S,15,0),0)</f>
        <v>3197.6</v>
      </c>
      <c r="T12" s="98">
        <f>5000+IFERROR(VLOOKUP($E:$E,'（居民）工资表-10月'!$E:$T,16,0),0)</f>
        <v>5000</v>
      </c>
      <c r="U12" s="98">
        <f>Q12+IFERROR(VLOOKUP($E:$E,'（居民）工资表-10月'!$E:$U,17,0),0)</f>
        <v>1186</v>
      </c>
      <c r="V12" s="78"/>
      <c r="W12" s="78"/>
      <c r="X12" s="78"/>
      <c r="Y12" s="78"/>
      <c r="Z12" s="78"/>
      <c r="AA12" s="78"/>
      <c r="AB12" s="97">
        <f t="shared" si="1"/>
        <v>0</v>
      </c>
      <c r="AC12" s="97">
        <f>R12+IFERROR(VLOOKUP($E:$E,'（居民）工资表-10月'!$E:$AC,25,0),0)</f>
        <v>0</v>
      </c>
      <c r="AD12" s="100">
        <f t="shared" si="2"/>
        <v>-2988.4</v>
      </c>
      <c r="AE12" s="101">
        <f>ROUND(MAX((AD12)*{0.03;0.1;0.2;0.25;0.3;0.35;0.45}-{0;2520;16920;31920;52920;85920;181920},0),2)</f>
        <v>0</v>
      </c>
      <c r="AF12" s="102">
        <f>IFERROR(VLOOKUP(E:E,'（居民）工资表-10月'!E:AF,28,0)+VLOOKUP(E:E,'（居民）工资表-10月'!E:AG,29,0),0)</f>
        <v>0</v>
      </c>
      <c r="AG12" s="102">
        <f t="shared" si="9"/>
        <v>0</v>
      </c>
      <c r="AH12" s="109">
        <f t="shared" si="3"/>
        <v>2011.6</v>
      </c>
      <c r="AI12" s="110"/>
      <c r="AJ12" s="109">
        <f t="shared" si="4"/>
        <v>2011.6</v>
      </c>
      <c r="AK12" s="111"/>
      <c r="AL12" s="109">
        <f t="shared" si="5"/>
        <v>2011.6</v>
      </c>
      <c r="AM12" s="111"/>
      <c r="AN12" s="111"/>
      <c r="AO12" s="111"/>
      <c r="AP12" s="111"/>
      <c r="AQ12" s="111"/>
      <c r="AR12" s="117" t="str">
        <f t="shared" si="6"/>
        <v>正确</v>
      </c>
      <c r="AS12" s="117" t="str">
        <f t="shared" si="7"/>
        <v>不</v>
      </c>
      <c r="AT12" s="117" t="str">
        <f t="shared" si="8"/>
        <v>重复</v>
      </c>
      <c r="AU12" s="12" t="s">
        <v>136</v>
      </c>
      <c r="AV12" s="12" t="s">
        <v>239</v>
      </c>
    </row>
    <row r="13" s="13" customFormat="1" ht="18" customHeight="1" spans="1:46">
      <c r="A13" s="46"/>
      <c r="B13" s="47" t="s">
        <v>216</v>
      </c>
      <c r="C13" s="47"/>
      <c r="D13" s="48"/>
      <c r="E13" s="49"/>
      <c r="F13" s="50"/>
      <c r="G13" s="51"/>
      <c r="H13" s="50"/>
      <c r="I13" s="79"/>
      <c r="J13" s="80"/>
      <c r="K13" s="79"/>
      <c r="L13" s="81">
        <f>SUM(L4:L12)</f>
        <v>77326.69</v>
      </c>
      <c r="M13" s="81">
        <f t="shared" ref="M13:AL13" si="10">SUM(M4:M12)</f>
        <v>3553.46</v>
      </c>
      <c r="N13" s="81">
        <f t="shared" si="10"/>
        <v>1003.32</v>
      </c>
      <c r="O13" s="81">
        <f t="shared" si="10"/>
        <v>182.04</v>
      </c>
      <c r="P13" s="81">
        <f t="shared" si="10"/>
        <v>1226.3</v>
      </c>
      <c r="Q13" s="81">
        <f t="shared" si="10"/>
        <v>5965.12</v>
      </c>
      <c r="R13" s="81">
        <f t="shared" si="10"/>
        <v>0</v>
      </c>
      <c r="S13" s="81">
        <f t="shared" si="10"/>
        <v>387334.06</v>
      </c>
      <c r="T13" s="81">
        <f t="shared" si="10"/>
        <v>245000</v>
      </c>
      <c r="U13" s="81">
        <f t="shared" si="10"/>
        <v>29992.14</v>
      </c>
      <c r="V13" s="81">
        <f t="shared" si="10"/>
        <v>11000</v>
      </c>
      <c r="W13" s="81">
        <f t="shared" si="10"/>
        <v>0</v>
      </c>
      <c r="X13" s="81">
        <f t="shared" si="10"/>
        <v>0</v>
      </c>
      <c r="Y13" s="81">
        <f t="shared" si="10"/>
        <v>11000</v>
      </c>
      <c r="Z13" s="81">
        <f t="shared" si="10"/>
        <v>4400</v>
      </c>
      <c r="AA13" s="81">
        <f t="shared" si="10"/>
        <v>0</v>
      </c>
      <c r="AB13" s="81">
        <f t="shared" si="10"/>
        <v>26400</v>
      </c>
      <c r="AC13" s="81">
        <f t="shared" si="10"/>
        <v>0</v>
      </c>
      <c r="AD13" s="81">
        <f t="shared" si="10"/>
        <v>85941.92</v>
      </c>
      <c r="AE13" s="81">
        <f t="shared" si="10"/>
        <v>4822.81</v>
      </c>
      <c r="AF13" s="81">
        <f t="shared" si="10"/>
        <v>2276.8</v>
      </c>
      <c r="AG13" s="81">
        <f t="shared" si="10"/>
        <v>2546.06</v>
      </c>
      <c r="AH13" s="81">
        <f t="shared" si="10"/>
        <v>68815.51</v>
      </c>
      <c r="AI13" s="81">
        <f t="shared" si="10"/>
        <v>0</v>
      </c>
      <c r="AJ13" s="81">
        <f t="shared" si="10"/>
        <v>68815.51</v>
      </c>
      <c r="AK13" s="81">
        <f t="shared" si="10"/>
        <v>0</v>
      </c>
      <c r="AL13" s="81">
        <f t="shared" si="10"/>
        <v>71361.57</v>
      </c>
      <c r="AM13" s="112"/>
      <c r="AN13" s="112"/>
      <c r="AO13" s="112"/>
      <c r="AP13" s="112"/>
      <c r="AQ13" s="112"/>
      <c r="AR13" s="50"/>
      <c r="AS13" s="50"/>
      <c r="AT13" s="118"/>
    </row>
    <row r="16" spans="30:30">
      <c r="AD16" s="103"/>
    </row>
    <row r="17" ht="18.75" customHeight="1" spans="2:30">
      <c r="B17" s="52" t="s">
        <v>168</v>
      </c>
      <c r="C17" s="52" t="s">
        <v>217</v>
      </c>
      <c r="D17" s="52" t="s">
        <v>22</v>
      </c>
      <c r="E17" s="52" t="s">
        <v>23</v>
      </c>
      <c r="AD17" s="10"/>
    </row>
    <row r="18" ht="18.75" customHeight="1" spans="2:5">
      <c r="B18" s="53">
        <f>AJ13</f>
        <v>68815.51</v>
      </c>
      <c r="C18" s="53">
        <f>AG13</f>
        <v>2546.06</v>
      </c>
      <c r="D18" s="53">
        <f>AK13</f>
        <v>0</v>
      </c>
      <c r="E18" s="53">
        <f>B18+C18+D18</f>
        <v>71361.57</v>
      </c>
    </row>
    <row r="19" spans="2:5">
      <c r="B19" s="54"/>
      <c r="C19" s="54"/>
      <c r="D19" s="54"/>
      <c r="E19" s="54"/>
    </row>
    <row r="20" s="14" customFormat="1" spans="1:35">
      <c r="A20" s="55" t="s">
        <v>218</v>
      </c>
      <c r="B20" s="56" t="s">
        <v>219</v>
      </c>
      <c r="C20" s="57"/>
      <c r="D20" s="57"/>
      <c r="E20" s="57"/>
      <c r="G20" s="58"/>
      <c r="J20" s="82"/>
      <c r="M20" s="83"/>
      <c r="AI20" s="113"/>
    </row>
    <row r="21" s="14" customFormat="1" spans="1:35">
      <c r="A21" s="59"/>
      <c r="B21" s="60" t="s">
        <v>220</v>
      </c>
      <c r="C21" s="57"/>
      <c r="D21" s="57"/>
      <c r="E21" s="57"/>
      <c r="G21" s="58"/>
      <c r="J21" s="82"/>
      <c r="M21" s="83"/>
      <c r="AI21" s="113"/>
    </row>
    <row r="22" s="14" customFormat="1" spans="1:35">
      <c r="A22" s="56"/>
      <c r="B22" s="60" t="s">
        <v>221</v>
      </c>
      <c r="C22" s="61"/>
      <c r="D22" s="61"/>
      <c r="E22" s="61"/>
      <c r="F22" s="61"/>
      <c r="G22" s="61"/>
      <c r="H22" s="61"/>
      <c r="I22" s="61"/>
      <c r="J22" s="84"/>
      <c r="K22" s="61"/>
      <c r="L22" s="61"/>
      <c r="M22" s="85"/>
      <c r="N22" s="61"/>
      <c r="O22" s="61"/>
      <c r="P22" s="61"/>
      <c r="AI22" s="113"/>
    </row>
    <row r="23" s="14" customFormat="1" customHeight="1" spans="1:35">
      <c r="A23" s="60"/>
      <c r="B23" s="60" t="s">
        <v>222</v>
      </c>
      <c r="C23" s="62"/>
      <c r="D23" s="62"/>
      <c r="E23" s="62"/>
      <c r="F23" s="62"/>
      <c r="G23" s="62"/>
      <c r="H23" s="62"/>
      <c r="I23" s="86"/>
      <c r="J23" s="87"/>
      <c r="K23" s="86"/>
      <c r="L23" s="86"/>
      <c r="M23" s="88"/>
      <c r="N23" s="86"/>
      <c r="O23" s="86"/>
      <c r="P23" s="86"/>
      <c r="AI23" s="113"/>
    </row>
    <row r="24" s="14" customFormat="1" customHeight="1" spans="1:35">
      <c r="A24" s="60"/>
      <c r="B24" s="60" t="s">
        <v>223</v>
      </c>
      <c r="C24" s="62"/>
      <c r="D24" s="62"/>
      <c r="E24" s="62"/>
      <c r="F24" s="62"/>
      <c r="G24" s="62"/>
      <c r="H24" s="62"/>
      <c r="I24" s="62"/>
      <c r="J24" s="89"/>
      <c r="K24" s="62"/>
      <c r="L24" s="86"/>
      <c r="M24" s="88"/>
      <c r="N24" s="86"/>
      <c r="O24" s="86"/>
      <c r="P24" s="86"/>
      <c r="AI24" s="113"/>
    </row>
    <row r="25" s="14" customFormat="1" customHeight="1" spans="1:35">
      <c r="A25" s="60"/>
      <c r="B25" s="60" t="s">
        <v>224</v>
      </c>
      <c r="C25" s="62"/>
      <c r="D25" s="62"/>
      <c r="E25" s="62"/>
      <c r="F25" s="62"/>
      <c r="G25" s="62"/>
      <c r="H25" s="62"/>
      <c r="I25" s="86"/>
      <c r="J25" s="87"/>
      <c r="K25" s="86"/>
      <c r="L25" s="86"/>
      <c r="M25" s="88"/>
      <c r="N25" s="86"/>
      <c r="O25" s="86"/>
      <c r="P25" s="86"/>
      <c r="AI25" s="113"/>
    </row>
    <row r="27" ht="11.25" customHeight="1" spans="2:2">
      <c r="B27" s="63" t="s">
        <v>225</v>
      </c>
    </row>
    <row r="28" spans="2:2">
      <c r="B28" s="64" t="s">
        <v>226</v>
      </c>
    </row>
    <row r="29" spans="2:2">
      <c r="B29" s="64" t="s">
        <v>227</v>
      </c>
    </row>
  </sheetData>
  <autoFilter ref="A3:AT13">
    <extLst/>
  </autoFilter>
  <mergeCells count="39">
    <mergeCell ref="M1:P1"/>
    <mergeCell ref="M2:P2"/>
    <mergeCell ref="V2:AA2"/>
    <mergeCell ref="A2:A3"/>
    <mergeCell ref="B2:B3"/>
    <mergeCell ref="C2:C3"/>
    <mergeCell ref="D2:D3"/>
    <mergeCell ref="E2:E3"/>
    <mergeCell ref="F2:F3"/>
    <mergeCell ref="G2:G3"/>
    <mergeCell ref="H2:H3"/>
    <mergeCell ref="I2:I3"/>
    <mergeCell ref="J2:J3"/>
    <mergeCell ref="K2:K3"/>
    <mergeCell ref="L2:L3"/>
    <mergeCell ref="Q2:Q3"/>
    <mergeCell ref="R2:R3"/>
    <mergeCell ref="S2:S3"/>
    <mergeCell ref="T2:T3"/>
    <mergeCell ref="U2:U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s>
  <conditionalFormatting sqref="B25">
    <cfRule type="duplicateValues" dxfId="3" priority="2" stopIfTrue="1"/>
  </conditionalFormatting>
  <conditionalFormatting sqref="B20:B24">
    <cfRule type="duplicateValues" dxfId="3" priority="3" stopIfTrue="1"/>
  </conditionalFormatting>
  <conditionalFormatting sqref="B28:B29">
    <cfRule type="duplicateValues" dxfId="3" priority="1" stopIfTrue="1"/>
  </conditionalFormatting>
  <conditionalFormatting sqref="C17:C19">
    <cfRule type="duplicateValues" dxfId="3" priority="4" stopIfTrue="1"/>
    <cfRule type="expression" dxfId="4" priority="5" stopIfTrue="1">
      <formula>AND(COUNTIF($B$13:$B$65449,C17)+COUNTIF($B$1:$B$3,C17)&gt;1,NOT(ISBLANK(C17)))</formula>
    </cfRule>
    <cfRule type="expression" dxfId="4" priority="6" stopIfTrue="1">
      <formula>AND(COUNTIF($B$24:$B$65400,C17)+COUNTIF($B$1:$B$23,C17)&gt;1,NOT(ISBLANK(C17)))</formula>
    </cfRule>
    <cfRule type="expression" dxfId="4" priority="7" stopIfTrue="1">
      <formula>AND(COUNTIF($B$13:$B$65438,C17)+COUNTIF($B$1:$B$3,C17)&gt;1,NOT(ISBLANK(C17)))</formula>
    </cfRule>
  </conditionalFormatting>
  <pageMargins left="0.235416666666667" right="0.235416666666667" top="0.747916666666667" bottom="0.747916666666667" header="0.313888888888889" footer="0.313888888888889"/>
  <pageSetup paperSize="9" scale="56" fitToWidth="2" orientation="landscape"/>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3 0 " > < c o m m e n t   s : r e f = " F 1 "   r g b C l r = " E F C 7 5 4 " / > < c o m m e n t   s : r e f = " G 1 "   r g b C l r = " E F C 7 5 4 " / > < c o m m e n t   s : r e f = " H 1 "   r g b C l r = " E F C 7 5 4 " / > < c o m m e n t   s : r e f = " K 1 "   r g b C l r = " E F C 7 5 4 " / > < c o m m e n t   s : r e f = " F 1 8 "   r g b C l r = " E F C 7 5 4 " / > < c o m m e n t   s : r e f = " G 1 8 "   r g b C l r = " E F C 7 5 4 " / > < c o m m e n t   s : r e f = " J 1 8 "   r g b C l r = " E F C 7 5 4 " / > < c o m m e n t   s : r e f = " Q 1 8 "   r g b C l r = " E F C 7 5 4 " / > < c o m m e n t   s : r e f = " K 1 9 "   r g b C l r = " E F C 7 5 4 " / > < c o m m e n t   s : r e f = " R 1 9 "   r g b C l r = " E F C 7 5 4 " / > < / c o m m e n t L i s t > < c o m m e n t L i s t   s h e e t S t i d = " 2 9 " > < c o m m e n t   s : r e f = " E 1 "   r g b C l r = " B 3 C 8 8 8 " / > < c o m m e n t   s : r e f = " F 1 "   r g b C l r = " B 3 C 8 8 8 " / > < c o m m e n t   s : r e f = " G 1 "   r g b C l r = " B 3 C 8 8 8 " / > < c o m m e n t   s : r e f = " H 1 "   r g b C l r = " B 3 C 8 8 8 " / > < c o m m e n t   s : r e f = " O 1 "   r g b C l r = " B 3 C 8 8 8 " / > < c o m m e n t   s : r e f = " P 1 "   r g b C l r = " B 3 C 8 8 8 " / > < c o m m e n t   s : r e f = " S 1 "   r g b C l r = " B 3 C 8 8 8 " / > < c o m m e n t   s : r e f = " Z 1 "   r g b C l r = " B 3 C 8 8 8 " / > < c o m m e n t   s : r e f = " A L 1 "   r g b C l r = " B 3 C 8 8 8 " / > < c o m m e n t   s : r e f = " A M 1 "   r g b C l r = " B 3 C 8 8 8 " / > < c o m m e n t   s : r e f = " A N 1 "   r g b C l r = " B 3 C 8 8 8 " / > < c o m m e n t   s : r e f = " A O 1 "   r g b C l r = " B 3 C 8 8 8 " / > < c o m m e n t   s : r e f = " T 2 "   r g b C l r = " B 3 C 8 8 8 " / > < c o m m e n t   s : r e f = " A A 2 "   r g b C l r = " B 3 C 8 8 8 " / > < / c o m m e n t L i s t > < c o m m e n t L i s t   s h e e t S t i d = " 2 3 " / > < c o m m e n t L i s t   s h e e t S t i d = " 2 4 " / > < c o m m e n t L i s t   s h e e t S t i d = " 1 " / > < c o m m e n t L i s t   s h e e t S t i d = " 2 5 " / > < c o m m e n t L i s t   s h e e t S t i d = " 1 5 " / > < c o m m e n t L i s t   s h e e t S t i d = " 1 6 " / > < c o m m e n t L i s t   s h e e t S t i d = " 1 7 " / > < c o m m e n t L i s t   s h e e t S t i d = " 1 8 " / > < / 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17</vt:i4>
      </vt:variant>
    </vt:vector>
  </HeadingPairs>
  <TitlesOfParts>
    <vt:vector size="17" baseType="lpstr">
      <vt:lpstr>社保</vt:lpstr>
      <vt:lpstr>付款通知</vt:lpstr>
      <vt:lpstr>社保1</vt:lpstr>
      <vt:lpstr>（居民）工资表-6月</vt:lpstr>
      <vt:lpstr>（居民）工资表-7月</vt:lpstr>
      <vt:lpstr>（居民）工资表-8月</vt:lpstr>
      <vt:lpstr>（居民）工资表-9月</vt:lpstr>
      <vt:lpstr>（居民）工资表-10月</vt:lpstr>
      <vt:lpstr>（居民）工资表-11月</vt:lpstr>
      <vt:lpstr>（居民）工资表-1月</vt:lpstr>
      <vt:lpstr>（居民）工资表-12月</vt:lpstr>
      <vt:lpstr>增</vt:lpstr>
      <vt:lpstr>（居民）工资表-2月</vt:lpstr>
      <vt:lpstr>（居民）工资表-3月</vt:lpstr>
      <vt:lpstr>（居民）工资表-4月</vt:lpstr>
      <vt:lpstr>（居民）工资表-5月</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乔鑫凝</cp:lastModifiedBy>
  <dcterms:created xsi:type="dcterms:W3CDTF">2018-08-01T08:19:00Z</dcterms:created>
  <cp:lastPrinted>2019-02-02T09:30:00Z</cp:lastPrinted>
  <dcterms:modified xsi:type="dcterms:W3CDTF">2022-12-05T01:05:36Z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vt:lpwstr>
  </property>
  <property fmtid="{D5CDD505-2E9C-101B-9397-08002B2CF9AE}" pid="3" name="KSOProductBuildVer">
    <vt:lpwstr>2052-11.1.0.12651</vt:lpwstr>
  </property>
  <property fmtid="{D5CDD505-2E9C-101B-9397-08002B2CF9AE}" pid="4" name="ICV">
    <vt:lpwstr>BAAAEB3A37F248E48D2032AB646B39E1</vt:lpwstr>
  </property>
  <property fmtid="{D5CDD505-2E9C-101B-9397-08002B2CF9AE}" pid="5" name="KSOReadingLayout">
    <vt:bool>true</vt:bool>
  </property>
</Properties>
</file>