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乔乔\Desktop\"/>
    </mc:Choice>
  </mc:AlternateContent>
  <xr:revisionPtr revIDLastSave="0" documentId="8_{207E2A97-3CAC-4E77-90EA-3E8B51F9B6CA}" xr6:coauthVersionLast="47" xr6:coauthVersionMax="47" xr10:uidLastSave="{00000000-0000-0000-0000-000000000000}"/>
  <bookViews>
    <workbookView xWindow="-110" yWindow="-110" windowWidth="21820" windowHeight="14020" tabRatio="617" xr2:uid="{00000000-000D-0000-FFFF-FFFF00000000}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7"/>
  </externalReferences>
  <definedNames>
    <definedName name="_xlnm._FilterDatabase" localSheetId="13" hidden="1">'（居民）工资表-10月'!$A$3:$AT$5</definedName>
    <definedName name="_xlnm._FilterDatabase" localSheetId="5" hidden="1">'（居民）工资表-11月'!$A$3:$AT$11</definedName>
    <definedName name="_xlnm._FilterDatabase" localSheetId="14" hidden="1">'（居民）工资表-12月'!$A$3:$AT$15</definedName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7" hidden="1">'（居民）工资表-4月'!$A$3:$AT$22</definedName>
    <definedName name="_xlnm._FilterDatabase" localSheetId="6" hidden="1">'（居民）工资表-5月'!$A$3:$AT$18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15" i="25" l="1"/>
  <c r="D20" i="25" s="1"/>
  <c r="AI15" i="25"/>
  <c r="AA15" i="25"/>
  <c r="Z15" i="25"/>
  <c r="Y15" i="25"/>
  <c r="X15" i="25"/>
  <c r="W15" i="25"/>
  <c r="V15" i="25"/>
  <c r="R15" i="25"/>
  <c r="P15" i="25"/>
  <c r="O15" i="25"/>
  <c r="N15" i="25"/>
  <c r="M15" i="25"/>
  <c r="L15" i="25"/>
  <c r="AT14" i="25"/>
  <c r="AS14" i="25"/>
  <c r="AR14" i="25"/>
  <c r="AB14" i="25"/>
  <c r="Q14" i="25"/>
  <c r="F14" i="25"/>
  <c r="AT13" i="25"/>
  <c r="AS13" i="25"/>
  <c r="AR13" i="25"/>
  <c r="AB13" i="25"/>
  <c r="Q13" i="25"/>
  <c r="F13" i="25"/>
  <c r="AT12" i="25"/>
  <c r="AS12" i="25"/>
  <c r="AR12" i="25"/>
  <c r="AB12" i="25"/>
  <c r="Q12" i="25"/>
  <c r="F12" i="25"/>
  <c r="AT11" i="25"/>
  <c r="AS11" i="25"/>
  <c r="AR11" i="25"/>
  <c r="AB11" i="25"/>
  <c r="Q11" i="25"/>
  <c r="F11" i="25"/>
  <c r="AT10" i="25"/>
  <c r="AS10" i="25"/>
  <c r="AR10" i="25"/>
  <c r="AB10" i="25"/>
  <c r="AB15" i="25" s="1"/>
  <c r="Q10" i="25"/>
  <c r="F10" i="25"/>
  <c r="AT9" i="25"/>
  <c r="AS9" i="25"/>
  <c r="AR9" i="25"/>
  <c r="AB9" i="25"/>
  <c r="Q9" i="25"/>
  <c r="F9" i="25"/>
  <c r="AT8" i="25"/>
  <c r="AS8" i="25"/>
  <c r="AR8" i="25"/>
  <c r="AB8" i="25"/>
  <c r="Q8" i="25"/>
  <c r="F8" i="25"/>
  <c r="AT7" i="25"/>
  <c r="AS7" i="25"/>
  <c r="AR7" i="25"/>
  <c r="AB7" i="25"/>
  <c r="Q7" i="25"/>
  <c r="F7" i="25"/>
  <c r="AT6" i="25"/>
  <c r="AS6" i="25"/>
  <c r="AR6" i="25"/>
  <c r="AB6" i="25"/>
  <c r="Q6" i="25"/>
  <c r="F6" i="25"/>
  <c r="AT5" i="25"/>
  <c r="AS5" i="25"/>
  <c r="AR5" i="25"/>
  <c r="AB5" i="25"/>
  <c r="Q5" i="25"/>
  <c r="F5" i="25"/>
  <c r="AT4" i="25"/>
  <c r="AS4" i="25"/>
  <c r="AR4" i="25"/>
  <c r="AB4" i="25"/>
  <c r="Q4" i="25"/>
  <c r="F4" i="25"/>
  <c r="D10" i="23"/>
  <c r="AK5" i="23"/>
  <c r="AI5" i="23"/>
  <c r="AG5" i="23"/>
  <c r="C10" i="23" s="1"/>
  <c r="AF5" i="23"/>
  <c r="AA5" i="23"/>
  <c r="Z5" i="23"/>
  <c r="Y5" i="23"/>
  <c r="X5" i="23"/>
  <c r="W5" i="23"/>
  <c r="V5" i="23"/>
  <c r="R5" i="23"/>
  <c r="P5" i="23"/>
  <c r="O5" i="23"/>
  <c r="N5" i="23"/>
  <c r="M5" i="23"/>
  <c r="L5" i="23"/>
  <c r="AT4" i="23"/>
  <c r="AS4" i="23"/>
  <c r="AR4" i="23"/>
  <c r="AB4" i="23"/>
  <c r="AB5" i="23" s="1"/>
  <c r="Q4" i="23"/>
  <c r="O4" i="23"/>
  <c r="M4" i="23"/>
  <c r="F4" i="23"/>
  <c r="F11" i="22"/>
  <c r="D10" i="22"/>
  <c r="AK5" i="22"/>
  <c r="AI5" i="22"/>
  <c r="AA5" i="22"/>
  <c r="Z5" i="22"/>
  <c r="Y5" i="22"/>
  <c r="X5" i="22"/>
  <c r="W5" i="22"/>
  <c r="V5" i="22"/>
  <c r="R5" i="22"/>
  <c r="Q5" i="22"/>
  <c r="P5" i="22"/>
  <c r="O5" i="22"/>
  <c r="N5" i="22"/>
  <c r="M5" i="22"/>
  <c r="L5" i="22"/>
  <c r="AT4" i="22"/>
  <c r="AS4" i="22"/>
  <c r="AR4" i="22"/>
  <c r="AB4" i="22"/>
  <c r="AB5" i="22" s="1"/>
  <c r="Q4" i="22"/>
  <c r="F19" i="21"/>
  <c r="D18" i="21"/>
  <c r="AK13" i="21"/>
  <c r="AI13" i="21"/>
  <c r="AA13" i="21"/>
  <c r="Z13" i="21"/>
  <c r="Y13" i="21"/>
  <c r="X13" i="21"/>
  <c r="W13" i="21"/>
  <c r="V13" i="21"/>
  <c r="R13" i="21"/>
  <c r="L13" i="21"/>
  <c r="AT12" i="21"/>
  <c r="AS12" i="21"/>
  <c r="AR12" i="21"/>
  <c r="AB12" i="21"/>
  <c r="P12" i="21"/>
  <c r="O12" i="21"/>
  <c r="N12" i="21"/>
  <c r="Q12" i="21" s="1"/>
  <c r="M12" i="21"/>
  <c r="AT11" i="21"/>
  <c r="AS11" i="21"/>
  <c r="AR11" i="21"/>
  <c r="AB11" i="21"/>
  <c r="P11" i="21"/>
  <c r="O11" i="21"/>
  <c r="N11" i="21"/>
  <c r="M11" i="21"/>
  <c r="Q11" i="21" s="1"/>
  <c r="AT10" i="21"/>
  <c r="AS10" i="21"/>
  <c r="AR10" i="21"/>
  <c r="AB10" i="21"/>
  <c r="P10" i="21"/>
  <c r="O10" i="21"/>
  <c r="N10" i="21"/>
  <c r="Q10" i="21" s="1"/>
  <c r="M10" i="21"/>
  <c r="AT9" i="21"/>
  <c r="AS9" i="21"/>
  <c r="AR9" i="21"/>
  <c r="AB9" i="21"/>
  <c r="P9" i="21"/>
  <c r="O9" i="21"/>
  <c r="N9" i="21"/>
  <c r="M9" i="21"/>
  <c r="AT8" i="21"/>
  <c r="AS8" i="21"/>
  <c r="AR8" i="21"/>
  <c r="AB8" i="21"/>
  <c r="P8" i="21"/>
  <c r="O8" i="21"/>
  <c r="N8" i="21"/>
  <c r="Q8" i="21" s="1"/>
  <c r="M8" i="21"/>
  <c r="AT7" i="21"/>
  <c r="AS7" i="21"/>
  <c r="AR7" i="21"/>
  <c r="AB7" i="21"/>
  <c r="P7" i="21"/>
  <c r="O7" i="21"/>
  <c r="N7" i="21"/>
  <c r="M7" i="21"/>
  <c r="Q7" i="21" s="1"/>
  <c r="AT6" i="21"/>
  <c r="AS6" i="21"/>
  <c r="AR6" i="21"/>
  <c r="AB6" i="21"/>
  <c r="P6" i="21"/>
  <c r="O6" i="21"/>
  <c r="N6" i="21"/>
  <c r="Q6" i="21" s="1"/>
  <c r="M6" i="21"/>
  <c r="AT5" i="21"/>
  <c r="AS5" i="21"/>
  <c r="AR5" i="21"/>
  <c r="AB5" i="21"/>
  <c r="P5" i="21"/>
  <c r="O5" i="21"/>
  <c r="N5" i="21"/>
  <c r="M5" i="21"/>
  <c r="Q5" i="21" s="1"/>
  <c r="AT4" i="21"/>
  <c r="AS4" i="21"/>
  <c r="AR4" i="21"/>
  <c r="AB4" i="21"/>
  <c r="AB13" i="21" s="1"/>
  <c r="P4" i="21"/>
  <c r="P13" i="21" s="1"/>
  <c r="O4" i="21"/>
  <c r="N4" i="21"/>
  <c r="M4" i="21"/>
  <c r="M13" i="21" s="1"/>
  <c r="AK12" i="20"/>
  <c r="D17" i="20" s="1"/>
  <c r="AI12" i="20"/>
  <c r="AA12" i="20"/>
  <c r="Z12" i="20"/>
  <c r="Y12" i="20"/>
  <c r="X12" i="20"/>
  <c r="W12" i="20"/>
  <c r="V12" i="20"/>
  <c r="R12" i="20"/>
  <c r="P12" i="20"/>
  <c r="O12" i="20"/>
  <c r="N12" i="20"/>
  <c r="M12" i="20"/>
  <c r="L12" i="20"/>
  <c r="AT11" i="20"/>
  <c r="AS11" i="20"/>
  <c r="AR11" i="20"/>
  <c r="AB11" i="20"/>
  <c r="Q11" i="20"/>
  <c r="AT10" i="20"/>
  <c r="AS10" i="20"/>
  <c r="AR10" i="20"/>
  <c r="AB10" i="20"/>
  <c r="Q10" i="20"/>
  <c r="AT9" i="20"/>
  <c r="AS9" i="20"/>
  <c r="AR9" i="20"/>
  <c r="AB9" i="20"/>
  <c r="Q9" i="20"/>
  <c r="AT8" i="20"/>
  <c r="AS8" i="20"/>
  <c r="AR8" i="20"/>
  <c r="AB8" i="20"/>
  <c r="Q8" i="20"/>
  <c r="AT7" i="20"/>
  <c r="AS7" i="20"/>
  <c r="AR7" i="20"/>
  <c r="AB7" i="20"/>
  <c r="Q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AB12" i="20" s="1"/>
  <c r="Q4" i="20"/>
  <c r="D21" i="19"/>
  <c r="AK16" i="19"/>
  <c r="AI16" i="19"/>
  <c r="AA16" i="19"/>
  <c r="Z16" i="19"/>
  <c r="Y16" i="19"/>
  <c r="X16" i="19"/>
  <c r="W16" i="19"/>
  <c r="V16" i="19"/>
  <c r="R16" i="19"/>
  <c r="P16" i="19"/>
  <c r="O16" i="19"/>
  <c r="N16" i="19"/>
  <c r="M16" i="19"/>
  <c r="L16" i="19"/>
  <c r="AT13" i="19"/>
  <c r="AS13" i="19"/>
  <c r="AR13" i="19"/>
  <c r="AB13" i="19"/>
  <c r="Q13" i="19"/>
  <c r="AT12" i="19"/>
  <c r="AS12" i="19"/>
  <c r="AR12" i="19"/>
  <c r="AB12" i="19"/>
  <c r="Q12" i="19"/>
  <c r="AT11" i="19"/>
  <c r="AS11" i="19"/>
  <c r="AR11" i="19"/>
  <c r="AB11" i="19"/>
  <c r="Q11" i="19"/>
  <c r="AT10" i="19"/>
  <c r="AS10" i="19"/>
  <c r="AR10" i="19"/>
  <c r="AB10" i="19"/>
  <c r="Q10" i="19"/>
  <c r="AT9" i="19"/>
  <c r="AS9" i="19"/>
  <c r="AR9" i="19"/>
  <c r="AB9" i="19"/>
  <c r="Q9" i="19"/>
  <c r="AT8" i="19"/>
  <c r="AS8" i="19"/>
  <c r="AR8" i="19"/>
  <c r="AB8" i="19"/>
  <c r="Q8" i="19"/>
  <c r="AT7" i="19"/>
  <c r="AS7" i="19"/>
  <c r="AR7" i="19"/>
  <c r="AB7" i="19"/>
  <c r="Q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D27" i="17"/>
  <c r="AK22" i="17"/>
  <c r="AI22" i="17"/>
  <c r="AA22" i="17"/>
  <c r="Z22" i="17"/>
  <c r="Y22" i="17"/>
  <c r="X22" i="17"/>
  <c r="W22" i="17"/>
  <c r="V22" i="17"/>
  <c r="R22" i="17"/>
  <c r="P22" i="17"/>
  <c r="O22" i="17"/>
  <c r="N22" i="17"/>
  <c r="M22" i="17"/>
  <c r="L22" i="17"/>
  <c r="AT20" i="17"/>
  <c r="AS20" i="17"/>
  <c r="AR20" i="17"/>
  <c r="AB20" i="17"/>
  <c r="Q20" i="17"/>
  <c r="F20" i="17"/>
  <c r="AT19" i="17"/>
  <c r="AS19" i="17"/>
  <c r="AR19" i="17"/>
  <c r="AB19" i="17"/>
  <c r="Q19" i="17"/>
  <c r="F19" i="17"/>
  <c r="AT18" i="17"/>
  <c r="AS18" i="17"/>
  <c r="AR18" i="17"/>
  <c r="AB18" i="17"/>
  <c r="Q18" i="17"/>
  <c r="F18" i="17"/>
  <c r="AT17" i="17"/>
  <c r="AS17" i="17"/>
  <c r="AR17" i="17"/>
  <c r="AB17" i="17"/>
  <c r="Q17" i="17"/>
  <c r="F17" i="17"/>
  <c r="AT16" i="17"/>
  <c r="AS16" i="17"/>
  <c r="AR16" i="17"/>
  <c r="AB16" i="17"/>
  <c r="Q16" i="17"/>
  <c r="F16" i="17"/>
  <c r="AT15" i="17"/>
  <c r="AS15" i="17"/>
  <c r="AR15" i="17"/>
  <c r="AB15" i="17"/>
  <c r="Q15" i="17"/>
  <c r="F15" i="17"/>
  <c r="AT14" i="17"/>
  <c r="AS14" i="17"/>
  <c r="AR14" i="17"/>
  <c r="AB14" i="17"/>
  <c r="Q14" i="17"/>
  <c r="F14" i="17"/>
  <c r="AT13" i="17"/>
  <c r="AS13" i="17"/>
  <c r="AR13" i="17"/>
  <c r="AB13" i="17"/>
  <c r="Q13" i="17"/>
  <c r="F13" i="17"/>
  <c r="AT12" i="17"/>
  <c r="AS12" i="17"/>
  <c r="AR12" i="17"/>
  <c r="AB12" i="17"/>
  <c r="Q12" i="17"/>
  <c r="F12" i="17"/>
  <c r="AT11" i="17"/>
  <c r="AS11" i="17"/>
  <c r="AR11" i="17"/>
  <c r="AB11" i="17"/>
  <c r="Q11" i="17"/>
  <c r="F11" i="17"/>
  <c r="AT10" i="17"/>
  <c r="AS10" i="17"/>
  <c r="AR10" i="17"/>
  <c r="AB10" i="17"/>
  <c r="Q10" i="17"/>
  <c r="F10" i="17"/>
  <c r="AT9" i="17"/>
  <c r="AS9" i="17"/>
  <c r="AR9" i="17"/>
  <c r="AB9" i="17"/>
  <c r="Q9" i="17"/>
  <c r="F9" i="17"/>
  <c r="AT8" i="17"/>
  <c r="AS8" i="17"/>
  <c r="AR8" i="17"/>
  <c r="AB8" i="17"/>
  <c r="Q8" i="17"/>
  <c r="F8" i="17"/>
  <c r="AT7" i="17"/>
  <c r="AS7" i="17"/>
  <c r="AR7" i="17"/>
  <c r="AB7" i="17"/>
  <c r="Q7" i="17"/>
  <c r="F7" i="17"/>
  <c r="AT6" i="17"/>
  <c r="AS6" i="17"/>
  <c r="AR6" i="17"/>
  <c r="AB6" i="17"/>
  <c r="Q6" i="17"/>
  <c r="F6" i="17"/>
  <c r="AT5" i="17"/>
  <c r="AS5" i="17"/>
  <c r="AR5" i="17"/>
  <c r="AB5" i="17"/>
  <c r="Q5" i="17"/>
  <c r="F5" i="17"/>
  <c r="AT4" i="17"/>
  <c r="AS4" i="17"/>
  <c r="AR4" i="17"/>
  <c r="AB4" i="17"/>
  <c r="Q4" i="17"/>
  <c r="F4" i="17"/>
  <c r="AK18" i="18"/>
  <c r="D23" i="18" s="1"/>
  <c r="AI18" i="18"/>
  <c r="AA18" i="18"/>
  <c r="Z18" i="18"/>
  <c r="Y18" i="18"/>
  <c r="X18" i="18"/>
  <c r="W18" i="18"/>
  <c r="V18" i="18"/>
  <c r="R18" i="18"/>
  <c r="P18" i="18"/>
  <c r="O18" i="18"/>
  <c r="N18" i="18"/>
  <c r="M18" i="18"/>
  <c r="L18" i="18"/>
  <c r="AT16" i="18"/>
  <c r="AS16" i="18"/>
  <c r="AR16" i="18"/>
  <c r="AC16" i="18"/>
  <c r="AC13" i="19" s="1"/>
  <c r="AB16" i="18"/>
  <c r="Q16" i="18"/>
  <c r="AT15" i="18"/>
  <c r="AS15" i="18"/>
  <c r="AR15" i="18"/>
  <c r="AC15" i="18"/>
  <c r="AB15" i="18"/>
  <c r="Q15" i="18"/>
  <c r="AT14" i="18"/>
  <c r="AS14" i="18"/>
  <c r="AR14" i="18"/>
  <c r="AC14" i="18"/>
  <c r="AB14" i="18"/>
  <c r="Q14" i="18"/>
  <c r="F14" i="18"/>
  <c r="AT13" i="18"/>
  <c r="AS13" i="18"/>
  <c r="AR13" i="18"/>
  <c r="AC13" i="18"/>
  <c r="AB13" i="18"/>
  <c r="Q13" i="18"/>
  <c r="F13" i="18"/>
  <c r="AT12" i="18"/>
  <c r="AS12" i="18"/>
  <c r="AR12" i="18"/>
  <c r="AC12" i="18"/>
  <c r="AC12" i="19" s="1"/>
  <c r="AC11" i="20" s="1"/>
  <c r="AC11" i="21" s="1"/>
  <c r="AB12" i="18"/>
  <c r="Q12" i="18"/>
  <c r="F12" i="18"/>
  <c r="AT11" i="18"/>
  <c r="AS11" i="18"/>
  <c r="AR11" i="18"/>
  <c r="AC11" i="18"/>
  <c r="AC11" i="19" s="1"/>
  <c r="AC10" i="20" s="1"/>
  <c r="AC10" i="21" s="1"/>
  <c r="AB11" i="18"/>
  <c r="Q11" i="18"/>
  <c r="F11" i="18"/>
  <c r="AT10" i="18"/>
  <c r="AS10" i="18"/>
  <c r="AR10" i="18"/>
  <c r="AC10" i="18"/>
  <c r="AC10" i="19" s="1"/>
  <c r="AC9" i="20" s="1"/>
  <c r="AC9" i="21" s="1"/>
  <c r="AB10" i="18"/>
  <c r="Q10" i="18"/>
  <c r="F10" i="18"/>
  <c r="AT9" i="18"/>
  <c r="AS9" i="18"/>
  <c r="AR9" i="18"/>
  <c r="AC9" i="18"/>
  <c r="AC9" i="19" s="1"/>
  <c r="AC8" i="20" s="1"/>
  <c r="AC8" i="21" s="1"/>
  <c r="AB9" i="18"/>
  <c r="Q9" i="18"/>
  <c r="F9" i="18"/>
  <c r="AT8" i="18"/>
  <c r="AS8" i="18"/>
  <c r="AR8" i="18"/>
  <c r="AC8" i="18"/>
  <c r="AC8" i="19" s="1"/>
  <c r="AC7" i="20" s="1"/>
  <c r="AC7" i="21" s="1"/>
  <c r="AB8" i="18"/>
  <c r="Q8" i="18"/>
  <c r="F8" i="18"/>
  <c r="AT7" i="18"/>
  <c r="AS7" i="18"/>
  <c r="AR7" i="18"/>
  <c r="AC7" i="18"/>
  <c r="AC7" i="19" s="1"/>
  <c r="AB7" i="18"/>
  <c r="Q7" i="18"/>
  <c r="F7" i="18"/>
  <c r="AT6" i="18"/>
  <c r="AS6" i="18"/>
  <c r="AR6" i="18"/>
  <c r="AC6" i="18"/>
  <c r="AC6" i="19" s="1"/>
  <c r="AC6" i="20" s="1"/>
  <c r="AC6" i="21" s="1"/>
  <c r="AB6" i="18"/>
  <c r="Q6" i="18"/>
  <c r="F6" i="18"/>
  <c r="AT5" i="18"/>
  <c r="AS5" i="18"/>
  <c r="AR5" i="18"/>
  <c r="AC5" i="18"/>
  <c r="AC5" i="19" s="1"/>
  <c r="AC5" i="20" s="1"/>
  <c r="AC5" i="21" s="1"/>
  <c r="AB5" i="18"/>
  <c r="Q5" i="18"/>
  <c r="F5" i="18"/>
  <c r="AT4" i="18"/>
  <c r="AS4" i="18"/>
  <c r="AR4" i="18"/>
  <c r="AC4" i="18"/>
  <c r="AC4" i="19" s="1"/>
  <c r="AB4" i="18"/>
  <c r="AB18" i="18" s="1"/>
  <c r="Q4" i="18"/>
  <c r="Q18" i="18" s="1"/>
  <c r="F4" i="18"/>
  <c r="D16" i="24"/>
  <c r="AK11" i="24"/>
  <c r="AI11" i="24"/>
  <c r="AA11" i="24"/>
  <c r="Z11" i="24"/>
  <c r="Y11" i="24"/>
  <c r="X11" i="24"/>
  <c r="W11" i="24"/>
  <c r="V11" i="24"/>
  <c r="R11" i="24"/>
  <c r="P11" i="24"/>
  <c r="O11" i="24"/>
  <c r="N11" i="24"/>
  <c r="M11" i="24"/>
  <c r="L11" i="24"/>
  <c r="AT10" i="24"/>
  <c r="AS10" i="24"/>
  <c r="AR10" i="24"/>
  <c r="AB10" i="24"/>
  <c r="Q10" i="24"/>
  <c r="F10" i="24"/>
  <c r="AT9" i="24"/>
  <c r="AS9" i="24"/>
  <c r="AR9" i="24"/>
  <c r="AB9" i="24"/>
  <c r="Q9" i="24"/>
  <c r="F9" i="24"/>
  <c r="AT8" i="24"/>
  <c r="AS8" i="24"/>
  <c r="AR8" i="24"/>
  <c r="AB8" i="24"/>
  <c r="Q8" i="24"/>
  <c r="F8" i="24"/>
  <c r="AT7" i="24"/>
  <c r="AS7" i="24"/>
  <c r="AR7" i="24"/>
  <c r="AB7" i="24"/>
  <c r="Q7" i="24"/>
  <c r="F7" i="24"/>
  <c r="AT6" i="24"/>
  <c r="AS6" i="24"/>
  <c r="AR6" i="24"/>
  <c r="AB6" i="24"/>
  <c r="Q6" i="24"/>
  <c r="F6" i="24"/>
  <c r="AT5" i="24"/>
  <c r="AS5" i="24"/>
  <c r="AR5" i="24"/>
  <c r="AB5" i="24"/>
  <c r="Q5" i="24"/>
  <c r="F5" i="24"/>
  <c r="AT4" i="24"/>
  <c r="AS4" i="24"/>
  <c r="AR4" i="24"/>
  <c r="AB4" i="24"/>
  <c r="AB11" i="24" s="1"/>
  <c r="Q4" i="24"/>
  <c r="Q11" i="24" s="1"/>
  <c r="F4" i="24"/>
  <c r="D25" i="16"/>
  <c r="AK20" i="16"/>
  <c r="AI20" i="16"/>
  <c r="AA20" i="16"/>
  <c r="Z20" i="16"/>
  <c r="Y20" i="16"/>
  <c r="X20" i="16"/>
  <c r="W20" i="16"/>
  <c r="V20" i="16"/>
  <c r="R20" i="16"/>
  <c r="P20" i="16"/>
  <c r="O20" i="16"/>
  <c r="N20" i="16"/>
  <c r="M20" i="16"/>
  <c r="L20" i="16"/>
  <c r="AT19" i="16"/>
  <c r="AS19" i="16"/>
  <c r="AR19" i="16"/>
  <c r="AB19" i="16"/>
  <c r="Q19" i="16"/>
  <c r="F19" i="16"/>
  <c r="AT18" i="16"/>
  <c r="AS18" i="16"/>
  <c r="AR18" i="16"/>
  <c r="AB18" i="16"/>
  <c r="Q18" i="16"/>
  <c r="F18" i="16"/>
  <c r="AT17" i="16"/>
  <c r="AS17" i="16"/>
  <c r="AR17" i="16"/>
  <c r="AB17" i="16"/>
  <c r="Q17" i="16"/>
  <c r="F17" i="16"/>
  <c r="AT16" i="16"/>
  <c r="AS16" i="16"/>
  <c r="AR16" i="16"/>
  <c r="AB16" i="16"/>
  <c r="Q16" i="16"/>
  <c r="F16" i="16"/>
  <c r="AT15" i="16"/>
  <c r="AS15" i="16"/>
  <c r="AR15" i="16"/>
  <c r="AB15" i="16"/>
  <c r="Q15" i="16"/>
  <c r="F15" i="16"/>
  <c r="AT14" i="16"/>
  <c r="AS14" i="16"/>
  <c r="AR14" i="16"/>
  <c r="AB14" i="16"/>
  <c r="Q14" i="16"/>
  <c r="F14" i="16"/>
  <c r="AT13" i="16"/>
  <c r="AS13" i="16"/>
  <c r="AR13" i="16"/>
  <c r="AB13" i="16"/>
  <c r="Q13" i="16"/>
  <c r="F13" i="16"/>
  <c r="AT12" i="16"/>
  <c r="AS12" i="16"/>
  <c r="AR12" i="16"/>
  <c r="AB12" i="16"/>
  <c r="Q12" i="16"/>
  <c r="F12" i="16"/>
  <c r="AT11" i="16"/>
  <c r="AS11" i="16"/>
  <c r="AR11" i="16"/>
  <c r="AB11" i="16"/>
  <c r="Q11" i="16"/>
  <c r="F11" i="16"/>
  <c r="AT10" i="16"/>
  <c r="AS10" i="16"/>
  <c r="AR10" i="16"/>
  <c r="AB10" i="16"/>
  <c r="Q10" i="16"/>
  <c r="F10" i="16"/>
  <c r="AT9" i="16"/>
  <c r="AS9" i="16"/>
  <c r="AR9" i="16"/>
  <c r="AB9" i="16"/>
  <c r="Q9" i="16"/>
  <c r="F9" i="16"/>
  <c r="AT8" i="16"/>
  <c r="AS8" i="16"/>
  <c r="AR8" i="16"/>
  <c r="AB8" i="16"/>
  <c r="Q8" i="16"/>
  <c r="F8" i="16"/>
  <c r="AT7" i="16"/>
  <c r="AS7" i="16"/>
  <c r="AR7" i="16"/>
  <c r="AB7" i="16"/>
  <c r="Q7" i="16"/>
  <c r="F7" i="16"/>
  <c r="AT6" i="16"/>
  <c r="AS6" i="16"/>
  <c r="AR6" i="16"/>
  <c r="AB6" i="16"/>
  <c r="Q6" i="16"/>
  <c r="F6" i="16"/>
  <c r="AT5" i="16"/>
  <c r="AS5" i="16"/>
  <c r="AR5" i="16"/>
  <c r="AB5" i="16"/>
  <c r="Q5" i="16"/>
  <c r="F5" i="16"/>
  <c r="AT4" i="16"/>
  <c r="AS4" i="16"/>
  <c r="AR4" i="16"/>
  <c r="AB4" i="16"/>
  <c r="AB20" i="16" s="1"/>
  <c r="Q4" i="16"/>
  <c r="F4" i="16"/>
  <c r="AK17" i="15"/>
  <c r="D22" i="15" s="1"/>
  <c r="AI17" i="15"/>
  <c r="AA17" i="15"/>
  <c r="Z17" i="15"/>
  <c r="Y17" i="15"/>
  <c r="X17" i="15"/>
  <c r="W17" i="15"/>
  <c r="V17" i="15"/>
  <c r="R17" i="15"/>
  <c r="P17" i="15"/>
  <c r="O17" i="15"/>
  <c r="N17" i="15"/>
  <c r="M17" i="15"/>
  <c r="L17" i="15"/>
  <c r="AT16" i="15"/>
  <c r="AS16" i="15"/>
  <c r="AR16" i="15"/>
  <c r="AB16" i="15"/>
  <c r="Q16" i="15"/>
  <c r="F16" i="15"/>
  <c r="AT15" i="15"/>
  <c r="AS15" i="15"/>
  <c r="AR15" i="15"/>
  <c r="AB15" i="15"/>
  <c r="Q15" i="15"/>
  <c r="F15" i="15"/>
  <c r="AT14" i="15"/>
  <c r="AS14" i="15"/>
  <c r="AR14" i="15"/>
  <c r="AB14" i="15"/>
  <c r="Q14" i="15"/>
  <c r="F14" i="15"/>
  <c r="AT13" i="15"/>
  <c r="AS13" i="15"/>
  <c r="AR13" i="15"/>
  <c r="AB13" i="15"/>
  <c r="T13" i="15"/>
  <c r="T13" i="16" s="1"/>
  <c r="T12" i="17" s="1"/>
  <c r="T9" i="18" s="1"/>
  <c r="T9" i="19" s="1"/>
  <c r="T8" i="20" s="1"/>
  <c r="T8" i="21" s="1"/>
  <c r="Q13" i="15"/>
  <c r="F13" i="15"/>
  <c r="AT12" i="15"/>
  <c r="AS12" i="15"/>
  <c r="AR12" i="15"/>
  <c r="AB12" i="15"/>
  <c r="T12" i="15"/>
  <c r="T12" i="16" s="1"/>
  <c r="T11" i="17" s="1"/>
  <c r="T8" i="18" s="1"/>
  <c r="T8" i="19" s="1"/>
  <c r="T7" i="20" s="1"/>
  <c r="T7" i="21" s="1"/>
  <c r="Q12" i="15"/>
  <c r="F12" i="15"/>
  <c r="AT11" i="15"/>
  <c r="AS11" i="15"/>
  <c r="AR11" i="15"/>
  <c r="AB11" i="15"/>
  <c r="T11" i="15"/>
  <c r="T11" i="16" s="1"/>
  <c r="Q11" i="15"/>
  <c r="U11" i="15" s="1"/>
  <c r="U11" i="16" s="1"/>
  <c r="F11" i="15"/>
  <c r="AT10" i="15"/>
  <c r="AS10" i="15"/>
  <c r="AR10" i="15"/>
  <c r="AB10" i="15"/>
  <c r="T10" i="15"/>
  <c r="T10" i="16" s="1"/>
  <c r="T10" i="17" s="1"/>
  <c r="T7" i="18" s="1"/>
  <c r="T7" i="19" s="1"/>
  <c r="Q10" i="15"/>
  <c r="F10" i="15"/>
  <c r="AT9" i="15"/>
  <c r="AS9" i="15"/>
  <c r="AR9" i="15"/>
  <c r="AB9" i="15"/>
  <c r="T9" i="15"/>
  <c r="T9" i="16" s="1"/>
  <c r="T9" i="17" s="1"/>
  <c r="T6" i="18" s="1"/>
  <c r="T6" i="19" s="1"/>
  <c r="T6" i="20" s="1"/>
  <c r="T6" i="21" s="1"/>
  <c r="Q9" i="15"/>
  <c r="F9" i="15"/>
  <c r="AT8" i="15"/>
  <c r="AS8" i="15"/>
  <c r="AR8" i="15"/>
  <c r="AB8" i="15"/>
  <c r="T8" i="15"/>
  <c r="T8" i="16" s="1"/>
  <c r="T8" i="17" s="1"/>
  <c r="T5" i="18" s="1"/>
  <c r="T5" i="19" s="1"/>
  <c r="T5" i="20" s="1"/>
  <c r="T5" i="21" s="1"/>
  <c r="Q8" i="15"/>
  <c r="F8" i="15"/>
  <c r="AT7" i="15"/>
  <c r="AS7" i="15"/>
  <c r="AR7" i="15"/>
  <c r="AC7" i="15"/>
  <c r="AC7" i="16" s="1"/>
  <c r="AC7" i="17" s="1"/>
  <c r="AB7" i="15"/>
  <c r="T7" i="15"/>
  <c r="T7" i="16" s="1"/>
  <c r="T7" i="17" s="1"/>
  <c r="T4" i="18" s="1"/>
  <c r="Q7" i="15"/>
  <c r="F7" i="15"/>
  <c r="AT6" i="15"/>
  <c r="AS6" i="15"/>
  <c r="AR6" i="15"/>
  <c r="AB6" i="15"/>
  <c r="T6" i="15"/>
  <c r="T6" i="16" s="1"/>
  <c r="T6" i="17" s="1"/>
  <c r="Q6" i="15"/>
  <c r="F6" i="15"/>
  <c r="AT5" i="15"/>
  <c r="AS5" i="15"/>
  <c r="AR5" i="15"/>
  <c r="AB5" i="15"/>
  <c r="T5" i="15"/>
  <c r="T5" i="16" s="1"/>
  <c r="T5" i="17" s="1"/>
  <c r="Q5" i="15"/>
  <c r="F5" i="15"/>
  <c r="AT4" i="15"/>
  <c r="AS4" i="15"/>
  <c r="AR4" i="15"/>
  <c r="AB4" i="15"/>
  <c r="AB17" i="15" s="1"/>
  <c r="T4" i="15"/>
  <c r="T4" i="16" s="1"/>
  <c r="Q4" i="15"/>
  <c r="F4" i="15"/>
  <c r="AK17" i="1"/>
  <c r="D22" i="1" s="1"/>
  <c r="AI17" i="1"/>
  <c r="AF17" i="1"/>
  <c r="AA17" i="1"/>
  <c r="Z17" i="1"/>
  <c r="Y17" i="1"/>
  <c r="X17" i="1"/>
  <c r="W17" i="1"/>
  <c r="V17" i="1"/>
  <c r="T17" i="1"/>
  <c r="R17" i="1"/>
  <c r="P17" i="1"/>
  <c r="O17" i="1"/>
  <c r="N17" i="1"/>
  <c r="M17" i="1"/>
  <c r="L17" i="1"/>
  <c r="AT16" i="1"/>
  <c r="AS16" i="1"/>
  <c r="AR16" i="1"/>
  <c r="AD16" i="1"/>
  <c r="AE16" i="1" s="1"/>
  <c r="AG16" i="1" s="1"/>
  <c r="AC16" i="1"/>
  <c r="AC13" i="15" s="1"/>
  <c r="AC13" i="16" s="1"/>
  <c r="AC12" i="17" s="1"/>
  <c r="AB16" i="1"/>
  <c r="S16" i="1"/>
  <c r="S13" i="15" s="1"/>
  <c r="Q16" i="1"/>
  <c r="U16" i="1" s="1"/>
  <c r="F16" i="1"/>
  <c r="AT15" i="1"/>
  <c r="AS15" i="1"/>
  <c r="AR15" i="1"/>
  <c r="AC15" i="1"/>
  <c r="AC12" i="15" s="1"/>
  <c r="AC12" i="16" s="1"/>
  <c r="AC11" i="17" s="1"/>
  <c r="AB15" i="1"/>
  <c r="S15" i="1"/>
  <c r="S12" i="15" s="1"/>
  <c r="Q15" i="1"/>
  <c r="U15" i="1" s="1"/>
  <c r="AD15" i="1" s="1"/>
  <c r="AE15" i="1" s="1"/>
  <c r="AG15" i="1" s="1"/>
  <c r="AF12" i="15" s="1"/>
  <c r="F15" i="1"/>
  <c r="AT14" i="1"/>
  <c r="AS14" i="1"/>
  <c r="AR14" i="1"/>
  <c r="AC14" i="1"/>
  <c r="AC11" i="15" s="1"/>
  <c r="AC11" i="16" s="1"/>
  <c r="AB14" i="1"/>
  <c r="AD14" i="1" s="1"/>
  <c r="AE14" i="1" s="1"/>
  <c r="AG14" i="1" s="1"/>
  <c r="AF11" i="15" s="1"/>
  <c r="U14" i="1"/>
  <c r="S14" i="1"/>
  <c r="S11" i="15" s="1"/>
  <c r="Q14" i="1"/>
  <c r="F14" i="1"/>
  <c r="AT13" i="1"/>
  <c r="AS13" i="1"/>
  <c r="AR13" i="1"/>
  <c r="AC13" i="1"/>
  <c r="AC10" i="15" s="1"/>
  <c r="AC10" i="16" s="1"/>
  <c r="AC10" i="17" s="1"/>
  <c r="AB13" i="1"/>
  <c r="AD13" i="1" s="1"/>
  <c r="AE13" i="1" s="1"/>
  <c r="AG13" i="1" s="1"/>
  <c r="AF10" i="15" s="1"/>
  <c r="U13" i="1"/>
  <c r="U10" i="15" s="1"/>
  <c r="U10" i="16" s="1"/>
  <c r="U10" i="17" s="1"/>
  <c r="S13" i="1"/>
  <c r="S10" i="15" s="1"/>
  <c r="Q13" i="1"/>
  <c r="F13" i="1"/>
  <c r="AT12" i="1"/>
  <c r="AS12" i="1"/>
  <c r="AR12" i="1"/>
  <c r="AC12" i="1"/>
  <c r="AB12" i="1"/>
  <c r="U12" i="1"/>
  <c r="S12" i="1"/>
  <c r="AD12" i="1" s="1"/>
  <c r="AE12" i="1" s="1"/>
  <c r="AG12" i="1" s="1"/>
  <c r="Q12" i="1"/>
  <c r="F12" i="1"/>
  <c r="AT11" i="1"/>
  <c r="AS11" i="1"/>
  <c r="AR11" i="1"/>
  <c r="AC11" i="1"/>
  <c r="AC9" i="15" s="1"/>
  <c r="AC9" i="16" s="1"/>
  <c r="AC9" i="17" s="1"/>
  <c r="AB11" i="1"/>
  <c r="U11" i="1"/>
  <c r="S11" i="1"/>
  <c r="Q11" i="1"/>
  <c r="F11" i="1"/>
  <c r="AT10" i="1"/>
  <c r="AS10" i="1"/>
  <c r="AR10" i="1"/>
  <c r="AC10" i="1"/>
  <c r="AC8" i="15" s="1"/>
  <c r="AC8" i="16" s="1"/>
  <c r="AC8" i="17" s="1"/>
  <c r="AB10" i="1"/>
  <c r="S10" i="1"/>
  <c r="S8" i="15" s="1"/>
  <c r="Q10" i="1"/>
  <c r="U10" i="1" s="1"/>
  <c r="U8" i="15" s="1"/>
  <c r="F10" i="1"/>
  <c r="AT9" i="1"/>
  <c r="AS9" i="1"/>
  <c r="AR9" i="1"/>
  <c r="AC9" i="1"/>
  <c r="AB9" i="1"/>
  <c r="U9" i="1"/>
  <c r="U7" i="15" s="1"/>
  <c r="S9" i="1"/>
  <c r="Q9" i="1"/>
  <c r="F9" i="1"/>
  <c r="AT8" i="1"/>
  <c r="AS8" i="1"/>
  <c r="AR8" i="1"/>
  <c r="AD8" i="1"/>
  <c r="AE8" i="1" s="1"/>
  <c r="AG8" i="1" s="1"/>
  <c r="AH8" i="1" s="1"/>
  <c r="AJ8" i="1" s="1"/>
  <c r="AL8" i="1" s="1"/>
  <c r="AC8" i="1"/>
  <c r="AB8" i="1"/>
  <c r="S8" i="1"/>
  <c r="Q8" i="1"/>
  <c r="U8" i="1" s="1"/>
  <c r="F8" i="1"/>
  <c r="AT7" i="1"/>
  <c r="AS7" i="1"/>
  <c r="AR7" i="1"/>
  <c r="AC7" i="1"/>
  <c r="AB7" i="1"/>
  <c r="S7" i="1"/>
  <c r="Q7" i="1"/>
  <c r="U7" i="1" s="1"/>
  <c r="AD7" i="1" s="1"/>
  <c r="AE7" i="1" s="1"/>
  <c r="AG7" i="1" s="1"/>
  <c r="F7" i="1"/>
  <c r="AT6" i="1"/>
  <c r="AS6" i="1"/>
  <c r="AR6" i="1"/>
  <c r="AC6" i="1"/>
  <c r="AC6" i="15" s="1"/>
  <c r="AC6" i="16" s="1"/>
  <c r="AC6" i="17" s="1"/>
  <c r="AB6" i="1"/>
  <c r="U6" i="1"/>
  <c r="U6" i="15" s="1"/>
  <c r="S6" i="1"/>
  <c r="S6" i="15" s="1"/>
  <c r="Q6" i="1"/>
  <c r="F6" i="1"/>
  <c r="AT5" i="1"/>
  <c r="AS5" i="1"/>
  <c r="AR5" i="1"/>
  <c r="AC5" i="1"/>
  <c r="AC5" i="15" s="1"/>
  <c r="AC5" i="16" s="1"/>
  <c r="AC5" i="17" s="1"/>
  <c r="AB5" i="1"/>
  <c r="U5" i="1"/>
  <c r="S5" i="1"/>
  <c r="S5" i="15" s="1"/>
  <c r="Q5" i="1"/>
  <c r="F5" i="1"/>
  <c r="AT4" i="1"/>
  <c r="AS4" i="1"/>
  <c r="AR4" i="1"/>
  <c r="AC4" i="1"/>
  <c r="AC4" i="15" s="1"/>
  <c r="AB4" i="1"/>
  <c r="AB17" i="1" s="1"/>
  <c r="U4" i="1"/>
  <c r="U17" i="1" s="1"/>
  <c r="S4" i="1"/>
  <c r="S4" i="15" s="1"/>
  <c r="Q4" i="1"/>
  <c r="F4" i="1"/>
  <c r="AY5" i="26"/>
  <c r="AU5" i="26"/>
  <c r="AQ5" i="26"/>
  <c r="AP5" i="26"/>
  <c r="AO5" i="26"/>
  <c r="AN5" i="26"/>
  <c r="AM5" i="26"/>
  <c r="AL5" i="26"/>
  <c r="AK5" i="26"/>
  <c r="AJ5" i="26"/>
  <c r="AI5" i="26"/>
  <c r="AG5" i="26"/>
  <c r="AF5" i="26"/>
  <c r="AE5" i="26"/>
  <c r="AD5" i="26"/>
  <c r="AC5" i="26"/>
  <c r="AB5" i="26"/>
  <c r="AA5" i="26"/>
  <c r="Z5" i="26"/>
  <c r="Y5" i="26"/>
  <c r="X5" i="26"/>
  <c r="W5" i="26"/>
  <c r="V5" i="26"/>
  <c r="U5" i="26"/>
  <c r="T5" i="26"/>
  <c r="S5" i="26"/>
  <c r="Q5" i="26"/>
  <c r="P5" i="26"/>
  <c r="O5" i="26"/>
  <c r="N5" i="26"/>
  <c r="L5" i="26"/>
  <c r="K5" i="26"/>
  <c r="AU3" i="26"/>
  <c r="AS3" i="26"/>
  <c r="AS5" i="26" s="1"/>
  <c r="AJ3" i="26"/>
  <c r="AH3" i="26"/>
  <c r="AH5" i="26" s="1"/>
  <c r="AE3" i="26"/>
  <c r="Y3" i="26"/>
  <c r="W3" i="26"/>
  <c r="T3" i="26"/>
  <c r="R3" i="26"/>
  <c r="R5" i="26" s="1"/>
  <c r="O3" i="26"/>
  <c r="M3" i="26"/>
  <c r="M5" i="26" s="1"/>
  <c r="G22" i="27"/>
  <c r="M4" i="27"/>
  <c r="AD8" i="15" l="1"/>
  <c r="AE8" i="15" s="1"/>
  <c r="S8" i="16"/>
  <c r="AC4" i="16"/>
  <c r="AF13" i="15"/>
  <c r="AH16" i="1"/>
  <c r="AJ16" i="1" s="1"/>
  <c r="AL16" i="1" s="1"/>
  <c r="AR3" i="26"/>
  <c r="AD4" i="1"/>
  <c r="S7" i="15"/>
  <c r="AD9" i="1"/>
  <c r="AE9" i="1" s="1"/>
  <c r="AG9" i="1" s="1"/>
  <c r="U9" i="15"/>
  <c r="S6" i="16"/>
  <c r="AD6" i="15"/>
  <c r="AE6" i="15" s="1"/>
  <c r="S12" i="16"/>
  <c r="U9" i="16"/>
  <c r="U9" i="17" s="1"/>
  <c r="AT3" i="26"/>
  <c r="AH13" i="1"/>
  <c r="AJ13" i="1" s="1"/>
  <c r="AL13" i="1" s="1"/>
  <c r="S17" i="1"/>
  <c r="U5" i="18"/>
  <c r="Q17" i="1"/>
  <c r="S5" i="16"/>
  <c r="S9" i="15"/>
  <c r="AD11" i="1"/>
  <c r="AE11" i="1" s="1"/>
  <c r="AG11" i="1" s="1"/>
  <c r="AD10" i="15"/>
  <c r="AE10" i="15" s="1"/>
  <c r="AG10" i="15" s="1"/>
  <c r="AH10" i="15" s="1"/>
  <c r="AJ10" i="15" s="1"/>
  <c r="AL10" i="15" s="1"/>
  <c r="S10" i="16"/>
  <c r="S13" i="16"/>
  <c r="AC17" i="1"/>
  <c r="U4" i="15"/>
  <c r="Q17" i="15"/>
  <c r="U8" i="16"/>
  <c r="U8" i="17" s="1"/>
  <c r="AD4" i="15"/>
  <c r="S4" i="16"/>
  <c r="T4" i="17"/>
  <c r="U5" i="15"/>
  <c r="AD5" i="15" s="1"/>
  <c r="AE5" i="15" s="1"/>
  <c r="U13" i="15"/>
  <c r="AD13" i="15" s="1"/>
  <c r="AE13" i="15" s="1"/>
  <c r="AG13" i="15" s="1"/>
  <c r="AH13" i="15" s="1"/>
  <c r="AJ13" i="15" s="1"/>
  <c r="AL13" i="15" s="1"/>
  <c r="AD6" i="1"/>
  <c r="AE6" i="1" s="1"/>
  <c r="AG6" i="1" s="1"/>
  <c r="AF6" i="15" s="1"/>
  <c r="AH7" i="1"/>
  <c r="AJ7" i="1" s="1"/>
  <c r="AL7" i="1" s="1"/>
  <c r="AH14" i="1"/>
  <c r="AJ14" i="1" s="1"/>
  <c r="AL14" i="1" s="1"/>
  <c r="U12" i="15"/>
  <c r="U12" i="16" s="1"/>
  <c r="U11" i="17" s="1"/>
  <c r="U8" i="18" s="1"/>
  <c r="U7" i="16"/>
  <c r="AD10" i="1"/>
  <c r="AE10" i="1" s="1"/>
  <c r="AG10" i="1" s="1"/>
  <c r="AF8" i="15" s="1"/>
  <c r="AH12" i="1"/>
  <c r="AJ12" i="1" s="1"/>
  <c r="AL12" i="1" s="1"/>
  <c r="AD11" i="15"/>
  <c r="AE11" i="15" s="1"/>
  <c r="AG11" i="15" s="1"/>
  <c r="AF11" i="16" s="1"/>
  <c r="S11" i="16"/>
  <c r="AD11" i="16" s="1"/>
  <c r="AE11" i="16" s="1"/>
  <c r="AD5" i="1"/>
  <c r="AE5" i="1" s="1"/>
  <c r="AG5" i="1" s="1"/>
  <c r="T4" i="19"/>
  <c r="U6" i="16"/>
  <c r="U5" i="16"/>
  <c r="U13" i="16"/>
  <c r="Q20" i="16"/>
  <c r="AH15" i="1"/>
  <c r="AJ15" i="1" s="1"/>
  <c r="AL15" i="1" s="1"/>
  <c r="AH11" i="15"/>
  <c r="AJ11" i="15" s="1"/>
  <c r="AL11" i="15" s="1"/>
  <c r="U6" i="18"/>
  <c r="Q22" i="17"/>
  <c r="AB16" i="19"/>
  <c r="AC18" i="18"/>
  <c r="AB22" i="17"/>
  <c r="U5" i="17"/>
  <c r="AC16" i="19"/>
  <c r="AC4" i="20"/>
  <c r="U7" i="18"/>
  <c r="U6" i="17"/>
  <c r="U7" i="17"/>
  <c r="U4" i="18" s="1"/>
  <c r="U4" i="19" s="1"/>
  <c r="U12" i="17"/>
  <c r="U9" i="18" s="1"/>
  <c r="U9" i="19" s="1"/>
  <c r="U8" i="20" s="1"/>
  <c r="U8" i="21" s="1"/>
  <c r="Q12" i="20"/>
  <c r="Q5" i="23"/>
  <c r="AH4" i="23"/>
  <c r="U5" i="19"/>
  <c r="U5" i="20" s="1"/>
  <c r="U5" i="21" s="1"/>
  <c r="U8" i="19"/>
  <c r="U7" i="20" s="1"/>
  <c r="U7" i="21" s="1"/>
  <c r="Q16" i="19"/>
  <c r="U7" i="19"/>
  <c r="U6" i="19"/>
  <c r="U6" i="20" s="1"/>
  <c r="U6" i="21" s="1"/>
  <c r="N13" i="21"/>
  <c r="Q4" i="21"/>
  <c r="Q9" i="21"/>
  <c r="O13" i="21"/>
  <c r="Q15" i="25"/>
  <c r="U4" i="20" l="1"/>
  <c r="U4" i="21" s="1"/>
  <c r="AH5" i="23"/>
  <c r="AJ4" i="23"/>
  <c r="AG11" i="16"/>
  <c r="AH11" i="16" s="1"/>
  <c r="AJ11" i="16" s="1"/>
  <c r="AL11" i="16" s="1"/>
  <c r="AF9" i="15"/>
  <c r="AH11" i="1"/>
  <c r="AJ11" i="1" s="1"/>
  <c r="AL11" i="1" s="1"/>
  <c r="AC4" i="17"/>
  <c r="S4" i="17"/>
  <c r="AD9" i="15"/>
  <c r="AE9" i="15" s="1"/>
  <c r="S9" i="16"/>
  <c r="S11" i="17"/>
  <c r="AD12" i="16"/>
  <c r="AE12" i="16" s="1"/>
  <c r="AF7" i="15"/>
  <c r="AH9" i="1"/>
  <c r="AJ9" i="1" s="1"/>
  <c r="AL9" i="1" s="1"/>
  <c r="AF6" i="16"/>
  <c r="AE4" i="15"/>
  <c r="U4" i="16"/>
  <c r="U1" i="15"/>
  <c r="AH10" i="1"/>
  <c r="AJ10" i="1" s="1"/>
  <c r="AL10" i="1" s="1"/>
  <c r="AD12" i="15"/>
  <c r="AE12" i="15" s="1"/>
  <c r="AG12" i="15" s="1"/>
  <c r="AD7" i="15"/>
  <c r="AE7" i="15" s="1"/>
  <c r="AG7" i="15" s="1"/>
  <c r="AH7" i="15" s="1"/>
  <c r="AJ7" i="15" s="1"/>
  <c r="AL7" i="15" s="1"/>
  <c r="S7" i="16"/>
  <c r="S5" i="17"/>
  <c r="AD5" i="17" s="1"/>
  <c r="AE5" i="17" s="1"/>
  <c r="AD5" i="16"/>
  <c r="AE5" i="16" s="1"/>
  <c r="AX3" i="26"/>
  <c r="AX5" i="26" s="1"/>
  <c r="G20" i="27" s="1"/>
  <c r="AT5" i="26"/>
  <c r="AG6" i="15"/>
  <c r="AH6" i="15" s="1"/>
  <c r="AJ6" i="15" s="1"/>
  <c r="AL6" i="15" s="1"/>
  <c r="AH6" i="1"/>
  <c r="AJ6" i="1" s="1"/>
  <c r="AL6" i="1" s="1"/>
  <c r="T4" i="20"/>
  <c r="S12" i="17"/>
  <c r="AD13" i="16"/>
  <c r="AE13" i="16" s="1"/>
  <c r="S6" i="17"/>
  <c r="AD6" i="17" s="1"/>
  <c r="AE6" i="17" s="1"/>
  <c r="AD6" i="16"/>
  <c r="AE6" i="16" s="1"/>
  <c r="AG6" i="16" s="1"/>
  <c r="AH6" i="16" s="1"/>
  <c r="AJ6" i="16" s="1"/>
  <c r="AL6" i="16" s="1"/>
  <c r="AD17" i="1"/>
  <c r="AE4" i="1"/>
  <c r="AF10" i="16"/>
  <c r="AC4" i="21"/>
  <c r="AC12" i="20"/>
  <c r="AF5" i="15"/>
  <c r="AG5" i="15" s="1"/>
  <c r="AH5" i="15" s="1"/>
  <c r="AJ5" i="15" s="1"/>
  <c r="AL5" i="15" s="1"/>
  <c r="AH5" i="1"/>
  <c r="AJ5" i="1" s="1"/>
  <c r="AL5" i="1" s="1"/>
  <c r="AW3" i="26"/>
  <c r="AV3" i="26"/>
  <c r="AV5" i="26" s="1"/>
  <c r="AR5" i="26"/>
  <c r="Q13" i="21"/>
  <c r="S10" i="17"/>
  <c r="AD10" i="16"/>
  <c r="AE10" i="16" s="1"/>
  <c r="S8" i="17"/>
  <c r="AD8" i="16"/>
  <c r="AE8" i="16" s="1"/>
  <c r="AF13" i="16"/>
  <c r="AG8" i="15"/>
  <c r="AH8" i="15" s="1"/>
  <c r="AJ8" i="15" s="1"/>
  <c r="AL8" i="15" s="1"/>
  <c r="AD12" i="17" l="1"/>
  <c r="AE12" i="17" s="1"/>
  <c r="S9" i="18"/>
  <c r="AD11" i="17"/>
  <c r="AE11" i="17" s="1"/>
  <c r="S8" i="18"/>
  <c r="T4" i="21"/>
  <c r="U4" i="17"/>
  <c r="AD4" i="17" s="1"/>
  <c r="S9" i="17"/>
  <c r="AD9" i="16"/>
  <c r="AE9" i="16" s="1"/>
  <c r="AF8" i="16"/>
  <c r="AF8" i="17" s="1"/>
  <c r="AF5" i="18" s="1"/>
  <c r="AG9" i="15"/>
  <c r="AH9" i="15" s="1"/>
  <c r="AJ9" i="15" s="1"/>
  <c r="AL9" i="15" s="1"/>
  <c r="AE17" i="1"/>
  <c r="AG4" i="1"/>
  <c r="AG8" i="16"/>
  <c r="AH8" i="16" s="1"/>
  <c r="AJ8" i="16" s="1"/>
  <c r="AL8" i="16" s="1"/>
  <c r="S7" i="17"/>
  <c r="AD7" i="16"/>
  <c r="AE7" i="16" s="1"/>
  <c r="AD4" i="16"/>
  <c r="AJ5" i="23"/>
  <c r="B10" i="23" s="1"/>
  <c r="E10" i="23" s="1"/>
  <c r="AL4" i="23"/>
  <c r="AL5" i="23" s="1"/>
  <c r="AF12" i="17"/>
  <c r="AF6" i="17"/>
  <c r="AG6" i="17" s="1"/>
  <c r="AH6" i="17" s="1"/>
  <c r="AJ6" i="17" s="1"/>
  <c r="AL6" i="17" s="1"/>
  <c r="AG10" i="16"/>
  <c r="AH10" i="16" s="1"/>
  <c r="AJ10" i="16" s="1"/>
  <c r="AL10" i="16" s="1"/>
  <c r="AH12" i="15"/>
  <c r="AJ12" i="15" s="1"/>
  <c r="AL12" i="15" s="1"/>
  <c r="AF12" i="16"/>
  <c r="AD8" i="17"/>
  <c r="AE8" i="17" s="1"/>
  <c r="AG8" i="17" s="1"/>
  <c r="AH8" i="17" s="1"/>
  <c r="AJ8" i="17" s="1"/>
  <c r="AL8" i="17" s="1"/>
  <c r="S5" i="18"/>
  <c r="AZ3" i="26"/>
  <c r="AZ5" i="26" s="1"/>
  <c r="AW5" i="26"/>
  <c r="G19" i="27" s="1"/>
  <c r="AD10" i="17"/>
  <c r="AE10" i="17" s="1"/>
  <c r="S7" i="18"/>
  <c r="AF5" i="16"/>
  <c r="AG13" i="16"/>
  <c r="AH13" i="16" s="1"/>
  <c r="AJ13" i="16" s="1"/>
  <c r="AL13" i="16" s="1"/>
  <c r="AF7" i="16"/>
  <c r="AE4" i="17" l="1"/>
  <c r="AD5" i="18"/>
  <c r="AE5" i="18" s="1"/>
  <c r="AG5" i="18" s="1"/>
  <c r="AH5" i="18" s="1"/>
  <c r="AJ5" i="18" s="1"/>
  <c r="AL5" i="18" s="1"/>
  <c r="S5" i="19"/>
  <c r="AD7" i="17"/>
  <c r="AE7" i="17" s="1"/>
  <c r="S4" i="18"/>
  <c r="AF5" i="19"/>
  <c r="S8" i="19"/>
  <c r="AD8" i="18"/>
  <c r="AE8" i="18" s="1"/>
  <c r="AG17" i="1"/>
  <c r="C22" i="1" s="1"/>
  <c r="AF4" i="15"/>
  <c r="AH4" i="1"/>
  <c r="AF9" i="18"/>
  <c r="AC10" i="24"/>
  <c r="AC14" i="25" s="1"/>
  <c r="AF7" i="24"/>
  <c r="S6" i="24"/>
  <c r="T5" i="24"/>
  <c r="T5" i="25" s="1"/>
  <c r="U4" i="24"/>
  <c r="AC9" i="24"/>
  <c r="AC9" i="25" s="1"/>
  <c r="AF6" i="24"/>
  <c r="S5" i="24"/>
  <c r="T4" i="24"/>
  <c r="U10" i="24"/>
  <c r="U14" i="25" s="1"/>
  <c r="AC8" i="24"/>
  <c r="AC8" i="25" s="1"/>
  <c r="AF5" i="24"/>
  <c r="S4" i="24"/>
  <c r="T10" i="24"/>
  <c r="T14" i="25" s="1"/>
  <c r="AC7" i="24"/>
  <c r="AC7" i="25" s="1"/>
  <c r="AF4" i="24"/>
  <c r="S10" i="24"/>
  <c r="T9" i="24"/>
  <c r="T9" i="25" s="1"/>
  <c r="AC6" i="24"/>
  <c r="AC6" i="25" s="1"/>
  <c r="AF10" i="24"/>
  <c r="S9" i="24"/>
  <c r="T8" i="24"/>
  <c r="T8" i="25" s="1"/>
  <c r="AC5" i="24"/>
  <c r="AC5" i="25" s="1"/>
  <c r="AF9" i="24"/>
  <c r="S8" i="24"/>
  <c r="T7" i="24"/>
  <c r="T7" i="25" s="1"/>
  <c r="AC4" i="24"/>
  <c r="AF8" i="24"/>
  <c r="S7" i="24"/>
  <c r="T6" i="24"/>
  <c r="T6" i="25" s="1"/>
  <c r="U6" i="24"/>
  <c r="U6" i="25" s="1"/>
  <c r="U9" i="24"/>
  <c r="U9" i="25" s="1"/>
  <c r="U7" i="24"/>
  <c r="U7" i="25" s="1"/>
  <c r="U5" i="24"/>
  <c r="U5" i="25" s="1"/>
  <c r="U8" i="24"/>
  <c r="U8" i="25" s="1"/>
  <c r="AD9" i="17"/>
  <c r="AE9" i="17" s="1"/>
  <c r="S6" i="18"/>
  <c r="AF11" i="17"/>
  <c r="AG11" i="17" s="1"/>
  <c r="AH11" i="17" s="1"/>
  <c r="AJ11" i="17" s="1"/>
  <c r="AL11" i="17" s="1"/>
  <c r="AF9" i="16"/>
  <c r="AG9" i="16" s="1"/>
  <c r="AH9" i="16" s="1"/>
  <c r="AJ9" i="16" s="1"/>
  <c r="AL9" i="16" s="1"/>
  <c r="AD9" i="18"/>
  <c r="AE9" i="18" s="1"/>
  <c r="S9" i="19"/>
  <c r="AF7" i="17"/>
  <c r="AG12" i="17"/>
  <c r="AH12" i="17" s="1"/>
  <c r="AJ12" i="17" s="1"/>
  <c r="AL12" i="17" s="1"/>
  <c r="AG7" i="16"/>
  <c r="AH7" i="16" s="1"/>
  <c r="AJ7" i="16" s="1"/>
  <c r="AL7" i="16" s="1"/>
  <c r="AD7" i="18"/>
  <c r="AE7" i="18" s="1"/>
  <c r="S7" i="19"/>
  <c r="AD7" i="19" s="1"/>
  <c r="AE7" i="19" s="1"/>
  <c r="AE4" i="16"/>
  <c r="AF10" i="17"/>
  <c r="AG10" i="17" s="1"/>
  <c r="AH10" i="17" s="1"/>
  <c r="AJ10" i="17" s="1"/>
  <c r="AL10" i="17" s="1"/>
  <c r="AG5" i="16"/>
  <c r="AH5" i="16" s="1"/>
  <c r="AJ5" i="16" s="1"/>
  <c r="AL5" i="16" s="1"/>
  <c r="AG12" i="16"/>
  <c r="AH12" i="16" s="1"/>
  <c r="AJ12" i="16" s="1"/>
  <c r="AL12" i="16" s="1"/>
  <c r="S4" i="19" l="1"/>
  <c r="AD4" i="18"/>
  <c r="AF8" i="18"/>
  <c r="S6" i="19"/>
  <c r="AD6" i="18"/>
  <c r="AE6" i="18" s="1"/>
  <c r="S7" i="25"/>
  <c r="AD7" i="25" s="1"/>
  <c r="AE7" i="25" s="1"/>
  <c r="AD7" i="24"/>
  <c r="AE7" i="24" s="1"/>
  <c r="AG7" i="24" s="1"/>
  <c r="AH7" i="24" s="1"/>
  <c r="AJ7" i="24" s="1"/>
  <c r="AL7" i="24" s="1"/>
  <c r="S9" i="25"/>
  <c r="AD9" i="25" s="1"/>
  <c r="AE9" i="25" s="1"/>
  <c r="AD9" i="24"/>
  <c r="AE9" i="24" s="1"/>
  <c r="AG9" i="24" s="1"/>
  <c r="AH9" i="24" s="1"/>
  <c r="AJ9" i="24" s="1"/>
  <c r="AL9" i="24" s="1"/>
  <c r="S4" i="25"/>
  <c r="AD4" i="24"/>
  <c r="S11" i="24"/>
  <c r="U11" i="24"/>
  <c r="U4" i="25"/>
  <c r="AG7" i="17"/>
  <c r="AH7" i="17" s="1"/>
  <c r="AJ7" i="17" s="1"/>
  <c r="AL7" i="17" s="1"/>
  <c r="AF5" i="25"/>
  <c r="AH17" i="1"/>
  <c r="AJ4" i="1"/>
  <c r="AD5" i="19"/>
  <c r="AE5" i="19" s="1"/>
  <c r="AG5" i="19" s="1"/>
  <c r="AH5" i="19" s="1"/>
  <c r="AJ5" i="19" s="1"/>
  <c r="AL5" i="19" s="1"/>
  <c r="S5" i="20"/>
  <c r="AF9" i="17"/>
  <c r="AF4" i="18"/>
  <c r="AC4" i="25"/>
  <c r="AC11" i="24"/>
  <c r="S6" i="25"/>
  <c r="AD6" i="25" s="1"/>
  <c r="AE6" i="25" s="1"/>
  <c r="AD6" i="24"/>
  <c r="AE6" i="24" s="1"/>
  <c r="AG6" i="24" s="1"/>
  <c r="AH6" i="24" s="1"/>
  <c r="AJ6" i="24" s="1"/>
  <c r="AL6" i="24" s="1"/>
  <c r="AG4" i="15"/>
  <c r="AF7" i="25"/>
  <c r="AF7" i="18"/>
  <c r="AD9" i="19"/>
  <c r="AE9" i="19" s="1"/>
  <c r="S8" i="20"/>
  <c r="AG9" i="18"/>
  <c r="AH9" i="18" s="1"/>
  <c r="AJ9" i="18" s="1"/>
  <c r="AL9" i="18" s="1"/>
  <c r="S8" i="25"/>
  <c r="AD8" i="25" s="1"/>
  <c r="AE8" i="25" s="1"/>
  <c r="AD8" i="24"/>
  <c r="AE8" i="24" s="1"/>
  <c r="AG8" i="24" s="1"/>
  <c r="AH8" i="24" s="1"/>
  <c r="AJ8" i="24" s="1"/>
  <c r="AL8" i="24" s="1"/>
  <c r="S14" i="25"/>
  <c r="AD14" i="25" s="1"/>
  <c r="AE14" i="25" s="1"/>
  <c r="AD10" i="24"/>
  <c r="AE10" i="24" s="1"/>
  <c r="AG10" i="24" s="1"/>
  <c r="AH10" i="24" s="1"/>
  <c r="AJ10" i="24" s="1"/>
  <c r="AL10" i="24" s="1"/>
  <c r="T4" i="25"/>
  <c r="T11" i="24"/>
  <c r="AG8" i="18"/>
  <c r="AH8" i="18" s="1"/>
  <c r="AJ8" i="18" s="1"/>
  <c r="AL8" i="18" s="1"/>
  <c r="AF9" i="19"/>
  <c r="AF9" i="25"/>
  <c r="AF11" i="24"/>
  <c r="S5" i="25"/>
  <c r="AD5" i="25" s="1"/>
  <c r="AE5" i="25" s="1"/>
  <c r="AD5" i="24"/>
  <c r="AE5" i="24" s="1"/>
  <c r="AG5" i="24" s="1"/>
  <c r="AH5" i="24" s="1"/>
  <c r="AJ5" i="24" s="1"/>
  <c r="AL5" i="24" s="1"/>
  <c r="AF5" i="17"/>
  <c r="AG5" i="17" s="1"/>
  <c r="AH5" i="17" s="1"/>
  <c r="AJ5" i="17" s="1"/>
  <c r="AL5" i="17" s="1"/>
  <c r="AD8" i="19"/>
  <c r="AE8" i="19" s="1"/>
  <c r="S7" i="20"/>
  <c r="AJ17" i="1" l="1"/>
  <c r="B22" i="1" s="1"/>
  <c r="E22" i="1" s="1"/>
  <c r="AL4" i="1"/>
  <c r="AL17" i="1" s="1"/>
  <c r="AG7" i="25"/>
  <c r="AH7" i="25" s="1"/>
  <c r="AJ7" i="25" s="1"/>
  <c r="AL7" i="25" s="1"/>
  <c r="AG6" i="18"/>
  <c r="AH6" i="18" s="1"/>
  <c r="AJ6" i="18" s="1"/>
  <c r="AL6" i="18" s="1"/>
  <c r="AF14" i="25"/>
  <c r="AE4" i="24"/>
  <c r="AD11" i="24"/>
  <c r="AF8" i="19"/>
  <c r="AD7" i="20"/>
  <c r="AE7" i="20" s="1"/>
  <c r="S7" i="21"/>
  <c r="AD7" i="21" s="1"/>
  <c r="AE7" i="21" s="1"/>
  <c r="S6" i="20"/>
  <c r="AD6" i="19"/>
  <c r="AE6" i="19" s="1"/>
  <c r="AF6" i="25"/>
  <c r="AF8" i="25"/>
  <c r="AG8" i="25" s="1"/>
  <c r="AH8" i="25" s="1"/>
  <c r="AJ8" i="25" s="1"/>
  <c r="AL8" i="25" s="1"/>
  <c r="AD4" i="25"/>
  <c r="AE4" i="18"/>
  <c r="AF8" i="20"/>
  <c r="AF8" i="21" s="1"/>
  <c r="AH4" i="15"/>
  <c r="AF6" i="18"/>
  <c r="AG9" i="17"/>
  <c r="AH9" i="17" s="1"/>
  <c r="AJ9" i="17" s="1"/>
  <c r="AL9" i="17" s="1"/>
  <c r="AD4" i="19"/>
  <c r="S4" i="20"/>
  <c r="AG6" i="25"/>
  <c r="AH6" i="25" s="1"/>
  <c r="AJ6" i="25" s="1"/>
  <c r="AL6" i="25" s="1"/>
  <c r="AG5" i="25"/>
  <c r="AH5" i="25" s="1"/>
  <c r="AJ5" i="25" s="1"/>
  <c r="AL5" i="25" s="1"/>
  <c r="S8" i="21"/>
  <c r="AD8" i="21" s="1"/>
  <c r="AE8" i="21" s="1"/>
  <c r="AD8" i="20"/>
  <c r="AE8" i="20" s="1"/>
  <c r="AG8" i="20" s="1"/>
  <c r="AH8" i="20" s="1"/>
  <c r="AJ8" i="20" s="1"/>
  <c r="AL8" i="20" s="1"/>
  <c r="S5" i="21"/>
  <c r="AD5" i="21" s="1"/>
  <c r="AE5" i="21" s="1"/>
  <c r="AD5" i="20"/>
  <c r="AE5" i="20" s="1"/>
  <c r="AG5" i="20" s="1"/>
  <c r="AH5" i="20" s="1"/>
  <c r="AJ5" i="20" s="1"/>
  <c r="AL5" i="20" s="1"/>
  <c r="AG7" i="18"/>
  <c r="AH7" i="18" s="1"/>
  <c r="AJ7" i="18" s="1"/>
  <c r="AL7" i="18" s="1"/>
  <c r="AG9" i="25"/>
  <c r="AH9" i="25" s="1"/>
  <c r="AJ9" i="25" s="1"/>
  <c r="AL9" i="25" s="1"/>
  <c r="AG14" i="25"/>
  <c r="AH14" i="25" s="1"/>
  <c r="AJ14" i="25" s="1"/>
  <c r="AL14" i="25" s="1"/>
  <c r="AG9" i="19"/>
  <c r="AH9" i="19" s="1"/>
  <c r="AJ9" i="19" s="1"/>
  <c r="AL9" i="19" s="1"/>
  <c r="AF4" i="16"/>
  <c r="AF5" i="20"/>
  <c r="AE4" i="25" l="1"/>
  <c r="S4" i="21"/>
  <c r="AD4" i="20"/>
  <c r="S6" i="21"/>
  <c r="AD6" i="21" s="1"/>
  <c r="AE6" i="21" s="1"/>
  <c r="AD6" i="20"/>
  <c r="AE6" i="20" s="1"/>
  <c r="AF6" i="19"/>
  <c r="AG6" i="19" s="1"/>
  <c r="AH6" i="19" s="1"/>
  <c r="AJ6" i="19" s="1"/>
  <c r="AL6" i="19" s="1"/>
  <c r="AE4" i="19"/>
  <c r="AG8" i="21"/>
  <c r="AH8" i="21" s="1"/>
  <c r="AJ8" i="21" s="1"/>
  <c r="AL8" i="21" s="1"/>
  <c r="AF7" i="20"/>
  <c r="AG4" i="16"/>
  <c r="AJ4" i="15"/>
  <c r="AG8" i="19"/>
  <c r="AH8" i="19" s="1"/>
  <c r="AJ8" i="19" s="1"/>
  <c r="AL8" i="19" s="1"/>
  <c r="U16" i="15"/>
  <c r="U16" i="16" s="1"/>
  <c r="U15" i="17" s="1"/>
  <c r="U11" i="18" s="1"/>
  <c r="U11" i="19" s="1"/>
  <c r="U10" i="20" s="1"/>
  <c r="U10" i="21" s="1"/>
  <c r="AC14" i="15"/>
  <c r="T16" i="15"/>
  <c r="T16" i="16" s="1"/>
  <c r="T15" i="17" s="1"/>
  <c r="T11" i="18" s="1"/>
  <c r="T11" i="19" s="1"/>
  <c r="T10" i="20" s="1"/>
  <c r="T10" i="21" s="1"/>
  <c r="U15" i="15"/>
  <c r="U15" i="16" s="1"/>
  <c r="U14" i="17" s="1"/>
  <c r="U10" i="18" s="1"/>
  <c r="S16" i="15"/>
  <c r="T15" i="15"/>
  <c r="T15" i="16" s="1"/>
  <c r="T14" i="17" s="1"/>
  <c r="T10" i="18" s="1"/>
  <c r="U14" i="15"/>
  <c r="AF16" i="15"/>
  <c r="S15" i="15"/>
  <c r="T14" i="15"/>
  <c r="AF15" i="15"/>
  <c r="S14" i="15"/>
  <c r="AF14" i="15"/>
  <c r="AC16" i="15"/>
  <c r="AC16" i="16" s="1"/>
  <c r="AC15" i="17" s="1"/>
  <c r="AC15" i="15"/>
  <c r="AC15" i="16" s="1"/>
  <c r="AC14" i="17" s="1"/>
  <c r="F22" i="1"/>
  <c r="AF5" i="21"/>
  <c r="AG5" i="21" s="1"/>
  <c r="AH5" i="21" s="1"/>
  <c r="AJ5" i="21" s="1"/>
  <c r="AL5" i="21" s="1"/>
  <c r="AG4" i="24"/>
  <c r="AE11" i="24"/>
  <c r="AF7" i="19"/>
  <c r="AG7" i="19" s="1"/>
  <c r="AH7" i="19" s="1"/>
  <c r="AJ7" i="19" s="1"/>
  <c r="AL7" i="19" s="1"/>
  <c r="AG4" i="18"/>
  <c r="AH4" i="18" l="1"/>
  <c r="AF4" i="19"/>
  <c r="AG11" i="24"/>
  <c r="C16" i="24" s="1"/>
  <c r="AH4" i="24"/>
  <c r="AF4" i="25"/>
  <c r="AD15" i="15"/>
  <c r="AE15" i="15" s="1"/>
  <c r="AG15" i="15" s="1"/>
  <c r="AH15" i="15" s="1"/>
  <c r="AJ15" i="15" s="1"/>
  <c r="AL15" i="15" s="1"/>
  <c r="S15" i="16"/>
  <c r="AF16" i="16"/>
  <c r="U14" i="16"/>
  <c r="U17" i="15"/>
  <c r="AG4" i="19"/>
  <c r="T10" i="19"/>
  <c r="AE4" i="20"/>
  <c r="AD16" i="15"/>
  <c r="AE16" i="15" s="1"/>
  <c r="AG16" i="15" s="1"/>
  <c r="AH16" i="15" s="1"/>
  <c r="AJ16" i="15" s="1"/>
  <c r="AL16" i="15" s="1"/>
  <c r="S16" i="16"/>
  <c r="AL4" i="15"/>
  <c r="AG7" i="20"/>
  <c r="AH7" i="20" s="1"/>
  <c r="AJ7" i="20" s="1"/>
  <c r="AL7" i="20" s="1"/>
  <c r="AD4" i="21"/>
  <c r="AF17" i="15"/>
  <c r="S14" i="16"/>
  <c r="AD14" i="15"/>
  <c r="S17" i="15"/>
  <c r="U10" i="19"/>
  <c r="AH4" i="16"/>
  <c r="AF6" i="20"/>
  <c r="AF4" i="17"/>
  <c r="T14" i="16"/>
  <c r="T17" i="15"/>
  <c r="AC14" i="16"/>
  <c r="AC17" i="15"/>
  <c r="AG4" i="25"/>
  <c r="AG4" i="17" l="1"/>
  <c r="S13" i="17"/>
  <c r="AD14" i="16"/>
  <c r="S15" i="17"/>
  <c r="AD16" i="16"/>
  <c r="AE16" i="16" s="1"/>
  <c r="AG16" i="16" s="1"/>
  <c r="AH16" i="16" s="1"/>
  <c r="AJ16" i="16" s="1"/>
  <c r="AL16" i="16" s="1"/>
  <c r="T13" i="17"/>
  <c r="AF6" i="21"/>
  <c r="AG6" i="21" s="1"/>
  <c r="AH6" i="21" s="1"/>
  <c r="AJ6" i="21" s="1"/>
  <c r="AL6" i="21" s="1"/>
  <c r="U13" i="17"/>
  <c r="AJ4" i="24"/>
  <c r="AH11" i="24"/>
  <c r="AF15" i="17"/>
  <c r="AF15" i="16"/>
  <c r="AE4" i="21"/>
  <c r="AG6" i="20"/>
  <c r="AH6" i="20" s="1"/>
  <c r="AJ6" i="20" s="1"/>
  <c r="AL6" i="20" s="1"/>
  <c r="AF4" i="20"/>
  <c r="AE14" i="15"/>
  <c r="AD17" i="15"/>
  <c r="AJ4" i="16"/>
  <c r="U9" i="20"/>
  <c r="T9" i="20"/>
  <c r="AF7" i="21"/>
  <c r="AG7" i="21" s="1"/>
  <c r="AH7" i="21" s="1"/>
  <c r="AJ7" i="21" s="1"/>
  <c r="AL7" i="21" s="1"/>
  <c r="AJ4" i="18"/>
  <c r="AH4" i="25"/>
  <c r="AC13" i="17"/>
  <c r="AH4" i="19"/>
  <c r="S14" i="17"/>
  <c r="AD15" i="16"/>
  <c r="AE15" i="16" s="1"/>
  <c r="AJ11" i="24" l="1"/>
  <c r="B16" i="24" s="1"/>
  <c r="E16" i="24" s="1"/>
  <c r="AL4" i="24"/>
  <c r="AL11" i="24" s="1"/>
  <c r="S11" i="18"/>
  <c r="AD15" i="17"/>
  <c r="AE15" i="17" s="1"/>
  <c r="AG15" i="17" s="1"/>
  <c r="AH15" i="17" s="1"/>
  <c r="AJ15" i="17" s="1"/>
  <c r="AL15" i="17" s="1"/>
  <c r="AG14" i="15"/>
  <c r="AE17" i="15"/>
  <c r="U9" i="21"/>
  <c r="AG15" i="16"/>
  <c r="AH15" i="16" s="1"/>
  <c r="AJ15" i="16" s="1"/>
  <c r="AL15" i="16" s="1"/>
  <c r="AE14" i="16"/>
  <c r="AJ4" i="19"/>
  <c r="T9" i="21"/>
  <c r="AJ4" i="25"/>
  <c r="AD13" i="17"/>
  <c r="AD14" i="17"/>
  <c r="AE14" i="17" s="1"/>
  <c r="S10" i="18"/>
  <c r="AL4" i="18"/>
  <c r="AL4" i="16"/>
  <c r="AG4" i="20"/>
  <c r="AF4" i="21" s="1"/>
  <c r="AH4" i="17"/>
  <c r="AF14" i="17"/>
  <c r="AG4" i="21" l="1"/>
  <c r="S11" i="19"/>
  <c r="AD11" i="18"/>
  <c r="AE11" i="18" s="1"/>
  <c r="AL4" i="25"/>
  <c r="S10" i="25"/>
  <c r="U11" i="25"/>
  <c r="E17" i="24"/>
  <c r="AF13" i="25" s="1"/>
  <c r="U13" i="25"/>
  <c r="S10" i="19"/>
  <c r="AD10" i="18"/>
  <c r="AJ4" i="17"/>
  <c r="AG14" i="17"/>
  <c r="AH14" i="17" s="1"/>
  <c r="AJ14" i="17" s="1"/>
  <c r="AL14" i="17" s="1"/>
  <c r="AL4" i="19"/>
  <c r="AH4" i="20"/>
  <c r="AE13" i="17"/>
  <c r="AH14" i="15"/>
  <c r="AG17" i="15"/>
  <c r="C22" i="15" s="1"/>
  <c r="AF14" i="16"/>
  <c r="AG14" i="16" s="1"/>
  <c r="AF11" i="18"/>
  <c r="AH14" i="16" l="1"/>
  <c r="AJ14" i="15"/>
  <c r="AH17" i="15"/>
  <c r="S9" i="20"/>
  <c r="AD10" i="19"/>
  <c r="AC10" i="25"/>
  <c r="AF11" i="25"/>
  <c r="AE10" i="18"/>
  <c r="AF10" i="18"/>
  <c r="T12" i="25"/>
  <c r="T10" i="25"/>
  <c r="AD10" i="25" s="1"/>
  <c r="S15" i="25"/>
  <c r="U10" i="25"/>
  <c r="U12" i="25"/>
  <c r="S11" i="25"/>
  <c r="AD11" i="25" s="1"/>
  <c r="AE11" i="25" s="1"/>
  <c r="AG11" i="25" s="1"/>
  <c r="AH11" i="25" s="1"/>
  <c r="AJ11" i="25" s="1"/>
  <c r="AL11" i="25" s="1"/>
  <c r="AC11" i="25"/>
  <c r="AF12" i="25"/>
  <c r="AG11" i="18"/>
  <c r="AH11" i="18" s="1"/>
  <c r="AJ11" i="18" s="1"/>
  <c r="AL11" i="18" s="1"/>
  <c r="AC12" i="25"/>
  <c r="T11" i="25"/>
  <c r="S10" i="20"/>
  <c r="AD11" i="19"/>
  <c r="AE11" i="19" s="1"/>
  <c r="AF11" i="19"/>
  <c r="AJ4" i="20"/>
  <c r="AL4" i="17"/>
  <c r="T13" i="25"/>
  <c r="AF10" i="25"/>
  <c r="AF15" i="25" s="1"/>
  <c r="S12" i="25"/>
  <c r="AH4" i="21"/>
  <c r="AF13" i="17"/>
  <c r="S13" i="25"/>
  <c r="AD13" i="25" s="1"/>
  <c r="AE13" i="25" s="1"/>
  <c r="AG13" i="25" s="1"/>
  <c r="AH13" i="25" s="1"/>
  <c r="AJ13" i="25" s="1"/>
  <c r="AL13" i="25" s="1"/>
  <c r="AC13" i="25"/>
  <c r="AE10" i="25" l="1"/>
  <c r="AG13" i="17"/>
  <c r="AJ14" i="16"/>
  <c r="AJ4" i="21"/>
  <c r="AL4" i="20"/>
  <c r="AC15" i="25"/>
  <c r="AF10" i="20"/>
  <c r="AF10" i="21" s="1"/>
  <c r="AD12" i="25"/>
  <c r="AE12" i="25" s="1"/>
  <c r="AG12" i="25" s="1"/>
  <c r="AH12" i="25" s="1"/>
  <c r="AJ12" i="25" s="1"/>
  <c r="AL12" i="25" s="1"/>
  <c r="AG11" i="19"/>
  <c r="AH11" i="19" s="1"/>
  <c r="AJ11" i="19" s="1"/>
  <c r="AL11" i="19" s="1"/>
  <c r="T15" i="25"/>
  <c r="AE10" i="19"/>
  <c r="S9" i="21"/>
  <c r="AD9" i="20"/>
  <c r="AF10" i="19"/>
  <c r="U15" i="25"/>
  <c r="AL14" i="15"/>
  <c r="AL17" i="15" s="1"/>
  <c r="AJ17" i="15"/>
  <c r="B22" i="15" s="1"/>
  <c r="E22" i="15" s="1"/>
  <c r="S10" i="21"/>
  <c r="AD10" i="21" s="1"/>
  <c r="AE10" i="21" s="1"/>
  <c r="AG10" i="21" s="1"/>
  <c r="AH10" i="21" s="1"/>
  <c r="AJ10" i="21" s="1"/>
  <c r="AL10" i="21" s="1"/>
  <c r="AD10" i="20"/>
  <c r="AE10" i="20" s="1"/>
  <c r="AG10" i="20" s="1"/>
  <c r="AH10" i="20" s="1"/>
  <c r="AJ10" i="20" s="1"/>
  <c r="AL10" i="20" s="1"/>
  <c r="AG10" i="18"/>
  <c r="AH10" i="18" l="1"/>
  <c r="AC18" i="16"/>
  <c r="AC17" i="17" s="1"/>
  <c r="U19" i="16"/>
  <c r="U18" i="17" s="1"/>
  <c r="AC17" i="16"/>
  <c r="T19" i="16"/>
  <c r="T18" i="17" s="1"/>
  <c r="U18" i="16"/>
  <c r="U17" i="17" s="1"/>
  <c r="S19" i="16"/>
  <c r="T18" i="16"/>
  <c r="T17" i="17" s="1"/>
  <c r="AF19" i="16"/>
  <c r="S18" i="16"/>
  <c r="T17" i="16"/>
  <c r="AF18" i="16"/>
  <c r="S17" i="16"/>
  <c r="AF17" i="16"/>
  <c r="AC19" i="16"/>
  <c r="AC18" i="17" s="1"/>
  <c r="U17" i="16"/>
  <c r="AG10" i="19"/>
  <c r="AE9" i="20"/>
  <c r="AG10" i="25"/>
  <c r="AE15" i="25"/>
  <c r="AL4" i="21"/>
  <c r="AF9" i="20"/>
  <c r="AL14" i="16"/>
  <c r="AH13" i="17"/>
  <c r="AD9" i="21"/>
  <c r="AD15" i="25"/>
  <c r="AF20" i="16" l="1"/>
  <c r="AJ13" i="17"/>
  <c r="AH10" i="25"/>
  <c r="AG15" i="25"/>
  <c r="C20" i="25" s="1"/>
  <c r="S16" i="17"/>
  <c r="AD17" i="16"/>
  <c r="S20" i="16"/>
  <c r="AG9" i="20"/>
  <c r="T16" i="17"/>
  <c r="T20" i="16"/>
  <c r="S17" i="17"/>
  <c r="AD17" i="17" s="1"/>
  <c r="AE17" i="17" s="1"/>
  <c r="AD18" i="16"/>
  <c r="AE18" i="16" s="1"/>
  <c r="AG18" i="16" s="1"/>
  <c r="AH18" i="16" s="1"/>
  <c r="AJ18" i="16" s="1"/>
  <c r="AL18" i="16" s="1"/>
  <c r="AF9" i="21"/>
  <c r="AH10" i="19"/>
  <c r="AJ10" i="18"/>
  <c r="AE9" i="21"/>
  <c r="S18" i="17"/>
  <c r="AD18" i="17" s="1"/>
  <c r="AE18" i="17" s="1"/>
  <c r="AD19" i="16"/>
  <c r="AE19" i="16" s="1"/>
  <c r="AG19" i="16" s="1"/>
  <c r="AH19" i="16" s="1"/>
  <c r="AJ19" i="16" s="1"/>
  <c r="AL19" i="16" s="1"/>
  <c r="AC16" i="17"/>
  <c r="AC20" i="16"/>
  <c r="AF18" i="17"/>
  <c r="U16" i="17"/>
  <c r="U20" i="16"/>
  <c r="AL10" i="18" l="1"/>
  <c r="T12" i="18"/>
  <c r="U12" i="18"/>
  <c r="S12" i="18"/>
  <c r="AD16" i="17"/>
  <c r="AJ10" i="25"/>
  <c r="AH15" i="25"/>
  <c r="AG9" i="21"/>
  <c r="AE17" i="16"/>
  <c r="AD20" i="16"/>
  <c r="AJ10" i="19"/>
  <c r="AH9" i="20"/>
  <c r="AG18" i="17"/>
  <c r="AH18" i="17" s="1"/>
  <c r="AJ18" i="17" s="1"/>
  <c r="AL18" i="17" s="1"/>
  <c r="AL13" i="17"/>
  <c r="AF17" i="17"/>
  <c r="AG17" i="17" s="1"/>
  <c r="AH17" i="17" s="1"/>
  <c r="AJ17" i="17" s="1"/>
  <c r="AL17" i="17" s="1"/>
  <c r="U12" i="19" l="1"/>
  <c r="AJ9" i="20"/>
  <c r="AL10" i="25"/>
  <c r="AL15" i="25" s="1"/>
  <c r="AJ15" i="25"/>
  <c r="B20" i="25" s="1"/>
  <c r="E20" i="25" s="1"/>
  <c r="E21" i="25" s="1"/>
  <c r="T12" i="19"/>
  <c r="AD12" i="18"/>
  <c r="S12" i="19"/>
  <c r="AL10" i="19"/>
  <c r="AG17" i="16"/>
  <c r="AE20" i="16"/>
  <c r="AH9" i="21"/>
  <c r="AE16" i="17"/>
  <c r="T11" i="20" l="1"/>
  <c r="AG16" i="17"/>
  <c r="AL9" i="20"/>
  <c r="AH17" i="16"/>
  <c r="AG20" i="16"/>
  <c r="C25" i="16" s="1"/>
  <c r="AF16" i="17"/>
  <c r="AD12" i="19"/>
  <c r="S11" i="20"/>
  <c r="AJ9" i="21"/>
  <c r="AE12" i="18"/>
  <c r="U11" i="20"/>
  <c r="AE12" i="19" l="1"/>
  <c r="AJ17" i="16"/>
  <c r="AH20" i="16"/>
  <c r="AH16" i="17"/>
  <c r="U11" i="21"/>
  <c r="U12" i="20"/>
  <c r="AF12" i="18"/>
  <c r="AG12" i="18"/>
  <c r="AL9" i="21"/>
  <c r="AD11" i="20"/>
  <c r="S11" i="21"/>
  <c r="S12" i="20"/>
  <c r="T11" i="21"/>
  <c r="T12" i="20"/>
  <c r="AJ16" i="17" l="1"/>
  <c r="AD11" i="21"/>
  <c r="AE11" i="20"/>
  <c r="AD12" i="20"/>
  <c r="AL17" i="16"/>
  <c r="AL20" i="16" s="1"/>
  <c r="AJ20" i="16"/>
  <c r="B25" i="16" s="1"/>
  <c r="E25" i="16" s="1"/>
  <c r="AH12" i="18"/>
  <c r="AF12" i="19"/>
  <c r="AG12" i="19" s="1"/>
  <c r="AH12" i="19" l="1"/>
  <c r="AJ12" i="18"/>
  <c r="T20" i="17"/>
  <c r="AF20" i="17"/>
  <c r="AC19" i="17"/>
  <c r="AC20" i="17"/>
  <c r="AC22" i="17" s="1"/>
  <c r="U20" i="17"/>
  <c r="S19" i="17"/>
  <c r="E26" i="16"/>
  <c r="T19" i="17" s="1"/>
  <c r="T13" i="18" s="1"/>
  <c r="U19" i="17"/>
  <c r="U13" i="18" s="1"/>
  <c r="AL16" i="17"/>
  <c r="AE12" i="20"/>
  <c r="AF11" i="20"/>
  <c r="AE11" i="21"/>
  <c r="AF19" i="17" l="1"/>
  <c r="U14" i="18"/>
  <c r="U22" i="17"/>
  <c r="AD19" i="17"/>
  <c r="S13" i="18"/>
  <c r="AF11" i="21"/>
  <c r="AF12" i="20"/>
  <c r="S20" i="17"/>
  <c r="AL12" i="18"/>
  <c r="T14" i="18"/>
  <c r="T22" i="17"/>
  <c r="AG11" i="20"/>
  <c r="AJ12" i="19"/>
  <c r="AF22" i="17" l="1"/>
  <c r="AL12" i="19"/>
  <c r="AD20" i="17"/>
  <c r="AE20" i="17" s="1"/>
  <c r="AG20" i="17" s="1"/>
  <c r="S14" i="18"/>
  <c r="AD14" i="18" s="1"/>
  <c r="AE14" i="18" s="1"/>
  <c r="AH11" i="20"/>
  <c r="AG12" i="20"/>
  <c r="C17" i="20" s="1"/>
  <c r="S22" i="17"/>
  <c r="AG11" i="21"/>
  <c r="AD13" i="18"/>
  <c r="AE19" i="17"/>
  <c r="AD22" i="17"/>
  <c r="AJ11" i="20" l="1"/>
  <c r="AH12" i="20"/>
  <c r="AH20" i="17"/>
  <c r="AJ20" i="17" s="1"/>
  <c r="AL20" i="17" s="1"/>
  <c r="AF14" i="18"/>
  <c r="AG14" i="18" s="1"/>
  <c r="AH14" i="18" s="1"/>
  <c r="AJ14" i="18" s="1"/>
  <c r="AL14" i="18" s="1"/>
  <c r="AH11" i="21"/>
  <c r="AG19" i="17"/>
  <c r="AE22" i="17"/>
  <c r="AE13" i="18"/>
  <c r="AL11" i="20" l="1"/>
  <c r="AL12" i="20" s="1"/>
  <c r="AJ12" i="20"/>
  <c r="B17" i="20" s="1"/>
  <c r="E17" i="20" s="1"/>
  <c r="AH19" i="17"/>
  <c r="AG22" i="17"/>
  <c r="C27" i="17" s="1"/>
  <c r="AF13" i="18"/>
  <c r="AG13" i="18" s="1"/>
  <c r="AJ11" i="21"/>
  <c r="AH13" i="18" l="1"/>
  <c r="E18" i="20"/>
  <c r="S12" i="21" s="1"/>
  <c r="T12" i="21"/>
  <c r="T13" i="21" s="1"/>
  <c r="AC12" i="21"/>
  <c r="AC13" i="21" s="1"/>
  <c r="AL11" i="21"/>
  <c r="AJ19" i="17"/>
  <c r="AH22" i="17"/>
  <c r="S13" i="21" l="1"/>
  <c r="AL19" i="17"/>
  <c r="AL22" i="17" s="1"/>
  <c r="AJ22" i="17"/>
  <c r="B27" i="17" s="1"/>
  <c r="E27" i="17" s="1"/>
  <c r="AJ13" i="18"/>
  <c r="U12" i="21"/>
  <c r="U13" i="21" s="1"/>
  <c r="AF12" i="21"/>
  <c r="AF13" i="21" s="1"/>
  <c r="T16" i="18" l="1"/>
  <c r="T15" i="18"/>
  <c r="S15" i="18"/>
  <c r="AD15" i="18" s="1"/>
  <c r="AF16" i="18"/>
  <c r="AF15" i="18"/>
  <c r="S16" i="18"/>
  <c r="U15" i="18"/>
  <c r="U16" i="18"/>
  <c r="AL13" i="18"/>
  <c r="AD12" i="21"/>
  <c r="AE15" i="18" l="1"/>
  <c r="T13" i="19"/>
  <c r="T16" i="19" s="1"/>
  <c r="T18" i="18"/>
  <c r="U13" i="19"/>
  <c r="U16" i="19" s="1"/>
  <c r="U18" i="18"/>
  <c r="AE12" i="21"/>
  <c r="AD13" i="21"/>
  <c r="AD16" i="18"/>
  <c r="AE16" i="18" s="1"/>
  <c r="AG16" i="18" s="1"/>
  <c r="AH16" i="18" s="1"/>
  <c r="AJ16" i="18" s="1"/>
  <c r="AL16" i="18" s="1"/>
  <c r="S13" i="19"/>
  <c r="S18" i="18"/>
  <c r="AF13" i="19"/>
  <c r="AF16" i="19" s="1"/>
  <c r="AF18" i="18"/>
  <c r="AG15" i="18" l="1"/>
  <c r="AE18" i="18"/>
  <c r="AG12" i="21"/>
  <c r="AE13" i="21"/>
  <c r="AD13" i="19"/>
  <c r="S16" i="19"/>
  <c r="AD18" i="18"/>
  <c r="AE13" i="19" l="1"/>
  <c r="AD16" i="19"/>
  <c r="AH12" i="21"/>
  <c r="AG13" i="21"/>
  <c r="C18" i="21" s="1"/>
  <c r="AH15" i="18"/>
  <c r="AG18" i="18"/>
  <c r="C23" i="18" s="1"/>
  <c r="AJ15" i="18" l="1"/>
  <c r="AH18" i="18"/>
  <c r="AJ12" i="21"/>
  <c r="AH13" i="21"/>
  <c r="AG13" i="19"/>
  <c r="AE16" i="19"/>
  <c r="AL12" i="21" l="1"/>
  <c r="AL13" i="21" s="1"/>
  <c r="AJ13" i="21"/>
  <c r="B18" i="21" s="1"/>
  <c r="E18" i="21" s="1"/>
  <c r="AH13" i="19"/>
  <c r="AG16" i="19"/>
  <c r="C21" i="19" s="1"/>
  <c r="AL15" i="18"/>
  <c r="AL18" i="18" s="1"/>
  <c r="AJ18" i="18"/>
  <c r="B23" i="18" s="1"/>
  <c r="E23" i="18" s="1"/>
  <c r="E24" i="18" s="1"/>
  <c r="AJ13" i="19" l="1"/>
  <c r="AH16" i="19"/>
  <c r="T4" i="22"/>
  <c r="T5" i="22" s="1"/>
  <c r="S4" i="22"/>
  <c r="AF4" i="22"/>
  <c r="AF5" i="22" s="1"/>
  <c r="F18" i="21"/>
  <c r="AC4" i="22"/>
  <c r="AC5" i="22" s="1"/>
  <c r="U4" i="22"/>
  <c r="U5" i="22" s="1"/>
  <c r="S5" i="22" l="1"/>
  <c r="AD4" i="22"/>
  <c r="AL13" i="19"/>
  <c r="AL16" i="19" s="1"/>
  <c r="AJ16" i="19"/>
  <c r="B21" i="19" s="1"/>
  <c r="E21" i="19" s="1"/>
  <c r="F21" i="19" s="1"/>
  <c r="AD5" i="22" l="1"/>
  <c r="AE4" i="22"/>
  <c r="AE5" i="22" l="1"/>
  <c r="AG4" i="22"/>
  <c r="AG5" i="22" l="1"/>
  <c r="C10" i="22" s="1"/>
  <c r="AH4" i="22"/>
  <c r="AJ4" i="22" l="1"/>
  <c r="AH5" i="22"/>
  <c r="AJ5" i="22" l="1"/>
  <c r="B10" i="22" s="1"/>
  <c r="E10" i="22" s="1"/>
  <c r="AL4" i="22"/>
  <c r="AL5" i="22" s="1"/>
  <c r="AC4" i="23" l="1"/>
  <c r="AC5" i="23" s="1"/>
  <c r="F10" i="22"/>
  <c r="T4" i="23"/>
  <c r="T5" i="23" s="1"/>
  <c r="S4" i="23"/>
  <c r="G18" i="27"/>
  <c r="G21" i="27" s="1"/>
  <c r="G23" i="27" s="1"/>
  <c r="G24" i="27" s="1"/>
  <c r="D10" i="27" s="1"/>
  <c r="E8" i="27" s="1"/>
  <c r="E9" i="27" s="1"/>
  <c r="U4" i="23"/>
  <c r="U5" i="23" s="1"/>
  <c r="AD4" i="23" l="1"/>
  <c r="S5" i="23"/>
  <c r="AE4" i="23" l="1"/>
  <c r="AE5" i="23" s="1"/>
  <c r="AD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F17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9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9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9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9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9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9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9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9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9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9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9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9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9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9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9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9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9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9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A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A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A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A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A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A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A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A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A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A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A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A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A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A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A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A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A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A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B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B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B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B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B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B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B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B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B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B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B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B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B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B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B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B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B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B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</author>
    <author>Administrator</author>
  </authors>
  <commentList>
    <comment ref="E1" authorId="0" shapeId="0" xr:uid="{00000000-0006-0000-0C00-000001000000}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 shapeId="0" xr:uid="{00000000-0006-0000-0C00-000002000000}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 shapeId="0" xr:uid="{00000000-0006-0000-0C00-000003000000}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 shapeId="0" xr:uid="{00000000-0006-0000-0C00-000004000000}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 shapeId="0" xr:uid="{00000000-0006-0000-0C00-000005000000}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 shapeId="0" xr:uid="{00000000-0006-0000-0C00-000006000000}">
      <text>
        <r>
          <rPr>
            <sz val="9"/>
            <rFont val="Tahoma"/>
            <family val="2"/>
          </rPr>
          <t>“</t>
        </r>
        <r>
          <rPr>
            <sz val="9"/>
            <rFont val="宋体"/>
            <family val="3"/>
            <charset val="134"/>
          </rPr>
          <t>本地</t>
        </r>
        <r>
          <rPr>
            <sz val="9"/>
            <rFont val="Tahoma"/>
            <family val="2"/>
          </rPr>
          <t>”</t>
        </r>
        <r>
          <rPr>
            <sz val="9"/>
            <rFont val="宋体"/>
            <family val="3"/>
            <charset val="134"/>
          </rPr>
          <t>以社保缴纳地为准，本地城镇、本地农村、外地城镇、外地农村，请选择即可</t>
        </r>
      </text>
    </comment>
    <comment ref="Q1" authorId="0" shapeId="0" xr:uid="{00000000-0006-0000-0C00-000007000000}">
      <text>
        <r>
          <rPr>
            <sz val="9"/>
            <rFont val="宋体"/>
            <family val="3"/>
            <charset val="134"/>
          </rPr>
          <t>离职日期为员工实际离职日期，填写格式：</t>
        </r>
        <r>
          <rPr>
            <sz val="9"/>
            <rFont val="Tahoma"/>
            <family val="2"/>
          </rPr>
          <t>20140416</t>
        </r>
        <r>
          <rPr>
            <sz val="9"/>
            <rFont val="宋体"/>
            <family val="3"/>
            <charset val="134"/>
          </rPr>
          <t>【</t>
        </r>
        <r>
          <rPr>
            <sz val="9"/>
            <rFont val="Tahoma"/>
            <family val="2"/>
          </rPr>
          <t>YYYYMMDD</t>
        </r>
        <r>
          <rPr>
            <sz val="9"/>
            <rFont val="宋体"/>
            <family val="3"/>
            <charset val="134"/>
          </rPr>
          <t>】；</t>
        </r>
      </text>
    </comment>
    <comment ref="T1" authorId="0" shapeId="0" xr:uid="{00000000-0006-0000-0C00-000008000000}">
      <text>
        <r>
          <rPr>
            <sz val="9"/>
            <rFont val="宋体"/>
            <family val="3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 shapeId="0" xr:uid="{00000000-0006-0000-0C00-000009000000}">
      <text>
        <r>
          <rPr>
            <b/>
            <sz val="9"/>
            <rFont val="宋体"/>
            <family val="3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D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D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D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D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D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D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D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D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D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D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D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D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D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D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D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D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D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D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E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E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E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E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E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E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E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E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E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E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E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E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E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E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E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E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E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E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</author>
    <author>qiqi</author>
  </authors>
  <commentList>
    <comment ref="B1" authorId="0" shapeId="0" xr:uid="{00000000-0006-0000-0100-000001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请填写客户全称</t>
        </r>
      </text>
    </comment>
    <comment ref="D1" authorId="0" shapeId="0" xr:uid="{00000000-0006-0000-0100-000002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以身份证为准，不要空格</t>
        </r>
      </text>
    </comment>
    <comment ref="E1" authorId="0" shapeId="0" xr:uid="{00000000-0006-0000-0100-000003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18</t>
        </r>
        <r>
          <rPr>
            <sz val="9"/>
            <rFont val="宋体"/>
            <family val="3"/>
            <charset val="134"/>
          </rPr>
          <t>位身份证号码，不要空格</t>
        </r>
      </text>
    </comment>
    <comment ref="AP1" authorId="1" shapeId="0" xr:uid="{00000000-0006-0000-0100-000004000000}">
      <text>
        <r>
          <rPr>
            <sz val="9"/>
            <rFont val="宋体"/>
            <family val="3"/>
            <charset val="134"/>
          </rPr>
          <t>上海残障金=基数*0.016</t>
        </r>
      </text>
    </comment>
    <comment ref="AR2" authorId="0" shapeId="0" xr:uid="{00000000-0006-0000-0100-000005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 shapeId="0" xr:uid="{00000000-0006-0000-0100-000006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 xml:space="preserve">养老保险个人汇缴+医疗保险个人汇缴+失业保险个人汇缴+补充养老个人汇缴
</t>
        </r>
      </text>
    </comment>
    <comment ref="AV2" authorId="0" shapeId="0" xr:uid="{00000000-0006-0000-0100-000007000000}">
      <text>
        <r>
          <rPr>
            <b/>
            <sz val="9"/>
            <rFont val="Tahoma"/>
            <family val="2"/>
          </rPr>
          <t>kk: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2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2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2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2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2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2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2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2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2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2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2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2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2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2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2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2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2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2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3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3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3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3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3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3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3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3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3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3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3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3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3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3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3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3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3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3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4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4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4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4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4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4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4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4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4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4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4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4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4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4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4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4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4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4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5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5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5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5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5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5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5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5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5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5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5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5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5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5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5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5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5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5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6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6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6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6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6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6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6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6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6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6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6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6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6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6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6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6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6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6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7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7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7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7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7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7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7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7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7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7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7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7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7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7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7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7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7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7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xbany</author>
    <author>AutoBVT</author>
    <author>lenovo</author>
  </authors>
  <commentList>
    <comment ref="R2" authorId="0" shapeId="0" xr:uid="{00000000-0006-0000-0800-000001000000}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 shapeId="0" xr:uid="{00000000-0006-0000-0800-000002000000}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 shapeId="0" xr:uid="{00000000-0006-0000-0800-000003000000}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 shapeId="0" xr:uid="{00000000-0006-0000-0800-000004000000}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 shapeId="0" xr:uid="{00000000-0006-0000-0800-000005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 shapeId="0" xr:uid="{00000000-0006-0000-0800-000006000000}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 shapeId="0" xr:uid="{00000000-0006-0000-0800-000007000000}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 shapeId="0" xr:uid="{00000000-0006-0000-0800-000008000000}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 shapeId="0" xr:uid="{00000000-0006-0000-0800-000009000000}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 shapeId="0" xr:uid="{00000000-0006-0000-0800-00000A000000}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 shapeId="0" xr:uid="{00000000-0006-0000-0800-00000B000000}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 shapeId="0" xr:uid="{00000000-0006-0000-0800-00000C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 shapeId="0" xr:uid="{00000000-0006-0000-0800-00000D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 shapeId="0" xr:uid="{00000000-0006-0000-0800-00000E000000}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 shapeId="0" xr:uid="{00000000-0006-0000-0800-00000F000000}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 shapeId="0" xr:uid="{00000000-0006-0000-0800-000010000000}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 shapeId="0" xr:uid="{00000000-0006-0000-0800-000011000000}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 shapeId="0" xr:uid="{00000000-0006-0000-0800-000012000000}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<sst xmlns="http://schemas.openxmlformats.org/spreadsheetml/2006/main" count="1517" uniqueCount="275">
  <si>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</si>
  <si>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</si>
  <si>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</si>
  <si>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</si>
  <si>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</si>
  <si>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</si>
  <si>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</si>
  <si>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</si>
  <si>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</si>
  <si>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</si>
  <si>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</si>
  <si>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</si>
  <si>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</si>
  <si>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</si>
  <si>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</si>
  <si>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</si>
  <si>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</si>
  <si>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</si>
  <si>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</si>
  <si>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</si>
  <si>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</si>
  <si>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</si>
  <si>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</si>
  <si>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</si>
  <si>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</si>
  <si>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</si>
  <si>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</si>
  <si>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</si>
  <si>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</si>
  <si>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</si>
  <si>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</si>
  <si>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</si>
  <si>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</si>
  <si>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</si>
  <si>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</si>
  <si>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</si>
  <si>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</si>
  <si>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</si>
  <si>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</si>
  <si>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</si>
  <si>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</si>
  <si>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</si>
  <si>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</si>
  <si>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</si>
  <si>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</si>
  <si>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</si>
  <si>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</si>
  <si>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</si>
  <si>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</si>
  <si>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</si>
  <si>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</si>
  <si>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</si>
  <si>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</si>
  <si>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</si>
  <si>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</si>
  <si>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</si>
  <si>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</si>
  <si>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</si>
  <si>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</si>
  <si>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</si>
  <si>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</si>
  <si>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</si>
  <si>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</si>
  <si>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</si>
  <si>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</si>
  <si>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</si>
  <si>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</si>
  <si>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</si>
  <si>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</si>
  <si>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</si>
  <si>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</si>
  <si>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</si>
  <si>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</si>
  <si>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</si>
  <si>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</si>
  <si>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</si>
  <si>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</si>
  <si>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</si>
  <si>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</si>
  <si>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</si>
  <si>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</si>
  <si>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</si>
  <si>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</si>
  <si>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</si>
  <si>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</si>
  <si>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</si>
  <si>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</si>
  <si>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</si>
  <si>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</si>
  <si>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</si>
  <si>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</si>
  <si>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</si>
  <si>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</si>
  <si>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</si>
  <si>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</si>
  <si>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</si>
  <si>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</si>
  <si>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</si>
  <si>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</si>
  <si>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</si>
  <si>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</si>
  <si>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</si>
  <si>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</si>
  <si>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</si>
  <si>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</si>
  <si>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</si>
  <si>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</si>
  <si>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</si>
  <si>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</si>
  <si>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</si>
  <si>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</si>
  <si>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</si>
  <si>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</si>
  <si>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</si>
  <si>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</si>
  <si>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</si>
  <si>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</si>
  <si>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</si>
  <si>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</si>
  <si>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</si>
  <si>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</si>
  <si>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</si>
  <si>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</si>
  <si>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</si>
  <si>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</si>
  <si>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</si>
  <si>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</si>
  <si>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</si>
  <si>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</si>
  <si>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</si>
  <si>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</si>
  <si>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</si>
  <si>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</si>
  <si>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</si>
  <si>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</si>
  <si>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</si>
  <si>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</si>
  <si>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</si>
  <si>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</si>
  <si>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</si>
  <si>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</si>
  <si>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</si>
  <si>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</si>
  <si>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</si>
  <si>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</si>
  <si>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</si>
  <si>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</si>
  <si>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</si>
  <si>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</si>
  <si>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</si>
  <si>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</si>
  <si>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</si>
  <si>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</si>
  <si>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</si>
  <si>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</si>
  <si>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</si>
  <si>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</si>
  <si>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</si>
  <si>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</si>
  <si>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</si>
  <si>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</si>
  <si>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</si>
  <si>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</si>
  <si>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</si>
  <si>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</si>
  <si>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</si>
  <si>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</si>
  <si>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</si>
  <si>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</si>
  <si>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</si>
  <si>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</si>
  <si>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</si>
  <si>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</si>
  <si>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</si>
  <si>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</si>
  <si>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</si>
  <si>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</si>
  <si>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</si>
  <si>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</si>
  <si>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</si>
  <si>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</si>
  <si>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</si>
  <si>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</si>
  <si>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</si>
  <si>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</si>
  <si>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</si>
  <si>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</si>
  <si>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</si>
  <si>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</si>
  <si>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</si>
  <si>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</si>
  <si>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</si>
  <si>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</si>
  <si>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</si>
  <si>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</si>
  <si>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</si>
  <si>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</si>
  <si>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</si>
  <si>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</si>
  <si>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</si>
  <si>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</si>
  <si>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</si>
  <si>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</si>
  <si>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</si>
  <si>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</si>
  <si>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</si>
  <si>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</si>
  <si>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</si>
  <si>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</si>
  <si>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</si>
  <si>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</si>
  <si>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</si>
  <si>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</si>
  <si>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</si>
  <si>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</si>
  <si>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</si>
  <si>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</si>
  <si>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</si>
  <si>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</si>
  <si>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</si>
  <si>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</si>
  <si>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</si>
  <si>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</si>
  <si>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</si>
  <si>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</si>
  <si>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</si>
  <si>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</si>
  <si>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</si>
  <si>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</si>
  <si>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</si>
  <si>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</si>
  <si>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</si>
  <si>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</si>
  <si>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</si>
  <si>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</si>
  <si>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</si>
  <si>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</si>
  <si>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</si>
  <si>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</si>
  <si>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</si>
  <si>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</si>
  <si>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</si>
  <si>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</si>
  <si>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</si>
  <si>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</si>
  <si>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</si>
  <si>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</si>
  <si>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</si>
  <si>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</si>
  <si>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</si>
  <si>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</si>
  <si>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</si>
  <si>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</si>
  <si>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</si>
  <si>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</si>
  <si>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</si>
  <si>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</si>
  <si>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</si>
  <si>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</si>
  <si>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</si>
  <si>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</si>
  <si>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</si>
  <si>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</si>
  <si>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</si>
  <si>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</si>
  <si>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</si>
  <si>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</si>
  <si>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</si>
  <si>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</si>
  <si>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</si>
  <si>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</si>
  <si>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</si>
  <si>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</si>
  <si>
    <t>根据贵公司与我公司所签订的服务协议，请贵公司在2022年12月2日之前按照下列表格内容支付相关款项.</t>
    <phoneticPr fontId="87" type="noConversion"/>
  </si>
  <si>
    <t>202212</t>
    <phoneticPr fontId="8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</si>
</sst>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 * #,##0.00_ ;_ * \-#,##0.00_ ;_ * &quot;-&quot;??_ ;_ @_ "/>
    <numFmt numFmtId="178" formatCode="[$-10432]yyyy/mm/dd;@"/>
    <numFmt numFmtId="179" formatCode="0_ "/>
    <numFmt numFmtId="180" formatCode="0.00_ "/>
    <numFmt numFmtId="181" formatCode="[$-F800]dddd\,\ mmmm\ dd\,\ yyyy"/>
    <numFmt numFmtId="182" formatCode="[DBNum2][$-804]General"/>
    <numFmt numFmtId="183" formatCode="0.00_);[Red]\(0.00\)"/>
    <numFmt numFmtId="184" formatCode="#,##0_);[Red]\(#,##0\)"/>
    <numFmt numFmtId="185" formatCode="&quot;$&quot;#,##0_ ;[Red]\-&quot;$&quot;#,##0_ "/>
    <numFmt numFmtId="186" formatCode="#,##0.00_);[Red]\(#,##0.00\)"/>
    <numFmt numFmtId="187" formatCode="General\ &quot;年&quot;"/>
    <numFmt numFmtId="188" formatCode="0_);[Red]\(0\)"/>
    <numFmt numFmtId="189" formatCode="0.000_ "/>
    <numFmt numFmtId="190" formatCode="#,##0.00_ "/>
    <numFmt numFmtId="191" formatCode="&quot;$&quot;0_ "/>
    <numFmt numFmtId="192" formatCode="0.00_);\(0.00\)"/>
  </numFmts>
  <fonts count="88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</font>
    <font>
      <b/>
      <sz val="12"/>
      <color rgb="FFFF0000"/>
      <name val="Arial Unicode MS"/>
      <family val="2"/>
    </font>
    <font>
      <sz val="12"/>
      <name val="Arial Unicode MS"/>
      <family val="2"/>
    </font>
    <font>
      <b/>
      <sz val="10"/>
      <name val="Arial Unicode MS"/>
      <family val="2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PingFang SC"/>
      <family val="1"/>
    </font>
    <font>
      <sz val="10"/>
      <color theme="1"/>
      <name val="苹方-简"/>
      <charset val="134"/>
    </font>
    <font>
      <b/>
      <sz val="10"/>
      <color indexed="8"/>
      <name val="Arial Unicode MS"/>
      <family val="2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微软雅黑"/>
      <family val="2"/>
      <charset val="134"/>
    </font>
    <font>
      <b/>
      <sz val="11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family val="2"/>
      <charset val="134"/>
    </font>
    <font>
      <sz val="10"/>
      <color indexed="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theme="1" tint="4.9989318521683403E-2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i/>
      <sz val="10"/>
      <color indexed="0"/>
      <name val="微软雅黑"/>
      <family val="2"/>
      <charset val="134"/>
    </font>
    <font>
      <b/>
      <sz val="10"/>
      <color indexed="0"/>
      <name val="微软雅黑"/>
      <family val="2"/>
      <charset val="134"/>
    </font>
    <font>
      <b/>
      <sz val="11"/>
      <name val="微软雅黑"/>
      <family val="2"/>
      <charset val="134"/>
    </font>
    <font>
      <sz val="10.5"/>
      <color theme="1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color indexed="8"/>
      <name val="Verdana"/>
      <family val="2"/>
    </font>
    <font>
      <u/>
      <sz val="10"/>
      <color indexed="12"/>
      <name val="新細明體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49">
    <xf numFmtId="0" fontId="0" fillId="0" borderId="0">
      <alignment vertical="center"/>
    </xf>
    <xf numFmtId="0" fontId="60" fillId="0" borderId="0"/>
    <xf numFmtId="0" fontId="60" fillId="0" borderId="0"/>
    <xf numFmtId="0" fontId="61" fillId="11" borderId="51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11" borderId="53" applyNumberFormat="0" applyAlignment="0" applyProtection="0">
      <alignment vertical="center"/>
    </xf>
    <xf numFmtId="0" fontId="60" fillId="0" borderId="0"/>
    <xf numFmtId="0" fontId="63" fillId="13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86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7" fillId="0" borderId="0"/>
    <xf numFmtId="0" fontId="6" fillId="14" borderId="54" applyNumberFormat="0" applyFont="0" applyAlignment="0" applyProtection="0">
      <alignment vertical="center"/>
    </xf>
    <xf numFmtId="0" fontId="61" fillId="11" borderId="51" applyNumberFormat="0" applyAlignment="0" applyProtection="0">
      <alignment vertical="center"/>
    </xf>
    <xf numFmtId="178" fontId="8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0" fillId="0" borderId="0">
      <alignment vertical="center"/>
    </xf>
    <xf numFmtId="0" fontId="6" fillId="14" borderId="5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0" fillId="0" borderId="0">
      <alignment vertical="center"/>
    </xf>
    <xf numFmtId="0" fontId="61" fillId="11" borderId="51" applyNumberFormat="0" applyAlignment="0" applyProtection="0">
      <alignment vertical="center"/>
    </xf>
    <xf numFmtId="0" fontId="60" fillId="0" borderId="0"/>
    <xf numFmtId="0" fontId="68" fillId="21" borderId="55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9" fillId="0" borderId="0"/>
    <xf numFmtId="0" fontId="6" fillId="15" borderId="0" applyNumberFormat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14" fillId="0" borderId="0">
      <alignment vertical="center"/>
    </xf>
    <xf numFmtId="0" fontId="74" fillId="23" borderId="53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5" fillId="0" borderId="0"/>
    <xf numFmtId="0" fontId="6" fillId="14" borderId="54" applyNumberFormat="0" applyFon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0" borderId="0">
      <alignment vertical="center"/>
    </xf>
    <xf numFmtId="0" fontId="71" fillId="22" borderId="0" applyNumberFormat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4" borderId="54" applyNumberFormat="0" applyFont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7" fillId="0" borderId="0"/>
    <xf numFmtId="0" fontId="74" fillId="23" borderId="53" applyNumberFormat="0" applyAlignment="0" applyProtection="0">
      <alignment vertical="center"/>
    </xf>
    <xf numFmtId="0" fontId="6" fillId="0" borderId="0">
      <alignment vertical="center"/>
    </xf>
    <xf numFmtId="0" fontId="63" fillId="16" borderId="0" applyNumberFormat="0" applyBorder="0" applyAlignment="0" applyProtection="0">
      <alignment vertical="center"/>
    </xf>
    <xf numFmtId="0" fontId="86" fillId="0" borderId="0"/>
    <xf numFmtId="0" fontId="6" fillId="15" borderId="0" applyNumberFormat="0" applyBorder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14" fillId="0" borderId="0">
      <alignment vertical="center"/>
    </xf>
    <xf numFmtId="0" fontId="74" fillId="23" borderId="53" applyNumberForma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9" fillId="0" borderId="0"/>
    <xf numFmtId="0" fontId="6" fillId="30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0" borderId="52" applyNumberFormat="0" applyFill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0" fillId="0" borderId="0">
      <alignment vertical="center"/>
    </xf>
    <xf numFmtId="0" fontId="74" fillId="23" borderId="53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0" fillId="0" borderId="0"/>
    <xf numFmtId="0" fontId="61" fillId="11" borderId="5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11" borderId="51" applyNumberFormat="0" applyAlignment="0" applyProtection="0">
      <alignment vertical="center"/>
    </xf>
    <xf numFmtId="178" fontId="86" fillId="0" borderId="0">
      <alignment vertical="center"/>
    </xf>
    <xf numFmtId="0" fontId="6" fillId="14" borderId="54" applyNumberFormat="0" applyFon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8" fontId="86" fillId="0" borderId="0">
      <alignment vertical="center"/>
    </xf>
    <xf numFmtId="0" fontId="63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0" borderId="0">
      <alignment vertical="center"/>
    </xf>
    <xf numFmtId="0" fontId="63" fillId="2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7" fillId="0" borderId="0"/>
    <xf numFmtId="0" fontId="63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9" fillId="0" borderId="0">
      <alignment vertical="center"/>
    </xf>
    <xf numFmtId="0" fontId="63" fillId="26" borderId="0" applyNumberFormat="0" applyBorder="0" applyAlignment="0" applyProtection="0">
      <alignment vertical="center"/>
    </xf>
    <xf numFmtId="0" fontId="86" fillId="0" borderId="0">
      <alignment vertical="center"/>
    </xf>
    <xf numFmtId="0" fontId="63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0" fillId="0" borderId="0"/>
    <xf numFmtId="0" fontId="63" fillId="3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0" fillId="0" borderId="0"/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86" fillId="0" borderId="0">
      <alignment vertical="center"/>
    </xf>
    <xf numFmtId="0" fontId="63" fillId="3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86" fillId="0" borderId="0">
      <alignment vertical="center"/>
    </xf>
    <xf numFmtId="0" fontId="63" fillId="32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0" fillId="0" borderId="0"/>
    <xf numFmtId="0" fontId="63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180" fontId="6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69" fillId="0" borderId="0"/>
    <xf numFmtId="0" fontId="63" fillId="27" borderId="0" applyNumberFormat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9" fillId="0" borderId="0">
      <alignment vertical="center"/>
    </xf>
    <xf numFmtId="0" fontId="70" fillId="0" borderId="56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0" borderId="0"/>
    <xf numFmtId="0" fontId="6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19" borderId="0" applyNumberFormat="0" applyBorder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0" fillId="0" borderId="0"/>
    <xf numFmtId="0" fontId="63" fillId="13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4" fillId="23" borderId="5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3" fillId="16" borderId="0" applyNumberFormat="0" applyBorder="0" applyAlignment="0" applyProtection="0">
      <alignment vertical="center"/>
    </xf>
    <xf numFmtId="0" fontId="6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8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/>
    <xf numFmtId="178" fontId="86" fillId="0" borderId="0">
      <alignment vertical="center"/>
    </xf>
    <xf numFmtId="0" fontId="6" fillId="14" borderId="54" applyNumberFormat="0" applyFont="0" applyAlignment="0" applyProtection="0">
      <alignment vertical="center"/>
    </xf>
    <xf numFmtId="0" fontId="60" fillId="0" borderId="0"/>
    <xf numFmtId="0" fontId="14" fillId="0" borderId="0">
      <alignment vertical="center"/>
    </xf>
    <xf numFmtId="0" fontId="6" fillId="0" borderId="0">
      <alignment vertical="center"/>
    </xf>
    <xf numFmtId="0" fontId="79" fillId="20" borderId="0" applyNumberFormat="0" applyBorder="0" applyAlignment="0" applyProtection="0">
      <alignment vertical="center"/>
    </xf>
    <xf numFmtId="0" fontId="75" fillId="0" borderId="0"/>
    <xf numFmtId="0" fontId="72" fillId="0" borderId="58" applyNumberFormat="0" applyFill="0" applyAlignment="0" applyProtection="0">
      <alignment vertical="center"/>
    </xf>
    <xf numFmtId="178" fontId="86" fillId="0" borderId="0">
      <alignment vertical="center"/>
    </xf>
    <xf numFmtId="0" fontId="6" fillId="0" borderId="0">
      <alignment vertical="center"/>
    </xf>
    <xf numFmtId="0" fontId="76" fillId="0" borderId="5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60" fillId="0" borderId="0">
      <alignment vertical="center"/>
    </xf>
    <xf numFmtId="0" fontId="70" fillId="0" borderId="5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72" fillId="0" borderId="58" applyNumberFormat="0" applyFill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73" fillId="0" borderId="57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81" fillId="0" borderId="0"/>
    <xf numFmtId="0" fontId="63" fillId="13" borderId="0" applyNumberFormat="0" applyBorder="0" applyAlignment="0" applyProtection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0" fillId="0" borderId="0"/>
    <xf numFmtId="0" fontId="63" fillId="27" borderId="0" applyNumberFormat="0" applyBorder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9" fillId="0" borderId="0"/>
    <xf numFmtId="0" fontId="66" fillId="0" borderId="0" applyNumberFormat="0" applyFill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7" fillId="0" borderId="0"/>
    <xf numFmtId="0" fontId="6" fillId="28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/>
    <xf numFmtId="0" fontId="6" fillId="16" borderId="0" applyNumberFormat="0" applyBorder="0" applyAlignment="0" applyProtection="0">
      <alignment vertical="center"/>
    </xf>
    <xf numFmtId="0" fontId="76" fillId="0" borderId="59" applyNumberFormat="0" applyFill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/>
    <xf numFmtId="0" fontId="71" fillId="22" borderId="0" applyNumberFormat="0" applyBorder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0" borderId="0"/>
    <xf numFmtId="0" fontId="6" fillId="31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9" fillId="0" borderId="0"/>
    <xf numFmtId="0" fontId="6" fillId="14" borderId="54" applyNumberFormat="0" applyFon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0" fillId="0" borderId="56" applyNumberFormat="0" applyFill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" fillId="0" borderId="0"/>
    <xf numFmtId="0" fontId="6" fillId="24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14" borderId="5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4" fillId="23" borderId="53" applyNumberFormat="0" applyAlignment="0" applyProtection="0">
      <alignment vertical="center"/>
    </xf>
    <xf numFmtId="0" fontId="67" fillId="0" borderId="0"/>
    <xf numFmtId="0" fontId="72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82" fillId="0" borderId="0" applyNumberFormat="0" applyFill="0" applyBorder="0" applyProtection="0">
      <alignment vertical="top" wrapText="1"/>
    </xf>
    <xf numFmtId="0" fontId="70" fillId="0" borderId="56" applyNumberFormat="0" applyFill="0" applyAlignment="0" applyProtection="0">
      <alignment vertical="center"/>
    </xf>
    <xf numFmtId="43" fontId="60" fillId="0" borderId="0" applyFon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4" fillId="11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/>
    <xf numFmtId="0" fontId="77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6" fillId="0" borderId="0">
      <alignment vertical="center"/>
    </xf>
    <xf numFmtId="0" fontId="6" fillId="14" borderId="54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8" fillId="21" borderId="5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1" fillId="11" borderId="51" applyNumberFormat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178" fontId="86" fillId="0" borderId="0">
      <alignment vertical="center"/>
    </xf>
    <xf numFmtId="178" fontId="86" fillId="0" borderId="0">
      <alignment vertical="center"/>
    </xf>
    <xf numFmtId="38" fontId="60" fillId="0" borderId="0" applyFont="0" applyFill="0" applyBorder="0" applyAlignment="0" applyProtection="0">
      <alignment vertical="center"/>
    </xf>
    <xf numFmtId="178" fontId="41" fillId="0" borderId="0">
      <alignment vertical="center"/>
    </xf>
    <xf numFmtId="178" fontId="83" fillId="0" borderId="0" applyNumberFormat="0" applyFill="0" applyBorder="0" applyAlignment="0" applyProtection="0">
      <alignment vertical="center"/>
    </xf>
    <xf numFmtId="178" fontId="60" fillId="0" borderId="0"/>
    <xf numFmtId="182" fontId="86" fillId="0" borderId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304" applyBorder="1">
      <alignment vertical="center"/>
    </xf>
    <xf numFmtId="0" fontId="7" fillId="0" borderId="0" xfId="304" applyNumberFormat="1" applyFont="1" applyFill="1" applyBorder="1" applyAlignment="1" applyProtection="1">
      <alignment horizontal="center" vertical="center"/>
    </xf>
    <xf numFmtId="0" fontId="6" fillId="0" borderId="0" xfId="304" applyFill="1">
      <alignment vertical="center"/>
    </xf>
    <xf numFmtId="0" fontId="6" fillId="0" borderId="0" xfId="304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4">
      <alignment vertical="center"/>
    </xf>
    <xf numFmtId="0" fontId="6" fillId="0" borderId="0" xfId="304" applyNumberFormat="1">
      <alignment vertical="center"/>
    </xf>
    <xf numFmtId="0" fontId="6" fillId="0" borderId="0" xfId="304" applyNumberFormat="1" applyAlignment="1">
      <alignment horizontal="center" vertical="center"/>
    </xf>
    <xf numFmtId="14" fontId="6" fillId="0" borderId="0" xfId="304" applyNumberFormat="1">
      <alignment vertical="center"/>
    </xf>
    <xf numFmtId="183" fontId="6" fillId="0" borderId="0" xfId="304" applyNumberFormat="1">
      <alignment vertical="center"/>
    </xf>
    <xf numFmtId="184" fontId="8" fillId="0" borderId="0" xfId="312" applyNumberFormat="1" applyFont="1" applyFill="1" applyBorder="1" applyAlignment="1" applyProtection="1">
      <alignment vertical="center"/>
    </xf>
    <xf numFmtId="184" fontId="9" fillId="0" borderId="0" xfId="312" applyNumberFormat="1" applyFont="1" applyFill="1" applyBorder="1" applyAlignment="1" applyProtection="1">
      <alignment vertical="center"/>
    </xf>
    <xf numFmtId="184" fontId="10" fillId="0" borderId="0" xfId="312" applyNumberFormat="1" applyFont="1" applyFill="1" applyBorder="1" applyAlignment="1" applyProtection="1">
      <alignment vertical="center"/>
    </xf>
    <xf numFmtId="184" fontId="10" fillId="0" borderId="0" xfId="312" applyNumberFormat="1" applyFont="1" applyFill="1" applyBorder="1" applyAlignment="1" applyProtection="1">
      <alignment horizontal="center" vertical="top"/>
    </xf>
    <xf numFmtId="0" fontId="6" fillId="0" borderId="0" xfId="304" applyNumberFormat="1" applyFont="1" applyFill="1" applyBorder="1" applyAlignment="1" applyProtection="1">
      <alignment horizontal="center" vertical="center"/>
    </xf>
    <xf numFmtId="0" fontId="6" fillId="0" borderId="0" xfId="304" applyNumberFormat="1" applyBorder="1" applyAlignment="1">
      <alignment horizontal="center" vertical="center"/>
    </xf>
    <xf numFmtId="184" fontId="14" fillId="0" borderId="6" xfId="304" applyNumberFormat="1" applyFont="1" applyFill="1" applyBorder="1" applyAlignment="1" applyProtection="1">
      <alignment horizontal="center" vertical="center"/>
    </xf>
    <xf numFmtId="0" fontId="15" fillId="0" borderId="7" xfId="304" applyFont="1" applyFill="1" applyBorder="1" applyAlignment="1">
      <alignment horizontal="center" vertical="center" wrapText="1"/>
    </xf>
    <xf numFmtId="49" fontId="16" fillId="4" borderId="8" xfId="304" applyNumberFormat="1" applyFont="1" applyFill="1" applyBorder="1" applyAlignment="1">
      <alignment horizontal="center" vertical="center" wrapText="1"/>
    </xf>
    <xf numFmtId="0" fontId="6" fillId="0" borderId="7" xfId="304" applyNumberFormat="1" applyFill="1" applyBorder="1" applyAlignment="1">
      <alignment horizontal="center" vertical="center"/>
    </xf>
    <xf numFmtId="0" fontId="6" fillId="0" borderId="8" xfId="304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4" fontId="14" fillId="4" borderId="6" xfId="304" applyNumberFormat="1" applyFont="1" applyFill="1" applyBorder="1" applyAlignment="1" applyProtection="1">
      <alignment horizontal="center" vertical="center" shrinkToFit="1"/>
    </xf>
    <xf numFmtId="184" fontId="19" fillId="4" borderId="7" xfId="304" applyNumberFormat="1" applyFont="1" applyFill="1" applyBorder="1" applyAlignment="1" applyProtection="1">
      <alignment horizontal="center" vertical="center" shrinkToFit="1"/>
    </xf>
    <xf numFmtId="184" fontId="19" fillId="4" borderId="7" xfId="304" applyNumberFormat="1" applyFont="1" applyFill="1" applyBorder="1" applyAlignment="1" applyProtection="1">
      <alignment horizontal="center" vertical="top" shrinkToFit="1"/>
    </xf>
    <xf numFmtId="0" fontId="16" fillId="4" borderId="7" xfId="304" applyNumberFormat="1" applyFont="1" applyFill="1" applyBorder="1" applyAlignment="1">
      <alignment horizontal="center" vertical="center" shrinkToFit="1"/>
    </xf>
    <xf numFmtId="0" fontId="6" fillId="4" borderId="7" xfId="304" applyNumberFormat="1" applyFont="1" applyFill="1" applyBorder="1" applyAlignment="1" applyProtection="1">
      <alignment horizontal="center" vertical="center" shrinkToFit="1"/>
    </xf>
    <xf numFmtId="0" fontId="6" fillId="4" borderId="7" xfId="304" applyNumberFormat="1" applyFill="1" applyBorder="1" applyAlignment="1">
      <alignment horizontal="center" vertical="center" shrinkToFit="1"/>
    </xf>
    <xf numFmtId="0" fontId="6" fillId="3" borderId="7" xfId="304" applyFont="1" applyFill="1" applyBorder="1" applyAlignment="1">
      <alignment horizontal="center" vertical="center"/>
    </xf>
    <xf numFmtId="183" fontId="6" fillId="4" borderId="7" xfId="304" applyNumberFormat="1" applyFont="1" applyFill="1" applyBorder="1" applyAlignment="1">
      <alignment horizontal="center" vertical="center"/>
    </xf>
    <xf numFmtId="186" fontId="6" fillId="0" borderId="0" xfId="304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6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04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04" applyNumberFormat="1" applyBorder="1">
      <alignment vertical="center"/>
    </xf>
    <xf numFmtId="184" fontId="10" fillId="0" borderId="0" xfId="312" applyNumberFormat="1" applyFont="1" applyFill="1" applyBorder="1" applyAlignment="1" applyProtection="1">
      <alignment horizontal="center" vertical="center"/>
    </xf>
    <xf numFmtId="0" fontId="12" fillId="3" borderId="7" xfId="71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80" fontId="14" fillId="0" borderId="7" xfId="304" applyNumberFormat="1" applyFont="1" applyFill="1" applyBorder="1">
      <alignment vertical="center"/>
    </xf>
    <xf numFmtId="180" fontId="14" fillId="0" borderId="7" xfId="304" applyNumberFormat="1" applyFont="1" applyFill="1" applyBorder="1" applyAlignment="1">
      <alignment horizontal="center" vertical="center"/>
    </xf>
    <xf numFmtId="0" fontId="6" fillId="4" borderId="8" xfId="304" applyNumberFormat="1" applyFont="1" applyFill="1" applyBorder="1" applyAlignment="1" applyProtection="1">
      <alignment horizontal="center" vertical="center" shrinkToFit="1"/>
    </xf>
    <xf numFmtId="14" fontId="6" fillId="4" borderId="8" xfId="304" applyNumberFormat="1" applyFont="1" applyFill="1" applyBorder="1" applyAlignment="1" applyProtection="1">
      <alignment horizontal="center" vertical="center" shrinkToFit="1"/>
    </xf>
    <xf numFmtId="186" fontId="19" fillId="4" borderId="7" xfId="304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8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8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8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80" fontId="0" fillId="0" borderId="0" xfId="304" applyNumberFormat="1" applyFont="1" applyFill="1" applyBorder="1" applyAlignment="1">
      <alignment horizontal="left" vertical="center"/>
    </xf>
    <xf numFmtId="0" fontId="13" fillId="3" borderId="7" xfId="71" applyNumberFormat="1" applyFont="1" applyFill="1" applyBorder="1" applyAlignment="1" applyProtection="1">
      <alignment horizontal="center" vertical="center" wrapText="1"/>
    </xf>
    <xf numFmtId="180" fontId="14" fillId="4" borderId="7" xfId="304" applyNumberFormat="1" applyFont="1" applyFill="1" applyBorder="1">
      <alignment vertical="center"/>
    </xf>
    <xf numFmtId="180" fontId="14" fillId="4" borderId="10" xfId="304" applyNumberFormat="1" applyFont="1" applyFill="1" applyBorder="1" applyAlignment="1">
      <alignment horizontal="center" vertical="center"/>
    </xf>
    <xf numFmtId="180" fontId="14" fillId="4" borderId="10" xfId="304" applyNumberFormat="1" applyFont="1" applyFill="1" applyBorder="1">
      <alignment vertical="center"/>
    </xf>
    <xf numFmtId="186" fontId="14" fillId="4" borderId="10" xfId="304" applyNumberFormat="1" applyFont="1" applyFill="1" applyBorder="1" applyAlignment="1" applyProtection="1">
      <alignment horizontal="center" vertical="center"/>
    </xf>
    <xf numFmtId="183" fontId="22" fillId="4" borderId="7" xfId="242" applyNumberFormat="1" applyFont="1" applyFill="1" applyBorder="1" applyAlignment="1" applyProtection="1">
      <alignment horizontal="center" vertical="center"/>
    </xf>
    <xf numFmtId="183" fontId="27" fillId="4" borderId="7" xfId="71" applyNumberFormat="1" applyFont="1" applyFill="1" applyBorder="1" applyAlignment="1" applyProtection="1">
      <alignment horizontal="center" vertical="center"/>
    </xf>
    <xf numFmtId="186" fontId="14" fillId="0" borderId="0" xfId="304" applyNumberFormat="1" applyFont="1" applyFill="1" applyBorder="1" applyAlignment="1" applyProtection="1">
      <alignment horizontal="center" vertical="center"/>
    </xf>
    <xf numFmtId="183" fontId="10" fillId="0" borderId="0" xfId="312" applyNumberFormat="1" applyFont="1" applyFill="1" applyBorder="1" applyAlignment="1" applyProtection="1">
      <alignment horizontal="center" vertical="center" wrapText="1"/>
    </xf>
    <xf numFmtId="186" fontId="14" fillId="4" borderId="7" xfId="304" applyNumberFormat="1" applyFont="1" applyFill="1" applyBorder="1" applyAlignment="1" applyProtection="1">
      <alignment horizontal="center" vertical="center"/>
    </xf>
    <xf numFmtId="183" fontId="16" fillId="0" borderId="7" xfId="304" applyNumberFormat="1" applyFont="1" applyFill="1" applyBorder="1" applyAlignment="1">
      <alignment horizontal="center" vertical="center" wrapText="1"/>
    </xf>
    <xf numFmtId="186" fontId="14" fillId="0" borderId="7" xfId="304" applyNumberFormat="1" applyFont="1" applyFill="1" applyBorder="1" applyAlignment="1" applyProtection="1">
      <alignment horizontal="center" vertical="center"/>
    </xf>
    <xf numFmtId="183" fontId="19" fillId="4" borderId="7" xfId="304" applyNumberFormat="1" applyFont="1" applyFill="1" applyBorder="1" applyAlignment="1" applyProtection="1">
      <alignment horizontal="center" vertical="center" shrinkToFit="1"/>
    </xf>
    <xf numFmtId="186" fontId="14" fillId="4" borderId="7" xfId="304" applyNumberFormat="1" applyFont="1" applyFill="1" applyBorder="1" applyAlignment="1" applyProtection="1">
      <alignment horizontal="center" vertical="center" shrinkToFit="1"/>
    </xf>
    <xf numFmtId="183" fontId="6" fillId="0" borderId="0" xfId="0" applyNumberFormat="1" applyFont="1" applyFill="1" applyBorder="1" applyAlignment="1" applyProtection="1">
      <alignment vertical="center"/>
    </xf>
    <xf numFmtId="49" fontId="6" fillId="0" borderId="0" xfId="304" applyNumberFormat="1" applyFont="1" applyFill="1" applyBorder="1" applyAlignment="1" applyProtection="1">
      <alignment horizontal="center" vertical="center"/>
    </xf>
    <xf numFmtId="0" fontId="27" fillId="4" borderId="7" xfId="304" applyFont="1" applyFill="1" applyBorder="1" applyAlignment="1">
      <alignment horizontal="center" vertical="center"/>
    </xf>
    <xf numFmtId="0" fontId="27" fillId="4" borderId="7" xfId="304" applyFont="1" applyFill="1" applyBorder="1" applyAlignment="1">
      <alignment horizontal="center" vertical="center" shrinkToFit="1"/>
    </xf>
    <xf numFmtId="14" fontId="6" fillId="0" borderId="8" xfId="304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79" fontId="28" fillId="0" borderId="0" xfId="0" applyNumberFormat="1" applyFont="1" applyFill="1" applyAlignment="1" applyProtection="1">
      <alignment vertical="center"/>
      <protection locked="0"/>
    </xf>
    <xf numFmtId="0" fontId="29" fillId="2" borderId="5" xfId="245" applyNumberFormat="1" applyFont="1" applyFill="1" applyBorder="1" applyAlignment="1" applyProtection="1">
      <alignment horizontal="center" vertical="center" wrapText="1"/>
    </xf>
    <xf numFmtId="179" fontId="30" fillId="2" borderId="5" xfId="245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8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22" applyNumberFormat="1" applyFont="1" applyFill="1" applyBorder="1" applyAlignment="1" applyProtection="1">
      <alignment vertical="center" wrapText="1"/>
    </xf>
    <xf numFmtId="0" fontId="29" fillId="2" borderId="5" xfId="245" applyNumberFormat="1" applyFont="1" applyFill="1" applyBorder="1" applyAlignment="1" applyProtection="1">
      <alignment vertical="center" wrapText="1"/>
    </xf>
    <xf numFmtId="0" fontId="29" fillId="6" borderId="5" xfId="245" applyNumberFormat="1" applyFont="1" applyFill="1" applyBorder="1" applyAlignment="1" applyProtection="1">
      <alignment vertical="center" wrapText="1"/>
    </xf>
    <xf numFmtId="0" fontId="29" fillId="7" borderId="5" xfId="245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8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04" applyNumberFormat="1" applyFill="1" applyBorder="1">
      <alignment vertical="center"/>
    </xf>
    <xf numFmtId="186" fontId="6" fillId="0" borderId="0" xfId="304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178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22" applyNumberFormat="1" applyFont="1" applyFill="1" applyBorder="1" applyProtection="1">
      <alignment vertical="center"/>
    </xf>
    <xf numFmtId="178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22" applyNumberFormat="1" applyFont="1" applyFill="1" applyBorder="1" applyProtection="1">
      <alignment vertical="center"/>
    </xf>
    <xf numFmtId="49" fontId="27" fillId="0" borderId="5" xfId="222" applyNumberFormat="1" applyFont="1" applyFill="1" applyBorder="1" applyAlignment="1" applyProtection="1">
      <alignment vertical="center" wrapText="1"/>
    </xf>
    <xf numFmtId="178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80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173" applyNumberFormat="1" applyFont="1" applyFill="1" applyBorder="1" applyAlignment="1" applyProtection="1">
      <alignment horizontal="center" vertical="center"/>
    </xf>
    <xf numFmtId="0" fontId="16" fillId="0" borderId="7" xfId="303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173" applyNumberFormat="1" applyFont="1" applyFill="1" applyBorder="1" applyAlignment="1" applyProtection="1">
      <alignment horizontal="center" vertical="center"/>
    </xf>
    <xf numFmtId="0" fontId="16" fillId="0" borderId="5" xfId="303" applyNumberFormat="1" applyFont="1" applyFill="1" applyBorder="1" applyAlignment="1" applyProtection="1">
      <alignment horizontal="center" vertical="center"/>
    </xf>
    <xf numFmtId="180" fontId="33" fillId="0" borderId="0" xfId="0" applyNumberFormat="1" applyFont="1" applyFill="1" applyAlignment="1">
      <alignment horizontal="center" vertical="center"/>
    </xf>
    <xf numFmtId="189" fontId="16" fillId="0" borderId="7" xfId="178" applyNumberFormat="1" applyFont="1" applyFill="1" applyBorder="1" applyAlignment="1" applyProtection="1">
      <alignment horizontal="center" vertical="center"/>
    </xf>
    <xf numFmtId="189" fontId="16" fillId="0" borderId="7" xfId="442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295" applyNumberFormat="1" applyFont="1" applyFill="1" applyBorder="1" applyAlignment="1" applyProtection="1">
      <alignment horizontal="center" vertical="center"/>
    </xf>
    <xf numFmtId="189" fontId="16" fillId="0" borderId="5" xfId="178" applyNumberFormat="1" applyFont="1" applyFill="1" applyBorder="1" applyAlignment="1" applyProtection="1">
      <alignment horizontal="center" vertical="center"/>
    </xf>
    <xf numFmtId="189" fontId="16" fillId="0" borderId="5" xfId="442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295" applyNumberFormat="1" applyFont="1" applyFill="1" applyBorder="1" applyAlignment="1" applyProtection="1">
      <alignment horizontal="center" vertical="center"/>
    </xf>
    <xf numFmtId="0" fontId="16" fillId="0" borderId="7" xfId="25" applyNumberFormat="1" applyFont="1" applyFill="1" applyBorder="1" applyAlignment="1" applyProtection="1">
      <alignment horizontal="center" vertical="center"/>
    </xf>
    <xf numFmtId="0" fontId="16" fillId="0" borderId="7" xfId="331" applyNumberFormat="1" applyFont="1" applyFill="1" applyBorder="1" applyAlignment="1" applyProtection="1">
      <alignment horizontal="center" vertical="center"/>
    </xf>
    <xf numFmtId="0" fontId="16" fillId="0" borderId="5" xfId="25" applyNumberFormat="1" applyFont="1" applyFill="1" applyBorder="1" applyAlignment="1" applyProtection="1">
      <alignment horizontal="center" vertical="center"/>
    </xf>
    <xf numFmtId="0" fontId="16" fillId="0" borderId="5" xfId="331" applyNumberFormat="1" applyFont="1" applyFill="1" applyBorder="1" applyAlignment="1" applyProtection="1">
      <alignment horizontal="center" vertical="center"/>
    </xf>
    <xf numFmtId="189" fontId="16" fillId="0" borderId="7" xfId="443" applyNumberFormat="1" applyFont="1" applyFill="1" applyBorder="1" applyAlignment="1" applyProtection="1">
      <alignment horizontal="center" vertical="center"/>
    </xf>
    <xf numFmtId="0" fontId="16" fillId="0" borderId="7" xfId="443" applyNumberFormat="1" applyFont="1" applyFill="1" applyBorder="1" applyAlignment="1">
      <alignment horizontal="center" vertical="center" wrapText="1"/>
    </xf>
    <xf numFmtId="189" fontId="16" fillId="0" borderId="5" xfId="443" applyNumberFormat="1" applyFont="1" applyFill="1" applyBorder="1" applyAlignment="1" applyProtection="1">
      <alignment horizontal="center" vertical="center"/>
    </xf>
    <xf numFmtId="0" fontId="16" fillId="0" borderId="5" xfId="443" applyNumberFormat="1" applyFont="1" applyFill="1" applyBorder="1" applyAlignment="1">
      <alignment horizontal="center" vertical="center" wrapText="1"/>
    </xf>
    <xf numFmtId="183" fontId="34" fillId="8" borderId="7" xfId="0" applyNumberFormat="1" applyFont="1" applyFill="1" applyBorder="1" applyAlignment="1">
      <alignment horizontal="center" vertical="center" wrapText="1"/>
    </xf>
    <xf numFmtId="183" fontId="16" fillId="0" borderId="7" xfId="0" applyNumberFormat="1" applyFont="1" applyFill="1" applyBorder="1" applyAlignment="1">
      <alignment horizontal="center" vertical="center" wrapText="1"/>
    </xf>
    <xf numFmtId="183" fontId="16" fillId="0" borderId="5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Alignment="1">
      <alignment horizontal="center" vertical="center"/>
    </xf>
    <xf numFmtId="183" fontId="16" fillId="0" borderId="18" xfId="0" applyNumberFormat="1" applyFont="1" applyFill="1" applyBorder="1" applyAlignment="1">
      <alignment horizontal="center" vertical="center"/>
    </xf>
    <xf numFmtId="178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3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90" fontId="33" fillId="0" borderId="0" xfId="0" applyNumberFormat="1" applyFont="1" applyFill="1" applyAlignment="1">
      <alignment horizontal="center" vertical="center"/>
    </xf>
    <xf numFmtId="178" fontId="38" fillId="9" borderId="0" xfId="445" applyNumberFormat="1" applyFont="1" applyFill="1" applyBorder="1" applyAlignment="1" applyProtection="1">
      <alignment horizontal="center" vertical="center"/>
      <protection locked="0"/>
    </xf>
    <xf numFmtId="178" fontId="38" fillId="9" borderId="0" xfId="445" applyNumberFormat="1" applyFont="1" applyFill="1" applyBorder="1" applyAlignment="1" applyProtection="1">
      <alignment horizontal="left" vertical="center"/>
      <protection locked="0"/>
    </xf>
    <xf numFmtId="178" fontId="39" fillId="9" borderId="0" xfId="445" applyNumberFormat="1" applyFont="1" applyFill="1" applyBorder="1" applyAlignment="1" applyProtection="1">
      <alignment horizontal="center" vertical="center"/>
      <protection locked="0"/>
    </xf>
    <xf numFmtId="178" fontId="40" fillId="9" borderId="0" xfId="445" applyNumberFormat="1" applyFont="1" applyFill="1" applyBorder="1" applyAlignment="1" applyProtection="1">
      <alignment horizontal="left" vertical="center"/>
      <protection locked="0"/>
    </xf>
    <xf numFmtId="178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44" applyNumberFormat="1" applyFont="1" applyFill="1" applyBorder="1" applyAlignment="1" applyProtection="1">
      <alignment horizontal="left" vertical="center"/>
      <protection locked="0"/>
    </xf>
    <xf numFmtId="178" fontId="43" fillId="9" borderId="0" xfId="0" applyNumberFormat="1" applyFont="1" applyFill="1" applyBorder="1" applyAlignment="1" applyProtection="1">
      <alignment horizontal="left" vertical="center"/>
      <protection locked="0"/>
    </xf>
    <xf numFmtId="178" fontId="44" fillId="9" borderId="0" xfId="445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8" fontId="45" fillId="9" borderId="0" xfId="0" applyNumberFormat="1" applyFont="1" applyFill="1" applyBorder="1" applyAlignment="1" applyProtection="1">
      <alignment horizontal="right" vertical="center"/>
      <protection locked="0"/>
    </xf>
    <xf numFmtId="178" fontId="29" fillId="9" borderId="0" xfId="0" applyNumberFormat="1" applyFont="1" applyFill="1" applyBorder="1" applyAlignment="1">
      <alignment horizontal="left" vertical="center"/>
    </xf>
    <xf numFmtId="178" fontId="46" fillId="9" borderId="0" xfId="0" applyNumberFormat="1" applyFont="1" applyFill="1" applyBorder="1" applyAlignment="1" applyProtection="1">
      <alignment horizontal="right" vertical="center"/>
      <protection locked="0"/>
    </xf>
    <xf numFmtId="178" fontId="40" fillId="9" borderId="0" xfId="445" applyNumberFormat="1" applyFont="1" applyFill="1" applyBorder="1" applyAlignment="1" applyProtection="1">
      <alignment horizontal="center" vertical="center"/>
      <protection locked="0"/>
    </xf>
    <xf numFmtId="178" fontId="29" fillId="9" borderId="0" xfId="0" applyNumberFormat="1" applyFont="1" applyFill="1" applyBorder="1" applyAlignment="1" applyProtection="1">
      <alignment horizontal="left" vertical="center"/>
      <protection locked="0"/>
    </xf>
    <xf numFmtId="178" fontId="46" fillId="9" borderId="0" xfId="0" applyNumberFormat="1" applyFont="1" applyFill="1" applyBorder="1" applyAlignment="1" applyProtection="1">
      <alignment horizontal="left" vertical="center"/>
      <protection locked="0"/>
    </xf>
    <xf numFmtId="178" fontId="47" fillId="9" borderId="0" xfId="445" applyNumberFormat="1" applyFont="1" applyFill="1" applyBorder="1" applyAlignment="1" applyProtection="1">
      <alignment horizontal="center" vertical="center"/>
      <protection locked="0"/>
    </xf>
    <xf numFmtId="191" fontId="45" fillId="9" borderId="0" xfId="444" applyNumberFormat="1" applyFont="1" applyFill="1" applyBorder="1" applyAlignment="1" applyProtection="1">
      <alignment horizontal="left" vertical="center"/>
      <protection locked="0"/>
    </xf>
    <xf numFmtId="191" fontId="46" fillId="9" borderId="0" xfId="444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43" fontId="46" fillId="9" borderId="39" xfId="444" applyNumberFormat="1" applyFont="1" applyFill="1" applyBorder="1" applyAlignment="1" applyProtection="1">
      <alignment horizontal="left" vertical="center" shrinkToFit="1"/>
      <protection locked="0"/>
    </xf>
    <xf numFmtId="43" fontId="46" fillId="9" borderId="42" xfId="444" applyNumberFormat="1" applyFont="1" applyFill="1" applyBorder="1" applyAlignment="1" applyProtection="1">
      <alignment horizontal="left" vertical="center" shrinkToFit="1"/>
      <protection locked="0"/>
    </xf>
    <xf numFmtId="187" fontId="49" fillId="9" borderId="0" xfId="444" applyNumberFormat="1" applyFont="1" applyFill="1" applyBorder="1" applyAlignment="1" applyProtection="1">
      <alignment horizontal="left" vertical="center"/>
      <protection locked="0"/>
    </xf>
    <xf numFmtId="178" fontId="50" fillId="0" borderId="43" xfId="447" applyFont="1" applyFill="1" applyBorder="1" applyAlignment="1">
      <alignment horizontal="center" vertical="center" wrapText="1"/>
    </xf>
    <xf numFmtId="178" fontId="50" fillId="0" borderId="44" xfId="447" applyFont="1" applyFill="1" applyBorder="1" applyAlignment="1">
      <alignment horizontal="center" vertical="center" wrapText="1"/>
    </xf>
    <xf numFmtId="188" fontId="50" fillId="0" borderId="44" xfId="447" applyNumberFormat="1" applyFont="1" applyFill="1" applyBorder="1" applyAlignment="1">
      <alignment horizontal="center" vertical="center" wrapText="1"/>
    </xf>
    <xf numFmtId="192" fontId="50" fillId="0" borderId="44" xfId="447" applyNumberFormat="1" applyFont="1" applyFill="1" applyBorder="1" applyAlignment="1">
      <alignment horizontal="center" vertical="center" wrapText="1"/>
    </xf>
    <xf numFmtId="178" fontId="50" fillId="0" borderId="47" xfId="447" applyFont="1" applyFill="1" applyBorder="1" applyAlignment="1">
      <alignment horizontal="center" vertical="center" wrapText="1"/>
    </xf>
    <xf numFmtId="0" fontId="46" fillId="0" borderId="48" xfId="447" applyNumberFormat="1" applyFont="1" applyFill="1" applyBorder="1" applyAlignment="1">
      <alignment horizontal="center" vertical="center"/>
    </xf>
    <xf numFmtId="188" fontId="46" fillId="0" borderId="7" xfId="447" applyNumberFormat="1" applyFont="1" applyFill="1" applyBorder="1" applyAlignment="1">
      <alignment horizontal="center" vertical="center"/>
    </xf>
    <xf numFmtId="192" fontId="46" fillId="0" borderId="7" xfId="447" applyNumberFormat="1" applyFont="1" applyFill="1" applyBorder="1" applyAlignment="1">
      <alignment horizontal="right" vertical="center"/>
    </xf>
    <xf numFmtId="178" fontId="46" fillId="0" borderId="36" xfId="447" applyFont="1" applyFill="1" applyBorder="1" applyAlignment="1">
      <alignment horizontal="left" vertical="center"/>
    </xf>
    <xf numFmtId="43" fontId="46" fillId="0" borderId="7" xfId="447" applyNumberFormat="1" applyFont="1" applyFill="1" applyBorder="1" applyAlignment="1">
      <alignment vertical="center"/>
    </xf>
    <xf numFmtId="43" fontId="46" fillId="0" borderId="7" xfId="447" applyNumberFormat="1" applyFont="1" applyFill="1" applyBorder="1" applyAlignment="1">
      <alignment horizontal="center" vertical="center"/>
    </xf>
    <xf numFmtId="178" fontId="46" fillId="0" borderId="36" xfId="447" applyFont="1" applyFill="1" applyBorder="1" applyAlignment="1">
      <alignment vertical="center" wrapText="1"/>
    </xf>
    <xf numFmtId="188" fontId="52" fillId="0" borderId="7" xfId="447" applyNumberFormat="1" applyFont="1" applyFill="1" applyBorder="1" applyAlignment="1">
      <alignment horizontal="center" vertical="center"/>
    </xf>
    <xf numFmtId="192" fontId="51" fillId="0" borderId="7" xfId="447" applyNumberFormat="1" applyFont="1" applyFill="1" applyBorder="1" applyAlignment="1">
      <alignment horizontal="right" vertical="center"/>
    </xf>
    <xf numFmtId="178" fontId="46" fillId="0" borderId="36" xfId="447" applyFont="1" applyFill="1" applyBorder="1" applyAlignment="1">
      <alignment vertical="center"/>
    </xf>
    <xf numFmtId="178" fontId="46" fillId="0" borderId="7" xfId="447" applyFont="1" applyFill="1" applyBorder="1" applyAlignment="1">
      <alignment horizontal="center" vertical="center"/>
    </xf>
    <xf numFmtId="188" fontId="51" fillId="0" borderId="7" xfId="447" applyNumberFormat="1" applyFont="1" applyFill="1" applyBorder="1" applyAlignment="1">
      <alignment horizontal="center" vertical="center" wrapText="1"/>
    </xf>
    <xf numFmtId="192" fontId="29" fillId="10" borderId="7" xfId="447" applyNumberFormat="1" applyFont="1" applyFill="1" applyBorder="1" applyAlignment="1">
      <alignment vertical="center"/>
    </xf>
    <xf numFmtId="178" fontId="46" fillId="10" borderId="36" xfId="447" applyFont="1" applyFill="1" applyBorder="1" applyAlignment="1">
      <alignment horizontal="left" vertical="center"/>
    </xf>
    <xf numFmtId="192" fontId="29" fillId="10" borderId="39" xfId="447" applyNumberFormat="1" applyFont="1" applyFill="1" applyBorder="1" applyAlignment="1">
      <alignment vertical="center"/>
    </xf>
    <xf numFmtId="178" fontId="46" fillId="10" borderId="42" xfId="447" applyFont="1" applyFill="1" applyBorder="1" applyAlignment="1">
      <alignment horizontal="left" vertical="center"/>
    </xf>
    <xf numFmtId="191" fontId="45" fillId="9" borderId="0" xfId="444" applyNumberFormat="1" applyFont="1" applyFill="1" applyBorder="1" applyAlignment="1" applyProtection="1">
      <alignment horizontal="right" vertical="center"/>
      <protection locked="0"/>
    </xf>
    <xf numFmtId="178" fontId="53" fillId="9" borderId="0" xfId="0" applyNumberFormat="1" applyFont="1" applyFill="1" applyAlignment="1">
      <alignment vertical="center"/>
    </xf>
    <xf numFmtId="178" fontId="48" fillId="9" borderId="0" xfId="445" applyNumberFormat="1" applyFont="1" applyFill="1" applyBorder="1" applyAlignment="1" applyProtection="1">
      <alignment horizontal="center" vertical="center"/>
      <protection locked="0"/>
    </xf>
    <xf numFmtId="178" fontId="48" fillId="9" borderId="0" xfId="445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44" applyNumberFormat="1" applyFont="1" applyFill="1" applyBorder="1" applyAlignment="1" applyProtection="1">
      <alignment horizontal="left" vertical="center"/>
      <protection locked="0"/>
    </xf>
    <xf numFmtId="191" fontId="46" fillId="9" borderId="0" xfId="444" applyNumberFormat="1" applyFont="1" applyFill="1" applyBorder="1" applyAlignment="1" applyProtection="1">
      <alignment horizontal="right" vertical="center"/>
      <protection locked="0"/>
    </xf>
    <xf numFmtId="178" fontId="54" fillId="9" borderId="0" xfId="445" applyNumberFormat="1" applyFont="1" applyFill="1" applyBorder="1" applyAlignment="1" applyProtection="1">
      <alignment horizontal="right" vertical="center"/>
      <protection locked="0"/>
    </xf>
    <xf numFmtId="178" fontId="55" fillId="9" borderId="0" xfId="445" applyNumberFormat="1" applyFont="1" applyFill="1" applyBorder="1" applyAlignment="1" applyProtection="1">
      <alignment horizontal="left" vertical="center"/>
      <protection locked="0"/>
    </xf>
    <xf numFmtId="178" fontId="33" fillId="9" borderId="0" xfId="445" applyNumberFormat="1" applyFont="1" applyFill="1" applyBorder="1" applyAlignment="1" applyProtection="1">
      <alignment horizontal="left" vertical="center"/>
      <protection locked="0"/>
    </xf>
    <xf numFmtId="178" fontId="56" fillId="9" borderId="0" xfId="445" applyNumberFormat="1" applyFont="1" applyFill="1" applyBorder="1" applyAlignment="1" applyProtection="1">
      <alignment horizontal="left" vertical="center"/>
      <protection locked="0"/>
    </xf>
    <xf numFmtId="178" fontId="57" fillId="0" borderId="0" xfId="0" applyNumberFormat="1" applyFont="1" applyFill="1" applyAlignment="1">
      <alignment vertical="center"/>
    </xf>
    <xf numFmtId="178" fontId="33" fillId="9" borderId="0" xfId="445" applyNumberFormat="1" applyFont="1" applyFill="1" applyBorder="1" applyAlignment="1" applyProtection="1">
      <alignment horizontal="right" vertical="center"/>
      <protection locked="0"/>
    </xf>
    <xf numFmtId="49" fontId="48" fillId="9" borderId="0" xfId="445" applyNumberFormat="1" applyFont="1" applyFill="1" applyBorder="1" applyAlignment="1" applyProtection="1">
      <alignment horizontal="left" vertical="center"/>
      <protection locked="0"/>
    </xf>
    <xf numFmtId="178" fontId="46" fillId="9" borderId="0" xfId="0" applyNumberFormat="1" applyFont="1" applyFill="1" applyAlignment="1">
      <alignment vertical="center"/>
    </xf>
    <xf numFmtId="178" fontId="59" fillId="9" borderId="0" xfId="0" applyNumberFormat="1" applyFont="1" applyFill="1" applyAlignment="1">
      <alignment vertical="center"/>
    </xf>
    <xf numFmtId="178" fontId="0" fillId="0" borderId="0" xfId="0" applyNumberFormat="1" applyFill="1" applyAlignment="1">
      <alignment vertical="center" wrapText="1"/>
    </xf>
    <xf numFmtId="0" fontId="15" fillId="0" borderId="7" xfId="304" quotePrefix="1" applyFont="1" applyFill="1" applyBorder="1" applyAlignment="1">
      <alignment horizontal="center" vertical="center" wrapText="1"/>
    </xf>
    <xf numFmtId="186" fontId="14" fillId="0" borderId="7" xfId="304" quotePrefix="1" applyNumberFormat="1" applyFont="1" applyFill="1" applyBorder="1" applyAlignment="1" applyProtection="1">
      <alignment horizontal="center" vertical="center"/>
    </xf>
    <xf numFmtId="0" fontId="14" fillId="0" borderId="7" xfId="0" quotePrefix="1" applyFont="1" applyFill="1" applyBorder="1" applyAlignment="1" applyProtection="1">
      <alignment horizontal="left" vertical="center"/>
      <protection locked="0"/>
    </xf>
    <xf numFmtId="49" fontId="27" fillId="0" borderId="7" xfId="222" quotePrefix="1" applyNumberFormat="1" applyFont="1" applyFill="1" applyBorder="1" applyAlignment="1" applyProtection="1">
      <alignment vertical="center" wrapText="1"/>
    </xf>
    <xf numFmtId="178" fontId="37" fillId="9" borderId="0" xfId="445" applyFont="1" applyFill="1" applyBorder="1" applyAlignment="1">
      <alignment horizontal="center" vertical="center"/>
    </xf>
    <xf numFmtId="178" fontId="29" fillId="9" borderId="0" xfId="0" applyNumberFormat="1" applyFont="1" applyFill="1" applyBorder="1" applyAlignment="1">
      <alignment horizontal="left" vertical="center" wrapText="1"/>
    </xf>
    <xf numFmtId="178" fontId="29" fillId="9" borderId="0" xfId="0" applyNumberFormat="1" applyFont="1" applyFill="1" applyBorder="1" applyAlignment="1">
      <alignment horizontal="left" vertical="center"/>
    </xf>
    <xf numFmtId="178" fontId="29" fillId="9" borderId="21" xfId="0" applyNumberFormat="1" applyFont="1" applyFill="1" applyBorder="1" applyAlignment="1" applyProtection="1">
      <alignment horizontal="center" vertical="center"/>
      <protection locked="0"/>
    </xf>
    <xf numFmtId="178" fontId="29" fillId="9" borderId="22" xfId="0" applyNumberFormat="1" applyFont="1" applyFill="1" applyBorder="1" applyAlignment="1" applyProtection="1">
      <alignment horizontal="center" vertical="center"/>
      <protection locked="0"/>
    </xf>
    <xf numFmtId="178" fontId="29" fillId="9" borderId="23" xfId="0" applyNumberFormat="1" applyFont="1" applyFill="1" applyBorder="1" applyAlignment="1" applyProtection="1">
      <alignment horizontal="center" vertical="center"/>
      <protection locked="0"/>
    </xf>
    <xf numFmtId="178" fontId="56" fillId="9" borderId="50" xfId="445" applyNumberFormat="1" applyFont="1" applyFill="1" applyBorder="1" applyAlignment="1" applyProtection="1">
      <alignment horizontal="right" vertical="center"/>
      <protection locked="0"/>
    </xf>
    <xf numFmtId="178" fontId="56" fillId="9" borderId="0" xfId="445" applyNumberFormat="1" applyFont="1" applyFill="1" applyBorder="1" applyAlignment="1" applyProtection="1">
      <alignment horizontal="right" vertical="center"/>
      <protection locked="0"/>
    </xf>
    <xf numFmtId="178" fontId="29" fillId="9" borderId="24" xfId="446" applyNumberFormat="1" applyFont="1" applyFill="1" applyBorder="1" applyAlignment="1" applyProtection="1">
      <alignment horizontal="left" vertical="center"/>
      <protection locked="0"/>
    </xf>
    <xf numFmtId="178" fontId="29" fillId="9" borderId="9" xfId="446" applyNumberFormat="1" applyFont="1" applyFill="1" applyBorder="1" applyAlignment="1" applyProtection="1">
      <alignment horizontal="left" vertical="center"/>
      <protection locked="0"/>
    </xf>
    <xf numFmtId="178" fontId="29" fillId="9" borderId="10" xfId="446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8" fontId="56" fillId="9" borderId="0" xfId="445" applyNumberFormat="1" applyFont="1" applyFill="1" applyBorder="1" applyAlignment="1" applyProtection="1">
      <alignment horizontal="left" vertical="center"/>
      <protection locked="0"/>
    </xf>
    <xf numFmtId="178" fontId="29" fillId="9" borderId="26" xfId="446" applyNumberFormat="1" applyFont="1" applyFill="1" applyBorder="1" applyAlignment="1" applyProtection="1">
      <alignment horizontal="left" vertical="center"/>
      <protection locked="0"/>
    </xf>
    <xf numFmtId="178" fontId="29" fillId="9" borderId="27" xfId="446" applyNumberFormat="1" applyFont="1" applyFill="1" applyBorder="1" applyAlignment="1" applyProtection="1">
      <alignment horizontal="left" vertical="center"/>
      <protection locked="0"/>
    </xf>
    <xf numFmtId="178" fontId="29" fillId="9" borderId="28" xfId="446" applyNumberFormat="1" applyFont="1" applyFill="1" applyBorder="1" applyAlignment="1" applyProtection="1">
      <alignment horizontal="left" vertical="center"/>
      <protection locked="0"/>
    </xf>
    <xf numFmtId="178" fontId="29" fillId="9" borderId="29" xfId="0" applyNumberFormat="1" applyFont="1" applyFill="1" applyBorder="1" applyAlignment="1" applyProtection="1">
      <alignment horizontal="center" vertical="center" shrinkToFit="1"/>
    </xf>
    <xf numFmtId="178" fontId="29" fillId="9" borderId="27" xfId="0" applyNumberFormat="1" applyFont="1" applyFill="1" applyBorder="1" applyAlignment="1" applyProtection="1">
      <alignment horizontal="center" vertical="center" shrinkToFit="1"/>
    </xf>
    <xf numFmtId="178" fontId="29" fillId="9" borderId="30" xfId="0" applyNumberFormat="1" applyFont="1" applyFill="1" applyBorder="1" applyAlignment="1" applyProtection="1">
      <alignment horizontal="center" vertical="center" shrinkToFit="1"/>
    </xf>
    <xf numFmtId="178" fontId="56" fillId="9" borderId="0" xfId="171" applyNumberFormat="1" applyFont="1" applyFill="1" applyBorder="1" applyAlignment="1">
      <alignment horizontal="left" vertical="center"/>
    </xf>
    <xf numFmtId="178" fontId="46" fillId="9" borderId="31" xfId="444" applyNumberFormat="1" applyFont="1" applyFill="1" applyBorder="1" applyAlignment="1" applyProtection="1">
      <alignment horizontal="left" vertical="center"/>
      <protection locked="0"/>
    </xf>
    <xf numFmtId="178" fontId="46" fillId="9" borderId="32" xfId="444" applyNumberFormat="1" applyFont="1" applyFill="1" applyBorder="1" applyAlignment="1" applyProtection="1">
      <alignment horizontal="left" vertical="center"/>
      <protection locked="0"/>
    </xf>
    <xf numFmtId="178" fontId="46" fillId="9" borderId="33" xfId="444" applyNumberFormat="1" applyFont="1" applyFill="1" applyBorder="1" applyAlignment="1" applyProtection="1">
      <alignment horizontal="left" vertical="center"/>
      <protection locked="0"/>
    </xf>
    <xf numFmtId="178" fontId="46" fillId="9" borderId="34" xfId="444" applyNumberFormat="1" applyFont="1" applyFill="1" applyBorder="1" applyAlignment="1" applyProtection="1">
      <alignment horizontal="left" vertical="center"/>
      <protection locked="0"/>
    </xf>
    <xf numFmtId="178" fontId="56" fillId="9" borderId="0" xfId="171" applyNumberFormat="1" applyFont="1" applyFill="1" applyBorder="1" applyAlignment="1">
      <alignment horizontal="left" vertical="center" wrapText="1"/>
    </xf>
    <xf numFmtId="178" fontId="48" fillId="9" borderId="24" xfId="164" applyNumberFormat="1" applyFont="1" applyFill="1" applyBorder="1" applyAlignment="1">
      <alignment vertical="center"/>
    </xf>
    <xf numFmtId="178" fontId="48" fillId="9" borderId="10" xfId="164" applyNumberFormat="1" applyFont="1" applyFill="1" applyBorder="1" applyAlignment="1">
      <alignment vertical="center"/>
    </xf>
    <xf numFmtId="178" fontId="48" fillId="9" borderId="8" xfId="164" applyNumberFormat="1" applyFont="1" applyFill="1" applyBorder="1" applyAlignment="1">
      <alignment horizontal="left" vertical="center"/>
    </xf>
    <xf numFmtId="178" fontId="48" fillId="9" borderId="9" xfId="164" applyNumberFormat="1" applyFont="1" applyFill="1" applyBorder="1" applyAlignment="1">
      <alignment horizontal="left" vertical="center"/>
    </xf>
    <xf numFmtId="178" fontId="48" fillId="9" borderId="10" xfId="164" applyNumberFormat="1" applyFont="1" applyFill="1" applyBorder="1" applyAlignment="1">
      <alignment horizontal="left" vertical="center"/>
    </xf>
    <xf numFmtId="49" fontId="58" fillId="0" borderId="0" xfId="0" applyNumberFormat="1" applyFont="1" applyFill="1" applyAlignment="1">
      <alignment horizontal="center" vertical="center"/>
    </xf>
    <xf numFmtId="49" fontId="48" fillId="9" borderId="0" xfId="445" applyNumberFormat="1" applyFont="1" applyFill="1" applyBorder="1" applyAlignment="1" applyProtection="1">
      <alignment horizontal="left" vertical="center"/>
      <protection locked="0"/>
    </xf>
    <xf numFmtId="178" fontId="48" fillId="9" borderId="37" xfId="164" applyNumberFormat="1" applyFont="1" applyFill="1" applyBorder="1" applyAlignment="1">
      <alignment vertical="center"/>
    </xf>
    <xf numFmtId="178" fontId="48" fillId="9" borderId="38" xfId="164" applyNumberFormat="1" applyFont="1" applyFill="1" applyBorder="1" applyAlignment="1">
      <alignment vertical="center"/>
    </xf>
    <xf numFmtId="185" fontId="46" fillId="9" borderId="40" xfId="444" applyNumberFormat="1" applyFont="1" applyFill="1" applyBorder="1" applyAlignment="1" applyProtection="1">
      <alignment horizontal="left" vertical="center"/>
      <protection locked="0"/>
    </xf>
    <xf numFmtId="185" fontId="46" fillId="9" borderId="41" xfId="444" applyNumberFormat="1" applyFont="1" applyFill="1" applyBorder="1" applyAlignment="1" applyProtection="1">
      <alignment horizontal="left" vertical="center"/>
      <protection locked="0"/>
    </xf>
    <xf numFmtId="185" fontId="46" fillId="9" borderId="38" xfId="444" applyNumberFormat="1" applyFont="1" applyFill="1" applyBorder="1" applyAlignment="1" applyProtection="1">
      <alignment horizontal="left" vertical="center"/>
      <protection locked="0"/>
    </xf>
    <xf numFmtId="49" fontId="46" fillId="9" borderId="0" xfId="444" applyNumberFormat="1" applyFont="1" applyFill="1" applyBorder="1" applyAlignment="1" applyProtection="1">
      <alignment horizontal="left" vertical="center"/>
      <protection locked="0"/>
    </xf>
    <xf numFmtId="178" fontId="39" fillId="9" borderId="0" xfId="445" applyNumberFormat="1" applyFont="1" applyFill="1" applyBorder="1" applyAlignment="1" applyProtection="1">
      <alignment horizontal="center" vertical="center"/>
      <protection locked="0"/>
    </xf>
    <xf numFmtId="178" fontId="50" fillId="0" borderId="45" xfId="447" applyFont="1" applyFill="1" applyBorder="1" applyAlignment="1">
      <alignment horizontal="center" vertical="center" wrapText="1"/>
    </xf>
    <xf numFmtId="178" fontId="50" fillId="0" borderId="46" xfId="447" applyFont="1" applyFill="1" applyBorder="1" applyAlignment="1">
      <alignment horizontal="center" vertical="center" wrapText="1"/>
    </xf>
    <xf numFmtId="43" fontId="46" fillId="0" borderId="8" xfId="447" applyNumberFormat="1" applyFont="1" applyFill="1" applyBorder="1" applyAlignment="1">
      <alignment horizontal="left" vertical="center"/>
    </xf>
    <xf numFmtId="43" fontId="46" fillId="0" borderId="10" xfId="447" applyNumberFormat="1" applyFont="1" applyFill="1" applyBorder="1" applyAlignment="1">
      <alignment horizontal="left" vertical="center"/>
    </xf>
    <xf numFmtId="43" fontId="51" fillId="0" borderId="8" xfId="447" applyNumberFormat="1" applyFont="1" applyFill="1" applyBorder="1" applyAlignment="1">
      <alignment horizontal="center" vertical="center"/>
    </xf>
    <xf numFmtId="43" fontId="51" fillId="0" borderId="10" xfId="447" applyNumberFormat="1" applyFont="1" applyFill="1" applyBorder="1" applyAlignment="1">
      <alignment horizontal="center" vertical="center"/>
    </xf>
    <xf numFmtId="178" fontId="29" fillId="10" borderId="24" xfId="447" applyFont="1" applyFill="1" applyBorder="1" applyAlignment="1">
      <alignment horizontal="center" vertical="center"/>
    </xf>
    <xf numFmtId="178" fontId="29" fillId="10" borderId="9" xfId="447" applyFont="1" applyFill="1" applyBorder="1" applyAlignment="1">
      <alignment horizontal="center" vertical="center"/>
    </xf>
    <xf numFmtId="178" fontId="29" fillId="10" borderId="10" xfId="447" applyFont="1" applyFill="1" applyBorder="1" applyAlignment="1">
      <alignment horizontal="center" vertical="center"/>
    </xf>
    <xf numFmtId="178" fontId="29" fillId="10" borderId="37" xfId="447" applyFont="1" applyFill="1" applyBorder="1" applyAlignment="1">
      <alignment horizontal="center" vertical="center"/>
    </xf>
    <xf numFmtId="178" fontId="29" fillId="10" borderId="41" xfId="447" applyFont="1" applyFill="1" applyBorder="1" applyAlignment="1">
      <alignment horizontal="center" vertical="center"/>
    </xf>
    <xf numFmtId="178" fontId="29" fillId="10" borderId="38" xfId="447" applyFont="1" applyFill="1" applyBorder="1" applyAlignment="1">
      <alignment horizontal="center" vertical="center"/>
    </xf>
    <xf numFmtId="178" fontId="46" fillId="0" borderId="5" xfId="447" applyFont="1" applyFill="1" applyBorder="1" applyAlignment="1">
      <alignment horizontal="center" vertical="center"/>
    </xf>
    <xf numFmtId="178" fontId="46" fillId="0" borderId="49" xfId="447" applyFont="1" applyFill="1" applyBorder="1" applyAlignment="1">
      <alignment horizontal="center" vertical="center"/>
    </xf>
    <xf numFmtId="178" fontId="46" fillId="0" borderId="6" xfId="447" applyFont="1" applyFill="1" applyBorder="1" applyAlignment="1">
      <alignment horizontal="center" vertical="center"/>
    </xf>
    <xf numFmtId="178" fontId="53" fillId="9" borderId="0" xfId="0" applyNumberFormat="1" applyFont="1" applyFill="1" applyAlignment="1">
      <alignment horizontal="left" vertical="center" wrapText="1"/>
    </xf>
    <xf numFmtId="178" fontId="34" fillId="8" borderId="12" xfId="0" applyNumberFormat="1" applyFont="1" applyFill="1" applyBorder="1" applyAlignment="1">
      <alignment horizontal="center" vertical="center" wrapText="1"/>
    </xf>
    <xf numFmtId="178" fontId="34" fillId="8" borderId="11" xfId="0" applyNumberFormat="1" applyFont="1" applyFill="1" applyBorder="1" applyAlignment="1">
      <alignment horizontal="center" vertical="center" wrapText="1"/>
    </xf>
    <xf numFmtId="178" fontId="34" fillId="8" borderId="13" xfId="0" applyNumberFormat="1" applyFont="1" applyFill="1" applyBorder="1" applyAlignment="1">
      <alignment horizontal="center" vertical="center" wrapText="1"/>
    </xf>
    <xf numFmtId="178" fontId="34" fillId="8" borderId="7" xfId="0" applyNumberFormat="1" applyFont="1" applyFill="1" applyBorder="1" applyAlignment="1">
      <alignment horizontal="center" vertical="center"/>
    </xf>
    <xf numFmtId="178" fontId="34" fillId="8" borderId="7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183" fontId="34" fillId="0" borderId="17" xfId="0" applyNumberFormat="1" applyFont="1" applyFill="1" applyBorder="1" applyAlignment="1">
      <alignment horizontal="center" vertical="center"/>
    </xf>
    <xf numFmtId="183" fontId="34" fillId="0" borderId="18" xfId="0" applyNumberFormat="1" applyFont="1" applyFill="1" applyBorder="1" applyAlignment="1">
      <alignment horizontal="center" vertical="center"/>
    </xf>
    <xf numFmtId="180" fontId="26" fillId="5" borderId="0" xfId="304" applyNumberFormat="1" applyFont="1" applyFill="1" applyBorder="1" applyAlignment="1">
      <alignment horizontal="center" vertical="center"/>
    </xf>
    <xf numFmtId="0" fontId="12" fillId="3" borderId="8" xfId="71" applyNumberFormat="1" applyFont="1" applyFill="1" applyBorder="1" applyAlignment="1" applyProtection="1">
      <alignment horizontal="center" vertical="center" wrapText="1"/>
    </xf>
    <xf numFmtId="0" fontId="12" fillId="3" borderId="9" xfId="71" applyNumberFormat="1" applyFont="1" applyFill="1" applyBorder="1" applyAlignment="1" applyProtection="1">
      <alignment horizontal="center" vertical="center" wrapText="1"/>
    </xf>
    <xf numFmtId="0" fontId="12" fillId="3" borderId="10" xfId="71" applyNumberFormat="1" applyFont="1" applyFill="1" applyBorder="1" applyAlignment="1" applyProtection="1">
      <alignment horizontal="center" vertical="center" wrapText="1"/>
    </xf>
    <xf numFmtId="0" fontId="13" fillId="3" borderId="8" xfId="71" applyNumberFormat="1" applyFont="1" applyFill="1" applyBorder="1" applyAlignment="1" applyProtection="1">
      <alignment horizontal="center" vertical="center" wrapText="1"/>
    </xf>
    <xf numFmtId="0" fontId="13" fillId="3" borderId="9" xfId="71" applyNumberFormat="1" applyFont="1" applyFill="1" applyBorder="1" applyAlignment="1" applyProtection="1">
      <alignment horizontal="center" vertical="center" wrapText="1"/>
    </xf>
    <xf numFmtId="0" fontId="13" fillId="3" borderId="10" xfId="71" applyNumberFormat="1" applyFont="1" applyFill="1" applyBorder="1" applyAlignment="1" applyProtection="1">
      <alignment horizontal="center" vertical="center" wrapText="1"/>
    </xf>
    <xf numFmtId="184" fontId="11" fillId="3" borderId="5" xfId="312" applyNumberFormat="1" applyFont="1" applyFill="1" applyBorder="1" applyAlignment="1" applyProtection="1">
      <alignment horizontal="center" vertical="center"/>
    </xf>
    <xf numFmtId="184" fontId="11" fillId="3" borderId="6" xfId="312" applyNumberFormat="1" applyFont="1" applyFill="1" applyBorder="1" applyAlignment="1" applyProtection="1">
      <alignment horizontal="center" vertical="center"/>
    </xf>
    <xf numFmtId="184" fontId="8" fillId="3" borderId="5" xfId="312" applyNumberFormat="1" applyFont="1" applyFill="1" applyBorder="1" applyAlignment="1" applyProtection="1">
      <alignment horizontal="center" vertical="center"/>
    </xf>
    <xf numFmtId="184" fontId="8" fillId="3" borderId="6" xfId="312" applyNumberFormat="1" applyFont="1" applyFill="1" applyBorder="1" applyAlignment="1" applyProtection="1">
      <alignment horizontal="center" vertical="center"/>
    </xf>
    <xf numFmtId="0" fontId="8" fillId="3" borderId="5" xfId="312" applyNumberFormat="1" applyFont="1" applyFill="1" applyBorder="1" applyAlignment="1" applyProtection="1">
      <alignment horizontal="center" vertical="center" wrapText="1"/>
    </xf>
    <xf numFmtId="0" fontId="8" fillId="3" borderId="6" xfId="312" applyNumberFormat="1" applyFont="1" applyFill="1" applyBorder="1" applyAlignment="1" applyProtection="1">
      <alignment horizontal="center" vertical="center" wrapText="1"/>
    </xf>
    <xf numFmtId="0" fontId="12" fillId="3" borderId="5" xfId="71" applyNumberFormat="1" applyFont="1" applyFill="1" applyBorder="1" applyAlignment="1" applyProtection="1">
      <alignment horizontal="center" vertical="center" wrapText="1"/>
    </xf>
    <xf numFmtId="0" fontId="12" fillId="3" borderId="6" xfId="71" applyNumberFormat="1" applyFont="1" applyFill="1" applyBorder="1" applyAlignment="1" applyProtection="1">
      <alignment horizontal="center" vertical="center" wrapText="1"/>
    </xf>
    <xf numFmtId="0" fontId="13" fillId="3" borderId="5" xfId="71" applyNumberFormat="1" applyFont="1" applyFill="1" applyBorder="1" applyAlignment="1" applyProtection="1">
      <alignment horizontal="center" vertical="center" wrapText="1"/>
    </xf>
    <xf numFmtId="0" fontId="13" fillId="3" borderId="6" xfId="71" applyNumberFormat="1" applyFont="1" applyFill="1" applyBorder="1" applyAlignment="1" applyProtection="1">
      <alignment horizontal="center" vertical="center" wrapText="1"/>
    </xf>
    <xf numFmtId="14" fontId="12" fillId="3" borderId="5" xfId="71" applyNumberFormat="1" applyFont="1" applyFill="1" applyBorder="1" applyAlignment="1" applyProtection="1">
      <alignment horizontal="center" vertical="center" wrapText="1"/>
    </xf>
    <xf numFmtId="14" fontId="12" fillId="3" borderId="6" xfId="71" applyNumberFormat="1" applyFont="1" applyFill="1" applyBorder="1" applyAlignment="1" applyProtection="1">
      <alignment horizontal="center" vertical="center" wrapText="1"/>
    </xf>
    <xf numFmtId="183" fontId="13" fillId="3" borderId="5" xfId="71" applyNumberFormat="1" applyFont="1" applyFill="1" applyBorder="1" applyAlignment="1" applyProtection="1">
      <alignment horizontal="center" vertical="center" wrapText="1"/>
    </xf>
    <xf numFmtId="183" fontId="13" fillId="3" borderId="6" xfId="71" applyNumberFormat="1" applyFont="1" applyFill="1" applyBorder="1" applyAlignment="1" applyProtection="1">
      <alignment horizontal="center" vertical="center" wrapText="1"/>
    </xf>
    <xf numFmtId="0" fontId="11" fillId="3" borderId="5" xfId="312" applyNumberFormat="1" applyFont="1" applyFill="1" applyBorder="1" applyAlignment="1" applyProtection="1">
      <alignment horizontal="center" vertical="center" wrapText="1"/>
    </xf>
    <xf numFmtId="0" fontId="11" fillId="3" borderId="6" xfId="312" applyNumberFormat="1" applyFont="1" applyFill="1" applyBorder="1" applyAlignment="1" applyProtection="1">
      <alignment horizontal="center" vertical="center" wrapText="1"/>
    </xf>
    <xf numFmtId="183" fontId="8" fillId="3" borderId="5" xfId="312" applyNumberFormat="1" applyFont="1" applyFill="1" applyBorder="1" applyAlignment="1" applyProtection="1">
      <alignment horizontal="center" vertical="center" wrapText="1"/>
    </xf>
    <xf numFmtId="183" fontId="8" fillId="3" borderId="6" xfId="312" applyNumberFormat="1" applyFont="1" applyFill="1" applyBorder="1" applyAlignment="1" applyProtection="1">
      <alignment horizontal="center" vertical="center" wrapText="1"/>
    </xf>
    <xf numFmtId="49" fontId="12" fillId="3" borderId="5" xfId="71" applyNumberFormat="1" applyFont="1" applyFill="1" applyBorder="1" applyAlignment="1" applyProtection="1">
      <alignment horizontal="center" vertical="center" wrapText="1"/>
    </xf>
    <xf numFmtId="49" fontId="12" fillId="3" borderId="6" xfId="7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9">
    <cellStyle name=" 3]_x000d__x000a_Zoomed=1_x000d__x000a_Row=128_x000d__x000a_Column=101_x000d__x000a_Height=300_x000d__x000a_Width=301_x000d__x000a_FontName=System_x000d__x000a_FontStyle=1_x000d__x000a_FontSize=12_x000d__x000a_PrtFontNa" xfId="36" xr:uid="{00000000-0005-0000-0000-000045000000}"/>
    <cellStyle name="??&amp;O龡&amp;H?_x0008_??_x0007__x0001__x0001_" xfId="40" xr:uid="{00000000-0005-0000-0000-00004B000000}"/>
    <cellStyle name="??_x005f_x0011_?_x005f_x0010_?" xfId="312" xr:uid="{00000000-0005-0000-0000-000069010000}"/>
    <cellStyle name="_ET_STYLE_NoName_00_" xfId="383" xr:uid="{00000000-0005-0000-0000-0000B1010000}"/>
    <cellStyle name="_ET_STYLE_NoName_00__北区长促工资1004_3" xfId="397" xr:uid="{00000000-0005-0000-0000-0000BF010000}"/>
    <cellStyle name="_ET_STYLE_NoName_00__南区长促工资1004_5" xfId="376" xr:uid="{00000000-0005-0000-0000-0000AA010000}"/>
    <cellStyle name="_ET_STYLE_NoName_-01_ 3 3 3 2" xfId="251" xr:uid="{00000000-0005-0000-0000-00002C010000}"/>
    <cellStyle name="0,0_x000a__x000a_NA_x000a__x000a_" xfId="199" xr:uid="{00000000-0005-0000-0000-0000F8000000}"/>
    <cellStyle name="0,0_x000d__x000a_NA_x000d__x000a_" xfId="22" xr:uid="{00000000-0005-0000-0000-000029000000}"/>
    <cellStyle name="20% - 强调文字颜色 1 2" xfId="156" xr:uid="{00000000-0005-0000-0000-0000CC000000}"/>
    <cellStyle name="20% - 强调文字颜色 1 2 2" xfId="293" xr:uid="{00000000-0005-0000-0000-000056010000}"/>
    <cellStyle name="20% - 强调文字颜色 1 2 3" xfId="374" xr:uid="{00000000-0005-0000-0000-0000A8010000}"/>
    <cellStyle name="20% - 强调文字颜色 1 3" xfId="395" xr:uid="{00000000-0005-0000-0000-0000BD010000}"/>
    <cellStyle name="20% - 强调文字颜色 1 3 2" xfId="358" xr:uid="{00000000-0005-0000-0000-000098010000}"/>
    <cellStyle name="20% - 强调文字颜色 1 4" xfId="430" xr:uid="{00000000-0005-0000-0000-0000E0010000}"/>
    <cellStyle name="20% - 强调文字颜色 1 5" xfId="349" xr:uid="{00000000-0005-0000-0000-00008F010000}"/>
    <cellStyle name="20% - 强调文字颜色 2 2" xfId="439" xr:uid="{00000000-0005-0000-0000-0000E9010000}"/>
    <cellStyle name="20% - 强调文字颜色 2 2 2" xfId="151" xr:uid="{00000000-0005-0000-0000-0000C7000000}"/>
    <cellStyle name="20% - 强调文字颜色 2 2 3" xfId="143" xr:uid="{00000000-0005-0000-0000-0000BF000000}"/>
    <cellStyle name="20% - 强调文字颜色 2 3" xfId="388" xr:uid="{00000000-0005-0000-0000-0000B6010000}"/>
    <cellStyle name="20% - 强调文字颜色 2 3 2" xfId="180" xr:uid="{00000000-0005-0000-0000-0000E5000000}"/>
    <cellStyle name="20% - 强调文字颜色 2 4" xfId="402" xr:uid="{00000000-0005-0000-0000-0000C4010000}"/>
    <cellStyle name="20% - 强调文字颜色 2 5" xfId="387" xr:uid="{00000000-0005-0000-0000-0000B5010000}"/>
    <cellStyle name="20% - 强调文字颜色 3 2" xfId="126" xr:uid="{00000000-0005-0000-0000-0000AE000000}"/>
    <cellStyle name="20% - 强调文字颜色 3 2 2" xfId="160" xr:uid="{00000000-0005-0000-0000-0000D0000000}"/>
    <cellStyle name="20% - 强调文字颜色 3 2 3" xfId="215" xr:uid="{00000000-0005-0000-0000-000008010000}"/>
    <cellStyle name="20% - 强调文字颜色 3 3" xfId="32" xr:uid="{00000000-0005-0000-0000-00003F000000}"/>
    <cellStyle name="20% - 强调文字颜色 3 3 2" xfId="51" xr:uid="{00000000-0005-0000-0000-000061000000}"/>
    <cellStyle name="20% - 强调文字颜色 3 4" xfId="140" xr:uid="{00000000-0005-0000-0000-0000BC000000}"/>
    <cellStyle name="20% - 强调文字颜色 3 5" xfId="89" xr:uid="{00000000-0005-0000-0000-000089000000}"/>
    <cellStyle name="20% - 强调文字颜色 4 2" xfId="170" xr:uid="{00000000-0005-0000-0000-0000DB000000}"/>
    <cellStyle name="20% - 强调文字颜色 4 2 2" xfId="61" xr:uid="{00000000-0005-0000-0000-00006D000000}"/>
    <cellStyle name="20% - 强调文字颜色 4 2 3" xfId="279" xr:uid="{00000000-0005-0000-0000-000048010000}"/>
    <cellStyle name="20% - 强调文字颜色 4 3" xfId="78" xr:uid="{00000000-0005-0000-0000-00007E000000}"/>
    <cellStyle name="20% - 强调文字颜色 4 3 2" xfId="342" xr:uid="{00000000-0005-0000-0000-000087010000}"/>
    <cellStyle name="20% - 强调文字颜色 4 4" xfId="101" xr:uid="{00000000-0005-0000-0000-000095000000}"/>
    <cellStyle name="20% - 强调文字颜色 4 5" xfId="13" xr:uid="{00000000-0005-0000-0000-00001A000000}"/>
    <cellStyle name="20% - 强调文字颜色 5 2" xfId="360" xr:uid="{00000000-0005-0000-0000-00009A010000}"/>
    <cellStyle name="20% - 强调文字颜色 5 2 2" xfId="163" xr:uid="{00000000-0005-0000-0000-0000D4000000}"/>
    <cellStyle name="20% - 强调文字颜色 5 2 3" xfId="390" xr:uid="{00000000-0005-0000-0000-0000B8010000}"/>
    <cellStyle name="20% - 强调文字颜色 5 3" xfId="137" xr:uid="{00000000-0005-0000-0000-0000B9000000}"/>
    <cellStyle name="20% - 强调文字颜色 5 3 2" xfId="130" xr:uid="{00000000-0005-0000-0000-0000B2000000}"/>
    <cellStyle name="20% - 强调文字颜色 5 4" xfId="363" xr:uid="{00000000-0005-0000-0000-00009D010000}"/>
    <cellStyle name="20% - 强调文字颜色 5 5" xfId="254" xr:uid="{00000000-0005-0000-0000-00002F010000}"/>
    <cellStyle name="20% - 强调文字颜色 6 2" xfId="348" xr:uid="{00000000-0005-0000-0000-00008E010000}"/>
    <cellStyle name="20% - 强调文字颜色 6 2 2" xfId="231" xr:uid="{00000000-0005-0000-0000-000018010000}"/>
    <cellStyle name="20% - 强调文字颜色 6 2 3" xfId="369" xr:uid="{00000000-0005-0000-0000-0000A3010000}"/>
    <cellStyle name="20% - 强调文字颜色 6 3" xfId="59" xr:uid="{00000000-0005-0000-0000-00006B000000}"/>
    <cellStyle name="20% - 强调文字颜色 6 3 2" xfId="423" xr:uid="{00000000-0005-0000-0000-0000D9010000}"/>
    <cellStyle name="20% - 强调文字颜色 6 4" xfId="177" xr:uid="{00000000-0005-0000-0000-0000E2000000}"/>
    <cellStyle name="20% - 强调文字颜色 6 5" xfId="168" xr:uid="{00000000-0005-0000-0000-0000D9000000}"/>
    <cellStyle name="3232" xfId="164" xr:uid="{00000000-0005-0000-0000-0000D5000000}"/>
    <cellStyle name="40% - 强调文字颜色 1 2" xfId="437" xr:uid="{00000000-0005-0000-0000-0000E7010000}"/>
    <cellStyle name="40% - 强调文字颜色 1 2 2" xfId="368" xr:uid="{00000000-0005-0000-0000-0000A2010000}"/>
    <cellStyle name="40% - 强调文字颜色 1 2 3" xfId="425" xr:uid="{00000000-0005-0000-0000-0000DB010000}"/>
    <cellStyle name="40% - 强调文字颜色 1 3" xfId="436" xr:uid="{00000000-0005-0000-0000-0000E6010000}"/>
    <cellStyle name="40% - 强调文字颜色 1 3 2" xfId="112" xr:uid="{00000000-0005-0000-0000-0000A0000000}"/>
    <cellStyle name="40% - 强调文字颜色 1 4" xfId="414" xr:uid="{00000000-0005-0000-0000-0000D0010000}"/>
    <cellStyle name="40% - 强调文字颜色 1 5" xfId="323" xr:uid="{00000000-0005-0000-0000-000074010000}"/>
    <cellStyle name="40% - 强调文字颜色 2 2" xfId="375" xr:uid="{00000000-0005-0000-0000-0000A9010000}"/>
    <cellStyle name="40% - 强调文字颜色 2 2 2" xfId="410" xr:uid="{00000000-0005-0000-0000-0000CC010000}"/>
    <cellStyle name="40% - 强调文字颜色 2 2 3" xfId="403" xr:uid="{00000000-0005-0000-0000-0000C5010000}"/>
    <cellStyle name="40% - 强调文字颜色 2 3" xfId="384" xr:uid="{00000000-0005-0000-0000-0000B2010000}"/>
    <cellStyle name="40% - 强调文字颜色 2 3 2" xfId="432" xr:uid="{00000000-0005-0000-0000-0000E2010000}"/>
    <cellStyle name="40% - 强调文字颜色 2 4" xfId="191" xr:uid="{00000000-0005-0000-0000-0000F0000000}"/>
    <cellStyle name="40% - 强调文字颜色 2 5" xfId="286" xr:uid="{00000000-0005-0000-0000-00004F010000}"/>
    <cellStyle name="40% - 强调文字颜色 3 2" xfId="407" xr:uid="{00000000-0005-0000-0000-0000C9010000}"/>
    <cellStyle name="40% - 强调文字颜色 3 2 2" xfId="226" xr:uid="{00000000-0005-0000-0000-000013010000}"/>
    <cellStyle name="40% - 强调文字颜色 3 2 3" xfId="433" xr:uid="{00000000-0005-0000-0000-0000E3010000}"/>
    <cellStyle name="40% - 强调文字颜色 3 3" xfId="86" xr:uid="{00000000-0005-0000-0000-000086000000}"/>
    <cellStyle name="40% - 强调文字颜色 3 3 2" xfId="223" xr:uid="{00000000-0005-0000-0000-000010010000}"/>
    <cellStyle name="40% - 强调文字颜色 3 4" xfId="427" xr:uid="{00000000-0005-0000-0000-0000DD010000}"/>
    <cellStyle name="40% - 强调文字颜色 3 5" xfId="306" xr:uid="{00000000-0005-0000-0000-000063010000}"/>
    <cellStyle name="40% - 强调文字颜色 4 2" xfId="26" xr:uid="{00000000-0005-0000-0000-000033000000}"/>
    <cellStyle name="40% - 强调文字颜色 4 2 2" xfId="91" xr:uid="{00000000-0005-0000-0000-00008B000000}"/>
    <cellStyle name="40% - 强调文字颜色 4 2 3" xfId="55" xr:uid="{00000000-0005-0000-0000-000067000000}"/>
    <cellStyle name="40% - 强调文字颜色 4 3" xfId="69" xr:uid="{00000000-0005-0000-0000-000075000000}"/>
    <cellStyle name="40% - 强调文字颜色 4 3 2" xfId="41" xr:uid="{00000000-0005-0000-0000-00004C000000}"/>
    <cellStyle name="40% - 强调文字颜色 4 4" xfId="230" xr:uid="{00000000-0005-0000-0000-000017010000}"/>
    <cellStyle name="40% - 强调文字颜色 4 5" xfId="370" xr:uid="{00000000-0005-0000-0000-0000A4010000}"/>
    <cellStyle name="40% - 强调文字颜色 5 2" xfId="196" xr:uid="{00000000-0005-0000-0000-0000F5000000}"/>
    <cellStyle name="40% - 强调文字颜色 5 2 2" xfId="166" xr:uid="{00000000-0005-0000-0000-0000D7000000}"/>
    <cellStyle name="40% - 强调文字颜色 5 2 3" xfId="352" xr:uid="{00000000-0005-0000-0000-000092010000}"/>
    <cellStyle name="40% - 强调文字颜色 5 3" xfId="228" xr:uid="{00000000-0005-0000-0000-000015010000}"/>
    <cellStyle name="40% - 强调文字颜色 5 3 2" xfId="345" xr:uid="{00000000-0005-0000-0000-00008A010000}"/>
    <cellStyle name="40% - 强调文字颜色 5 4" xfId="424" xr:uid="{00000000-0005-0000-0000-0000DA010000}"/>
    <cellStyle name="40% - 强调文字颜色 5 5" xfId="380" xr:uid="{00000000-0005-0000-0000-0000AE010000}"/>
    <cellStyle name="40% - 强调文字颜色 6 2" xfId="260" xr:uid="{00000000-0005-0000-0000-000035010000}"/>
    <cellStyle name="40% - 强调文字颜色 6 2 2" xfId="422" xr:uid="{00000000-0005-0000-0000-0000D8010000}"/>
    <cellStyle name="40% - 强调文字颜色 6 2 3" xfId="87" xr:uid="{00000000-0005-0000-0000-000087000000}"/>
    <cellStyle name="40% - 强调文字颜色 6 3" xfId="122" xr:uid="{00000000-0005-0000-0000-0000AA000000}"/>
    <cellStyle name="40% - 强调文字颜色 6 3 2" xfId="367" xr:uid="{00000000-0005-0000-0000-0000A1010000}"/>
    <cellStyle name="40% - 强调文字颜色 6 4" xfId="145" xr:uid="{00000000-0005-0000-0000-0000C1000000}"/>
    <cellStyle name="40% - 强调文字颜色 6 5" xfId="30" xr:uid="{00000000-0005-0000-0000-00003B000000}"/>
    <cellStyle name="60% - 强调文字颜色 1 2" xfId="141" xr:uid="{00000000-0005-0000-0000-0000BD000000}"/>
    <cellStyle name="60% - 强调文字颜色 1 2 2" xfId="330" xr:uid="{00000000-0005-0000-0000-00007B010000}"/>
    <cellStyle name="60% - 强调文字颜色 1 2 3" xfId="351" xr:uid="{00000000-0005-0000-0000-000091010000}"/>
    <cellStyle name="60% - 强调文字颜色 1 3" xfId="88" xr:uid="{00000000-0005-0000-0000-000088000000}"/>
    <cellStyle name="60% - 强调文字颜色 1 3 2" xfId="416" xr:uid="{00000000-0005-0000-0000-0000D2010000}"/>
    <cellStyle name="60% - 强调文字颜色 1 4" xfId="327" xr:uid="{00000000-0005-0000-0000-000078010000}"/>
    <cellStyle name="60% - 强调文字颜色 1 5" xfId="105" xr:uid="{00000000-0005-0000-0000-000099000000}"/>
    <cellStyle name="60% - 强调文字颜色 2 2" xfId="99" xr:uid="{00000000-0005-0000-0000-000093000000}"/>
    <cellStyle name="60% - 强调文字颜色 2 2 2" xfId="20" xr:uid="{00000000-0005-0000-0000-000024000000}"/>
    <cellStyle name="60% - 强调文字颜色 2 2 3" xfId="405" xr:uid="{00000000-0005-0000-0000-0000C7010000}"/>
    <cellStyle name="60% - 强调文字颜色 2 3" xfId="15" xr:uid="{00000000-0005-0000-0000-00001C000000}"/>
    <cellStyle name="60% - 强调文字颜色 2 3 2" xfId="83" xr:uid="{00000000-0005-0000-0000-000083000000}"/>
    <cellStyle name="60% - 强调文字颜色 2 4" xfId="206" xr:uid="{00000000-0005-0000-0000-0000FF000000}"/>
    <cellStyle name="60% - 强调文字颜色 2 5" xfId="289" xr:uid="{00000000-0005-0000-0000-000052010000}"/>
    <cellStyle name="60% - 强调文字颜色 3 2" xfId="364" xr:uid="{00000000-0005-0000-0000-00009E010000}"/>
    <cellStyle name="60% - 强调文字颜色 3 2 2" xfId="238" xr:uid="{00000000-0005-0000-0000-00001F010000}"/>
    <cellStyle name="60% - 强调文字颜色 3 2 3" xfId="418" xr:uid="{00000000-0005-0000-0000-0000D4010000}"/>
    <cellStyle name="60% - 强调文字颜色 3 3" xfId="255" xr:uid="{00000000-0005-0000-0000-000030010000}"/>
    <cellStyle name="60% - 强调文字颜色 3 3 2" xfId="417" xr:uid="{00000000-0005-0000-0000-0000D3010000}"/>
    <cellStyle name="60% - 强调文字颜色 3 4" xfId="250" xr:uid="{00000000-0005-0000-0000-00002B010000}"/>
    <cellStyle name="60% - 强调文字颜色 3 5" xfId="361" xr:uid="{00000000-0005-0000-0000-00009B010000}"/>
    <cellStyle name="60% - 强调文字颜色 4 2" xfId="176" xr:uid="{00000000-0005-0000-0000-0000E1000000}"/>
    <cellStyle name="60% - 强调文字颜色 4 2 2" xfId="146" xr:uid="{00000000-0005-0000-0000-0000C2000000}"/>
    <cellStyle name="60% - 强调文字颜色 4 2 3" xfId="31" xr:uid="{00000000-0005-0000-0000-00003C000000}"/>
    <cellStyle name="60% - 强调文字颜色 4 3" xfId="167" xr:uid="{00000000-0005-0000-0000-0000D8000000}"/>
    <cellStyle name="60% - 强调文字颜色 4 3 2" xfId="179" xr:uid="{00000000-0005-0000-0000-0000E4000000}"/>
    <cellStyle name="60% - 强调文字颜色 4 4" xfId="353" xr:uid="{00000000-0005-0000-0000-000093010000}"/>
    <cellStyle name="60% - 强调文字颜色 4 5" xfId="347" xr:uid="{00000000-0005-0000-0000-00008D010000}"/>
    <cellStyle name="60% - 强调文字颜色 5 2" xfId="219" xr:uid="{00000000-0005-0000-0000-00000C010000}"/>
    <cellStyle name="60% - 强调文字颜色 5 2 2" xfId="205" xr:uid="{00000000-0005-0000-0000-0000FE000000}"/>
    <cellStyle name="60% - 强调文字颜色 5 2 3" xfId="365" xr:uid="{00000000-0005-0000-0000-00009F010000}"/>
    <cellStyle name="60% - 强调文字颜色 5 3" xfId="346" xr:uid="{00000000-0005-0000-0000-00008B010000}"/>
    <cellStyle name="60% - 强调文字颜色 5 3 2" xfId="284" xr:uid="{00000000-0005-0000-0000-00004D010000}"/>
    <cellStyle name="60% - 强调文字颜色 5 4" xfId="217" xr:uid="{00000000-0005-0000-0000-00000A010000}"/>
    <cellStyle name="60% - 强调文字颜色 5 5" xfId="373" xr:uid="{00000000-0005-0000-0000-0000A7010000}"/>
    <cellStyle name="60% - 强调文字颜色 6 2" xfId="338" xr:uid="{00000000-0005-0000-0000-000083010000}"/>
    <cellStyle name="60% - 强调文字颜色 6 2 2" xfId="272" xr:uid="{00000000-0005-0000-0000-000041010000}"/>
    <cellStyle name="60% - 强调文字颜色 6 2 3" xfId="234" xr:uid="{00000000-0005-0000-0000-00001B010000}"/>
    <cellStyle name="60% - 强调文字颜色 6 3" xfId="209" xr:uid="{00000000-0005-0000-0000-000002010000}"/>
    <cellStyle name="60% - 强调文字颜色 6 3 2" xfId="9" xr:uid="{00000000-0005-0000-0000-000012000000}"/>
    <cellStyle name="60% - 强调文字颜色 6 4" xfId="201" xr:uid="{00000000-0005-0000-0000-0000FA000000}"/>
    <cellStyle name="60% - 强调文字颜色 6 5" xfId="343" xr:uid="{00000000-0005-0000-0000-000088010000}"/>
    <cellStyle name="Comma_SALARYBJ" xfId="242" xr:uid="{00000000-0005-0000-0000-000023010000}"/>
    <cellStyle name="Normal_08'前程工资8月" xfId="233" xr:uid="{00000000-0005-0000-0000-00001A010000}"/>
    <cellStyle name="百分比 2" xfId="332" xr:uid="{00000000-0005-0000-0000-00007D010000}"/>
    <cellStyle name="百分比 2 2" xfId="329" xr:uid="{00000000-0005-0000-0000-00007A010000}"/>
    <cellStyle name="百分比 3" xfId="129" xr:uid="{00000000-0005-0000-0000-0000B1000000}"/>
    <cellStyle name="百分比 4" xfId="21" xr:uid="{00000000-0005-0000-0000-000027000000}"/>
    <cellStyle name="标题 1 2" xfId="58" xr:uid="{00000000-0005-0000-0000-00006A000000}"/>
    <cellStyle name="标题 1 2 2" xfId="102" xr:uid="{00000000-0005-0000-0000-000096000000}"/>
    <cellStyle name="标题 1 2 3" xfId="326" xr:uid="{00000000-0005-0000-0000-000077010000}"/>
    <cellStyle name="标题 1 3" xfId="132" xr:uid="{00000000-0005-0000-0000-0000B4000000}"/>
    <cellStyle name="标题 1 3 2" xfId="322" xr:uid="{00000000-0005-0000-0000-000073010000}"/>
    <cellStyle name="标题 1 4" xfId="325" xr:uid="{00000000-0005-0000-0000-000076010000}"/>
    <cellStyle name="标题 1 5" xfId="266" xr:uid="{00000000-0005-0000-0000-00003B010000}"/>
    <cellStyle name="标题 2 2" xfId="77" xr:uid="{00000000-0005-0000-0000-00007D000000}"/>
    <cellStyle name="标题 2 2 2" xfId="285" xr:uid="{00000000-0005-0000-0000-00004E010000}"/>
    <cellStyle name="标题 2 2 3" xfId="267" xr:uid="{00000000-0005-0000-0000-00003C010000}"/>
    <cellStyle name="标题 2 3" xfId="218" xr:uid="{00000000-0005-0000-0000-00000B010000}"/>
    <cellStyle name="标题 2 3 2" xfId="305" xr:uid="{00000000-0005-0000-0000-000062010000}"/>
    <cellStyle name="标题 2 4" xfId="385" xr:uid="{00000000-0005-0000-0000-0000B3010000}"/>
    <cellStyle name="标题 2 5" xfId="248" xr:uid="{00000000-0005-0000-0000-000029010000}"/>
    <cellStyle name="标题 3 2" xfId="210" xr:uid="{00000000-0005-0000-0000-000003010000}"/>
    <cellStyle name="标题 3 2 2" xfId="154" xr:uid="{00000000-0005-0000-0000-0000CA000000}"/>
    <cellStyle name="标题 3 2 3" xfId="63" xr:uid="{00000000-0005-0000-0000-00006F000000}"/>
    <cellStyle name="标题 3 3" xfId="320" xr:uid="{00000000-0005-0000-0000-000071010000}"/>
    <cellStyle name="标题 3 3 2" xfId="302" xr:uid="{00000000-0005-0000-0000-00005F010000}"/>
    <cellStyle name="标题 3 4" xfId="319" xr:uid="{00000000-0005-0000-0000-000070010000}"/>
    <cellStyle name="标题 3 5" xfId="316" xr:uid="{00000000-0005-0000-0000-00006D010000}"/>
    <cellStyle name="标题 4 2" xfId="118" xr:uid="{00000000-0005-0000-0000-0000A6000000}"/>
    <cellStyle name="标题 4 2 2" xfId="382" xr:uid="{00000000-0005-0000-0000-0000B0010000}"/>
    <cellStyle name="标题 4 2 3" xfId="413" xr:uid="{00000000-0005-0000-0000-0000CF010000}"/>
    <cellStyle name="标题 4 3" xfId="116" xr:uid="{00000000-0005-0000-0000-0000A4000000}"/>
    <cellStyle name="标题 4 3 2" xfId="314" xr:uid="{00000000-0005-0000-0000-00006B010000}"/>
    <cellStyle name="标题 4 4" xfId="92" xr:uid="{00000000-0005-0000-0000-00008C000000}"/>
    <cellStyle name="标题 4 5" xfId="54" xr:uid="{00000000-0005-0000-0000-000066000000}"/>
    <cellStyle name="标题 5" xfId="281" xr:uid="{00000000-0005-0000-0000-00004A010000}"/>
    <cellStyle name="标题 5 2" xfId="186" xr:uid="{00000000-0005-0000-0000-0000EB000000}"/>
    <cellStyle name="标题 5 3" xfId="113" xr:uid="{00000000-0005-0000-0000-0000A1000000}"/>
    <cellStyle name="标题 6" xfId="275" xr:uid="{00000000-0005-0000-0000-000044010000}"/>
    <cellStyle name="标题 6 2" xfId="256" xr:uid="{00000000-0005-0000-0000-000031010000}"/>
    <cellStyle name="标题 7" xfId="182" xr:uid="{00000000-0005-0000-0000-0000E7000000}"/>
    <cellStyle name="标题 8" xfId="429" xr:uid="{00000000-0005-0000-0000-0000DF010000}"/>
    <cellStyle name="差 2" xfId="371" xr:uid="{00000000-0005-0000-0000-0000A5010000}"/>
    <cellStyle name="差 2 2" xfId="310" xr:uid="{00000000-0005-0000-0000-000067010000}"/>
    <cellStyle name="差 2 3" xfId="311" xr:uid="{00000000-0005-0000-0000-000068010000}"/>
    <cellStyle name="差 3" xfId="400" xr:uid="{00000000-0005-0000-0000-0000C2010000}"/>
    <cellStyle name="差 3 2" xfId="334" xr:uid="{00000000-0005-0000-0000-00007F010000}"/>
    <cellStyle name="差 4" xfId="333" xr:uid="{00000000-0005-0000-0000-00007E010000}"/>
    <cellStyle name="差 5" xfId="128" xr:uid="{00000000-0005-0000-0000-0000B0000000}"/>
    <cellStyle name="常规" xfId="0" builtinId="0"/>
    <cellStyle name="常规 10" xfId="448" xr:uid="{00000000-0005-0000-0000-0000F2010000}"/>
    <cellStyle name="常规 10 10" xfId="303" xr:uid="{00000000-0005-0000-0000-000060010000}"/>
    <cellStyle name="常规 11" xfId="304" xr:uid="{00000000-0005-0000-0000-000061010000}"/>
    <cellStyle name="常规 11 2" xfId="309" xr:uid="{00000000-0005-0000-0000-000066010000}"/>
    <cellStyle name="常规 11 3" xfId="340" xr:uid="{00000000-0005-0000-0000-000085010000}"/>
    <cellStyle name="常规 12" xfId="354" xr:uid="{00000000-0005-0000-0000-000094010000}"/>
    <cellStyle name="常规 12 2" xfId="308" xr:uid="{00000000-0005-0000-0000-000065010000}"/>
    <cellStyle name="常规 12 3" xfId="307" xr:uid="{00000000-0005-0000-0000-000064010000}"/>
    <cellStyle name="常规 14" xfId="184" xr:uid="{00000000-0005-0000-0000-0000E9000000}"/>
    <cellStyle name="常规 14 2" xfId="299" xr:uid="{00000000-0005-0000-0000-00005C010000}"/>
    <cellStyle name="常规 14 3" xfId="270" xr:uid="{00000000-0005-0000-0000-00003F010000}"/>
    <cellStyle name="常规 18" xfId="173" xr:uid="{00000000-0005-0000-0000-0000DE000000}"/>
    <cellStyle name="常规 2" xfId="431" xr:uid="{00000000-0005-0000-0000-0000E1010000}"/>
    <cellStyle name="常规 2 2" xfId="419" xr:uid="{00000000-0005-0000-0000-0000D5010000}"/>
    <cellStyle name="常规 2 2 2" xfId="298" xr:uid="{00000000-0005-0000-0000-00005B010000}"/>
    <cellStyle name="常规 2 2 2 2" xfId="406" xr:uid="{00000000-0005-0000-0000-0000C8010000}"/>
    <cellStyle name="常规 2 2 3" xfId="428" xr:uid="{00000000-0005-0000-0000-0000DE010000}"/>
    <cellStyle name="常规 2 3" xfId="64" xr:uid="{00000000-0005-0000-0000-000070000000}"/>
    <cellStyle name="常规 2 3 2" xfId="161" xr:uid="{00000000-0005-0000-0000-0000D2000000}"/>
    <cellStyle name="常规 2 3 2 2" xfId="339" xr:uid="{00000000-0005-0000-0000-000084010000}"/>
    <cellStyle name="常规 2 3 2 3" xfId="294" xr:uid="{00000000-0005-0000-0000-000057010000}"/>
    <cellStyle name="常规 2 3 3" xfId="288" xr:uid="{00000000-0005-0000-0000-000051010000}"/>
    <cellStyle name="常规 2 3 4" xfId="287" xr:uid="{00000000-0005-0000-0000-000050010000}"/>
    <cellStyle name="常规 2 4" xfId="133" xr:uid="{00000000-0005-0000-0000-0000B5000000}"/>
    <cellStyle name="常规 2 4 2" xfId="394" xr:uid="{00000000-0005-0000-0000-0000BC010000}"/>
    <cellStyle name="常规 2 5" xfId="264" xr:uid="{00000000-0005-0000-0000-000039010000}"/>
    <cellStyle name="常规 2 5 2" xfId="262" xr:uid="{00000000-0005-0000-0000-000037010000}"/>
    <cellStyle name="常规 2 6" xfId="220" xr:uid="{00000000-0005-0000-0000-00000D010000}"/>
    <cellStyle name="常规 2 6 2" xfId="202" xr:uid="{00000000-0005-0000-0000-0000FB000000}"/>
    <cellStyle name="常规 2 6 2 2" xfId="297" xr:uid="{00000000-0005-0000-0000-00005A010000}"/>
    <cellStyle name="常规 20" xfId="178" xr:uid="{00000000-0005-0000-0000-0000E3000000}"/>
    <cellStyle name="常规 21" xfId="442" xr:uid="{00000000-0005-0000-0000-0000EC010000}"/>
    <cellStyle name="常规 22" xfId="295" xr:uid="{00000000-0005-0000-0000-000058010000}"/>
    <cellStyle name="常规 25" xfId="222" xr:uid="{00000000-0005-0000-0000-00000F010000}"/>
    <cellStyle name="常规 26" xfId="25" xr:uid="{00000000-0005-0000-0000-000031000000}"/>
    <cellStyle name="常规 27" xfId="331" xr:uid="{00000000-0005-0000-0000-00007C010000}"/>
    <cellStyle name="常规 29" xfId="443" xr:uid="{00000000-0005-0000-0000-0000ED010000}"/>
    <cellStyle name="常规 3" xfId="171" xr:uid="{00000000-0005-0000-0000-0000DC000000}"/>
    <cellStyle name="常规 3 2" xfId="60" xr:uid="{00000000-0005-0000-0000-00006C000000}"/>
    <cellStyle name="常规 3 2 2" xfId="74" xr:uid="{00000000-0005-0000-0000-00007A000000}"/>
    <cellStyle name="常规 3 3" xfId="280" xr:uid="{00000000-0005-0000-0000-000049010000}"/>
    <cellStyle name="常规 3 3 2" xfId="277" xr:uid="{00000000-0005-0000-0000-000046010000}"/>
    <cellStyle name="常规 3 3 3" xfId="276" xr:uid="{00000000-0005-0000-0000-000045010000}"/>
    <cellStyle name="常规 3 4" xfId="148" xr:uid="{00000000-0005-0000-0000-0000C4000000}"/>
    <cellStyle name="常规 3 4 2" xfId="434" xr:uid="{00000000-0005-0000-0000-0000E4010000}"/>
    <cellStyle name="常规 3 4 3" xfId="6" xr:uid="{00000000-0005-0000-0000-00000B000000}"/>
    <cellStyle name="常规 3 5" xfId="211" xr:uid="{00000000-0005-0000-0000-000004010000}"/>
    <cellStyle name="常规 3 5 2" xfId="194" xr:uid="{00000000-0005-0000-0000-0000F3000000}"/>
    <cellStyle name="常规 3 5 3" xfId="274" xr:uid="{00000000-0005-0000-0000-000043010000}"/>
    <cellStyle name="常规 4" xfId="80" xr:uid="{00000000-0005-0000-0000-000080000000}"/>
    <cellStyle name="常规 4 2" xfId="341" xr:uid="{00000000-0005-0000-0000-000086010000}"/>
    <cellStyle name="常规 4 2 2" xfId="2" xr:uid="{00000000-0005-0000-0000-000002000000}"/>
    <cellStyle name="常规 4 3" xfId="98" xr:uid="{00000000-0005-0000-0000-000092000000}"/>
    <cellStyle name="常规 4 4" xfId="1" xr:uid="{00000000-0005-0000-0000-000001000000}"/>
    <cellStyle name="常规 5" xfId="100" xr:uid="{00000000-0005-0000-0000-000094000000}"/>
    <cellStyle name="常规 5 2" xfId="18" xr:uid="{00000000-0005-0000-0000-000022000000}"/>
    <cellStyle name="常规 6" xfId="14" xr:uid="{00000000-0005-0000-0000-00001B000000}"/>
    <cellStyle name="常规 6 2" xfId="81" xr:uid="{00000000-0005-0000-0000-000081000000}"/>
    <cellStyle name="常规 7" xfId="207" xr:uid="{00000000-0005-0000-0000-000000010000}"/>
    <cellStyle name="常规 7 2" xfId="271" xr:uid="{00000000-0005-0000-0000-000040010000}"/>
    <cellStyle name="常规 7 3" xfId="8" xr:uid="{00000000-0005-0000-0000-00000F000000}"/>
    <cellStyle name="常规 8" xfId="290" xr:uid="{00000000-0005-0000-0000-000053010000}"/>
    <cellStyle name="常规 8 2" xfId="34" xr:uid="{00000000-0005-0000-0000-000042000000}"/>
    <cellStyle name="常规 8 3" xfId="28" xr:uid="{00000000-0005-0000-0000-000036000000}"/>
    <cellStyle name="常规 8 4" xfId="192" xr:uid="{00000000-0005-0000-0000-0000F1000000}"/>
    <cellStyle name="常规 9" xfId="292" xr:uid="{00000000-0005-0000-0000-000055010000}"/>
    <cellStyle name="常规_0705 UL South CS meeting (chonghua)" xfId="447" xr:uid="{00000000-0005-0000-0000-0000F1010000}"/>
    <cellStyle name="常规_Sheet1" xfId="245" xr:uid="{00000000-0005-0000-0000-000026010000}"/>
    <cellStyle name="常规_付款通知书智联（神数系统）" xfId="71" xr:uid="{00000000-0005-0000-0000-000077000000}"/>
    <cellStyle name="好 2" xfId="350" xr:uid="{00000000-0005-0000-0000-000090010000}"/>
    <cellStyle name="好 2 2" xfId="441" xr:uid="{00000000-0005-0000-0000-0000EB010000}"/>
    <cellStyle name="好 2 3" xfId="197" xr:uid="{00000000-0005-0000-0000-0000F6000000}"/>
    <cellStyle name="好 3" xfId="300" xr:uid="{00000000-0005-0000-0000-00005D010000}"/>
    <cellStyle name="好 3 2" xfId="268" xr:uid="{00000000-0005-0000-0000-00003D010000}"/>
    <cellStyle name="好 4" xfId="269" xr:uid="{00000000-0005-0000-0000-00003E010000}"/>
    <cellStyle name="好 5" xfId="155" xr:uid="{00000000-0005-0000-0000-0000CB000000}"/>
    <cellStyle name="汇总 2" xfId="237" xr:uid="{00000000-0005-0000-0000-00001E010000}"/>
    <cellStyle name="汇总 2 2" xfId="117" xr:uid="{00000000-0005-0000-0000-0000A5000000}"/>
    <cellStyle name="汇总 2 2 2" xfId="313" xr:uid="{00000000-0005-0000-0000-00006A010000}"/>
    <cellStyle name="汇总 2 3" xfId="94" xr:uid="{00000000-0005-0000-0000-00008E000000}"/>
    <cellStyle name="汇总 2 3 2" xfId="357" xr:uid="{00000000-0005-0000-0000-000097010000}"/>
    <cellStyle name="汇总 2 4" xfId="57" xr:uid="{00000000-0005-0000-0000-000069000000}"/>
    <cellStyle name="汇总 3" xfId="321" xr:uid="{00000000-0005-0000-0000-000072010000}"/>
    <cellStyle name="汇总 3 2" xfId="115" xr:uid="{00000000-0005-0000-0000-0000A3000000}"/>
    <cellStyle name="汇总 3 2 2" xfId="46" xr:uid="{00000000-0005-0000-0000-000056000000}"/>
    <cellStyle name="汇总 3 3" xfId="42" xr:uid="{00000000-0005-0000-0000-00004D000000}"/>
    <cellStyle name="汇总 4" xfId="404" xr:uid="{00000000-0005-0000-0000-0000C6010000}"/>
    <cellStyle name="汇总 4 2" xfId="252" xr:uid="{00000000-0005-0000-0000-00002D010000}"/>
    <cellStyle name="汇总 5" xfId="420" xr:uid="{00000000-0005-0000-0000-0000D6010000}"/>
    <cellStyle name="汇总 5 2" xfId="247" xr:uid="{00000000-0005-0000-0000-000028010000}"/>
    <cellStyle name="计算 2" xfId="7" xr:uid="{00000000-0005-0000-0000-00000D000000}"/>
    <cellStyle name="计算 2 2" xfId="408" xr:uid="{00000000-0005-0000-0000-0000CA010000}"/>
    <cellStyle name="计算 2 2 2" xfId="227" xr:uid="{00000000-0005-0000-0000-000014010000}"/>
    <cellStyle name="计算 2 3" xfId="85" xr:uid="{00000000-0005-0000-0000-000085000000}"/>
    <cellStyle name="计算 2 3 2" xfId="224" xr:uid="{00000000-0005-0000-0000-000011010000}"/>
    <cellStyle name="计算 2 4" xfId="426" xr:uid="{00000000-0005-0000-0000-0000DC010000}"/>
    <cellStyle name="计算 3" xfId="47" xr:uid="{00000000-0005-0000-0000-000058000000}"/>
    <cellStyle name="计算 3 2" xfId="27" xr:uid="{00000000-0005-0000-0000-000034000000}"/>
    <cellStyle name="计算 3 2 2" xfId="93" xr:uid="{00000000-0005-0000-0000-00008D000000}"/>
    <cellStyle name="计算 3 3" xfId="67" xr:uid="{00000000-0005-0000-0000-000073000000}"/>
    <cellStyle name="计算 4" xfId="48" xr:uid="{00000000-0005-0000-0000-00005B000000}"/>
    <cellStyle name="计算 4 2" xfId="198" xr:uid="{00000000-0005-0000-0000-0000F7000000}"/>
    <cellStyle name="计算 5" xfId="52" xr:uid="{00000000-0005-0000-0000-000062000000}"/>
    <cellStyle name="计算 5 2" xfId="261" xr:uid="{00000000-0005-0000-0000-000036010000}"/>
    <cellStyle name="检查单元格 2" xfId="90" xr:uid="{00000000-0005-0000-0000-00008A000000}"/>
    <cellStyle name="检查单元格 2 2" xfId="356" xr:uid="{00000000-0005-0000-0000-000096010000}"/>
    <cellStyle name="检查单元格 2 3" xfId="438" xr:uid="{00000000-0005-0000-0000-0000E8010000}"/>
    <cellStyle name="检查单元格 3" xfId="56" xr:uid="{00000000-0005-0000-0000-000068000000}"/>
    <cellStyle name="检查单元格 3 2" xfId="37" xr:uid="{00000000-0005-0000-0000-000046000000}"/>
    <cellStyle name="检查单元格 4" xfId="249" xr:uid="{00000000-0005-0000-0000-00002A010000}"/>
    <cellStyle name="检查单元格 5" xfId="258" xr:uid="{00000000-0005-0000-0000-000033010000}"/>
    <cellStyle name="解释性文本 2" xfId="244" xr:uid="{00000000-0005-0000-0000-000025010000}"/>
    <cellStyle name="解释性文本 2 2" xfId="16" xr:uid="{00000000-0005-0000-0000-00001E000000}"/>
    <cellStyle name="解释性文本 2 3" xfId="282" xr:uid="{00000000-0005-0000-0000-00004B010000}"/>
    <cellStyle name="解释性文本 3" xfId="366" xr:uid="{00000000-0005-0000-0000-0000A0010000}"/>
    <cellStyle name="解释性文本 3 2" xfId="377" xr:uid="{00000000-0005-0000-0000-0000AB010000}"/>
    <cellStyle name="解释性文本 4" xfId="66" xr:uid="{00000000-0005-0000-0000-000072000000}"/>
    <cellStyle name="解释性文本 5" xfId="372" xr:uid="{00000000-0005-0000-0000-0000A6010000}"/>
    <cellStyle name="警告文本 2" xfId="70" xr:uid="{00000000-0005-0000-0000-000076000000}"/>
    <cellStyle name="警告文本 2 2" xfId="104" xr:uid="{00000000-0005-0000-0000-000098000000}"/>
    <cellStyle name="警告文本 2 3" xfId="243" xr:uid="{00000000-0005-0000-0000-000024010000}"/>
    <cellStyle name="警告文本 3" xfId="11" xr:uid="{00000000-0005-0000-0000-000017000000}"/>
    <cellStyle name="警告文本 3 2" xfId="291" xr:uid="{00000000-0005-0000-0000-000054010000}"/>
    <cellStyle name="警告文本 4" xfId="240" xr:uid="{00000000-0005-0000-0000-000021010000}"/>
    <cellStyle name="警告文本 5" xfId="236" xr:uid="{00000000-0005-0000-0000-00001D010000}"/>
    <cellStyle name="链接单元格 2" xfId="149" xr:uid="{00000000-0005-0000-0000-0000C5000000}"/>
    <cellStyle name="链接单元格 2 2" xfId="107" xr:uid="{00000000-0005-0000-0000-00009B000000}"/>
    <cellStyle name="链接单元格 2 3" xfId="396" xr:uid="{00000000-0005-0000-0000-0000BE010000}"/>
    <cellStyle name="链接单元格 3" xfId="38" xr:uid="{00000000-0005-0000-0000-000048000000}"/>
    <cellStyle name="链接单元格 3 2" xfId="157" xr:uid="{00000000-0005-0000-0000-0000CD000000}"/>
    <cellStyle name="链接单元格 4" xfId="44" xr:uid="{00000000-0005-0000-0000-000050000000}"/>
    <cellStyle name="链接单元格 5" xfId="4" xr:uid="{00000000-0005-0000-0000-000006000000}"/>
    <cellStyle name="千位分隔 2" xfId="391" xr:uid="{00000000-0005-0000-0000-0000B9010000}"/>
    <cellStyle name="千位分隔 2 2" xfId="421" xr:uid="{00000000-0005-0000-0000-0000D7010000}"/>
    <cellStyle name="千位分隔 3" xfId="119" xr:uid="{00000000-0005-0000-0000-0000A7000000}"/>
    <cellStyle name="强调文字颜色 1 2" xfId="318" xr:uid="{00000000-0005-0000-0000-00006F010000}"/>
    <cellStyle name="强调文字颜色 1 2 2" xfId="399" xr:uid="{00000000-0005-0000-0000-0000C1010000}"/>
    <cellStyle name="强调文字颜色 1 2 3" xfId="19" xr:uid="{00000000-0005-0000-0000-000023000000}"/>
    <cellStyle name="强调文字颜色 1 3" xfId="315" xr:uid="{00000000-0005-0000-0000-00006C010000}"/>
    <cellStyle name="强调文字颜色 1 3 2" xfId="103" xr:uid="{00000000-0005-0000-0000-000097000000}"/>
    <cellStyle name="强调文字颜色 1 4" xfId="187" xr:uid="{00000000-0005-0000-0000-0000EC000000}"/>
    <cellStyle name="强调文字颜色 1 5" xfId="114" xr:uid="{00000000-0005-0000-0000-0000A2000000}"/>
    <cellStyle name="强调文字颜色 2 2" xfId="84" xr:uid="{00000000-0005-0000-0000-000084000000}"/>
    <cellStyle name="强调文字颜色 2 2 2" xfId="241" xr:uid="{00000000-0005-0000-0000-000022010000}"/>
    <cellStyle name="强调文字颜色 2 2 3" xfId="239" xr:uid="{00000000-0005-0000-0000-000020010000}"/>
    <cellStyle name="强调文字颜色 2 3" xfId="362" xr:uid="{00000000-0005-0000-0000-00009C010000}"/>
    <cellStyle name="强调文字颜色 2 3 2" xfId="5" xr:uid="{00000000-0005-0000-0000-000008000000}"/>
    <cellStyle name="强调文字颜色 2 4" xfId="257" xr:uid="{00000000-0005-0000-0000-000032010000}"/>
    <cellStyle name="强调文字颜色 2 5" xfId="253" xr:uid="{00000000-0005-0000-0000-00002E010000}"/>
    <cellStyle name="强调文字颜色 3 2" xfId="110" xr:uid="{00000000-0005-0000-0000-00009E000000}"/>
    <cellStyle name="强调文字颜色 3 2 2" xfId="121" xr:uid="{00000000-0005-0000-0000-0000A9000000}"/>
    <cellStyle name="强调文字颜色 3 2 3" xfId="147" xr:uid="{00000000-0005-0000-0000-0000C3000000}"/>
    <cellStyle name="强调文字颜色 3 3" xfId="225" xr:uid="{00000000-0005-0000-0000-000012010000}"/>
    <cellStyle name="强调文字颜色 3 3 2" xfId="185" xr:uid="{00000000-0005-0000-0000-0000EA000000}"/>
    <cellStyle name="强调文字颜色 3 4" xfId="355" xr:uid="{00000000-0005-0000-0000-000095010000}"/>
    <cellStyle name="强调文字颜色 3 5" xfId="246" xr:uid="{00000000-0005-0000-0000-000027010000}"/>
    <cellStyle name="强调文字颜色 4 2" xfId="265" xr:uid="{00000000-0005-0000-0000-00003A010000}"/>
    <cellStyle name="强调文字颜色 4 2 2" xfId="263" xr:uid="{00000000-0005-0000-0000-000038010000}"/>
    <cellStyle name="强调文字颜色 4 2 3" xfId="204" xr:uid="{00000000-0005-0000-0000-0000FD000000}"/>
    <cellStyle name="强调文字颜色 4 3" xfId="221" xr:uid="{00000000-0005-0000-0000-00000E010000}"/>
    <cellStyle name="强调文字颜色 4 3 2" xfId="203" xr:uid="{00000000-0005-0000-0000-0000FC000000}"/>
    <cellStyle name="强调文字颜色 4 4" xfId="344" xr:uid="{00000000-0005-0000-0000-000089010000}"/>
    <cellStyle name="强调文字颜色 4 5" xfId="214" xr:uid="{00000000-0005-0000-0000-000007010000}"/>
    <cellStyle name="强调文字颜色 5 2" xfId="212" xr:uid="{00000000-0005-0000-0000-000005010000}"/>
    <cellStyle name="强调文字颜色 5 2 2" xfId="195" xr:uid="{00000000-0005-0000-0000-0000F4000000}"/>
    <cellStyle name="强调文字颜色 5 2 3" xfId="273" xr:uid="{00000000-0005-0000-0000-000042010000}"/>
    <cellStyle name="强调文字颜色 5 3" xfId="336" xr:uid="{00000000-0005-0000-0000-000081010000}"/>
    <cellStyle name="强调文字颜色 5 3 2" xfId="328" xr:uid="{00000000-0005-0000-0000-000079010000}"/>
    <cellStyle name="强调文字颜色 5 4" xfId="208" xr:uid="{00000000-0005-0000-0000-000001010000}"/>
    <cellStyle name="强调文字颜色 5 5" xfId="200" xr:uid="{00000000-0005-0000-0000-0000F9000000}"/>
    <cellStyle name="强调文字颜色 6 2" xfId="335" xr:uid="{00000000-0005-0000-0000-000080010000}"/>
    <cellStyle name="强调文字颜色 6 2 2" xfId="415" xr:uid="{00000000-0005-0000-0000-0000D1010000}"/>
    <cellStyle name="强调文字颜色 6 2 3" xfId="324" xr:uid="{00000000-0005-0000-0000-000075010000}"/>
    <cellStyle name="强调文字颜色 6 3" xfId="378" xr:uid="{00000000-0005-0000-0000-0000AC010000}"/>
    <cellStyle name="强调文字颜色 6 3 2" xfId="193" xr:uid="{00000000-0005-0000-0000-0000F2000000}"/>
    <cellStyle name="强调文字颜色 6 4" xfId="95" xr:uid="{00000000-0005-0000-0000-00008F000000}"/>
    <cellStyle name="强调文字颜色 6 5" xfId="190" xr:uid="{00000000-0005-0000-0000-0000EF000000}"/>
    <cellStyle name="适中 2" xfId="50" xr:uid="{00000000-0005-0000-0000-000060000000}"/>
    <cellStyle name="适中 2 2" xfId="259" xr:uid="{00000000-0005-0000-0000-000034010000}"/>
    <cellStyle name="适中 2 3" xfId="120" xr:uid="{00000000-0005-0000-0000-0000A8000000}"/>
    <cellStyle name="适中 3" xfId="232" xr:uid="{00000000-0005-0000-0000-000019010000}"/>
    <cellStyle name="适中 3 2" xfId="392" xr:uid="{00000000-0005-0000-0000-0000BA010000}"/>
    <cellStyle name="适中 4" xfId="75" xr:uid="{00000000-0005-0000-0000-00007B000000}"/>
    <cellStyle name="适中 5" xfId="235" xr:uid="{00000000-0005-0000-0000-00001C010000}"/>
    <cellStyle name="输出 2" xfId="43" xr:uid="{00000000-0005-0000-0000-00004F000000}"/>
    <cellStyle name="输出 2 2" xfId="440" xr:uid="{00000000-0005-0000-0000-0000EA010000}"/>
    <cellStyle name="输出 2 2 2" xfId="152" xr:uid="{00000000-0005-0000-0000-0000C8000000}"/>
    <cellStyle name="输出 2 2 2 2" xfId="317" xr:uid="{00000000-0005-0000-0000-00006E010000}"/>
    <cellStyle name="输出 2 2 3" xfId="144" xr:uid="{00000000-0005-0000-0000-0000C0000000}"/>
    <cellStyle name="输出 2 3" xfId="389" xr:uid="{00000000-0005-0000-0000-0000B7010000}"/>
    <cellStyle name="输出 2 3 2" xfId="181" xr:uid="{00000000-0005-0000-0000-0000E6000000}"/>
    <cellStyle name="输出 2 3 2 2" xfId="10" xr:uid="{00000000-0005-0000-0000-000016000000}"/>
    <cellStyle name="输出 2 3 3" xfId="169" xr:uid="{00000000-0005-0000-0000-0000DA000000}"/>
    <cellStyle name="输出 2 4" xfId="401" xr:uid="{00000000-0005-0000-0000-0000C3010000}"/>
    <cellStyle name="输出 2 4 2" xfId="24" xr:uid="{00000000-0005-0000-0000-00002F000000}"/>
    <cellStyle name="输出 2 5" xfId="386" xr:uid="{00000000-0005-0000-0000-0000B4010000}"/>
    <cellStyle name="输出 3" xfId="3" xr:uid="{00000000-0005-0000-0000-000005000000}"/>
    <cellStyle name="输出 3 2" xfId="125" xr:uid="{00000000-0005-0000-0000-0000AD000000}"/>
    <cellStyle name="输出 3 2 2" xfId="159" xr:uid="{00000000-0005-0000-0000-0000CF000000}"/>
    <cellStyle name="输出 3 2 2 2" xfId="283" xr:uid="{00000000-0005-0000-0000-00004C010000}"/>
    <cellStyle name="输出 3 2 3" xfId="216" xr:uid="{00000000-0005-0000-0000-000009010000}"/>
    <cellStyle name="输出 3 3" xfId="33" xr:uid="{00000000-0005-0000-0000-000040000000}"/>
    <cellStyle name="输出 3 3 2" xfId="53" xr:uid="{00000000-0005-0000-0000-000063000000}"/>
    <cellStyle name="输出 3 4" xfId="142" xr:uid="{00000000-0005-0000-0000-0000BE000000}"/>
    <cellStyle name="输出 4" xfId="45" xr:uid="{00000000-0005-0000-0000-000055000000}"/>
    <cellStyle name="输出 4 2" xfId="172" xr:uid="{00000000-0005-0000-0000-0000DD000000}"/>
    <cellStyle name="输出 4 2 2" xfId="62" xr:uid="{00000000-0005-0000-0000-00006E000000}"/>
    <cellStyle name="输出 4 3" xfId="79" xr:uid="{00000000-0005-0000-0000-00007F000000}"/>
    <cellStyle name="输出 5" xfId="35" xr:uid="{00000000-0005-0000-0000-000043000000}"/>
    <cellStyle name="输出 5 2" xfId="359" xr:uid="{00000000-0005-0000-0000-000099010000}"/>
    <cellStyle name="输出 5 2 2" xfId="165" xr:uid="{00000000-0005-0000-0000-0000D6000000}"/>
    <cellStyle name="输出 5 3" xfId="138" xr:uid="{00000000-0005-0000-0000-0000BA000000}"/>
    <cellStyle name="输入 2" xfId="213" xr:uid="{00000000-0005-0000-0000-000006010000}"/>
    <cellStyle name="输入 2 2" xfId="188" xr:uid="{00000000-0005-0000-0000-0000ED000000}"/>
    <cellStyle name="输入 2 2 2" xfId="68" xr:uid="{00000000-0005-0000-0000-000074000000}"/>
    <cellStyle name="输入 2 3" xfId="411" xr:uid="{00000000-0005-0000-0000-0000CD010000}"/>
    <cellStyle name="输入 2 3 2" xfId="229" xr:uid="{00000000-0005-0000-0000-000016010000}"/>
    <cellStyle name="输入 2 4" xfId="111" xr:uid="{00000000-0005-0000-0000-00009F000000}"/>
    <cellStyle name="输入 3" xfId="381" xr:uid="{00000000-0005-0000-0000-0000AF010000}"/>
    <cellStyle name="输入 3 2" xfId="65" xr:uid="{00000000-0005-0000-0000-000071000000}"/>
    <cellStyle name="输入 3 2 2" xfId="162" xr:uid="{00000000-0005-0000-0000-0000D3000000}"/>
    <cellStyle name="输入 3 3" xfId="134" xr:uid="{00000000-0005-0000-0000-0000B6000000}"/>
    <cellStyle name="输入 4" xfId="131" xr:uid="{00000000-0005-0000-0000-0000B3000000}"/>
    <cellStyle name="输入 4 2" xfId="278" xr:uid="{00000000-0005-0000-0000-000047010000}"/>
    <cellStyle name="输入 5" xfId="124" xr:uid="{00000000-0005-0000-0000-0000AC000000}"/>
    <cellStyle name="输入 5 2" xfId="97" xr:uid="{00000000-0005-0000-0000-000091000000}"/>
    <cellStyle name="㼿㼿㼿㼿? 2" xfId="445" xr:uid="{00000000-0005-0000-0000-0000EF010000}"/>
    <cellStyle name="㼿㼿㼿㼿㼿" xfId="446" xr:uid="{00000000-0005-0000-0000-0000F0010000}"/>
    <cellStyle name="㼿㼿㼿㼿㼿㼿㼿" xfId="444" xr:uid="{00000000-0005-0000-0000-0000EE010000}"/>
    <cellStyle name="样式 1" xfId="301" xr:uid="{00000000-0005-0000-0000-00005E010000}"/>
    <cellStyle name="样式 1 2" xfId="337" xr:uid="{00000000-0005-0000-0000-000082010000}"/>
    <cellStyle name="样式 2" xfId="136" xr:uid="{00000000-0005-0000-0000-0000B8000000}"/>
    <cellStyle name="样式 2 2" xfId="379" xr:uid="{00000000-0005-0000-0000-0000AD010000}"/>
    <cellStyle name="样式 2 3" xfId="96" xr:uid="{00000000-0005-0000-0000-000090000000}"/>
    <cellStyle name="样式 2 4" xfId="189" xr:uid="{00000000-0005-0000-0000-0000EE000000}"/>
    <cellStyle name="样式 2 5" xfId="412" xr:uid="{00000000-0005-0000-0000-0000CE010000}"/>
    <cellStyle name="注释 2" xfId="82" xr:uid="{00000000-0005-0000-0000-000082000000}"/>
    <cellStyle name="注释 2 2" xfId="158" xr:uid="{00000000-0005-0000-0000-0000CE000000}"/>
    <cellStyle name="注释 2 2 2" xfId="73" xr:uid="{00000000-0005-0000-0000-000079000000}"/>
    <cellStyle name="注释 2 2 2 2" xfId="153" xr:uid="{00000000-0005-0000-0000-0000C9000000}"/>
    <cellStyle name="注释 2 2 3" xfId="109" xr:uid="{00000000-0005-0000-0000-00009D000000}"/>
    <cellStyle name="注释 2 3" xfId="29" xr:uid="{00000000-0005-0000-0000-000039000000}"/>
    <cellStyle name="注释 2 3 2" xfId="150" xr:uid="{00000000-0005-0000-0000-0000C6000000}"/>
    <cellStyle name="注释 2 3 2 2" xfId="108" xr:uid="{00000000-0005-0000-0000-00009C000000}"/>
    <cellStyle name="注释 2 3 3" xfId="39" xr:uid="{00000000-0005-0000-0000-000049000000}"/>
    <cellStyle name="注释 2 4" xfId="393" xr:uid="{00000000-0005-0000-0000-0000BB010000}"/>
    <cellStyle name="注释 2 4 2" xfId="183" xr:uid="{00000000-0005-0000-0000-0000E8000000}"/>
    <cellStyle name="注释 2 5" xfId="409" xr:uid="{00000000-0005-0000-0000-0000CB010000}"/>
    <cellStyle name="注释 3" xfId="139" xr:uid="{00000000-0005-0000-0000-0000BB000000}"/>
    <cellStyle name="注释 3 2" xfId="135" xr:uid="{00000000-0005-0000-0000-0000B7000000}"/>
    <cellStyle name="注释 3 2 2" xfId="23" xr:uid="{00000000-0005-0000-0000-00002D000000}"/>
    <cellStyle name="注释 3 2 2 2" xfId="175" xr:uid="{00000000-0005-0000-0000-0000E0000000}"/>
    <cellStyle name="注释 3 2 3" xfId="49" xr:uid="{00000000-0005-0000-0000-00005D000000}"/>
    <cellStyle name="注释 3 3" xfId="127" xr:uid="{00000000-0005-0000-0000-0000AF000000}"/>
    <cellStyle name="注释 3 3 2" xfId="76" xr:uid="{00000000-0005-0000-0000-00007C000000}"/>
    <cellStyle name="注释 3 4" xfId="123" xr:uid="{00000000-0005-0000-0000-0000AB000000}"/>
    <cellStyle name="注释 4" xfId="398" xr:uid="{00000000-0005-0000-0000-0000C0010000}"/>
    <cellStyle name="注释 4 2" xfId="296" xr:uid="{00000000-0005-0000-0000-000059010000}"/>
    <cellStyle name="注释 4 2 2" xfId="435" xr:uid="{00000000-0005-0000-0000-0000E5010000}"/>
    <cellStyle name="注释 4 3" xfId="174" xr:uid="{00000000-0005-0000-0000-0000DF000000}"/>
    <cellStyle name="注释 5" xfId="17" xr:uid="{00000000-0005-0000-0000-000020000000}"/>
    <cellStyle name="注释 5 2" xfId="72" xr:uid="{00000000-0005-0000-0000-000078000000}"/>
    <cellStyle name="注释 5 2 2" xfId="106" xr:uid="{00000000-0005-0000-0000-00009A000000}"/>
    <cellStyle name="注释 5 3" xfId="12" xr:uid="{00000000-0005-0000-0000-000018000000}"/>
  </cellStyles>
  <dxfs count="8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colors>
    <mruColors>
      <color rgb="FF79EBA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0"/>
          <a:ext cx="2152650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320" y="635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Foxmail7/Temp-8100-20220812090237/Attach/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  <cell r="J4">
            <v>44511</v>
          </cell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  <cell r="J5">
            <v>44515</v>
          </cell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  <cell r="J6">
            <v>44516</v>
          </cell>
          <cell r="L6">
            <v>11151.871412169899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  <cell r="J7">
            <v>44538</v>
          </cell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  <cell r="J8">
            <v>44607</v>
          </cell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  <cell r="J9">
            <v>44552</v>
          </cell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  <cell r="J10">
            <v>44571</v>
          </cell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  <cell r="J11">
            <v>44564</v>
          </cell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  <cell r="J12">
            <v>44722</v>
          </cell>
          <cell r="L12">
            <v>7632.1839080459804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C18" sqref="C18:C21"/>
    </sheetView>
  </sheetViews>
  <sheetFormatPr defaultColWidth="9" defaultRowHeight="14"/>
  <cols>
    <col min="1" max="1" width="9" style="108"/>
    <col min="2" max="2" width="9.08984375" style="108" customWidth="1"/>
    <col min="3" max="3" width="10.7265625" style="108" customWidth="1"/>
    <col min="4" max="4" width="16.7265625" style="108" customWidth="1"/>
    <col min="5" max="5" width="11.7265625" style="108" customWidth="1"/>
    <col min="6" max="6" width="9.08984375" style="108" customWidth="1"/>
    <col min="7" max="7" width="9.6328125" style="108" customWidth="1"/>
    <col min="8" max="8" width="11.26953125" style="108" customWidth="1"/>
    <col min="9" max="12" width="9" style="108"/>
    <col min="13" max="13" width="11.08984375" style="108" customWidth="1"/>
    <col min="14" max="14" width="13.90625" style="108" customWidth="1"/>
    <col min="15" max="16384" width="9" style="108"/>
  </cols>
  <sheetData>
    <row r="1" spans="1:15" ht="25.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5" ht="15">
      <c r="A2" s="156"/>
      <c r="B2" s="157"/>
      <c r="C2" s="157"/>
      <c r="D2" s="158"/>
      <c r="E2" s="158"/>
      <c r="F2" s="158"/>
      <c r="G2" s="156"/>
      <c r="H2" s="156"/>
      <c r="I2" s="156"/>
      <c r="J2" s="158"/>
      <c r="K2" s="158"/>
      <c r="L2" s="158"/>
      <c r="M2" s="158"/>
      <c r="N2" s="158"/>
    </row>
    <row r="3" spans="1:15">
      <c r="A3" s="159"/>
      <c r="B3" s="160"/>
      <c r="C3" s="161"/>
      <c r="D3" s="162"/>
      <c r="E3" s="163"/>
      <c r="F3" s="163"/>
      <c r="G3" s="164"/>
      <c r="H3" s="165"/>
      <c r="I3" s="160"/>
      <c r="J3" s="161"/>
      <c r="K3" s="162"/>
      <c r="L3" s="202"/>
      <c r="M3" s="158"/>
      <c r="N3" s="158"/>
    </row>
    <row r="4" spans="1:15" ht="20.25" customHeight="1">
      <c r="A4" s="159"/>
      <c r="B4" s="224" t="s">
        <v>1</v>
      </c>
      <c r="C4" s="225"/>
      <c r="D4" s="225"/>
      <c r="E4" s="225"/>
      <c r="F4" s="225"/>
      <c r="G4" s="166"/>
      <c r="H4" s="167"/>
      <c r="I4" s="203"/>
      <c r="J4" s="203"/>
      <c r="K4" s="204"/>
      <c r="L4" s="205" t="s">
        <v>2</v>
      </c>
      <c r="M4" s="206">
        <f ca="1">NOW()</f>
        <v>44897.6138130787</v>
      </c>
      <c r="N4" s="204"/>
    </row>
    <row r="5" spans="1:15" ht="14.5">
      <c r="A5" s="168"/>
      <c r="B5" s="169" t="s">
        <v>273</v>
      </c>
      <c r="C5" s="170"/>
      <c r="D5" s="170"/>
      <c r="E5" s="170"/>
      <c r="F5" s="170"/>
      <c r="G5" s="170"/>
      <c r="H5" s="171"/>
      <c r="I5" s="167"/>
      <c r="J5" s="167"/>
      <c r="K5" s="207"/>
      <c r="L5" s="208"/>
      <c r="M5" s="204"/>
      <c r="N5" s="204"/>
    </row>
    <row r="6" spans="1:15" ht="9.75" customHeight="1">
      <c r="A6" s="172"/>
      <c r="B6" s="173"/>
      <c r="C6" s="173"/>
      <c r="D6" s="173"/>
      <c r="E6" s="173"/>
      <c r="F6" s="173"/>
      <c r="G6" s="173"/>
      <c r="H6" s="173"/>
      <c r="I6" s="209"/>
      <c r="J6" s="209"/>
      <c r="K6" s="210"/>
      <c r="L6" s="210"/>
      <c r="M6" s="210"/>
      <c r="N6" s="210"/>
    </row>
    <row r="7" spans="1:15" ht="16.5">
      <c r="A7" s="172"/>
      <c r="B7" s="226" t="s">
        <v>3</v>
      </c>
      <c r="C7" s="227"/>
      <c r="D7" s="227"/>
      <c r="E7" s="227"/>
      <c r="F7" s="227"/>
      <c r="G7" s="227"/>
      <c r="H7" s="228"/>
      <c r="I7" s="229" t="s">
        <v>4</v>
      </c>
      <c r="J7" s="230"/>
      <c r="K7" s="211"/>
      <c r="L7" s="212"/>
      <c r="M7" s="212"/>
      <c r="N7" s="212"/>
      <c r="O7" s="213"/>
    </row>
    <row r="8" spans="1:15" ht="16.5">
      <c r="A8" s="172"/>
      <c r="B8" s="231" t="s">
        <v>5</v>
      </c>
      <c r="C8" s="232"/>
      <c r="D8" s="233"/>
      <c r="E8" s="234">
        <f>D10</f>
        <v>3785.4</v>
      </c>
      <c r="F8" s="235"/>
      <c r="G8" s="235"/>
      <c r="H8" s="236"/>
      <c r="I8" s="211"/>
      <c r="J8" s="237" t="s">
        <v>6</v>
      </c>
      <c r="K8" s="237"/>
      <c r="L8" s="237"/>
      <c r="M8" s="237"/>
      <c r="N8" s="237"/>
    </row>
    <row r="9" spans="1:15" ht="16.5">
      <c r="A9" s="172"/>
      <c r="B9" s="238" t="s">
        <v>7</v>
      </c>
      <c r="C9" s="239"/>
      <c r="D9" s="240"/>
      <c r="E9" s="241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42"/>
      <c r="G9" s="242"/>
      <c r="H9" s="243"/>
      <c r="I9" s="212"/>
      <c r="J9" s="244" t="s">
        <v>8</v>
      </c>
      <c r="K9" s="244"/>
      <c r="L9" s="244"/>
      <c r="M9" s="244"/>
      <c r="N9" s="244"/>
    </row>
    <row r="10" spans="1:15" ht="17.25" customHeight="1">
      <c r="A10" s="172"/>
      <c r="B10" s="245" t="s">
        <v>9</v>
      </c>
      <c r="C10" s="246"/>
      <c r="D10" s="174">
        <f>G24</f>
        <v>3785.4</v>
      </c>
      <c r="E10" s="247" t="s">
        <v>10</v>
      </c>
      <c r="F10" s="248"/>
      <c r="G10" s="246"/>
      <c r="H10" s="175">
        <v>0</v>
      </c>
      <c r="I10" s="214"/>
      <c r="J10" s="249" t="s">
        <v>11</v>
      </c>
      <c r="K10" s="249"/>
      <c r="L10" s="249"/>
      <c r="M10" s="249"/>
      <c r="N10" s="249"/>
    </row>
    <row r="11" spans="1:15" ht="14.5">
      <c r="A11" s="172"/>
      <c r="B11" s="250" t="s">
        <v>12</v>
      </c>
      <c r="C11" s="251"/>
      <c r="D11" s="176"/>
      <c r="E11" s="252" t="s">
        <v>13</v>
      </c>
      <c r="F11" s="253"/>
      <c r="G11" s="254"/>
      <c r="H11" s="177"/>
      <c r="I11" s="215"/>
      <c r="J11" s="166"/>
      <c r="K11" s="255"/>
      <c r="L11" s="255"/>
      <c r="M11" s="255"/>
      <c r="N11" s="216"/>
    </row>
    <row r="12" spans="1:15" ht="13.5" customHeight="1">
      <c r="A12" s="168"/>
      <c r="B12" s="250" t="s">
        <v>14</v>
      </c>
      <c r="C12" s="251"/>
      <c r="D12" s="176">
        <v>0</v>
      </c>
      <c r="E12" s="252" t="s">
        <v>15</v>
      </c>
      <c r="F12" s="253"/>
      <c r="G12" s="254"/>
      <c r="H12" s="177"/>
      <c r="I12" s="207"/>
      <c r="J12" s="215"/>
      <c r="K12" s="256"/>
      <c r="L12" s="256"/>
      <c r="M12" s="256"/>
      <c r="N12" s="256"/>
    </row>
    <row r="13" spans="1:15" ht="14.5">
      <c r="A13" s="158"/>
      <c r="B13" s="257" t="s">
        <v>16</v>
      </c>
      <c r="C13" s="258"/>
      <c r="D13" s="178">
        <v>0</v>
      </c>
      <c r="E13" s="259"/>
      <c r="F13" s="260"/>
      <c r="G13" s="261"/>
      <c r="H13" s="179"/>
      <c r="I13" s="173"/>
      <c r="J13" s="207"/>
      <c r="K13" s="262"/>
      <c r="L13" s="262"/>
      <c r="M13" s="262"/>
      <c r="N13" s="262"/>
    </row>
    <row r="14" spans="1:15" ht="5.25" customHeight="1">
      <c r="A14" s="180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5">
      <c r="A15" s="263" t="s">
        <v>17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</row>
    <row r="16" spans="1:15" ht="3" customHeight="1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2:13" ht="18.75" customHeight="1">
      <c r="B17" s="181" t="s">
        <v>18</v>
      </c>
      <c r="C17" s="182" t="s">
        <v>19</v>
      </c>
      <c r="D17" s="264" t="s">
        <v>20</v>
      </c>
      <c r="E17" s="265"/>
      <c r="F17" s="183" t="s">
        <v>21</v>
      </c>
      <c r="G17" s="184" t="s">
        <v>22</v>
      </c>
      <c r="H17" s="185" t="s">
        <v>23</v>
      </c>
      <c r="I17" s="217"/>
      <c r="J17" s="279"/>
      <c r="K17" s="279"/>
      <c r="L17" s="279"/>
      <c r="M17" s="279"/>
    </row>
    <row r="18" spans="2:13" ht="16.5">
      <c r="B18" s="186">
        <v>1</v>
      </c>
      <c r="C18" s="276" t="s">
        <v>24</v>
      </c>
      <c r="D18" s="266" t="s">
        <v>25</v>
      </c>
      <c r="E18" s="267"/>
      <c r="F18" s="187" t="s">
        <v>26</v>
      </c>
      <c r="G18" s="188">
        <f>'（居民）工资表-9月'!E10</f>
        <v>0</v>
      </c>
      <c r="H18" s="189"/>
      <c r="I18" s="217"/>
      <c r="J18" s="279"/>
      <c r="K18" s="279"/>
      <c r="L18" s="279"/>
      <c r="M18" s="279"/>
    </row>
    <row r="19" spans="2:13" ht="16.5">
      <c r="B19" s="186">
        <v>2</v>
      </c>
      <c r="C19" s="277"/>
      <c r="D19" s="190" t="s">
        <v>27</v>
      </c>
      <c r="E19" s="191" t="s">
        <v>28</v>
      </c>
      <c r="F19" s="187"/>
      <c r="G19" s="188">
        <f>社保!AW5</f>
        <v>2225.4</v>
      </c>
      <c r="H19" s="192"/>
      <c r="I19" s="217"/>
      <c r="J19" s="279"/>
      <c r="K19" s="279"/>
      <c r="L19" s="279"/>
      <c r="M19" s="279"/>
    </row>
    <row r="20" spans="2:13" ht="16.5">
      <c r="B20" s="186">
        <v>3</v>
      </c>
      <c r="C20" s="277"/>
      <c r="D20" s="190" t="s">
        <v>29</v>
      </c>
      <c r="E20" s="191" t="s">
        <v>28</v>
      </c>
      <c r="F20" s="187"/>
      <c r="G20" s="188">
        <f>社保!AX5</f>
        <v>1440</v>
      </c>
      <c r="H20" s="192"/>
      <c r="I20" s="217"/>
      <c r="J20" s="279"/>
      <c r="K20" s="279"/>
      <c r="L20" s="279"/>
      <c r="M20" s="279"/>
    </row>
    <row r="21" spans="2:13" ht="16.5">
      <c r="B21" s="186">
        <v>4</v>
      </c>
      <c r="C21" s="278"/>
      <c r="D21" s="268" t="s">
        <v>30</v>
      </c>
      <c r="E21" s="269"/>
      <c r="F21" s="193"/>
      <c r="G21" s="194">
        <f>SUM(G18:G20)</f>
        <v>3665.4</v>
      </c>
      <c r="H21" s="195"/>
      <c r="I21" s="217"/>
      <c r="J21" s="279"/>
      <c r="K21" s="279"/>
      <c r="L21" s="279"/>
      <c r="M21" s="279"/>
    </row>
    <row r="22" spans="2:13" ht="16.5">
      <c r="B22" s="186">
        <v>5</v>
      </c>
      <c r="C22" s="196" t="s">
        <v>31</v>
      </c>
      <c r="D22" s="268" t="s">
        <v>32</v>
      </c>
      <c r="E22" s="269"/>
      <c r="F22" s="197"/>
      <c r="G22" s="194">
        <f>社保!AY5</f>
        <v>120</v>
      </c>
      <c r="H22" s="189"/>
      <c r="I22" s="217"/>
      <c r="J22" s="279"/>
      <c r="K22" s="279"/>
      <c r="L22" s="279"/>
      <c r="M22" s="279"/>
    </row>
    <row r="23" spans="2:13" ht="16.5">
      <c r="B23" s="270" t="s">
        <v>33</v>
      </c>
      <c r="C23" s="271"/>
      <c r="D23" s="271"/>
      <c r="E23" s="271"/>
      <c r="F23" s="272"/>
      <c r="G23" s="198">
        <f>G22+G21</f>
        <v>3785.4</v>
      </c>
      <c r="H23" s="199"/>
      <c r="I23" s="217"/>
      <c r="J23" s="217"/>
      <c r="K23" s="217"/>
      <c r="L23" s="217"/>
      <c r="M23" s="217"/>
    </row>
    <row r="24" spans="2:13" ht="16.5">
      <c r="B24" s="273" t="s">
        <v>34</v>
      </c>
      <c r="C24" s="274"/>
      <c r="D24" s="274"/>
      <c r="E24" s="274"/>
      <c r="F24" s="275"/>
      <c r="G24" s="200">
        <f>G23</f>
        <v>3785.4</v>
      </c>
      <c r="H24" s="201"/>
      <c r="I24" s="217"/>
      <c r="J24" s="217"/>
      <c r="K24" s="217"/>
      <c r="L24" s="217"/>
      <c r="M24" s="217"/>
    </row>
    <row r="28" spans="2:13">
      <c r="K28" s="218"/>
    </row>
  </sheetData>
  <mergeCells count="31">
    <mergeCell ref="D18:E18"/>
    <mergeCell ref="D21:E21"/>
    <mergeCell ref="D22:E22"/>
    <mergeCell ref="B23:F23"/>
    <mergeCell ref="B24:F24"/>
    <mergeCell ref="C18:C21"/>
    <mergeCell ref="B13:C13"/>
    <mergeCell ref="E13:G13"/>
    <mergeCell ref="K13:N13"/>
    <mergeCell ref="A15:N15"/>
    <mergeCell ref="D17:E17"/>
    <mergeCell ref="J17:M22"/>
    <mergeCell ref="B11:C11"/>
    <mergeCell ref="E11:G11"/>
    <mergeCell ref="K11:M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87" type="noConversion"/>
  <conditionalFormatting sqref="F19 C21:E21 F20:H21">
    <cfRule type="cellIs" dxfId="87" priority="4" stopIfTrue="1" operator="equal">
      <formula>"現金"</formula>
    </cfRule>
    <cfRule type="cellIs" dxfId="86" priority="3" stopIfTrue="1" operator="equal">
      <formula>"信用卡"</formula>
    </cfRule>
  </conditionalFormatting>
  <conditionalFormatting sqref="G20 E19:E20 C21:E21 G21:H21">
    <cfRule type="cellIs" dxfId="85" priority="2" stopIfTrue="1" operator="equal">
      <formula>"現金"</formula>
    </cfRule>
    <cfRule type="cellIs" dxfId="84" priority="1" stopIfTrue="1" operator="equal">
      <formula>"信用卡"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 pane="topRight"/>
      <selection pane="bottomLeft"/>
      <selection pane="bottomRight" activeCell="A4" sqref="A4:P11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135</v>
      </c>
      <c r="D4" s="25" t="s">
        <v>125</v>
      </c>
      <c r="E4" s="25" t="s">
        <v>136</v>
      </c>
      <c r="F4" s="26" t="s">
        <v>203</v>
      </c>
      <c r="G4" s="27">
        <v>15652649555</v>
      </c>
      <c r="H4" s="28"/>
      <c r="I4" s="28"/>
      <c r="J4" s="86"/>
      <c r="K4" s="28"/>
      <c r="L4" s="54">
        <v>11500</v>
      </c>
      <c r="M4" s="55">
        <v>428.8</v>
      </c>
      <c r="N4" s="55">
        <v>110.2</v>
      </c>
      <c r="O4" s="55">
        <v>26.8</v>
      </c>
      <c r="P4" s="55">
        <v>444</v>
      </c>
      <c r="Q4" s="69">
        <f t="shared" ref="Q4:Q11" si="0">ROUND(SUM(M4:P4),2)</f>
        <v>1009.8</v>
      </c>
      <c r="R4" s="54">
        <v>0</v>
      </c>
      <c r="S4" s="70">
        <f>L4+IFERROR(VLOOKUP($E:$E,'（居民）工资表-6月'!$E:$S,15,0),0)</f>
        <v>78034.482758620696</v>
      </c>
      <c r="T4" s="71">
        <f>5000+IFERROR(VLOOKUP($E:$E,'（居民）工资表-6月'!$E:$T,16,0),0)</f>
        <v>35000</v>
      </c>
      <c r="U4" s="71">
        <f>Q4+IFERROR(VLOOKUP($E:$E,'（居民）工资表-6月'!$E:$U,17,0),0)</f>
        <v>7068.6</v>
      </c>
      <c r="V4" s="54"/>
      <c r="W4" s="54"/>
      <c r="X4" s="54"/>
      <c r="Y4" s="54"/>
      <c r="Z4" s="54"/>
      <c r="AA4" s="54"/>
      <c r="AB4" s="70">
        <f t="shared" ref="AB4:AB11" si="1">ROUND(SUM(V4:AA4),2)</f>
        <v>0</v>
      </c>
      <c r="AC4" s="70">
        <f>R4+IFERROR(VLOOKUP($E:$E,'（居民）工资表-6月'!$E:$AC,25,0),0)</f>
        <v>0</v>
      </c>
      <c r="AD4" s="72">
        <f t="shared" ref="AD4:AD11" si="2">ROUND(S4-T4-U4-AB4-AC4,2)</f>
        <v>35965.879999999997</v>
      </c>
      <c r="AE4" s="73">
        <f>ROUND(MAX((AD4)*{0.03;0.1;0.2;0.25;0.3;0.35;0.45}-{0;2520;16920;31920;52920;85920;181920},0),2)</f>
        <v>1078.98</v>
      </c>
      <c r="AF4" s="74">
        <f>IFERROR(VLOOKUP(E:E,'（居民）工资表-6月'!E:AF,28,0)+VLOOKUP(E:E,'（居民）工资表-6月'!E:AG,29,0),0)</f>
        <v>914.27</v>
      </c>
      <c r="AG4" s="74">
        <f t="shared" ref="AG4:AG11" si="3">IF((AE4-AF4)&lt;0,0,AE4-AF4)</f>
        <v>164.71000000000004</v>
      </c>
      <c r="AH4" s="77">
        <f t="shared" ref="AH4:AH11" si="4">ROUND(IF((L4-Q4-AG4)&lt;0,0,(L4-Q4-AG4)),2)</f>
        <v>10325.49</v>
      </c>
      <c r="AI4" s="78"/>
      <c r="AJ4" s="77">
        <f t="shared" ref="AJ4:AJ11" si="5">AH4+AI4</f>
        <v>10325.49</v>
      </c>
      <c r="AK4" s="79"/>
      <c r="AL4" s="77">
        <f t="shared" ref="AL4:AL11" si="6">AJ4+AG4+AK4</f>
        <v>10490.2</v>
      </c>
      <c r="AM4" s="79"/>
      <c r="AN4" s="79"/>
      <c r="AO4" s="79"/>
      <c r="AP4" s="79"/>
      <c r="AQ4" s="79"/>
      <c r="AR4" s="84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1" si="8">IF(SUMPRODUCT(N(E$1:E$11=E4))&gt;1,"重复","不")</f>
        <v>不</v>
      </c>
      <c r="AT4" s="84" t="str">
        <f t="shared" ref="AT4:AT11" si="9">IF(SUMPRODUCT(N(AO$1:AO$11=AO4))&gt;1,"重复","不")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137</v>
      </c>
      <c r="D5" s="25" t="s">
        <v>125</v>
      </c>
      <c r="E5" s="219" t="s">
        <v>138</v>
      </c>
      <c r="F5" s="26" t="s">
        <v>203</v>
      </c>
      <c r="G5" s="27">
        <v>17611149839</v>
      </c>
      <c r="H5" s="28"/>
      <c r="I5" s="28"/>
      <c r="J5" s="86"/>
      <c r="K5" s="28"/>
      <c r="L5" s="54">
        <v>11724.1379310345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si="0"/>
        <v>1009.8</v>
      </c>
      <c r="R5" s="54">
        <v>0</v>
      </c>
      <c r="S5" s="70">
        <f>L5+IFERROR(VLOOKUP($E:$E,'（居民）工资表-6月'!$E:$S,15,0),0)</f>
        <v>75105.517241379304</v>
      </c>
      <c r="T5" s="71">
        <f>5000+IFERROR(VLOOKUP($E:$E,'（居民）工资表-6月'!$E:$T,16,0),0)</f>
        <v>35000</v>
      </c>
      <c r="U5" s="71">
        <f>Q5+IFERROR(VLOOKUP($E:$E,'（居民）工资表-6月'!$E:$U,17,0),0)</f>
        <v>7068.6</v>
      </c>
      <c r="V5" s="54"/>
      <c r="W5" s="54"/>
      <c r="X5" s="54"/>
      <c r="Y5" s="54"/>
      <c r="Z5" s="54"/>
      <c r="AA5" s="54"/>
      <c r="AB5" s="70">
        <f t="shared" si="1"/>
        <v>0</v>
      </c>
      <c r="AC5" s="70">
        <f>R5+IFERROR(VLOOKUP($E:$E,'（居民）工资表-6月'!$E:$AC,25,0),0)</f>
        <v>0</v>
      </c>
      <c r="AD5" s="72">
        <f t="shared" si="2"/>
        <v>33036.92</v>
      </c>
      <c r="AE5" s="73">
        <f>ROUND(MAX((AD5)*{0.03;0.1;0.2;0.25;0.3;0.35;0.45}-{0;2520;16920;31920;52920;85920;181920},0),2)</f>
        <v>991.11</v>
      </c>
      <c r="AF5" s="74">
        <f>IFERROR(VLOOKUP(E:E,'（居民）工资表-6月'!E:AF,28,0)+VLOOKUP(E:E,'（居民）工资表-6月'!E:AG,29,0),0)</f>
        <v>819.68</v>
      </c>
      <c r="AG5" s="74">
        <f t="shared" si="3"/>
        <v>171.43000000000006</v>
      </c>
      <c r="AH5" s="77">
        <f t="shared" si="4"/>
        <v>10542.91</v>
      </c>
      <c r="AI5" s="78"/>
      <c r="AJ5" s="77">
        <f t="shared" si="5"/>
        <v>10542.91</v>
      </c>
      <c r="AK5" s="79"/>
      <c r="AL5" s="77">
        <f t="shared" si="6"/>
        <v>10714.34</v>
      </c>
      <c r="AM5" s="79"/>
      <c r="AN5" s="79"/>
      <c r="AO5" s="79"/>
      <c r="AP5" s="79"/>
      <c r="AQ5" s="79"/>
      <c r="AR5" s="84" t="str">
        <f t="shared" si="7"/>
        <v>正确</v>
      </c>
      <c r="AS5" s="84" t="str">
        <f t="shared" si="8"/>
        <v>不</v>
      </c>
      <c r="AT5" s="84" t="str">
        <f t="shared" si="9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139</v>
      </c>
      <c r="D6" s="25" t="s">
        <v>125</v>
      </c>
      <c r="E6" s="219" t="s">
        <v>140</v>
      </c>
      <c r="F6" s="26" t="s">
        <v>203</v>
      </c>
      <c r="G6" s="27">
        <v>13596154643</v>
      </c>
      <c r="H6" s="28"/>
      <c r="I6" s="28"/>
      <c r="J6" s="86"/>
      <c r="K6" s="28"/>
      <c r="L6" s="54">
        <v>11764.367816092001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0"/>
        <v>1009.8</v>
      </c>
      <c r="R6" s="54">
        <v>0</v>
      </c>
      <c r="S6" s="70">
        <f>L6+IFERROR(VLOOKUP($E:$E,'（居民）工资表-6月'!$E:$S,15,0),0)</f>
        <v>77750.114942528788</v>
      </c>
      <c r="T6" s="71">
        <f>5000+IFERROR(VLOOKUP($E:$E,'（居民）工资表-6月'!$E:$T,16,0),0)</f>
        <v>35000</v>
      </c>
      <c r="U6" s="71">
        <f>Q6+IFERROR(VLOOKUP($E:$E,'（居民）工资表-6月'!$E:$U,17,0),0)</f>
        <v>7068.6</v>
      </c>
      <c r="V6" s="54"/>
      <c r="W6" s="54"/>
      <c r="X6" s="54"/>
      <c r="Y6" s="54"/>
      <c r="Z6" s="54"/>
      <c r="AA6" s="54"/>
      <c r="AB6" s="70">
        <f t="shared" si="1"/>
        <v>0</v>
      </c>
      <c r="AC6" s="70">
        <f>R6+IFERROR(VLOOKUP($E:$E,'（居民）工资表-6月'!$E:$AC,25,0),0)</f>
        <v>0</v>
      </c>
      <c r="AD6" s="72">
        <f t="shared" si="2"/>
        <v>35681.51</v>
      </c>
      <c r="AE6" s="73">
        <f>ROUND(MAX((AD6)*{0.03;0.1;0.2;0.25;0.3;0.35;0.45}-{0;2520;16920;31920;52920;85920;181920},0),2)</f>
        <v>1070.45</v>
      </c>
      <c r="AF6" s="74">
        <f>IFERROR(VLOOKUP(E:E,'（居民）工资表-6月'!E:AF,28,0)+VLOOKUP(E:E,'（居民）工资表-6月'!E:AG,29,0),0)</f>
        <v>897.81</v>
      </c>
      <c r="AG6" s="74">
        <f t="shared" si="3"/>
        <v>172.6400000000001</v>
      </c>
      <c r="AH6" s="77">
        <f t="shared" si="4"/>
        <v>10581.93</v>
      </c>
      <c r="AI6" s="78"/>
      <c r="AJ6" s="77">
        <f t="shared" si="5"/>
        <v>10581.93</v>
      </c>
      <c r="AK6" s="79"/>
      <c r="AL6" s="77">
        <f t="shared" si="6"/>
        <v>10754.57</v>
      </c>
      <c r="AM6" s="79"/>
      <c r="AN6" s="79"/>
      <c r="AO6" s="79"/>
      <c r="AP6" s="79"/>
      <c r="AQ6" s="79"/>
      <c r="AR6" s="84" t="str">
        <f t="shared" si="7"/>
        <v>正确</v>
      </c>
      <c r="AS6" s="84" t="str">
        <f t="shared" si="8"/>
        <v>不</v>
      </c>
      <c r="AT6" s="84" t="str">
        <f t="shared" si="9"/>
        <v>重复</v>
      </c>
    </row>
    <row r="7" spans="1:46" s="10" customFormat="1" ht="18" customHeight="1">
      <c r="A7" s="24">
        <v>5</v>
      </c>
      <c r="B7" s="25" t="s">
        <v>123</v>
      </c>
      <c r="C7" s="25" t="s">
        <v>147</v>
      </c>
      <c r="D7" s="25" t="s">
        <v>125</v>
      </c>
      <c r="E7" s="219" t="s">
        <v>148</v>
      </c>
      <c r="F7" s="26" t="s">
        <v>200</v>
      </c>
      <c r="G7" s="27">
        <v>18674014622</v>
      </c>
      <c r="H7" s="28"/>
      <c r="I7" s="28"/>
      <c r="J7" s="86"/>
      <c r="K7" s="28"/>
      <c r="L7" s="54">
        <v>10000</v>
      </c>
      <c r="M7" s="55">
        <v>428.8</v>
      </c>
      <c r="N7" s="55">
        <v>110.2</v>
      </c>
      <c r="O7" s="55">
        <v>26.8</v>
      </c>
      <c r="P7" s="55">
        <v>600</v>
      </c>
      <c r="Q7" s="69">
        <f t="shared" si="0"/>
        <v>1165.8</v>
      </c>
      <c r="R7" s="54">
        <v>0</v>
      </c>
      <c r="S7" s="70">
        <f>L7+IFERROR(VLOOKUP($E:$E,'（居民）工资表-6月'!$E:$S,15,0),0)</f>
        <v>68275.862068965522</v>
      </c>
      <c r="T7" s="71">
        <f>5000+IFERROR(VLOOKUP($E:$E,'（居民）工资表-6月'!$E:$T,16,0),0)</f>
        <v>35000</v>
      </c>
      <c r="U7" s="71">
        <f>Q7+IFERROR(VLOOKUP($E:$E,'（居民）工资表-6月'!$E:$U,17,0),0)</f>
        <v>8160.6</v>
      </c>
      <c r="V7" s="54"/>
      <c r="W7" s="54"/>
      <c r="X7" s="54"/>
      <c r="Y7" s="54"/>
      <c r="Z7" s="54"/>
      <c r="AA7" s="54"/>
      <c r="AB7" s="70">
        <f t="shared" si="1"/>
        <v>0</v>
      </c>
      <c r="AC7" s="70">
        <f>R7+IFERROR(VLOOKUP($E:$E,'（居民）工资表-6月'!$E:$AC,25,0),0)</f>
        <v>0</v>
      </c>
      <c r="AD7" s="72">
        <f t="shared" si="2"/>
        <v>25115.26</v>
      </c>
      <c r="AE7" s="73">
        <f>ROUND(MAX((AD7)*{0.03;0.1;0.2;0.25;0.3;0.35;0.45}-{0;2520;16920;31920;52920;85920;181920},0),2)</f>
        <v>753.46</v>
      </c>
      <c r="AF7" s="74">
        <f>IFERROR(VLOOKUP(E:E,'（居民）工资表-6月'!E:AF,28,0)+VLOOKUP(E:E,'（居民）工资表-6月'!E:AG,29,0),0)</f>
        <v>638.42999999999995</v>
      </c>
      <c r="AG7" s="74">
        <f t="shared" si="3"/>
        <v>115.03000000000009</v>
      </c>
      <c r="AH7" s="77">
        <f t="shared" si="4"/>
        <v>8719.17</v>
      </c>
      <c r="AI7" s="78"/>
      <c r="AJ7" s="77">
        <f t="shared" si="5"/>
        <v>8719.17</v>
      </c>
      <c r="AK7" s="79"/>
      <c r="AL7" s="77">
        <f t="shared" si="6"/>
        <v>8834.2000000000007</v>
      </c>
      <c r="AM7" s="79"/>
      <c r="AN7" s="79"/>
      <c r="AO7" s="79"/>
      <c r="AP7" s="79"/>
      <c r="AQ7" s="79"/>
      <c r="AR7" s="84" t="str">
        <f t="shared" si="7"/>
        <v>正确</v>
      </c>
      <c r="AS7" s="84" t="str">
        <f t="shared" si="8"/>
        <v>不</v>
      </c>
      <c r="AT7" s="84" t="str">
        <f t="shared" si="9"/>
        <v>重复</v>
      </c>
    </row>
    <row r="8" spans="1:46" s="10" customFormat="1" ht="18" customHeight="1">
      <c r="A8" s="24">
        <v>6</v>
      </c>
      <c r="B8" s="25" t="s">
        <v>123</v>
      </c>
      <c r="C8" s="25" t="s">
        <v>149</v>
      </c>
      <c r="D8" s="25" t="s">
        <v>125</v>
      </c>
      <c r="E8" s="219" t="s">
        <v>150</v>
      </c>
      <c r="F8" s="26" t="s">
        <v>200</v>
      </c>
      <c r="G8" s="27">
        <v>15145001723</v>
      </c>
      <c r="H8" s="28"/>
      <c r="I8" s="28"/>
      <c r="J8" s="86"/>
      <c r="K8" s="28"/>
      <c r="L8" s="54">
        <v>10000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0"/>
        <v>1009.8</v>
      </c>
      <c r="R8" s="54">
        <v>0</v>
      </c>
      <c r="S8" s="70">
        <f>L8+IFERROR(VLOOKUP($E:$E,'（居民）工资表-6月'!$E:$S,15,0),0)</f>
        <v>62758.620689655174</v>
      </c>
      <c r="T8" s="71">
        <f>5000+IFERROR(VLOOKUP($E:$E,'（居民）工资表-6月'!$E:$T,16,0),0)</f>
        <v>35000</v>
      </c>
      <c r="U8" s="71">
        <f>Q8+IFERROR(VLOOKUP($E:$E,'（居民）工资表-6月'!$E:$U,17,0),0)</f>
        <v>6058.8</v>
      </c>
      <c r="V8" s="54"/>
      <c r="W8" s="54"/>
      <c r="X8" s="54"/>
      <c r="Y8" s="54"/>
      <c r="Z8" s="54"/>
      <c r="AA8" s="54"/>
      <c r="AB8" s="70">
        <f t="shared" si="1"/>
        <v>0</v>
      </c>
      <c r="AC8" s="70">
        <f>R8+IFERROR(VLOOKUP($E:$E,'（居民）工资表-6月'!$E:$AC,25,0),0)</f>
        <v>0</v>
      </c>
      <c r="AD8" s="72">
        <f t="shared" si="2"/>
        <v>21699.82</v>
      </c>
      <c r="AE8" s="73">
        <f>ROUND(MAX((AD8)*{0.03;0.1;0.2;0.25;0.3;0.35;0.45}-{0;2520;16920;31920;52920;85920;181920},0),2)</f>
        <v>650.99</v>
      </c>
      <c r="AF8" s="74">
        <f>IFERROR(VLOOKUP(E:E,'（居民）工资表-6月'!E:AF,28,0)+VLOOKUP(E:E,'（居民）工资表-6月'!E:AG,29,0),0)</f>
        <v>531.29</v>
      </c>
      <c r="AG8" s="74">
        <f t="shared" si="3"/>
        <v>119.70000000000005</v>
      </c>
      <c r="AH8" s="77">
        <f t="shared" si="4"/>
        <v>8870.5</v>
      </c>
      <c r="AI8" s="78"/>
      <c r="AJ8" s="77">
        <f t="shared" si="5"/>
        <v>8870.5</v>
      </c>
      <c r="AK8" s="79"/>
      <c r="AL8" s="77">
        <f t="shared" si="6"/>
        <v>8990.2000000000007</v>
      </c>
      <c r="AM8" s="79"/>
      <c r="AN8" s="79"/>
      <c r="AO8" s="79"/>
      <c r="AP8" s="79"/>
      <c r="AQ8" s="79"/>
      <c r="AR8" s="84" t="str">
        <f t="shared" si="7"/>
        <v>正确</v>
      </c>
      <c r="AS8" s="84" t="str">
        <f t="shared" si="8"/>
        <v>不</v>
      </c>
      <c r="AT8" s="84" t="str">
        <f t="shared" si="9"/>
        <v>重复</v>
      </c>
    </row>
    <row r="9" spans="1:46" s="10" customFormat="1" ht="18" customHeight="1">
      <c r="A9" s="24">
        <v>7</v>
      </c>
      <c r="B9" s="25" t="s">
        <v>123</v>
      </c>
      <c r="C9" s="25" t="s">
        <v>165</v>
      </c>
      <c r="D9" s="25" t="s">
        <v>125</v>
      </c>
      <c r="E9" s="219" t="s">
        <v>166</v>
      </c>
      <c r="F9" s="26" t="s">
        <v>200</v>
      </c>
      <c r="G9" s="27">
        <v>18745463721</v>
      </c>
      <c r="H9" s="28"/>
      <c r="I9" s="28"/>
      <c r="J9" s="86"/>
      <c r="K9" s="28"/>
      <c r="L9" s="54">
        <v>10494.2528735632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0"/>
        <v>1009.8</v>
      </c>
      <c r="R9" s="54">
        <v>0</v>
      </c>
      <c r="S9" s="70">
        <f>L9+IFERROR(VLOOKUP($E:$E,'（居民）工资表-6月'!$E:$S,15,0),0)</f>
        <v>58540.229885057473</v>
      </c>
      <c r="T9" s="71">
        <f>5000+IFERROR(VLOOKUP($E:$E,'（居民）工资表-6月'!$E:$T,16,0),0)</f>
        <v>30000</v>
      </c>
      <c r="U9" s="71">
        <f>Q9+IFERROR(VLOOKUP($E:$E,'（居民）工资表-6月'!$E:$U,17,0),0)</f>
        <v>6058.8</v>
      </c>
      <c r="V9" s="54"/>
      <c r="W9" s="54"/>
      <c r="X9" s="54"/>
      <c r="Y9" s="54"/>
      <c r="Z9" s="54"/>
      <c r="AA9" s="54"/>
      <c r="AB9" s="70">
        <f t="shared" si="1"/>
        <v>0</v>
      </c>
      <c r="AC9" s="70">
        <f>R9+IFERROR(VLOOKUP($E:$E,'（居民）工资表-6月'!$E:$AC,25,0),0)</f>
        <v>0</v>
      </c>
      <c r="AD9" s="72">
        <f t="shared" si="2"/>
        <v>22481.43</v>
      </c>
      <c r="AE9" s="73">
        <f>ROUND(MAX((AD9)*{0.03;0.1;0.2;0.25;0.3;0.35;0.45}-{0;2520;16920;31920;52920;85920;181920},0),2)</f>
        <v>674.44</v>
      </c>
      <c r="AF9" s="74">
        <f>IFERROR(VLOOKUP(E:E,'（居民）工资表-6月'!E:AF,28,0)+VLOOKUP(E:E,'（居民）工资表-6月'!E:AG,29,0),0)</f>
        <v>539.91</v>
      </c>
      <c r="AG9" s="74">
        <f t="shared" si="3"/>
        <v>134.53000000000009</v>
      </c>
      <c r="AH9" s="77">
        <f t="shared" si="4"/>
        <v>9349.92</v>
      </c>
      <c r="AI9" s="78"/>
      <c r="AJ9" s="77">
        <f t="shared" si="5"/>
        <v>9349.92</v>
      </c>
      <c r="AK9" s="79"/>
      <c r="AL9" s="77">
        <f t="shared" si="6"/>
        <v>9484.4500000000007</v>
      </c>
      <c r="AM9" s="79"/>
      <c r="AN9" s="79"/>
      <c r="AO9" s="79"/>
      <c r="AP9" s="79"/>
      <c r="AQ9" s="79"/>
      <c r="AR9" s="84" t="str">
        <f t="shared" si="7"/>
        <v>正确</v>
      </c>
      <c r="AS9" s="84" t="str">
        <f t="shared" si="8"/>
        <v>不</v>
      </c>
      <c r="AT9" s="84" t="str">
        <f t="shared" si="9"/>
        <v>重复</v>
      </c>
    </row>
    <row r="10" spans="1:46" s="10" customFormat="1" ht="18" customHeight="1">
      <c r="A10" s="24">
        <v>8</v>
      </c>
      <c r="B10" s="25" t="s">
        <v>123</v>
      </c>
      <c r="C10" s="25" t="s">
        <v>167</v>
      </c>
      <c r="D10" s="25" t="s">
        <v>125</v>
      </c>
      <c r="E10" s="219" t="s">
        <v>168</v>
      </c>
      <c r="F10" s="26" t="s">
        <v>200</v>
      </c>
      <c r="G10" s="27">
        <v>18935711299</v>
      </c>
      <c r="H10" s="28"/>
      <c r="I10" s="28"/>
      <c r="J10" s="86"/>
      <c r="K10" s="28"/>
      <c r="L10" s="54">
        <v>11000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0"/>
        <v>1009.8</v>
      </c>
      <c r="R10" s="54">
        <v>0</v>
      </c>
      <c r="S10" s="70">
        <f>L10+IFERROR(VLOOKUP($E:$E,'（居民）工资表-6月'!$E:$S,15,0),0)</f>
        <v>64361.379310344797</v>
      </c>
      <c r="T10" s="71">
        <f>5000+IFERROR(VLOOKUP($E:$E,'（居民）工资表-6月'!$E:$T,16,0),0)</f>
        <v>30000</v>
      </c>
      <c r="U10" s="71">
        <f>Q10+IFERROR(VLOOKUP($E:$E,'（居民）工资表-6月'!$E:$U,17,0),0)</f>
        <v>6058.8</v>
      </c>
      <c r="V10" s="54"/>
      <c r="W10" s="54"/>
      <c r="X10" s="54"/>
      <c r="Y10" s="54"/>
      <c r="Z10" s="54"/>
      <c r="AA10" s="54"/>
      <c r="AB10" s="70">
        <f t="shared" si="1"/>
        <v>0</v>
      </c>
      <c r="AC10" s="70">
        <f>R10+IFERROR(VLOOKUP($E:$E,'（居民）工资表-6月'!$E:$AC,25,0),0)</f>
        <v>0</v>
      </c>
      <c r="AD10" s="72">
        <f t="shared" si="2"/>
        <v>28302.58</v>
      </c>
      <c r="AE10" s="73">
        <f>ROUND(MAX((AD10)*{0.03;0.1;0.2;0.25;0.3;0.35;0.45}-{0;2520;16920;31920;52920;85920;181920},0),2)</f>
        <v>849.08</v>
      </c>
      <c r="AF10" s="74">
        <f>IFERROR(VLOOKUP(E:E,'（居民）工资表-6月'!E:AF,28,0)+VLOOKUP(E:E,'（居民）工资表-6月'!E:AG,29,0),0)</f>
        <v>699.37</v>
      </c>
      <c r="AG10" s="74">
        <f t="shared" si="3"/>
        <v>149.71000000000004</v>
      </c>
      <c r="AH10" s="77">
        <f t="shared" si="4"/>
        <v>9840.49</v>
      </c>
      <c r="AI10" s="78"/>
      <c r="AJ10" s="77">
        <f t="shared" si="5"/>
        <v>9840.49</v>
      </c>
      <c r="AK10" s="79"/>
      <c r="AL10" s="77">
        <f t="shared" si="6"/>
        <v>9990.2000000000007</v>
      </c>
      <c r="AM10" s="79"/>
      <c r="AN10" s="79"/>
      <c r="AO10" s="79"/>
      <c r="AP10" s="79"/>
      <c r="AQ10" s="79"/>
      <c r="AR10" s="84" t="str">
        <f t="shared" si="7"/>
        <v>正确</v>
      </c>
      <c r="AS10" s="84" t="str">
        <f t="shared" si="8"/>
        <v>不</v>
      </c>
      <c r="AT10" s="84" t="str">
        <f t="shared" si="9"/>
        <v>重复</v>
      </c>
    </row>
    <row r="11" spans="1:46" s="10" customFormat="1" ht="18" customHeight="1">
      <c r="A11" s="24">
        <v>9</v>
      </c>
      <c r="B11" s="25" t="s">
        <v>123</v>
      </c>
      <c r="C11" s="25" t="s">
        <v>169</v>
      </c>
      <c r="D11" s="25" t="s">
        <v>125</v>
      </c>
      <c r="E11" s="219" t="s">
        <v>170</v>
      </c>
      <c r="F11" s="26" t="s">
        <v>200</v>
      </c>
      <c r="G11" s="27">
        <v>13301242552</v>
      </c>
      <c r="H11" s="28"/>
      <c r="I11" s="28"/>
      <c r="J11" s="86"/>
      <c r="K11" s="28"/>
      <c r="L11" s="54">
        <v>14000</v>
      </c>
      <c r="M11" s="55">
        <v>640</v>
      </c>
      <c r="N11" s="55">
        <v>163</v>
      </c>
      <c r="O11" s="55">
        <v>40</v>
      </c>
      <c r="P11" s="55">
        <v>960</v>
      </c>
      <c r="Q11" s="69">
        <f t="shared" si="0"/>
        <v>1803</v>
      </c>
      <c r="R11" s="54">
        <v>0</v>
      </c>
      <c r="S11" s="70">
        <f>L11+IFERROR(VLOOKUP($E:$E,'（居民）工资表-6月'!$E:$S,15,0),0)</f>
        <v>83000</v>
      </c>
      <c r="T11" s="71">
        <f>5000+IFERROR(VLOOKUP($E:$E,'（居民）工资表-6月'!$E:$T,16,0),0)</f>
        <v>25000</v>
      </c>
      <c r="U11" s="71">
        <f>Q11+IFERROR(VLOOKUP($E:$E,'（居民）工资表-6月'!$E:$U,17,0),0)</f>
        <v>9015</v>
      </c>
      <c r="V11" s="54"/>
      <c r="W11" s="54"/>
      <c r="X11" s="54"/>
      <c r="Y11" s="54"/>
      <c r="Z11" s="54"/>
      <c r="AA11" s="54"/>
      <c r="AB11" s="70">
        <f t="shared" si="1"/>
        <v>0</v>
      </c>
      <c r="AC11" s="70">
        <f>R11+IFERROR(VLOOKUP($E:$E,'（居民）工资表-6月'!$E:$AC,25,0),0)</f>
        <v>0</v>
      </c>
      <c r="AD11" s="72">
        <f t="shared" si="2"/>
        <v>48985</v>
      </c>
      <c r="AE11" s="73">
        <f>ROUND(MAX((AD11)*{0.03;0.1;0.2;0.25;0.3;0.35;0.45}-{0;2520;16920;31920;52920;85920;181920},0),2)</f>
        <v>2378.5</v>
      </c>
      <c r="AF11" s="74">
        <f>IFERROR(VLOOKUP(E:E,'（居民）工资表-6月'!E:AF,28,0)+VLOOKUP(E:E,'（居民）工资表-6月'!E:AG,29,0),0)</f>
        <v>1658.8</v>
      </c>
      <c r="AG11" s="74">
        <f t="shared" si="3"/>
        <v>719.7</v>
      </c>
      <c r="AH11" s="77">
        <f t="shared" si="4"/>
        <v>11477.3</v>
      </c>
      <c r="AI11" s="78"/>
      <c r="AJ11" s="77">
        <f t="shared" si="5"/>
        <v>11477.3</v>
      </c>
      <c r="AK11" s="79"/>
      <c r="AL11" s="77">
        <f t="shared" si="6"/>
        <v>12197</v>
      </c>
      <c r="AM11" s="79"/>
      <c r="AN11" s="79"/>
      <c r="AO11" s="79"/>
      <c r="AP11" s="79"/>
      <c r="AQ11" s="79"/>
      <c r="AR11" s="84" t="str">
        <f t="shared" si="7"/>
        <v>正确</v>
      </c>
      <c r="AS11" s="84" t="str">
        <f t="shared" si="8"/>
        <v>不</v>
      </c>
      <c r="AT11" s="84" t="str">
        <f t="shared" si="9"/>
        <v>重复</v>
      </c>
    </row>
    <row r="12" spans="1:46" s="11" customFormat="1" ht="18" customHeight="1">
      <c r="A12" s="31"/>
      <c r="B12" s="32" t="s">
        <v>151</v>
      </c>
      <c r="C12" s="32"/>
      <c r="D12" s="33"/>
      <c r="E12" s="34"/>
      <c r="F12" s="35"/>
      <c r="G12" s="36"/>
      <c r="H12" s="35"/>
      <c r="I12" s="56"/>
      <c r="J12" s="57"/>
      <c r="K12" s="56"/>
      <c r="L12" s="58">
        <f t="shared" ref="L12:AL12" si="10">SUM(L4:L11)</f>
        <v>90482.75862068971</v>
      </c>
      <c r="M12" s="58">
        <f t="shared" si="10"/>
        <v>3641.6000000000004</v>
      </c>
      <c r="N12" s="58">
        <f t="shared" si="10"/>
        <v>934.40000000000009</v>
      </c>
      <c r="O12" s="58">
        <f t="shared" si="10"/>
        <v>227.60000000000002</v>
      </c>
      <c r="P12" s="58">
        <f t="shared" si="10"/>
        <v>4224</v>
      </c>
      <c r="Q12" s="58">
        <f t="shared" si="10"/>
        <v>9027.6</v>
      </c>
      <c r="R12" s="58">
        <f t="shared" si="10"/>
        <v>0</v>
      </c>
      <c r="S12" s="58">
        <f t="shared" si="10"/>
        <v>567826.20689655177</v>
      </c>
      <c r="T12" s="58">
        <f t="shared" si="10"/>
        <v>260000</v>
      </c>
      <c r="U12" s="58">
        <f t="shared" si="10"/>
        <v>56557.80000000001</v>
      </c>
      <c r="V12" s="58">
        <f t="shared" si="10"/>
        <v>0</v>
      </c>
      <c r="W12" s="58">
        <f t="shared" si="10"/>
        <v>0</v>
      </c>
      <c r="X12" s="58">
        <f t="shared" si="10"/>
        <v>0</v>
      </c>
      <c r="Y12" s="58">
        <f t="shared" si="10"/>
        <v>0</v>
      </c>
      <c r="Z12" s="58">
        <f t="shared" si="10"/>
        <v>0</v>
      </c>
      <c r="AA12" s="58">
        <f t="shared" si="10"/>
        <v>0</v>
      </c>
      <c r="AB12" s="58">
        <f t="shared" si="10"/>
        <v>0</v>
      </c>
      <c r="AC12" s="58">
        <f t="shared" si="10"/>
        <v>0</v>
      </c>
      <c r="AD12" s="58">
        <f t="shared" si="10"/>
        <v>251268.39999999997</v>
      </c>
      <c r="AE12" s="58">
        <f t="shared" si="10"/>
        <v>8447.01</v>
      </c>
      <c r="AF12" s="58">
        <f t="shared" si="10"/>
        <v>6699.5599999999995</v>
      </c>
      <c r="AG12" s="58">
        <f t="shared" si="10"/>
        <v>1747.4500000000005</v>
      </c>
      <c r="AH12" s="58">
        <f t="shared" si="10"/>
        <v>79707.710000000006</v>
      </c>
      <c r="AI12" s="80">
        <f t="shared" si="10"/>
        <v>0</v>
      </c>
      <c r="AJ12" s="58">
        <f t="shared" si="10"/>
        <v>79707.710000000006</v>
      </c>
      <c r="AK12" s="58">
        <f t="shared" si="10"/>
        <v>0</v>
      </c>
      <c r="AL12" s="58">
        <f t="shared" si="10"/>
        <v>81455.159999999989</v>
      </c>
      <c r="AM12" s="81"/>
      <c r="AN12" s="81"/>
      <c r="AO12" s="81"/>
      <c r="AP12" s="81"/>
      <c r="AQ12" s="81"/>
      <c r="AR12" s="35"/>
      <c r="AS12" s="35"/>
      <c r="AT12" s="85"/>
    </row>
    <row r="15" spans="1:46">
      <c r="AD15" s="75"/>
    </row>
    <row r="16" spans="1:46" ht="18.75" customHeight="1">
      <c r="B16" s="37" t="s">
        <v>104</v>
      </c>
      <c r="C16" s="37" t="s">
        <v>152</v>
      </c>
      <c r="D16" s="37" t="s">
        <v>55</v>
      </c>
      <c r="E16" s="37" t="s">
        <v>56</v>
      </c>
      <c r="AD16" s="8"/>
    </row>
    <row r="17" spans="1:35" ht="18.75" customHeight="1">
      <c r="B17" s="38">
        <f>AJ12</f>
        <v>79707.710000000006</v>
      </c>
      <c r="C17" s="38">
        <f>AG12</f>
        <v>1747.4500000000005</v>
      </c>
      <c r="D17" s="38">
        <f>AK12</f>
        <v>0</v>
      </c>
      <c r="E17" s="38">
        <f>B17+C17+D17</f>
        <v>81455.16</v>
      </c>
      <c r="F17" s="13">
        <v>12598.95</v>
      </c>
    </row>
    <row r="18" spans="1:35">
      <c r="B18" s="39"/>
      <c r="C18" s="39"/>
      <c r="D18" s="39"/>
      <c r="E18" s="39">
        <f>E17*6.78%</f>
        <v>5522.6598480000002</v>
      </c>
      <c r="F18" s="13">
        <v>854.20880999999997</v>
      </c>
    </row>
    <row r="19" spans="1:35" s="12" customFormat="1">
      <c r="A19" s="40" t="s">
        <v>153</v>
      </c>
      <c r="B19" s="41" t="s">
        <v>154</v>
      </c>
      <c r="C19" s="42"/>
      <c r="D19" s="42"/>
      <c r="E19" s="42"/>
      <c r="G19" s="43"/>
      <c r="J19" s="59"/>
      <c r="M19" s="60"/>
      <c r="AI19" s="82"/>
    </row>
    <row r="20" spans="1:35" s="12" customFormat="1">
      <c r="A20" s="44"/>
      <c r="B20" s="45" t="s">
        <v>155</v>
      </c>
      <c r="C20" s="42"/>
      <c r="D20" s="42"/>
      <c r="E20" s="42"/>
      <c r="G20" s="43"/>
      <c r="J20" s="59"/>
      <c r="M20" s="60"/>
      <c r="AI20" s="82"/>
    </row>
    <row r="21" spans="1:35" s="12" customFormat="1">
      <c r="A21" s="41"/>
      <c r="B21" s="45" t="s">
        <v>156</v>
      </c>
      <c r="C21" s="46"/>
      <c r="D21" s="46"/>
      <c r="E21" s="46"/>
      <c r="F21" s="46"/>
      <c r="G21" s="46"/>
      <c r="H21" s="46"/>
      <c r="I21" s="46"/>
      <c r="J21" s="61"/>
      <c r="K21" s="46"/>
      <c r="L21" s="46"/>
      <c r="M21" s="62"/>
      <c r="N21" s="46"/>
      <c r="O21" s="46"/>
      <c r="P21" s="46"/>
      <c r="AI21" s="82"/>
    </row>
    <row r="22" spans="1:35" s="12" customFormat="1" ht="13.5" customHeight="1">
      <c r="A22" s="45"/>
      <c r="B22" s="45" t="s">
        <v>157</v>
      </c>
      <c r="C22" s="47"/>
      <c r="D22" s="47"/>
      <c r="E22" s="47"/>
      <c r="F22" s="47"/>
      <c r="G22" s="47"/>
      <c r="H22" s="47"/>
      <c r="I22" s="63"/>
      <c r="J22" s="64"/>
      <c r="K22" s="63"/>
      <c r="L22" s="63"/>
      <c r="M22" s="65"/>
      <c r="N22" s="63"/>
      <c r="O22" s="63"/>
      <c r="P22" s="63"/>
      <c r="AI22" s="82"/>
    </row>
    <row r="23" spans="1:35" s="12" customFormat="1" ht="13.5" customHeight="1">
      <c r="A23" s="45"/>
      <c r="B23" s="45" t="s">
        <v>158</v>
      </c>
      <c r="C23" s="47"/>
      <c r="D23" s="47"/>
      <c r="E23" s="47"/>
      <c r="F23" s="47"/>
      <c r="G23" s="47"/>
      <c r="H23" s="47"/>
      <c r="I23" s="47"/>
      <c r="J23" s="66"/>
      <c r="K23" s="47"/>
      <c r="L23" s="63"/>
      <c r="M23" s="65"/>
      <c r="N23" s="63"/>
      <c r="O23" s="63"/>
      <c r="P23" s="63"/>
      <c r="AI23" s="82"/>
    </row>
    <row r="24" spans="1:35" s="12" customFormat="1" ht="13.5" customHeight="1">
      <c r="A24" s="45"/>
      <c r="B24" s="45" t="s">
        <v>159</v>
      </c>
      <c r="C24" s="47"/>
      <c r="D24" s="47"/>
      <c r="E24" s="47"/>
      <c r="F24" s="47"/>
      <c r="G24" s="47"/>
      <c r="H24" s="47"/>
      <c r="I24" s="63"/>
      <c r="J24" s="64"/>
      <c r="K24" s="63"/>
      <c r="L24" s="63"/>
      <c r="M24" s="65"/>
      <c r="N24" s="63"/>
      <c r="O24" s="63"/>
      <c r="P24" s="63"/>
      <c r="AI24" s="82"/>
    </row>
    <row r="26" spans="1:35" ht="11.25" customHeight="1">
      <c r="B26" s="48" t="s">
        <v>160</v>
      </c>
    </row>
    <row r="27" spans="1:35">
      <c r="B27" s="49" t="s">
        <v>161</v>
      </c>
    </row>
    <row r="28" spans="1:35">
      <c r="B28" s="49" t="s">
        <v>162</v>
      </c>
    </row>
  </sheetData>
  <autoFilter ref="A3:AT12" xr:uid="{00000000-0009-0000-0000-000009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4">
    <cfRule type="duplicateValues" dxfId="34" priority="2" stopIfTrue="1"/>
  </conditionalFormatting>
  <conditionalFormatting sqref="B19:B23">
    <cfRule type="duplicateValues" dxfId="33" priority="3" stopIfTrue="1"/>
  </conditionalFormatting>
  <conditionalFormatting sqref="B27:B28">
    <cfRule type="duplicateValues" dxfId="32" priority="1" stopIfTrue="1"/>
  </conditionalFormatting>
  <conditionalFormatting sqref="C16:C18">
    <cfRule type="duplicateValues" dxfId="31" priority="4" stopIfTrue="1"/>
    <cfRule type="expression" dxfId="30" priority="5" stopIfTrue="1">
      <formula>AND(COUNTIF($B$12:$B$65448,C16)+COUNTIF($B$1:$B$3,C16)&gt;1,NOT(ISBLANK(C16)))</formula>
    </cfRule>
    <cfRule type="expression" dxfId="29" priority="6" stopIfTrue="1">
      <formula>AND(COUNTIF($B$23:$B$65399,C16)+COUNTIF($B$1:$B$22,C16)&gt;1,NOT(ISBLANK(C16)))</formula>
    </cfRule>
    <cfRule type="expression" dxfId="28" priority="7" stopIfTrue="1">
      <formula>AND(COUNTIF($B$12:$B$65437,C16)+COUNTIF($B$1:$B$3,C16)&gt;1,NOT(ISBLANK(C16)))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 pane="topRight"/>
      <selection pane="bottomLeft"/>
      <selection pane="bottomRight" activeCell="Q13" sqref="Q13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12.6328125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3.36328125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135</v>
      </c>
      <c r="D4" s="25" t="s">
        <v>125</v>
      </c>
      <c r="E4" s="25" t="s">
        <v>136</v>
      </c>
      <c r="F4" s="26" t="s">
        <v>203</v>
      </c>
      <c r="G4" s="27">
        <v>15652649555</v>
      </c>
      <c r="H4" s="28"/>
      <c r="I4" s="28"/>
      <c r="J4" s="86"/>
      <c r="K4" s="28"/>
      <c r="L4" s="54">
        <v>11680</v>
      </c>
      <c r="M4" s="55">
        <f>VLOOKUP(E4,'[1]（居民）工资表-7月'!$E$4:$M$12,9,0)</f>
        <v>469.52</v>
      </c>
      <c r="N4" s="55">
        <f>VLOOKUP(E4,'[1]（居民）工资表-7月'!$E$4:$N$12,10,0)</f>
        <v>120.4</v>
      </c>
      <c r="O4" s="55">
        <f>VLOOKUP(E4,'[1]（居民）工资表-7月'!$E$4:$O$12,11,0)</f>
        <v>29.4</v>
      </c>
      <c r="P4" s="55">
        <f>VLOOKUP(E4,'[1]（居民）工资表-7月'!$E$4:$P$12,12,0)</f>
        <v>444</v>
      </c>
      <c r="Q4" s="69">
        <f t="shared" ref="Q4:Q12" si="0">ROUND(SUM(M4:P4),2)</f>
        <v>1063.32</v>
      </c>
      <c r="R4" s="54">
        <v>0</v>
      </c>
      <c r="S4" s="70">
        <f>L4+IFERROR(VLOOKUP($E:$E,'（居民）工资表-7月'!$E:$S,15,0),0)</f>
        <v>89714.482758620696</v>
      </c>
      <c r="T4" s="71">
        <f>5000+IFERROR(VLOOKUP($E:$E,'（居民）工资表-7月'!$E:$T,16,0),0)</f>
        <v>40000</v>
      </c>
      <c r="U4" s="71">
        <f>Q4+IFERROR(VLOOKUP($E:$E,'（居民）工资表-7月'!$E:$U,17,0),0)</f>
        <v>8131.92</v>
      </c>
      <c r="V4" s="54"/>
      <c r="W4" s="54"/>
      <c r="X4" s="54"/>
      <c r="Y4" s="54"/>
      <c r="Z4" s="54"/>
      <c r="AA4" s="54"/>
      <c r="AB4" s="70">
        <f t="shared" ref="AB4:AB12" si="1">ROUND(SUM(V4:AA4),2)</f>
        <v>0</v>
      </c>
      <c r="AC4" s="70">
        <f>R4+IFERROR(VLOOKUP($E:$E,'（居民）工资表-7月'!$E:$AC,25,0),0)</f>
        <v>0</v>
      </c>
      <c r="AD4" s="72">
        <f t="shared" ref="AD4:AD12" si="2">ROUND(S4-T4-U4-AB4-AC4,2)</f>
        <v>41582.559999999998</v>
      </c>
      <c r="AE4" s="73">
        <f>ROUND(MAX((AD4)*{0.03;0.1;0.2;0.25;0.3;0.35;0.45}-{0;2520;16920;31920;52920;85920;181920},0),2)</f>
        <v>1638.26</v>
      </c>
      <c r="AF4" s="74">
        <f>IFERROR(VLOOKUP(E:E,'（居民）工资表-7月'!E:AF,28,0)+VLOOKUP(E:E,'（居民）工资表-7月'!E:AG,29,0),0)</f>
        <v>1078.98</v>
      </c>
      <c r="AG4" s="74">
        <f t="shared" ref="AG4:AG12" si="3">IF((AE4-AF4)&lt;0,0,AE4-AF4)</f>
        <v>559.28</v>
      </c>
      <c r="AH4" s="77">
        <f t="shared" ref="AH4:AH12" si="4">ROUND(IF((L4-Q4-AG4)&lt;0,0,(L4-Q4-AG4)),2)</f>
        <v>10057.4</v>
      </c>
      <c r="AI4" s="78"/>
      <c r="AJ4" s="77">
        <f t="shared" ref="AJ4:AJ12" si="5">AH4+AI4</f>
        <v>10057.4</v>
      </c>
      <c r="AK4" s="79"/>
      <c r="AL4" s="77">
        <f t="shared" ref="AL4:AL12" si="6">AJ4+AG4+AK4</f>
        <v>10616.68</v>
      </c>
      <c r="AM4" s="79"/>
      <c r="AN4" s="79"/>
      <c r="AO4" s="79"/>
      <c r="AP4" s="79"/>
      <c r="AQ4" s="79"/>
      <c r="AR4" s="84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2" si="8">IF(SUMPRODUCT(N(E$1:E$11=E4))&gt;1,"重复","不")</f>
        <v>不</v>
      </c>
      <c r="AT4" s="84" t="str">
        <f t="shared" ref="AT4:AT12" si="9">IF(SUMPRODUCT(N(AO$1:AO$11=AO4))&gt;1,"重复","不")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137</v>
      </c>
      <c r="D5" s="25" t="s">
        <v>125</v>
      </c>
      <c r="E5" s="219" t="s">
        <v>138</v>
      </c>
      <c r="F5" s="26" t="s">
        <v>203</v>
      </c>
      <c r="G5" s="27">
        <v>17611149839</v>
      </c>
      <c r="H5" s="28"/>
      <c r="I5" s="28"/>
      <c r="J5" s="86"/>
      <c r="K5" s="28"/>
      <c r="L5" s="54">
        <v>12180</v>
      </c>
      <c r="M5" s="55">
        <f>VLOOKUP(E5,'[1]（居民）工资表-7月'!$E$4:$M$12,9,0)</f>
        <v>469.52</v>
      </c>
      <c r="N5" s="55">
        <f>VLOOKUP(E5,'[1]（居民）工资表-7月'!$E$4:$N$12,10,0)</f>
        <v>120.4</v>
      </c>
      <c r="O5" s="55">
        <f>VLOOKUP(E5,'[1]（居民）工资表-7月'!$E$4:$O$12,11,0)</f>
        <v>29.4</v>
      </c>
      <c r="P5" s="55">
        <f>VLOOKUP(E5,'[1]（居民）工资表-7月'!$E$4:$P$12,12,0)</f>
        <v>444</v>
      </c>
      <c r="Q5" s="69">
        <f t="shared" si="0"/>
        <v>1063.32</v>
      </c>
      <c r="R5" s="54">
        <v>0</v>
      </c>
      <c r="S5" s="70">
        <f>L5+IFERROR(VLOOKUP($E:$E,'（居民）工资表-7月'!$E:$S,15,0),0)</f>
        <v>87285.517241379304</v>
      </c>
      <c r="T5" s="71">
        <f>5000+IFERROR(VLOOKUP($E:$E,'（居民）工资表-7月'!$E:$T,16,0),0)</f>
        <v>40000</v>
      </c>
      <c r="U5" s="71">
        <f>Q5+IFERROR(VLOOKUP($E:$E,'（居民）工资表-7月'!$E:$U,17,0),0)</f>
        <v>8131.92</v>
      </c>
      <c r="V5" s="54"/>
      <c r="W5" s="54"/>
      <c r="X5" s="54"/>
      <c r="Y5" s="54"/>
      <c r="Z5" s="54"/>
      <c r="AA5" s="54"/>
      <c r="AB5" s="70">
        <f t="shared" si="1"/>
        <v>0</v>
      </c>
      <c r="AC5" s="70">
        <f>R5+IFERROR(VLOOKUP($E:$E,'（居民）工资表-7月'!$E:$AC,25,0),0)</f>
        <v>0</v>
      </c>
      <c r="AD5" s="72">
        <f t="shared" si="2"/>
        <v>39153.599999999999</v>
      </c>
      <c r="AE5" s="73">
        <f>ROUND(MAX((AD5)*{0.03;0.1;0.2;0.25;0.3;0.35;0.45}-{0;2520;16920;31920;52920;85920;181920},0),2)</f>
        <v>1395.36</v>
      </c>
      <c r="AF5" s="74">
        <f>IFERROR(VLOOKUP(E:E,'（居民）工资表-7月'!E:AF,28,0)+VLOOKUP(E:E,'（居民）工资表-7月'!E:AG,29,0),0)</f>
        <v>991.11</v>
      </c>
      <c r="AG5" s="74">
        <f t="shared" si="3"/>
        <v>404.24999999999989</v>
      </c>
      <c r="AH5" s="77">
        <f t="shared" si="4"/>
        <v>10712.43</v>
      </c>
      <c r="AI5" s="78"/>
      <c r="AJ5" s="77">
        <f t="shared" si="5"/>
        <v>10712.43</v>
      </c>
      <c r="AK5" s="79"/>
      <c r="AL5" s="77">
        <f t="shared" si="6"/>
        <v>11116.68</v>
      </c>
      <c r="AM5" s="79"/>
      <c r="AN5" s="79"/>
      <c r="AO5" s="79"/>
      <c r="AP5" s="79"/>
      <c r="AQ5" s="79"/>
      <c r="AR5" s="84" t="str">
        <f t="shared" si="7"/>
        <v>正确</v>
      </c>
      <c r="AS5" s="84" t="str">
        <f t="shared" si="8"/>
        <v>不</v>
      </c>
      <c r="AT5" s="84" t="str">
        <f t="shared" si="9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139</v>
      </c>
      <c r="D6" s="25" t="s">
        <v>125</v>
      </c>
      <c r="E6" s="219" t="s">
        <v>140</v>
      </c>
      <c r="F6" s="26" t="s">
        <v>203</v>
      </c>
      <c r="G6" s="27">
        <v>13596154643</v>
      </c>
      <c r="H6" s="28"/>
      <c r="I6" s="28"/>
      <c r="J6" s="86"/>
      <c r="K6" s="28"/>
      <c r="L6" s="54">
        <v>11151.871412169899</v>
      </c>
      <c r="M6" s="55">
        <f>VLOOKUP(E6,'[1]（居民）工资表-7月'!$E$4:$M$12,9,0)</f>
        <v>469.52</v>
      </c>
      <c r="N6" s="55">
        <f>VLOOKUP(E6,'[1]（居民）工资表-7月'!$E$4:$N$12,10,0)</f>
        <v>120.4</v>
      </c>
      <c r="O6" s="55">
        <f>VLOOKUP(E6,'[1]（居民）工资表-7月'!$E$4:$O$12,11,0)</f>
        <v>29.4</v>
      </c>
      <c r="P6" s="55">
        <f>VLOOKUP(E6,'[1]（居民）工资表-7月'!$E$4:$P$12,12,0)</f>
        <v>444</v>
      </c>
      <c r="Q6" s="69">
        <f t="shared" si="0"/>
        <v>1063.32</v>
      </c>
      <c r="R6" s="54">
        <v>0</v>
      </c>
      <c r="S6" s="70">
        <f>L6+IFERROR(VLOOKUP($E:$E,'（居民）工资表-7月'!$E:$S,15,0),0)</f>
        <v>88901.986354698689</v>
      </c>
      <c r="T6" s="71">
        <f>5000+IFERROR(VLOOKUP($E:$E,'（居民）工资表-7月'!$E:$T,16,0),0)</f>
        <v>40000</v>
      </c>
      <c r="U6" s="71">
        <f>Q6+IFERROR(VLOOKUP($E:$E,'（居民）工资表-7月'!$E:$U,17,0),0)</f>
        <v>8131.92</v>
      </c>
      <c r="V6" s="54"/>
      <c r="W6" s="54"/>
      <c r="X6" s="54"/>
      <c r="Y6" s="54"/>
      <c r="Z6" s="54"/>
      <c r="AA6" s="54"/>
      <c r="AB6" s="70">
        <f t="shared" si="1"/>
        <v>0</v>
      </c>
      <c r="AC6" s="70">
        <f>R6+IFERROR(VLOOKUP($E:$E,'（居民）工资表-7月'!$E:$AC,25,0),0)</f>
        <v>0</v>
      </c>
      <c r="AD6" s="72">
        <f t="shared" si="2"/>
        <v>40770.07</v>
      </c>
      <c r="AE6" s="73">
        <f>ROUND(MAX((AD6)*{0.03;0.1;0.2;0.25;0.3;0.35;0.45}-{0;2520;16920;31920;52920;85920;181920},0),2)</f>
        <v>1557.01</v>
      </c>
      <c r="AF6" s="74">
        <f>IFERROR(VLOOKUP(E:E,'（居民）工资表-7月'!E:AF,28,0)+VLOOKUP(E:E,'（居民）工资表-7月'!E:AG,29,0),0)</f>
        <v>1070.45</v>
      </c>
      <c r="AG6" s="74">
        <f t="shared" si="3"/>
        <v>486.55999999999995</v>
      </c>
      <c r="AH6" s="77">
        <f t="shared" si="4"/>
        <v>9601.99</v>
      </c>
      <c r="AI6" s="78"/>
      <c r="AJ6" s="77">
        <f t="shared" si="5"/>
        <v>9601.99</v>
      </c>
      <c r="AK6" s="79"/>
      <c r="AL6" s="77">
        <f t="shared" si="6"/>
        <v>10088.549999999999</v>
      </c>
      <c r="AM6" s="79"/>
      <c r="AN6" s="79"/>
      <c r="AO6" s="79"/>
      <c r="AP6" s="79"/>
      <c r="AQ6" s="79"/>
      <c r="AR6" s="84" t="str">
        <f t="shared" si="7"/>
        <v>正确</v>
      </c>
      <c r="AS6" s="84" t="str">
        <f t="shared" si="8"/>
        <v>不</v>
      </c>
      <c r="AT6" s="84" t="str">
        <f t="shared" si="9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147</v>
      </c>
      <c r="D7" s="25" t="s">
        <v>125</v>
      </c>
      <c r="E7" s="219" t="s">
        <v>148</v>
      </c>
      <c r="F7" s="26" t="s">
        <v>200</v>
      </c>
      <c r="G7" s="27">
        <v>18674014622</v>
      </c>
      <c r="H7" s="28"/>
      <c r="I7" s="28"/>
      <c r="J7" s="86"/>
      <c r="K7" s="28"/>
      <c r="L7" s="54">
        <v>10000</v>
      </c>
      <c r="M7" s="55">
        <f>VLOOKUP(E7,'[1]（居民）工资表-7月'!$E$4:$M$12,9,0)</f>
        <v>469.52</v>
      </c>
      <c r="N7" s="55">
        <f>VLOOKUP(E7,'[1]（居民）工资表-7月'!$E$4:$N$12,10,0)</f>
        <v>120.4</v>
      </c>
      <c r="O7" s="55">
        <f>VLOOKUP(E7,'[1]（居民）工资表-7月'!$E$4:$O$12,11,0)</f>
        <v>29.4</v>
      </c>
      <c r="P7" s="55">
        <f>VLOOKUP(E7,'[1]（居民）工资表-7月'!$E$4:$P$12,12,0)</f>
        <v>600</v>
      </c>
      <c r="Q7" s="69">
        <f t="shared" si="0"/>
        <v>1219.32</v>
      </c>
      <c r="R7" s="54">
        <v>0</v>
      </c>
      <c r="S7" s="70">
        <f>L7+IFERROR(VLOOKUP($E:$E,'（居民）工资表-7月'!$E:$S,15,0),0)</f>
        <v>78275.862068965522</v>
      </c>
      <c r="T7" s="71">
        <f>5000+IFERROR(VLOOKUP($E:$E,'（居民）工资表-7月'!$E:$T,16,0),0)</f>
        <v>40000</v>
      </c>
      <c r="U7" s="71">
        <f>Q7+IFERROR(VLOOKUP($E:$E,'（居民）工资表-7月'!$E:$U,17,0),0)</f>
        <v>9379.92</v>
      </c>
      <c r="V7" s="54"/>
      <c r="W7" s="54"/>
      <c r="X7" s="54"/>
      <c r="Y7" s="54"/>
      <c r="Z7" s="54"/>
      <c r="AA7" s="54"/>
      <c r="AB7" s="70">
        <f t="shared" si="1"/>
        <v>0</v>
      </c>
      <c r="AC7" s="70">
        <f>R7+IFERROR(VLOOKUP($E:$E,'（居民）工资表-7月'!$E:$AC,25,0),0)</f>
        <v>0</v>
      </c>
      <c r="AD7" s="72">
        <f t="shared" si="2"/>
        <v>28895.94</v>
      </c>
      <c r="AE7" s="73">
        <f>ROUND(MAX((AD7)*{0.03;0.1;0.2;0.25;0.3;0.35;0.45}-{0;2520;16920;31920;52920;85920;181920},0),2)</f>
        <v>866.88</v>
      </c>
      <c r="AF7" s="74">
        <f>IFERROR(VLOOKUP(E:E,'（居民）工资表-7月'!E:AF,28,0)+VLOOKUP(E:E,'（居民）工资表-7月'!E:AG,29,0),0)</f>
        <v>753.46</v>
      </c>
      <c r="AG7" s="74">
        <f t="shared" si="3"/>
        <v>113.41999999999996</v>
      </c>
      <c r="AH7" s="77">
        <f t="shared" si="4"/>
        <v>8667.26</v>
      </c>
      <c r="AI7" s="78"/>
      <c r="AJ7" s="77">
        <f t="shared" si="5"/>
        <v>8667.26</v>
      </c>
      <c r="AK7" s="79"/>
      <c r="AL7" s="77">
        <f t="shared" si="6"/>
        <v>8780.68</v>
      </c>
      <c r="AM7" s="79"/>
      <c r="AN7" s="79"/>
      <c r="AO7" s="79"/>
      <c r="AP7" s="79"/>
      <c r="AQ7" s="79"/>
      <c r="AR7" s="84" t="str">
        <f t="shared" si="7"/>
        <v>正确</v>
      </c>
      <c r="AS7" s="84" t="str">
        <f t="shared" si="8"/>
        <v>不</v>
      </c>
      <c r="AT7" s="84" t="str">
        <f t="shared" si="9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149</v>
      </c>
      <c r="D8" s="25" t="s">
        <v>125</v>
      </c>
      <c r="E8" s="219" t="s">
        <v>150</v>
      </c>
      <c r="F8" s="26" t="s">
        <v>200</v>
      </c>
      <c r="G8" s="27">
        <v>15145001723</v>
      </c>
      <c r="H8" s="28"/>
      <c r="I8" s="28"/>
      <c r="J8" s="86"/>
      <c r="K8" s="28"/>
      <c r="L8" s="54">
        <v>10000</v>
      </c>
      <c r="M8" s="55">
        <f>VLOOKUP(E8,'[1]（居民）工资表-7月'!$E$4:$M$12,9,0)</f>
        <v>469.52</v>
      </c>
      <c r="N8" s="55">
        <f>VLOOKUP(E8,'[1]（居民）工资表-7月'!$E$4:$N$12,10,0)</f>
        <v>120.4</v>
      </c>
      <c r="O8" s="55">
        <f>VLOOKUP(E8,'[1]（居民）工资表-7月'!$E$4:$O$12,11,0)</f>
        <v>29.4</v>
      </c>
      <c r="P8" s="55">
        <f>VLOOKUP(E8,'[1]（居民）工资表-7月'!$E$4:$P$12,12,0)</f>
        <v>444</v>
      </c>
      <c r="Q8" s="69">
        <f t="shared" si="0"/>
        <v>1063.32</v>
      </c>
      <c r="R8" s="54">
        <v>0</v>
      </c>
      <c r="S8" s="70">
        <f>L8+IFERROR(VLOOKUP($E:$E,'（居民）工资表-7月'!$E:$S,15,0),0)</f>
        <v>72758.620689655174</v>
      </c>
      <c r="T8" s="71">
        <f>5000+IFERROR(VLOOKUP($E:$E,'（居民）工资表-7月'!$E:$T,16,0),0)</f>
        <v>40000</v>
      </c>
      <c r="U8" s="71">
        <f>Q8+IFERROR(VLOOKUP($E:$E,'（居民）工资表-7月'!$E:$U,17,0),0)</f>
        <v>7122.12</v>
      </c>
      <c r="V8" s="54"/>
      <c r="W8" s="54"/>
      <c r="X8" s="54"/>
      <c r="Y8" s="54"/>
      <c r="Z8" s="54"/>
      <c r="AA8" s="54"/>
      <c r="AB8" s="70">
        <f t="shared" si="1"/>
        <v>0</v>
      </c>
      <c r="AC8" s="70">
        <f>R8+IFERROR(VLOOKUP($E:$E,'（居民）工资表-7月'!$E:$AC,25,0),0)</f>
        <v>0</v>
      </c>
      <c r="AD8" s="72">
        <f t="shared" si="2"/>
        <v>25636.5</v>
      </c>
      <c r="AE8" s="73">
        <f>ROUND(MAX((AD8)*{0.03;0.1;0.2;0.25;0.3;0.35;0.45}-{0;2520;16920;31920;52920;85920;181920},0),2)</f>
        <v>769.1</v>
      </c>
      <c r="AF8" s="74">
        <f>IFERROR(VLOOKUP(E:E,'（居民）工资表-7月'!E:AF,28,0)+VLOOKUP(E:E,'（居民）工资表-7月'!E:AG,29,0),0)</f>
        <v>650.99</v>
      </c>
      <c r="AG8" s="74">
        <f t="shared" si="3"/>
        <v>118.11000000000001</v>
      </c>
      <c r="AH8" s="77">
        <f t="shared" si="4"/>
        <v>8818.57</v>
      </c>
      <c r="AI8" s="78"/>
      <c r="AJ8" s="77">
        <f t="shared" si="5"/>
        <v>8818.57</v>
      </c>
      <c r="AK8" s="79"/>
      <c r="AL8" s="77">
        <f t="shared" si="6"/>
        <v>8936.68</v>
      </c>
      <c r="AM8" s="79"/>
      <c r="AN8" s="79"/>
      <c r="AO8" s="79"/>
      <c r="AP8" s="79"/>
      <c r="AQ8" s="79"/>
      <c r="AR8" s="84" t="str">
        <f t="shared" si="7"/>
        <v>正确</v>
      </c>
      <c r="AS8" s="84" t="str">
        <f t="shared" si="8"/>
        <v>不</v>
      </c>
      <c r="AT8" s="84" t="str">
        <f t="shared" si="9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165</v>
      </c>
      <c r="D9" s="25" t="s">
        <v>125</v>
      </c>
      <c r="E9" s="219" t="s">
        <v>166</v>
      </c>
      <c r="F9" s="26" t="s">
        <v>200</v>
      </c>
      <c r="G9" s="27">
        <v>18745463721</v>
      </c>
      <c r="H9" s="28"/>
      <c r="I9" s="28"/>
      <c r="J9" s="86"/>
      <c r="K9" s="28"/>
      <c r="L9" s="54">
        <v>11000</v>
      </c>
      <c r="M9" s="55">
        <f>VLOOKUP(E9,'[1]（居民）工资表-7月'!$E$4:$M$12,9,0)</f>
        <v>469.52</v>
      </c>
      <c r="N9" s="55">
        <f>VLOOKUP(E9,'[1]（居民）工资表-7月'!$E$4:$N$12,10,0)</f>
        <v>120.4</v>
      </c>
      <c r="O9" s="55">
        <f>VLOOKUP(E9,'[1]（居民）工资表-7月'!$E$4:$O$12,11,0)</f>
        <v>29.4</v>
      </c>
      <c r="P9" s="55">
        <f>VLOOKUP(E9,'[1]（居民）工资表-7月'!$E$4:$P$12,12,0)</f>
        <v>444</v>
      </c>
      <c r="Q9" s="69">
        <f t="shared" si="0"/>
        <v>1063.32</v>
      </c>
      <c r="R9" s="54">
        <v>0</v>
      </c>
      <c r="S9" s="70">
        <f>L9+IFERROR(VLOOKUP($E:$E,'（居民）工资表-7月'!$E:$S,15,0),0)</f>
        <v>69540.229885057473</v>
      </c>
      <c r="T9" s="71">
        <f>5000+IFERROR(VLOOKUP($E:$E,'（居民）工资表-7月'!$E:$T,16,0),0)</f>
        <v>35000</v>
      </c>
      <c r="U9" s="71">
        <f>Q9+IFERROR(VLOOKUP($E:$E,'（居民）工资表-7月'!$E:$U,17,0),0)</f>
        <v>7122.12</v>
      </c>
      <c r="V9" s="54"/>
      <c r="W9" s="54"/>
      <c r="X9" s="54"/>
      <c r="Y9" s="54"/>
      <c r="Z9" s="54"/>
      <c r="AA9" s="54"/>
      <c r="AB9" s="70">
        <f t="shared" si="1"/>
        <v>0</v>
      </c>
      <c r="AC9" s="70">
        <f>R9+IFERROR(VLOOKUP($E:$E,'（居民）工资表-7月'!$E:$AC,25,0),0)</f>
        <v>0</v>
      </c>
      <c r="AD9" s="72">
        <f t="shared" si="2"/>
        <v>27418.11</v>
      </c>
      <c r="AE9" s="73">
        <f>ROUND(MAX((AD9)*{0.03;0.1;0.2;0.25;0.3;0.35;0.45}-{0;2520;16920;31920;52920;85920;181920},0),2)</f>
        <v>822.54</v>
      </c>
      <c r="AF9" s="74">
        <f>IFERROR(VLOOKUP(E:E,'（居民）工资表-7月'!E:AF,28,0)+VLOOKUP(E:E,'（居民）工资表-7月'!E:AG,29,0),0)</f>
        <v>674.44</v>
      </c>
      <c r="AG9" s="74">
        <f t="shared" si="3"/>
        <v>148.09999999999991</v>
      </c>
      <c r="AH9" s="77">
        <f t="shared" si="4"/>
        <v>9788.58</v>
      </c>
      <c r="AI9" s="78"/>
      <c r="AJ9" s="77">
        <f t="shared" si="5"/>
        <v>9788.58</v>
      </c>
      <c r="AK9" s="79"/>
      <c r="AL9" s="77">
        <f t="shared" si="6"/>
        <v>9936.68</v>
      </c>
      <c r="AM9" s="79"/>
      <c r="AN9" s="79"/>
      <c r="AO9" s="79"/>
      <c r="AP9" s="79"/>
      <c r="AQ9" s="79"/>
      <c r="AR9" s="84" t="str">
        <f t="shared" si="7"/>
        <v>正确</v>
      </c>
      <c r="AS9" s="84" t="str">
        <f t="shared" si="8"/>
        <v>不</v>
      </c>
      <c r="AT9" s="84" t="str">
        <f t="shared" si="9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167</v>
      </c>
      <c r="D10" s="25" t="s">
        <v>125</v>
      </c>
      <c r="E10" s="219" t="s">
        <v>168</v>
      </c>
      <c r="F10" s="26" t="s">
        <v>200</v>
      </c>
      <c r="G10" s="27">
        <v>18935711299</v>
      </c>
      <c r="H10" s="28"/>
      <c r="I10" s="28"/>
      <c r="J10" s="86"/>
      <c r="K10" s="28"/>
      <c r="L10" s="54">
        <v>11000</v>
      </c>
      <c r="M10" s="55">
        <f>VLOOKUP(E10,'[1]（居民）工资表-7月'!$E$4:$M$12,9,0)</f>
        <v>469.52</v>
      </c>
      <c r="N10" s="55">
        <f>VLOOKUP(E10,'[1]（居民）工资表-7月'!$E$4:$N$12,10,0)</f>
        <v>120.4</v>
      </c>
      <c r="O10" s="55">
        <f>VLOOKUP(E10,'[1]（居民）工资表-7月'!$E$4:$O$12,11,0)</f>
        <v>29.4</v>
      </c>
      <c r="P10" s="55">
        <f>VLOOKUP(E10,'[1]（居民）工资表-7月'!$E$4:$P$12,12,0)</f>
        <v>444</v>
      </c>
      <c r="Q10" s="69">
        <f t="shared" si="0"/>
        <v>1063.32</v>
      </c>
      <c r="R10" s="54">
        <v>0</v>
      </c>
      <c r="S10" s="70">
        <f>L10+IFERROR(VLOOKUP($E:$E,'（居民）工资表-7月'!$E:$S,15,0),0)</f>
        <v>75361.379310344797</v>
      </c>
      <c r="T10" s="71">
        <f>5000+IFERROR(VLOOKUP($E:$E,'（居民）工资表-7月'!$E:$T,16,0),0)</f>
        <v>35000</v>
      </c>
      <c r="U10" s="71">
        <f>Q10+IFERROR(VLOOKUP($E:$E,'（居民）工资表-7月'!$E:$U,17,0),0)</f>
        <v>7122.12</v>
      </c>
      <c r="V10" s="54"/>
      <c r="W10" s="54"/>
      <c r="X10" s="54"/>
      <c r="Y10" s="54"/>
      <c r="Z10" s="54"/>
      <c r="AA10" s="54"/>
      <c r="AB10" s="70">
        <f t="shared" si="1"/>
        <v>0</v>
      </c>
      <c r="AC10" s="70">
        <f>R10+IFERROR(VLOOKUP($E:$E,'（居民）工资表-7月'!$E:$AC,25,0),0)</f>
        <v>0</v>
      </c>
      <c r="AD10" s="72">
        <f t="shared" si="2"/>
        <v>33239.26</v>
      </c>
      <c r="AE10" s="73">
        <f>ROUND(MAX((AD10)*{0.03;0.1;0.2;0.25;0.3;0.35;0.45}-{0;2520;16920;31920;52920;85920;181920},0),2)</f>
        <v>997.18</v>
      </c>
      <c r="AF10" s="74">
        <f>IFERROR(VLOOKUP(E:E,'（居民）工资表-7月'!E:AF,28,0)+VLOOKUP(E:E,'（居民）工资表-7月'!E:AG,29,0),0)</f>
        <v>849.08</v>
      </c>
      <c r="AG10" s="74">
        <f t="shared" si="3"/>
        <v>148.09999999999991</v>
      </c>
      <c r="AH10" s="77">
        <f t="shared" si="4"/>
        <v>9788.58</v>
      </c>
      <c r="AI10" s="78"/>
      <c r="AJ10" s="77">
        <f t="shared" si="5"/>
        <v>9788.58</v>
      </c>
      <c r="AK10" s="79"/>
      <c r="AL10" s="77">
        <f t="shared" si="6"/>
        <v>9936.68</v>
      </c>
      <c r="AM10" s="79"/>
      <c r="AN10" s="79"/>
      <c r="AO10" s="79"/>
      <c r="AP10" s="79"/>
      <c r="AQ10" s="79"/>
      <c r="AR10" s="84" t="str">
        <f t="shared" si="7"/>
        <v>正确</v>
      </c>
      <c r="AS10" s="84" t="str">
        <f t="shared" si="8"/>
        <v>不</v>
      </c>
      <c r="AT10" s="84" t="str">
        <f t="shared" si="9"/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169</v>
      </c>
      <c r="D11" s="25" t="s">
        <v>125</v>
      </c>
      <c r="E11" s="219" t="s">
        <v>170</v>
      </c>
      <c r="F11" s="26" t="s">
        <v>200</v>
      </c>
      <c r="G11" s="27">
        <v>13301242552</v>
      </c>
      <c r="H11" s="28"/>
      <c r="I11" s="28"/>
      <c r="J11" s="86"/>
      <c r="K11" s="28"/>
      <c r="L11" s="54">
        <v>14180</v>
      </c>
      <c r="M11" s="55">
        <f>VLOOKUP(E11,'[1]（居民）工资表-7月'!$E$4:$M$12,9,0)</f>
        <v>640</v>
      </c>
      <c r="N11" s="55">
        <f>VLOOKUP(E11,'[1]（居民）工资表-7月'!$E$4:$N$12,10,0)</f>
        <v>163</v>
      </c>
      <c r="O11" s="55">
        <f>VLOOKUP(E11,'[1]（居民）工资表-7月'!$E$4:$O$12,11,0)</f>
        <v>40</v>
      </c>
      <c r="P11" s="55">
        <f>VLOOKUP(E11,'[1]（居民）工资表-7月'!$E$4:$P$12,12,0)</f>
        <v>960</v>
      </c>
      <c r="Q11" s="69">
        <f t="shared" si="0"/>
        <v>1803</v>
      </c>
      <c r="R11" s="54">
        <v>0</v>
      </c>
      <c r="S11" s="70">
        <f>L11+IFERROR(VLOOKUP($E:$E,'（居民）工资表-7月'!$E:$S,15,0),0)</f>
        <v>97180</v>
      </c>
      <c r="T11" s="71">
        <f>5000+IFERROR(VLOOKUP($E:$E,'（居民）工资表-7月'!$E:$T,16,0),0)</f>
        <v>30000</v>
      </c>
      <c r="U11" s="71">
        <f>Q11+IFERROR(VLOOKUP($E:$E,'（居民）工资表-7月'!$E:$U,17,0),0)</f>
        <v>10818</v>
      </c>
      <c r="V11" s="54"/>
      <c r="W11" s="54"/>
      <c r="X11" s="54"/>
      <c r="Y11" s="54"/>
      <c r="Z11" s="54"/>
      <c r="AA11" s="54"/>
      <c r="AB11" s="70">
        <f t="shared" si="1"/>
        <v>0</v>
      </c>
      <c r="AC11" s="70">
        <f>R11+IFERROR(VLOOKUP($E:$E,'（居民）工资表-7月'!$E:$AC,25,0),0)</f>
        <v>0</v>
      </c>
      <c r="AD11" s="72">
        <f t="shared" si="2"/>
        <v>56362</v>
      </c>
      <c r="AE11" s="73">
        <f>ROUND(MAX((AD11)*{0.03;0.1;0.2;0.25;0.3;0.35;0.45}-{0;2520;16920;31920;52920;85920;181920},0),2)</f>
        <v>3116.2</v>
      </c>
      <c r="AF11" s="74">
        <f>IFERROR(VLOOKUP(E:E,'（居民）工资表-7月'!E:AF,28,0)+VLOOKUP(E:E,'（居民）工资表-7月'!E:AG,29,0),0)</f>
        <v>2378.5</v>
      </c>
      <c r="AG11" s="74">
        <f t="shared" si="3"/>
        <v>737.69999999999982</v>
      </c>
      <c r="AH11" s="77">
        <f t="shared" si="4"/>
        <v>11639.3</v>
      </c>
      <c r="AI11" s="78"/>
      <c r="AJ11" s="77">
        <f t="shared" si="5"/>
        <v>11639.3</v>
      </c>
      <c r="AK11" s="79"/>
      <c r="AL11" s="77">
        <f t="shared" si="6"/>
        <v>12377</v>
      </c>
      <c r="AM11" s="79"/>
      <c r="AN11" s="79"/>
      <c r="AO11" s="79"/>
      <c r="AP11" s="79"/>
      <c r="AQ11" s="79"/>
      <c r="AR11" s="84" t="str">
        <f t="shared" si="7"/>
        <v>正确</v>
      </c>
      <c r="AS11" s="84" t="str">
        <f t="shared" si="8"/>
        <v>不</v>
      </c>
      <c r="AT11" s="84" t="str">
        <f t="shared" si="9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204</v>
      </c>
      <c r="D12" s="25" t="s">
        <v>125</v>
      </c>
      <c r="E12" s="219" t="s">
        <v>205</v>
      </c>
      <c r="F12" s="26" t="s">
        <v>200</v>
      </c>
      <c r="G12" s="27">
        <v>18610813579</v>
      </c>
      <c r="H12" s="28"/>
      <c r="I12" s="28"/>
      <c r="J12" s="86"/>
      <c r="K12" s="28"/>
      <c r="L12" s="54">
        <v>7632.1839080459804</v>
      </c>
      <c r="M12" s="55">
        <f>VLOOKUP(E12,'[1]（居民）工资表-7月'!$E$4:$M$12,9,0)</f>
        <v>469.52</v>
      </c>
      <c r="N12" s="55">
        <f>VLOOKUP(E12,'[1]（居民）工资表-7月'!$E$4:$N$12,10,0)</f>
        <v>120.4</v>
      </c>
      <c r="O12" s="55">
        <f>VLOOKUP(E12,'[1]（居民）工资表-7月'!$E$4:$O$12,11,0)</f>
        <v>29.4</v>
      </c>
      <c r="P12" s="55">
        <f>VLOOKUP(E12,'[1]（居民）工资表-7月'!$E$4:$P$12,12,0)</f>
        <v>444</v>
      </c>
      <c r="Q12" s="69">
        <f t="shared" si="0"/>
        <v>1063.32</v>
      </c>
      <c r="R12" s="54">
        <v>0</v>
      </c>
      <c r="S12" s="70">
        <f>L12+IFERROR(VLOOKUP($E:$E,'（居民）工资表-7月'!$E:$S,15,0),0)</f>
        <v>7632.1839080459804</v>
      </c>
      <c r="T12" s="71">
        <f>5000+IFERROR(VLOOKUP($E:$E,'（居民）工资表-7月'!$E:$T,16,0),0)</f>
        <v>5000</v>
      </c>
      <c r="U12" s="71">
        <f>Q12+IFERROR(VLOOKUP($E:$E,'（居民）工资表-7月'!$E:$U,17,0),0)</f>
        <v>1063.32</v>
      </c>
      <c r="V12" s="54"/>
      <c r="W12" s="54"/>
      <c r="X12" s="54"/>
      <c r="Y12" s="54"/>
      <c r="Z12" s="54"/>
      <c r="AA12" s="54"/>
      <c r="AB12" s="70">
        <f t="shared" si="1"/>
        <v>0</v>
      </c>
      <c r="AC12" s="70">
        <f>R12+IFERROR(VLOOKUP($E:$E,'（居民）工资表-7月'!$E:$AC,25,0),0)</f>
        <v>0</v>
      </c>
      <c r="AD12" s="72">
        <f t="shared" si="2"/>
        <v>1568.86</v>
      </c>
      <c r="AE12" s="73">
        <f>ROUND(MAX((AD12)*{0.03;0.1;0.2;0.25;0.3;0.35;0.45}-{0;2520;16920;31920;52920;85920;181920},0),2)</f>
        <v>47.07</v>
      </c>
      <c r="AF12" s="74">
        <f>IFERROR(VLOOKUP(E:E,'（居民）工资表-7月'!E:AF,28,0)+VLOOKUP(E:E,'（居民）工资表-7月'!E:AG,29,0),0)</f>
        <v>0</v>
      </c>
      <c r="AG12" s="74">
        <f t="shared" si="3"/>
        <v>47.07</v>
      </c>
      <c r="AH12" s="77">
        <f t="shared" si="4"/>
        <v>6521.79</v>
      </c>
      <c r="AI12" s="78"/>
      <c r="AJ12" s="77">
        <f t="shared" si="5"/>
        <v>6521.79</v>
      </c>
      <c r="AK12" s="79"/>
      <c r="AL12" s="77">
        <f t="shared" si="6"/>
        <v>6568.86</v>
      </c>
      <c r="AM12" s="79"/>
      <c r="AN12" s="79"/>
      <c r="AO12" s="79"/>
      <c r="AP12" s="79"/>
      <c r="AQ12" s="79"/>
      <c r="AR12" s="84" t="str">
        <f t="shared" si="7"/>
        <v>正确</v>
      </c>
      <c r="AS12" s="84" t="str">
        <f t="shared" si="8"/>
        <v>不</v>
      </c>
      <c r="AT12" s="84" t="str">
        <f t="shared" si="9"/>
        <v>重复</v>
      </c>
    </row>
    <row r="13" spans="1:46" s="11" customFormat="1" ht="18" customHeight="1">
      <c r="A13" s="31"/>
      <c r="B13" s="32" t="s">
        <v>151</v>
      </c>
      <c r="C13" s="32"/>
      <c r="D13" s="33"/>
      <c r="E13" s="34"/>
      <c r="F13" s="35"/>
      <c r="G13" s="36"/>
      <c r="H13" s="35"/>
      <c r="I13" s="56"/>
      <c r="J13" s="57"/>
      <c r="K13" s="56"/>
      <c r="L13" s="58">
        <f>SUM(L4:L12)</f>
        <v>98824.055320215877</v>
      </c>
      <c r="M13" s="58">
        <f t="shared" ref="M13:AL13" si="10">SUM(M4:M12)</f>
        <v>4396.16</v>
      </c>
      <c r="N13" s="58">
        <f t="shared" si="10"/>
        <v>1126.2</v>
      </c>
      <c r="O13" s="58">
        <f t="shared" si="10"/>
        <v>275.2</v>
      </c>
      <c r="P13" s="58">
        <f t="shared" si="10"/>
        <v>4668</v>
      </c>
      <c r="Q13" s="58">
        <f t="shared" si="10"/>
        <v>10465.559999999998</v>
      </c>
      <c r="R13" s="58">
        <f t="shared" si="10"/>
        <v>0</v>
      </c>
      <c r="S13" s="58">
        <f t="shared" si="10"/>
        <v>666650.26221676765</v>
      </c>
      <c r="T13" s="58">
        <f t="shared" si="10"/>
        <v>305000</v>
      </c>
      <c r="U13" s="58">
        <f t="shared" si="10"/>
        <v>67023.360000000015</v>
      </c>
      <c r="V13" s="58">
        <f t="shared" si="10"/>
        <v>0</v>
      </c>
      <c r="W13" s="58">
        <f t="shared" si="10"/>
        <v>0</v>
      </c>
      <c r="X13" s="58">
        <f t="shared" si="10"/>
        <v>0</v>
      </c>
      <c r="Y13" s="58">
        <f t="shared" si="10"/>
        <v>0</v>
      </c>
      <c r="Z13" s="58">
        <f t="shared" si="10"/>
        <v>0</v>
      </c>
      <c r="AA13" s="58">
        <f t="shared" si="10"/>
        <v>0</v>
      </c>
      <c r="AB13" s="58">
        <f t="shared" si="10"/>
        <v>0</v>
      </c>
      <c r="AC13" s="58">
        <f t="shared" si="10"/>
        <v>0</v>
      </c>
      <c r="AD13" s="58">
        <f t="shared" si="10"/>
        <v>294626.90000000002</v>
      </c>
      <c r="AE13" s="58">
        <f t="shared" si="10"/>
        <v>11209.6</v>
      </c>
      <c r="AF13" s="58">
        <f t="shared" si="10"/>
        <v>8447.01</v>
      </c>
      <c r="AG13" s="58">
        <f t="shared" si="10"/>
        <v>2762.5899999999997</v>
      </c>
      <c r="AH13" s="58">
        <f t="shared" si="10"/>
        <v>85595.9</v>
      </c>
      <c r="AI13" s="58">
        <f t="shared" si="10"/>
        <v>0</v>
      </c>
      <c r="AJ13" s="58">
        <f t="shared" si="10"/>
        <v>85595.9</v>
      </c>
      <c r="AK13" s="58">
        <f t="shared" si="10"/>
        <v>0</v>
      </c>
      <c r="AL13" s="58">
        <f t="shared" si="10"/>
        <v>88358.49</v>
      </c>
      <c r="AM13" s="81"/>
      <c r="AN13" s="81"/>
      <c r="AO13" s="81"/>
      <c r="AP13" s="81"/>
      <c r="AQ13" s="81"/>
      <c r="AR13" s="35"/>
      <c r="AS13" s="35"/>
      <c r="AT13" s="85"/>
    </row>
    <row r="16" spans="1:46">
      <c r="AD16" s="75"/>
    </row>
    <row r="17" spans="1:35" ht="18.75" customHeight="1">
      <c r="B17" s="37" t="s">
        <v>104</v>
      </c>
      <c r="C17" s="37" t="s">
        <v>152</v>
      </c>
      <c r="D17" s="37" t="s">
        <v>55</v>
      </c>
      <c r="E17" s="37" t="s">
        <v>56</v>
      </c>
      <c r="AD17" s="8"/>
    </row>
    <row r="18" spans="1:35" ht="18.75" customHeight="1">
      <c r="B18" s="38">
        <f>AJ13</f>
        <v>85595.9</v>
      </c>
      <c r="C18" s="38">
        <f>AG13</f>
        <v>2762.5899999999997</v>
      </c>
      <c r="D18" s="38">
        <f>AK13</f>
        <v>0</v>
      </c>
      <c r="E18" s="38">
        <f>B18+C18+D18</f>
        <v>88358.489999999991</v>
      </c>
      <c r="F18" s="13">
        <f>E18*6.78%</f>
        <v>5990.7056219999995</v>
      </c>
    </row>
    <row r="19" spans="1:35">
      <c r="B19" s="39"/>
      <c r="C19" s="39"/>
      <c r="D19" s="39"/>
      <c r="E19" s="39">
        <v>5019.09</v>
      </c>
      <c r="F19" s="13">
        <f>E19*6.78%</f>
        <v>340.29430200000002</v>
      </c>
    </row>
    <row r="20" spans="1:35" s="12" customFormat="1">
      <c r="A20" s="40" t="s">
        <v>153</v>
      </c>
      <c r="B20" s="41" t="s">
        <v>154</v>
      </c>
      <c r="C20" s="42"/>
      <c r="D20" s="42"/>
      <c r="E20" s="42"/>
      <c r="G20" s="43"/>
      <c r="J20" s="59"/>
      <c r="M20" s="60"/>
      <c r="AI20" s="82"/>
    </row>
    <row r="21" spans="1:35" s="12" customFormat="1">
      <c r="A21" s="44"/>
      <c r="B21" s="45" t="s">
        <v>155</v>
      </c>
      <c r="C21" s="42"/>
      <c r="D21" s="42"/>
      <c r="E21" s="42"/>
      <c r="G21" s="43"/>
      <c r="J21" s="59"/>
      <c r="M21" s="60"/>
      <c r="AI21" s="82"/>
    </row>
    <row r="22" spans="1:35" s="12" customFormat="1">
      <c r="A22" s="41"/>
      <c r="B22" s="45" t="s">
        <v>156</v>
      </c>
      <c r="C22" s="46"/>
      <c r="D22" s="46"/>
      <c r="E22" s="46"/>
      <c r="F22" s="46"/>
      <c r="G22" s="46"/>
      <c r="H22" s="46"/>
      <c r="I22" s="46"/>
      <c r="J22" s="61"/>
      <c r="K22" s="46"/>
      <c r="L22" s="46"/>
      <c r="M22" s="62"/>
      <c r="N22" s="46"/>
      <c r="O22" s="46"/>
      <c r="P22" s="46"/>
      <c r="AI22" s="82"/>
    </row>
    <row r="23" spans="1:35" s="12" customFormat="1" ht="13.5" customHeight="1">
      <c r="A23" s="45"/>
      <c r="B23" s="45" t="s">
        <v>157</v>
      </c>
      <c r="C23" s="47"/>
      <c r="D23" s="47"/>
      <c r="E23" s="47"/>
      <c r="F23" s="47"/>
      <c r="G23" s="47"/>
      <c r="H23" s="47"/>
      <c r="I23" s="63"/>
      <c r="J23" s="64"/>
      <c r="K23" s="63"/>
      <c r="L23" s="63"/>
      <c r="M23" s="65"/>
      <c r="N23" s="63"/>
      <c r="O23" s="63"/>
      <c r="P23" s="63"/>
      <c r="AI23" s="82"/>
    </row>
    <row r="24" spans="1:35" s="12" customFormat="1" ht="13.5" customHeight="1">
      <c r="A24" s="45"/>
      <c r="B24" s="45" t="s">
        <v>158</v>
      </c>
      <c r="C24" s="47"/>
      <c r="D24" s="47"/>
      <c r="E24" s="47"/>
      <c r="F24" s="47"/>
      <c r="G24" s="47"/>
      <c r="H24" s="47"/>
      <c r="I24" s="47"/>
      <c r="J24" s="66"/>
      <c r="K24" s="47"/>
      <c r="L24" s="63"/>
      <c r="M24" s="65"/>
      <c r="N24" s="63"/>
      <c r="O24" s="63"/>
      <c r="P24" s="63"/>
      <c r="AI24" s="82"/>
    </row>
    <row r="25" spans="1:35" s="12" customFormat="1" ht="13.5" customHeight="1">
      <c r="A25" s="45"/>
      <c r="B25" s="45" t="s">
        <v>159</v>
      </c>
      <c r="C25" s="47"/>
      <c r="D25" s="47"/>
      <c r="E25" s="47"/>
      <c r="F25" s="47"/>
      <c r="G25" s="47"/>
      <c r="H25" s="47"/>
      <c r="I25" s="63"/>
      <c r="J25" s="64"/>
      <c r="K25" s="63"/>
      <c r="L25" s="63"/>
      <c r="M25" s="65"/>
      <c r="N25" s="63"/>
      <c r="O25" s="63"/>
      <c r="P25" s="63"/>
      <c r="AI25" s="82"/>
    </row>
    <row r="27" spans="1:35" ht="11.25" customHeight="1">
      <c r="B27" s="48" t="s">
        <v>160</v>
      </c>
    </row>
    <row r="28" spans="1:35">
      <c r="B28" s="49" t="s">
        <v>161</v>
      </c>
    </row>
    <row r="29" spans="1:35">
      <c r="B29" s="49" t="s">
        <v>162</v>
      </c>
    </row>
  </sheetData>
  <autoFilter ref="A3:AT13" xr:uid="{00000000-0009-0000-0000-00000A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5">
    <cfRule type="duplicateValues" dxfId="27" priority="2" stopIfTrue="1"/>
  </conditionalFormatting>
  <conditionalFormatting sqref="B20:B24">
    <cfRule type="duplicateValues" dxfId="26" priority="3" stopIfTrue="1"/>
  </conditionalFormatting>
  <conditionalFormatting sqref="B28:B29">
    <cfRule type="duplicateValues" dxfId="25" priority="1" stopIfTrue="1"/>
  </conditionalFormatting>
  <conditionalFormatting sqref="C17:C19">
    <cfRule type="duplicateValues" dxfId="24" priority="4" stopIfTrue="1"/>
    <cfRule type="expression" dxfId="23" priority="5" stopIfTrue="1">
      <formula>AND(COUNTIF($B$13:$B$65449,C17)+COUNTIF($B$1:$B$3,C17)&gt;1,NOT(ISBLANK(C17)))</formula>
    </cfRule>
    <cfRule type="expression" dxfId="22" priority="6" stopIfTrue="1">
      <formula>AND(COUNTIF($B$24:$B$65400,C17)+COUNTIF($B$1:$B$23,C17)&gt;1,NOT(ISBLANK(C17)))</formula>
    </cfRule>
    <cfRule type="expression" dxfId="21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 pane="topRight"/>
      <selection pane="bottomLeft"/>
      <selection pane="bottomRight" activeCell="N17" sqref="N17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11.453125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3.36328125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9" customHeight="1">
      <c r="A4" s="24">
        <v>1</v>
      </c>
      <c r="B4" s="25" t="s">
        <v>206</v>
      </c>
      <c r="C4" s="25"/>
      <c r="D4" s="25" t="s">
        <v>125</v>
      </c>
      <c r="E4" s="25"/>
      <c r="F4" s="26" t="s">
        <v>203</v>
      </c>
      <c r="G4" s="27">
        <v>15652649555</v>
      </c>
      <c r="H4" s="28"/>
      <c r="I4" s="28"/>
      <c r="J4" s="86"/>
      <c r="K4" s="28"/>
      <c r="L4" s="54"/>
      <c r="M4" s="55"/>
      <c r="N4" s="55"/>
      <c r="O4" s="55"/>
      <c r="P4" s="55"/>
      <c r="Q4" s="69">
        <f>ROUND(SUM(M4:P4),2)</f>
        <v>0</v>
      </c>
      <c r="R4" s="54">
        <v>0</v>
      </c>
      <c r="S4" s="70">
        <f>L4+IFERROR(VLOOKUP($E:$E,'（居民）工资表-8月'!$E:$S,15,0),0)</f>
        <v>0</v>
      </c>
      <c r="T4" s="71">
        <f>5000+IFERROR(VLOOKUP($E:$E,'（居民）工资表-8月'!$E:$T,16,0),0)</f>
        <v>5000</v>
      </c>
      <c r="U4" s="71">
        <f>Q4+IFERROR(VLOOKUP($E:$E,'（居民）工资表-8月'!$E:$U,17,0),0)</f>
        <v>0</v>
      </c>
      <c r="V4" s="54">
        <v>0</v>
      </c>
      <c r="W4" s="54">
        <v>0</v>
      </c>
      <c r="X4" s="54">
        <v>0</v>
      </c>
      <c r="Y4" s="54">
        <v>0</v>
      </c>
      <c r="Z4" s="54">
        <v>0</v>
      </c>
      <c r="AA4" s="54">
        <v>0</v>
      </c>
      <c r="AB4" s="70">
        <f>ROUND(SUM(V4:AA4),2)</f>
        <v>0</v>
      </c>
      <c r="AC4" s="70">
        <f>R4+IFERROR(VLOOKUP($E:$E,'（居民）工资表-8月'!$E:$AC,25,0),0)</f>
        <v>0</v>
      </c>
      <c r="AD4" s="72">
        <f>ROUND(S4-T4-U4-AB4-AC4,2)</f>
        <v>-5000</v>
      </c>
      <c r="AE4" s="73">
        <f>ROUND(MAX((AD4)*{0.03;0.1;0.2;0.25;0.3;0.35;0.45}-{0;2520;16920;31920;52920;85920;181920},0),2)</f>
        <v>0</v>
      </c>
      <c r="AF4" s="74">
        <f>IFERROR(VLOOKUP(E:E,'（居民）工资表-8月'!E:AF,28,0)+VLOOKUP(E:E,'（居民）工资表-8月'!E:AG,29,0),0)</f>
        <v>0</v>
      </c>
      <c r="AG4" s="74">
        <f>IF((AE4-AF4)&lt;0,0,AE4-AF4)</f>
        <v>0</v>
      </c>
      <c r="AH4" s="77">
        <f>ROUND(IF((L4-Q4-AG4)&lt;0,0,(L4-Q4-AG4)),2)</f>
        <v>0</v>
      </c>
      <c r="AI4" s="78"/>
      <c r="AJ4" s="77">
        <f>AH4+AI4</f>
        <v>0</v>
      </c>
      <c r="AK4" s="79"/>
      <c r="AL4" s="77">
        <f>AJ4+AG4+AK4</f>
        <v>0</v>
      </c>
      <c r="AM4" s="79"/>
      <c r="AN4" s="79"/>
      <c r="AO4" s="79"/>
      <c r="AP4" s="79"/>
      <c r="AQ4" s="79"/>
      <c r="AR4" s="84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84" t="str">
        <f>IF(SUMPRODUCT(N(E$1:E$4=E4))&gt;1,"重复","不")</f>
        <v>重复</v>
      </c>
      <c r="AT4" s="84" t="str">
        <f>IF(SUMPRODUCT(N(AO$1:AO$4=AO4))&gt;1,"重复","不")</f>
        <v>重复</v>
      </c>
    </row>
    <row r="5" spans="1:46" s="11" customFormat="1" ht="18" customHeight="1">
      <c r="A5" s="31"/>
      <c r="B5" s="32" t="s">
        <v>151</v>
      </c>
      <c r="C5" s="32"/>
      <c r="D5" s="33"/>
      <c r="E5" s="34"/>
      <c r="F5" s="35"/>
      <c r="G5" s="36"/>
      <c r="H5" s="35"/>
      <c r="I5" s="56"/>
      <c r="J5" s="57"/>
      <c r="K5" s="56"/>
      <c r="L5" s="58">
        <f>SUM(L4:L4)</f>
        <v>0</v>
      </c>
      <c r="M5" s="58">
        <f t="shared" ref="M5:AL5" si="0">SUM(M4:M4)</f>
        <v>0</v>
      </c>
      <c r="N5" s="58">
        <f t="shared" si="0"/>
        <v>0</v>
      </c>
      <c r="O5" s="58">
        <f t="shared" si="0"/>
        <v>0</v>
      </c>
      <c r="P5" s="58">
        <f t="shared" si="0"/>
        <v>0</v>
      </c>
      <c r="Q5" s="58">
        <f t="shared" si="0"/>
        <v>0</v>
      </c>
      <c r="R5" s="58">
        <f t="shared" si="0"/>
        <v>0</v>
      </c>
      <c r="S5" s="58">
        <f t="shared" si="0"/>
        <v>0</v>
      </c>
      <c r="T5" s="58">
        <f t="shared" si="0"/>
        <v>5000</v>
      </c>
      <c r="U5" s="58">
        <f t="shared" si="0"/>
        <v>0</v>
      </c>
      <c r="V5" s="58">
        <f t="shared" si="0"/>
        <v>0</v>
      </c>
      <c r="W5" s="58">
        <f t="shared" si="0"/>
        <v>0</v>
      </c>
      <c r="X5" s="58">
        <f t="shared" si="0"/>
        <v>0</v>
      </c>
      <c r="Y5" s="58">
        <f t="shared" si="0"/>
        <v>0</v>
      </c>
      <c r="Z5" s="58">
        <f t="shared" si="0"/>
        <v>0</v>
      </c>
      <c r="AA5" s="58">
        <f t="shared" si="0"/>
        <v>0</v>
      </c>
      <c r="AB5" s="58">
        <f t="shared" si="0"/>
        <v>0</v>
      </c>
      <c r="AC5" s="58">
        <f t="shared" si="0"/>
        <v>0</v>
      </c>
      <c r="AD5" s="58">
        <f t="shared" si="0"/>
        <v>-5000</v>
      </c>
      <c r="AE5" s="58">
        <f t="shared" si="0"/>
        <v>0</v>
      </c>
      <c r="AF5" s="58">
        <f t="shared" si="0"/>
        <v>0</v>
      </c>
      <c r="AG5" s="58">
        <f t="shared" si="0"/>
        <v>0</v>
      </c>
      <c r="AH5" s="58">
        <f t="shared" si="0"/>
        <v>0</v>
      </c>
      <c r="AI5" s="58">
        <f t="shared" si="0"/>
        <v>0</v>
      </c>
      <c r="AJ5" s="58">
        <f t="shared" si="0"/>
        <v>0</v>
      </c>
      <c r="AK5" s="58">
        <f t="shared" si="0"/>
        <v>0</v>
      </c>
      <c r="AL5" s="58">
        <f t="shared" si="0"/>
        <v>0</v>
      </c>
      <c r="AM5" s="81"/>
      <c r="AN5" s="81"/>
      <c r="AO5" s="81"/>
      <c r="AP5" s="81"/>
      <c r="AQ5" s="81"/>
      <c r="AR5" s="35"/>
      <c r="AS5" s="35"/>
      <c r="AT5" s="85"/>
    </row>
    <row r="8" spans="1:46">
      <c r="AD8" s="75"/>
    </row>
    <row r="9" spans="1:46" ht="18.75" customHeight="1">
      <c r="B9" s="37" t="s">
        <v>104</v>
      </c>
      <c r="C9" s="37" t="s">
        <v>152</v>
      </c>
      <c r="D9" s="37" t="s">
        <v>55</v>
      </c>
      <c r="E9" s="37" t="s">
        <v>56</v>
      </c>
      <c r="AD9" s="8"/>
    </row>
    <row r="10" spans="1:46" ht="18.75" customHeight="1">
      <c r="B10" s="38">
        <f>AJ5</f>
        <v>0</v>
      </c>
      <c r="C10" s="38">
        <f>AG5</f>
        <v>0</v>
      </c>
      <c r="D10" s="38">
        <f>AK5</f>
        <v>0</v>
      </c>
      <c r="E10" s="38">
        <f>B10+C10+D10</f>
        <v>0</v>
      </c>
      <c r="F10" s="13">
        <f>E10*6.78%</f>
        <v>0</v>
      </c>
    </row>
    <row r="11" spans="1:46">
      <c r="B11" s="39"/>
      <c r="C11" s="39"/>
      <c r="D11" s="39"/>
      <c r="E11" s="39">
        <v>2936.34</v>
      </c>
      <c r="F11" s="13">
        <f>E11*6.78%</f>
        <v>199.08385200000001</v>
      </c>
    </row>
    <row r="12" spans="1:46" s="12" customFormat="1">
      <c r="A12" s="40" t="s">
        <v>153</v>
      </c>
      <c r="B12" s="41" t="s">
        <v>154</v>
      </c>
      <c r="C12" s="42"/>
      <c r="D12" s="42"/>
      <c r="E12" s="42"/>
      <c r="G12" s="43"/>
      <c r="J12" s="59"/>
      <c r="M12" s="60"/>
      <c r="AI12" s="82"/>
    </row>
    <row r="13" spans="1:46" s="12" customFormat="1">
      <c r="A13" s="44"/>
      <c r="B13" s="45" t="s">
        <v>155</v>
      </c>
      <c r="C13" s="42"/>
      <c r="D13" s="42"/>
      <c r="E13" s="42"/>
      <c r="G13" s="43"/>
      <c r="J13" s="59"/>
      <c r="M13" s="60"/>
      <c r="AI13" s="82"/>
    </row>
    <row r="14" spans="1:46" s="12" customFormat="1">
      <c r="A14" s="41"/>
      <c r="B14" s="45" t="s">
        <v>156</v>
      </c>
      <c r="C14" s="46"/>
      <c r="D14" s="46"/>
      <c r="E14" s="46"/>
      <c r="F14" s="46"/>
      <c r="G14" s="46"/>
      <c r="H14" s="46"/>
      <c r="I14" s="46"/>
      <c r="J14" s="61"/>
      <c r="K14" s="46"/>
      <c r="L14" s="46"/>
      <c r="M14" s="62"/>
      <c r="N14" s="46"/>
      <c r="O14" s="46"/>
      <c r="P14" s="46"/>
      <c r="AI14" s="82"/>
    </row>
    <row r="15" spans="1:46" s="12" customFormat="1" ht="13.5" customHeight="1">
      <c r="A15" s="45"/>
      <c r="B15" s="45" t="s">
        <v>157</v>
      </c>
      <c r="C15" s="47"/>
      <c r="D15" s="47"/>
      <c r="E15" s="47"/>
      <c r="F15" s="47"/>
      <c r="G15" s="47"/>
      <c r="H15" s="47"/>
      <c r="I15" s="63"/>
      <c r="J15" s="64"/>
      <c r="K15" s="63"/>
      <c r="L15" s="63"/>
      <c r="M15" s="65"/>
      <c r="N15" s="63"/>
      <c r="O15" s="63"/>
      <c r="P15" s="63"/>
      <c r="AI15" s="82"/>
    </row>
    <row r="16" spans="1:46" s="12" customFormat="1" ht="13.5" customHeight="1">
      <c r="A16" s="45"/>
      <c r="B16" s="45" t="s">
        <v>158</v>
      </c>
      <c r="C16" s="47"/>
      <c r="D16" s="47"/>
      <c r="E16" s="47"/>
      <c r="F16" s="47"/>
      <c r="G16" s="47"/>
      <c r="H16" s="47"/>
      <c r="I16" s="47"/>
      <c r="J16" s="66"/>
      <c r="K16" s="47"/>
      <c r="L16" s="63"/>
      <c r="M16" s="65"/>
      <c r="N16" s="63"/>
      <c r="O16" s="63"/>
      <c r="P16" s="63"/>
      <c r="AI16" s="82"/>
    </row>
    <row r="17" spans="1:35" s="12" customFormat="1" ht="13.5" customHeight="1">
      <c r="A17" s="45"/>
      <c r="B17" s="45" t="s">
        <v>159</v>
      </c>
      <c r="C17" s="47"/>
      <c r="D17" s="47"/>
      <c r="E17" s="47"/>
      <c r="F17" s="47"/>
      <c r="G17" s="47"/>
      <c r="H17" s="47"/>
      <c r="I17" s="63"/>
      <c r="J17" s="64"/>
      <c r="K17" s="63"/>
      <c r="L17" s="63"/>
      <c r="M17" s="65"/>
      <c r="N17" s="63"/>
      <c r="O17" s="63"/>
      <c r="P17" s="63"/>
      <c r="AI17" s="82"/>
    </row>
    <row r="19" spans="1:35" ht="11.25" customHeight="1">
      <c r="B19" s="48" t="s">
        <v>160</v>
      </c>
    </row>
    <row r="20" spans="1:35">
      <c r="B20" s="49" t="s">
        <v>161</v>
      </c>
    </row>
    <row r="21" spans="1:35">
      <c r="B21" s="49" t="s">
        <v>162</v>
      </c>
    </row>
  </sheetData>
  <autoFilter ref="A3:AT5" xr:uid="{00000000-0009-0000-0000-00000B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17">
    <cfRule type="duplicateValues" dxfId="20" priority="2" stopIfTrue="1"/>
  </conditionalFormatting>
  <conditionalFormatting sqref="B12:B16">
    <cfRule type="duplicateValues" dxfId="19" priority="3" stopIfTrue="1"/>
  </conditionalFormatting>
  <conditionalFormatting sqref="B20:B21">
    <cfRule type="duplicateValues" dxfId="18" priority="1" stopIfTrue="1"/>
  </conditionalFormatting>
  <conditionalFormatting sqref="C9:C11">
    <cfRule type="duplicateValues" dxfId="17" priority="4" stopIfTrue="1"/>
    <cfRule type="expression" dxfId="16" priority="5" stopIfTrue="1">
      <formula>AND(COUNTIF($B$5:$B$65441,C9)+COUNTIF($B$1:$B$3,C9)&gt;1,NOT(ISBLANK(C9)))</formula>
    </cfRule>
    <cfRule type="expression" dxfId="15" priority="6" stopIfTrue="1">
      <formula>AND(COUNTIF($B$16:$B$65392,C9)+COUNTIF($B$1:$B$15,C9)&gt;1,NOT(ISBLANK(C9)))</formula>
    </cfRule>
    <cfRule type="expression" dxfId="14" priority="7" stopIfTrue="1">
      <formula>AND(COUNTIF($B$5:$B$65430,C9)+COUNTIF($B$1:$B$3,C9)&gt;1,NOT(ISBLANK(C9)))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5"/>
  <sheetViews>
    <sheetView topLeftCell="J1" workbookViewId="0">
      <selection activeCell="S13" sqref="S13"/>
    </sheetView>
  </sheetViews>
  <sheetFormatPr defaultColWidth="9" defaultRowHeight="21.75" customHeight="1"/>
  <cols>
    <col min="1" max="1" width="9" style="89" hidden="1" customWidth="1"/>
    <col min="2" max="2" width="10.26953125" style="89" hidden="1" customWidth="1"/>
    <col min="3" max="3" width="9" style="89" hidden="1" customWidth="1"/>
    <col min="4" max="4" width="15.26953125" style="89" hidden="1" customWidth="1"/>
    <col min="5" max="5" width="24.36328125" style="89" hidden="1" customWidth="1"/>
    <col min="6" max="6" width="27.7265625" style="89" hidden="1" customWidth="1"/>
    <col min="7" max="7" width="16.36328125" style="90" hidden="1" customWidth="1"/>
    <col min="8" max="8" width="5.36328125" style="89" hidden="1" customWidth="1"/>
    <col min="9" max="9" width="5.26953125" style="89" hidden="1" customWidth="1"/>
    <col min="10" max="10" width="6" style="89" customWidth="1"/>
    <col min="11" max="11" width="17" style="89" customWidth="1"/>
    <col min="12" max="12" width="11.81640625" style="89" customWidth="1"/>
    <col min="13" max="13" width="6.453125" style="89" customWidth="1"/>
    <col min="14" max="16" width="9" style="89"/>
    <col min="17" max="17" width="10.26953125" style="89" customWidth="1"/>
    <col min="18" max="19" width="9" style="89"/>
    <col min="20" max="20" width="11.7265625" style="89" customWidth="1"/>
    <col min="21" max="21" width="9.7265625" style="89" customWidth="1"/>
    <col min="22" max="22" width="8.7265625" style="89" customWidth="1"/>
    <col min="23" max="23" width="15.08984375" style="89" customWidth="1"/>
    <col min="24" max="24" width="16.26953125" style="89" customWidth="1"/>
    <col min="25" max="16384" width="9" style="89"/>
  </cols>
  <sheetData>
    <row r="1" spans="1:41" s="87" customFormat="1" ht="27.75" customHeight="1">
      <c r="A1" s="91" t="s">
        <v>18</v>
      </c>
      <c r="B1" s="91" t="s">
        <v>207</v>
      </c>
      <c r="C1" s="91" t="s">
        <v>208</v>
      </c>
      <c r="D1" s="91" t="s">
        <v>209</v>
      </c>
      <c r="E1" s="91" t="s">
        <v>210</v>
      </c>
      <c r="F1" s="91" t="s">
        <v>35</v>
      </c>
      <c r="G1" s="92" t="s">
        <v>211</v>
      </c>
      <c r="H1" s="91" t="s">
        <v>212</v>
      </c>
      <c r="I1" s="91" t="s">
        <v>213</v>
      </c>
      <c r="J1" s="91" t="s">
        <v>37</v>
      </c>
      <c r="K1" s="91" t="s">
        <v>214</v>
      </c>
      <c r="L1" s="91" t="s">
        <v>215</v>
      </c>
      <c r="M1" s="91" t="s">
        <v>216</v>
      </c>
      <c r="N1" s="91" t="s">
        <v>217</v>
      </c>
      <c r="O1" s="91" t="s">
        <v>218</v>
      </c>
      <c r="P1" s="91" t="s">
        <v>219</v>
      </c>
      <c r="Q1" s="99" t="s">
        <v>87</v>
      </c>
      <c r="R1" s="99" t="s">
        <v>220</v>
      </c>
      <c r="S1" s="99" t="s">
        <v>221</v>
      </c>
      <c r="T1" s="99" t="s">
        <v>222</v>
      </c>
      <c r="U1" s="100" t="s">
        <v>223</v>
      </c>
      <c r="V1" s="99" t="s">
        <v>23</v>
      </c>
      <c r="W1" s="101" t="s">
        <v>224</v>
      </c>
      <c r="X1" s="102" t="s">
        <v>225</v>
      </c>
    </row>
    <row r="2" spans="1:41" s="88" customFormat="1" ht="13">
      <c r="A2" s="93">
        <v>2</v>
      </c>
      <c r="B2" s="94">
        <v>44351</v>
      </c>
      <c r="C2" s="95" t="s">
        <v>226</v>
      </c>
      <c r="D2" s="96" t="s">
        <v>227</v>
      </c>
      <c r="E2" s="93"/>
      <c r="F2" s="93" t="s">
        <v>228</v>
      </c>
      <c r="G2" s="97"/>
      <c r="H2" s="93"/>
      <c r="I2" s="93"/>
      <c r="J2" s="93" t="s">
        <v>229</v>
      </c>
      <c r="K2" s="221" t="s">
        <v>230</v>
      </c>
      <c r="L2" s="93">
        <v>18842612335</v>
      </c>
      <c r="M2" s="93"/>
      <c r="N2" s="93" t="s">
        <v>71</v>
      </c>
      <c r="O2" s="93" t="s">
        <v>71</v>
      </c>
      <c r="P2" s="93" t="s">
        <v>74</v>
      </c>
      <c r="Q2" s="103">
        <v>44410</v>
      </c>
      <c r="R2" s="94" t="s">
        <v>231</v>
      </c>
      <c r="S2" s="104" t="s">
        <v>232</v>
      </c>
      <c r="T2" s="93" t="s">
        <v>233</v>
      </c>
      <c r="U2" s="93"/>
      <c r="V2" s="93"/>
      <c r="W2" s="93"/>
      <c r="X2" s="93"/>
      <c r="Y2" s="93"/>
      <c r="Z2" s="93"/>
      <c r="AA2" s="93"/>
      <c r="AB2" s="104"/>
      <c r="AC2" s="93"/>
      <c r="AD2" s="93"/>
      <c r="AE2" s="93"/>
      <c r="AF2" s="103"/>
      <c r="AG2" s="94"/>
      <c r="AH2" s="93"/>
      <c r="AI2" s="93"/>
      <c r="AJ2" s="93"/>
      <c r="AK2" s="93"/>
      <c r="AL2" s="93"/>
      <c r="AM2" s="93"/>
      <c r="AN2" s="93"/>
      <c r="AO2" s="93"/>
    </row>
    <row r="3" spans="1:41" s="88" customFormat="1" ht="13">
      <c r="A3" s="93">
        <v>3</v>
      </c>
      <c r="B3" s="94">
        <v>44351</v>
      </c>
      <c r="C3" s="95" t="s">
        <v>226</v>
      </c>
      <c r="D3" s="96" t="s">
        <v>227</v>
      </c>
      <c r="E3" s="93"/>
      <c r="F3" s="93" t="s">
        <v>228</v>
      </c>
      <c r="G3" s="97"/>
      <c r="H3" s="93"/>
      <c r="I3" s="93"/>
      <c r="J3" s="93" t="s">
        <v>234</v>
      </c>
      <c r="K3" s="221" t="s">
        <v>235</v>
      </c>
      <c r="L3" s="93">
        <v>13520916764</v>
      </c>
      <c r="M3" s="93"/>
      <c r="N3" s="93" t="s">
        <v>71</v>
      </c>
      <c r="O3" s="93" t="s">
        <v>71</v>
      </c>
      <c r="P3" s="93" t="s">
        <v>236</v>
      </c>
      <c r="Q3" s="103">
        <v>44411</v>
      </c>
      <c r="R3" s="94" t="s">
        <v>231</v>
      </c>
      <c r="S3" s="104" t="s">
        <v>232</v>
      </c>
      <c r="T3" s="93" t="s">
        <v>233</v>
      </c>
      <c r="U3" s="93"/>
      <c r="V3" s="93"/>
      <c r="W3" s="93"/>
      <c r="X3" s="93"/>
      <c r="Y3" s="93"/>
      <c r="Z3" s="93"/>
      <c r="AA3" s="93"/>
      <c r="AB3" s="104"/>
      <c r="AC3" s="93"/>
      <c r="AD3" s="93"/>
      <c r="AE3" s="93"/>
      <c r="AF3" s="103"/>
      <c r="AG3" s="94"/>
      <c r="AH3" s="93"/>
      <c r="AI3" s="93"/>
      <c r="AJ3" s="93"/>
      <c r="AK3" s="93"/>
      <c r="AL3" s="93"/>
      <c r="AM3" s="93"/>
      <c r="AN3" s="93"/>
      <c r="AO3" s="93"/>
    </row>
    <row r="4" spans="1:41" s="88" customFormat="1" ht="13">
      <c r="A4" s="93">
        <v>4</v>
      </c>
      <c r="B4" s="94">
        <v>44351</v>
      </c>
      <c r="C4" s="95" t="s">
        <v>226</v>
      </c>
      <c r="D4" s="96" t="s">
        <v>227</v>
      </c>
      <c r="E4" s="93"/>
      <c r="F4" s="93" t="s">
        <v>228</v>
      </c>
      <c r="G4" s="97"/>
      <c r="H4" s="93"/>
      <c r="I4" s="93"/>
      <c r="J4" s="93" t="s">
        <v>237</v>
      </c>
      <c r="K4" s="221" t="s">
        <v>238</v>
      </c>
      <c r="L4" s="93">
        <v>17695964416</v>
      </c>
      <c r="M4" s="93"/>
      <c r="N4" s="93" t="s">
        <v>71</v>
      </c>
      <c r="O4" s="93" t="s">
        <v>71</v>
      </c>
      <c r="P4" s="93" t="s">
        <v>74</v>
      </c>
      <c r="Q4" s="103">
        <v>44411</v>
      </c>
      <c r="R4" s="94" t="s">
        <v>231</v>
      </c>
      <c r="S4" s="104" t="s">
        <v>232</v>
      </c>
      <c r="T4" s="93" t="s">
        <v>233</v>
      </c>
      <c r="U4" s="93"/>
      <c r="V4" s="93"/>
      <c r="W4" s="93"/>
      <c r="X4" s="93"/>
      <c r="Y4" s="93"/>
      <c r="Z4" s="93"/>
      <c r="AA4" s="93"/>
      <c r="AB4" s="104"/>
      <c r="AC4" s="93"/>
      <c r="AD4" s="93"/>
      <c r="AE4" s="93"/>
      <c r="AF4" s="94"/>
      <c r="AG4" s="94"/>
      <c r="AH4" s="93"/>
      <c r="AI4" s="93"/>
      <c r="AJ4" s="93"/>
      <c r="AK4" s="93"/>
      <c r="AL4" s="93"/>
      <c r="AM4" s="93"/>
      <c r="AN4" s="93"/>
      <c r="AO4" s="93"/>
    </row>
    <row r="5" spans="1:41" ht="21.75" customHeight="1">
      <c r="J5" s="93" t="s">
        <v>239</v>
      </c>
      <c r="K5" s="222" t="s">
        <v>240</v>
      </c>
      <c r="L5" s="27">
        <v>17356637290</v>
      </c>
      <c r="M5" s="93"/>
      <c r="N5" s="93" t="s">
        <v>71</v>
      </c>
      <c r="O5" s="93" t="s">
        <v>71</v>
      </c>
      <c r="P5" s="93" t="s">
        <v>74</v>
      </c>
      <c r="Q5" s="103">
        <v>44407</v>
      </c>
      <c r="R5" s="94" t="s">
        <v>231</v>
      </c>
      <c r="S5" s="104" t="s">
        <v>232</v>
      </c>
      <c r="T5" s="93" t="s">
        <v>233</v>
      </c>
    </row>
  </sheetData>
  <phoneticPr fontId="87" type="noConversion"/>
  <dataValidations count="4">
    <dataValidation type="list" allowBlank="1" showInputMessage="1" showErrorMessage="1" sqref="D2 D3:D4" xr:uid="{00000000-0002-0000-0C00-000000000000}">
      <formula1>"北京易才博普奥,上海易铭天,杭州易才凯捷,上海傲云,上海曙夕"</formula1>
    </dataValidation>
    <dataValidation type="list" allowBlank="1" showInputMessage="1" showErrorMessage="1" sqref="C2:C4" xr:uid="{00000000-0002-0000-0C00-000001000000}">
      <formula1>"华北销售部,华东销售部,微蜂事业部,外包一体化事业部"</formula1>
    </dataValidation>
    <dataValidation type="list" allowBlank="1" showInputMessage="1" showErrorMessage="1" sqref="S2 S5 S3:S4" xr:uid="{00000000-0002-0000-0C00-000002000000}">
      <formula1>"新参,调入"</formula1>
    </dataValidation>
    <dataValidation type="list" allowBlank="1" showInputMessage="1" showErrorMessage="1" sqref="H2:H4" xr:uid="{00000000-0002-0000-0C00-000003000000}">
      <formula1>#REF!</formula1>
    </dataValidation>
  </dataValidations>
  <pageMargins left="0.75" right="0.75" top="1" bottom="1" header="0.5" footer="0.5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 pane="topRight"/>
      <selection pane="bottomLeft"/>
      <selection pane="bottomRight" activeCell="B4" sqref="B4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3.36328125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175</v>
      </c>
      <c r="C4" s="25" t="s">
        <v>241</v>
      </c>
      <c r="D4" s="25" t="s">
        <v>125</v>
      </c>
      <c r="E4" s="25" t="s">
        <v>242</v>
      </c>
      <c r="F4" s="26" t="str">
        <f>IF(MOD(MID(E4,17,1),2)=1,"男","女")</f>
        <v>女</v>
      </c>
      <c r="G4" s="27">
        <v>18210022768</v>
      </c>
      <c r="H4" s="28"/>
      <c r="I4" s="28"/>
      <c r="J4" s="86">
        <v>44340</v>
      </c>
      <c r="K4" s="28"/>
      <c r="L4" s="54">
        <v>8000</v>
      </c>
      <c r="M4" s="55">
        <f>428.8</f>
        <v>428.8</v>
      </c>
      <c r="N4" s="55">
        <v>110.2</v>
      </c>
      <c r="O4" s="55">
        <f>26.8</f>
        <v>26.8</v>
      </c>
      <c r="P4" s="55">
        <v>444</v>
      </c>
      <c r="Q4" s="69">
        <f>ROUND(SUM(M4:P4),2)</f>
        <v>1009.8</v>
      </c>
      <c r="R4" s="54">
        <v>0</v>
      </c>
      <c r="S4" s="70">
        <f>L4+IFERROR(VLOOKUP($E:$E,'（居民）工资表-9月'!$E:$S,15,0),0)</f>
        <v>8000</v>
      </c>
      <c r="T4" s="71">
        <f>5000+IFERROR(VLOOKUP($E:$E,'（居民）工资表-9月'!$E:$T,16,0),0)</f>
        <v>5000</v>
      </c>
      <c r="U4" s="71">
        <f>Q4+IFERROR(VLOOKUP($E:$E,'（居民）工资表-9月'!$E:$U,17,0),0)</f>
        <v>1009.8</v>
      </c>
      <c r="V4" s="54"/>
      <c r="W4" s="54"/>
      <c r="X4" s="54"/>
      <c r="Y4" s="54"/>
      <c r="Z4" s="54"/>
      <c r="AA4" s="54"/>
      <c r="AB4" s="70">
        <f>ROUND(SUM(V4:AA4),2)</f>
        <v>0</v>
      </c>
      <c r="AC4" s="70">
        <f>R4+IFERROR(VLOOKUP($E:$E,'（居民）工资表-9月'!$E:$AC,25,0),0)</f>
        <v>0</v>
      </c>
      <c r="AD4" s="72">
        <f>ROUND(S4-T4-U4-AB4-AC4,2)</f>
        <v>1990.2</v>
      </c>
      <c r="AE4" s="73">
        <f>ROUND(MAX((AD4)*{0.03;0.1;0.2;0.25;0.3;0.35;0.45}-{0;2520;16920;31920;52920;85920;181920},0),2)</f>
        <v>59.71</v>
      </c>
      <c r="AF4" s="74"/>
      <c r="AG4" s="74">
        <v>59.7</v>
      </c>
      <c r="AH4" s="77">
        <f>ROUND(IF((L4-Q4-AG4)&lt;0,0,(L4-Q4-AG4)),2)</f>
        <v>6930.5</v>
      </c>
      <c r="AI4" s="78"/>
      <c r="AJ4" s="77">
        <f>AH4+AI4</f>
        <v>6930.5</v>
      </c>
      <c r="AK4" s="79"/>
      <c r="AL4" s="77">
        <f>AJ4+AG4+AK4</f>
        <v>6990.2</v>
      </c>
      <c r="AM4" s="79"/>
      <c r="AN4" s="79"/>
      <c r="AO4" s="79"/>
      <c r="AP4" s="79"/>
      <c r="AQ4" s="79"/>
      <c r="AR4" s="84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>IF(SUMPRODUCT(N(E$1:E$4=E4))&gt;1,"重复","不")</f>
        <v>不</v>
      </c>
      <c r="AT4" s="84" t="str">
        <f>IF(SUMPRODUCT(N(AO$1:AO$4=AO4))&gt;1,"重复","不")</f>
        <v>重复</v>
      </c>
    </row>
    <row r="5" spans="1:46" s="11" customFormat="1" ht="18" customHeight="1">
      <c r="A5" s="31"/>
      <c r="B5" s="32" t="s">
        <v>151</v>
      </c>
      <c r="C5" s="32"/>
      <c r="D5" s="33"/>
      <c r="E5" s="34"/>
      <c r="F5" s="35"/>
      <c r="G5" s="36"/>
      <c r="H5" s="35"/>
      <c r="I5" s="56"/>
      <c r="J5" s="57"/>
      <c r="K5" s="56"/>
      <c r="L5" s="58">
        <f t="shared" ref="L5:AL5" si="0">SUM(L4:L4)</f>
        <v>8000</v>
      </c>
      <c r="M5" s="58">
        <f t="shared" si="0"/>
        <v>428.8</v>
      </c>
      <c r="N5" s="58">
        <f t="shared" si="0"/>
        <v>110.2</v>
      </c>
      <c r="O5" s="58">
        <f t="shared" si="0"/>
        <v>26.8</v>
      </c>
      <c r="P5" s="58">
        <f t="shared" si="0"/>
        <v>444</v>
      </c>
      <c r="Q5" s="58">
        <f t="shared" si="0"/>
        <v>1009.8</v>
      </c>
      <c r="R5" s="58">
        <f t="shared" si="0"/>
        <v>0</v>
      </c>
      <c r="S5" s="58">
        <f t="shared" si="0"/>
        <v>8000</v>
      </c>
      <c r="T5" s="58">
        <f t="shared" si="0"/>
        <v>5000</v>
      </c>
      <c r="U5" s="58">
        <f t="shared" si="0"/>
        <v>1009.8</v>
      </c>
      <c r="V5" s="58">
        <f t="shared" si="0"/>
        <v>0</v>
      </c>
      <c r="W5" s="58">
        <f t="shared" si="0"/>
        <v>0</v>
      </c>
      <c r="X5" s="58">
        <f t="shared" si="0"/>
        <v>0</v>
      </c>
      <c r="Y5" s="58">
        <f t="shared" si="0"/>
        <v>0</v>
      </c>
      <c r="Z5" s="58">
        <f t="shared" si="0"/>
        <v>0</v>
      </c>
      <c r="AA5" s="58">
        <f t="shared" si="0"/>
        <v>0</v>
      </c>
      <c r="AB5" s="58">
        <f t="shared" si="0"/>
        <v>0</v>
      </c>
      <c r="AC5" s="58">
        <f t="shared" si="0"/>
        <v>0</v>
      </c>
      <c r="AD5" s="58">
        <f t="shared" si="0"/>
        <v>1990.2</v>
      </c>
      <c r="AE5" s="58">
        <f t="shared" si="0"/>
        <v>59.71</v>
      </c>
      <c r="AF5" s="58">
        <f t="shared" si="0"/>
        <v>0</v>
      </c>
      <c r="AG5" s="58">
        <f t="shared" si="0"/>
        <v>59.7</v>
      </c>
      <c r="AH5" s="58">
        <f t="shared" si="0"/>
        <v>6930.5</v>
      </c>
      <c r="AI5" s="80">
        <f t="shared" si="0"/>
        <v>0</v>
      </c>
      <c r="AJ5" s="58">
        <f t="shared" si="0"/>
        <v>6930.5</v>
      </c>
      <c r="AK5" s="58">
        <f t="shared" si="0"/>
        <v>0</v>
      </c>
      <c r="AL5" s="58">
        <f t="shared" si="0"/>
        <v>6990.2</v>
      </c>
      <c r="AM5" s="81"/>
      <c r="AN5" s="81"/>
      <c r="AO5" s="81"/>
      <c r="AP5" s="81"/>
      <c r="AQ5" s="81"/>
      <c r="AR5" s="35"/>
      <c r="AS5" s="35"/>
      <c r="AT5" s="85"/>
    </row>
    <row r="8" spans="1:46">
      <c r="AD8" s="75"/>
    </row>
    <row r="9" spans="1:46" ht="18.75" customHeight="1">
      <c r="B9" s="37" t="s">
        <v>104</v>
      </c>
      <c r="C9" s="37" t="s">
        <v>152</v>
      </c>
      <c r="D9" s="37" t="s">
        <v>55</v>
      </c>
      <c r="E9" s="37" t="s">
        <v>56</v>
      </c>
      <c r="AD9" s="8"/>
    </row>
    <row r="10" spans="1:46" ht="18.75" customHeight="1">
      <c r="B10" s="38">
        <f>AJ5</f>
        <v>6930.5</v>
      </c>
      <c r="C10" s="38">
        <f>AG5</f>
        <v>59.7</v>
      </c>
      <c r="D10" s="38">
        <f>AK5</f>
        <v>0</v>
      </c>
      <c r="E10" s="38">
        <f>B10+C10+D10</f>
        <v>6990.2</v>
      </c>
    </row>
    <row r="11" spans="1:46">
      <c r="B11" s="39"/>
      <c r="C11" s="39"/>
      <c r="D11" s="39"/>
      <c r="E11" s="39"/>
    </row>
    <row r="12" spans="1:46" s="12" customFormat="1">
      <c r="A12" s="40" t="s">
        <v>153</v>
      </c>
      <c r="B12" s="41" t="s">
        <v>154</v>
      </c>
      <c r="C12" s="42"/>
      <c r="D12" s="42"/>
      <c r="E12" s="42"/>
      <c r="G12" s="43"/>
      <c r="J12" s="59"/>
      <c r="M12" s="60"/>
      <c r="AI12" s="82"/>
    </row>
    <row r="13" spans="1:46" s="12" customFormat="1">
      <c r="A13" s="44"/>
      <c r="B13" s="45" t="s">
        <v>155</v>
      </c>
      <c r="C13" s="42"/>
      <c r="D13" s="42"/>
      <c r="E13" s="42"/>
      <c r="G13" s="43"/>
      <c r="J13" s="59"/>
      <c r="M13" s="60"/>
      <c r="AI13" s="82"/>
    </row>
    <row r="14" spans="1:46" s="12" customFormat="1">
      <c r="A14" s="41"/>
      <c r="B14" s="45" t="s">
        <v>156</v>
      </c>
      <c r="C14" s="46"/>
      <c r="D14" s="46"/>
      <c r="E14" s="46"/>
      <c r="F14" s="46"/>
      <c r="G14" s="46"/>
      <c r="H14" s="46"/>
      <c r="I14" s="46"/>
      <c r="J14" s="61"/>
      <c r="K14" s="46"/>
      <c r="L14" s="46"/>
      <c r="M14" s="62"/>
      <c r="N14" s="46"/>
      <c r="O14" s="46"/>
      <c r="P14" s="46"/>
      <c r="AI14" s="82"/>
    </row>
    <row r="15" spans="1:46" s="12" customFormat="1" ht="13.5" customHeight="1">
      <c r="A15" s="45"/>
      <c r="B15" s="45" t="s">
        <v>157</v>
      </c>
      <c r="C15" s="47"/>
      <c r="D15" s="47"/>
      <c r="E15" s="47"/>
      <c r="F15" s="47"/>
      <c r="G15" s="47"/>
      <c r="H15" s="47"/>
      <c r="I15" s="63"/>
      <c r="J15" s="64"/>
      <c r="K15" s="63"/>
      <c r="L15" s="63"/>
      <c r="M15" s="65"/>
      <c r="N15" s="63"/>
      <c r="O15" s="63"/>
      <c r="P15" s="63"/>
      <c r="AI15" s="82"/>
    </row>
    <row r="16" spans="1:46" s="12" customFormat="1" ht="13.5" customHeight="1">
      <c r="A16" s="45"/>
      <c r="B16" s="45" t="s">
        <v>158</v>
      </c>
      <c r="C16" s="47"/>
      <c r="D16" s="47"/>
      <c r="E16" s="47"/>
      <c r="F16" s="47"/>
      <c r="G16" s="47"/>
      <c r="H16" s="47"/>
      <c r="I16" s="47"/>
      <c r="J16" s="66"/>
      <c r="K16" s="47"/>
      <c r="L16" s="63"/>
      <c r="M16" s="65"/>
      <c r="N16" s="63"/>
      <c r="O16" s="63"/>
      <c r="P16" s="63"/>
      <c r="AI16" s="82"/>
    </row>
    <row r="17" spans="1:35" s="12" customFormat="1" ht="13.5" customHeight="1">
      <c r="A17" s="45"/>
      <c r="B17" s="45" t="s">
        <v>159</v>
      </c>
      <c r="C17" s="47"/>
      <c r="D17" s="47"/>
      <c r="E17" s="47"/>
      <c r="F17" s="47"/>
      <c r="G17" s="47"/>
      <c r="H17" s="47"/>
      <c r="I17" s="63"/>
      <c r="J17" s="64"/>
      <c r="K17" s="63"/>
      <c r="L17" s="63"/>
      <c r="M17" s="65"/>
      <c r="N17" s="63"/>
      <c r="O17" s="63"/>
      <c r="P17" s="63"/>
      <c r="AI17" s="82"/>
    </row>
    <row r="19" spans="1:35" ht="11.25" customHeight="1">
      <c r="B19" s="48" t="s">
        <v>160</v>
      </c>
    </row>
    <row r="20" spans="1:35">
      <c r="B20" s="49" t="s">
        <v>161</v>
      </c>
    </row>
    <row r="21" spans="1:35">
      <c r="B21" s="49" t="s">
        <v>162</v>
      </c>
    </row>
  </sheetData>
  <autoFilter ref="A3:AT5" xr:uid="{00000000-0009-0000-0000-00000D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17">
    <cfRule type="duplicateValues" dxfId="13" priority="2" stopIfTrue="1"/>
  </conditionalFormatting>
  <conditionalFormatting sqref="B12:B16">
    <cfRule type="duplicateValues" dxfId="12" priority="3" stopIfTrue="1"/>
  </conditionalFormatting>
  <conditionalFormatting sqref="B20:B21">
    <cfRule type="duplicateValues" dxfId="11" priority="1" stopIfTrue="1"/>
  </conditionalFormatting>
  <conditionalFormatting sqref="C9:C11">
    <cfRule type="duplicateValues" dxfId="10" priority="4" stopIfTrue="1"/>
    <cfRule type="expression" dxfId="9" priority="5" stopIfTrue="1">
      <formula>AND(COUNTIF($B$5:$B$65441,C9)+COUNTIF($B$1:$B$3,C9)&gt;1,NOT(ISBLANK(C9)))</formula>
    </cfRule>
    <cfRule type="expression" dxfId="8" priority="6" stopIfTrue="1">
      <formula>AND(COUNTIF($B$16:$B$65392,C9)+COUNTIF($B$1:$B$15,C9)&gt;1,NOT(ISBLANK(C9)))</formula>
    </cfRule>
    <cfRule type="expression" dxfId="7" priority="7" stopIfTrue="1">
      <formula>AND(COUNTIF($B$5:$B$65430,C9)+COUNTIF($B$1:$B$3,C9)&gt;1,NOT(ISBLANK(C9)))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 pane="topRight"/>
      <selection pane="bottomLeft"/>
      <selection pane="bottomRight" activeCell="F15" sqref="F15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3.36328125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175</v>
      </c>
      <c r="C4" s="25" t="s">
        <v>124</v>
      </c>
      <c r="D4" s="25" t="s">
        <v>125</v>
      </c>
      <c r="E4" s="25" t="s">
        <v>126</v>
      </c>
      <c r="F4" s="26" t="str">
        <f t="shared" ref="F4:F14" si="0">IF(MOD(MID(E4,17,1),2)=1,"男","女")</f>
        <v>女</v>
      </c>
      <c r="G4" s="27">
        <v>19801207903</v>
      </c>
      <c r="H4" s="28"/>
      <c r="I4" s="28"/>
      <c r="J4" s="53"/>
      <c r="K4" s="28"/>
      <c r="L4" s="54">
        <v>11000</v>
      </c>
      <c r="M4" s="55">
        <v>428.8</v>
      </c>
      <c r="N4" s="55">
        <v>110.2</v>
      </c>
      <c r="O4" s="55">
        <v>26.8</v>
      </c>
      <c r="P4" s="55">
        <v>444</v>
      </c>
      <c r="Q4" s="69">
        <f>ROUND(SUM(M4:P4),2)</f>
        <v>1009.8</v>
      </c>
      <c r="R4" s="54">
        <v>0</v>
      </c>
      <c r="S4" s="70">
        <f>L4+IFERROR(VLOOKUP($E:$E,'（居民）工资表-11月'!$E:$S,15,0),0)</f>
        <v>17574.712643678162</v>
      </c>
      <c r="T4" s="71">
        <f>5000+IFERROR(VLOOKUP($E:$E,'（居民）工资表-11月'!$E:$T,16,0),0)</f>
        <v>10000</v>
      </c>
      <c r="U4" s="71">
        <f>Q4+IFERROR(VLOOKUP($E:$E,'（居民）工资表-11月'!$E:$U,17,0),0)</f>
        <v>2019.6</v>
      </c>
      <c r="V4" s="54"/>
      <c r="W4" s="54"/>
      <c r="X4" s="54"/>
      <c r="Y4" s="54"/>
      <c r="Z4" s="54"/>
      <c r="AA4" s="54"/>
      <c r="AB4" s="70">
        <f>ROUND(SUM(V4:AA4),2)</f>
        <v>0</v>
      </c>
      <c r="AC4" s="70">
        <f>R4+IFERROR(VLOOKUP($E:$E,'（居民）工资表-11月'!$E:$AC,25,0),0)</f>
        <v>0</v>
      </c>
      <c r="AD4" s="72">
        <f>ROUND(S4-T4-U4-AB4-AC4,2)</f>
        <v>5555.11</v>
      </c>
      <c r="AE4" s="73">
        <f>ROUND(MAX((AD4)*{0.03;0.1;0.2;0.25;0.3;0.35;0.45}-{0;2520;16920;31920;52920;85920;181920},0),2)</f>
        <v>166.65</v>
      </c>
      <c r="AF4" s="74">
        <f>IFERROR(VLOOKUP(E:E,'（居民）工资表-11月'!E:AF,28,0)+VLOOKUP(E:E,'（居民）工资表-11月'!E:AG,29,0),0)</f>
        <v>16.95</v>
      </c>
      <c r="AG4" s="74">
        <f>IF((AE4-AF4)&lt;0,0,AE4-AF4)</f>
        <v>149.70000000000002</v>
      </c>
      <c r="AH4" s="77">
        <f>ROUND(IF((L4-Q4-AG4)&lt;0,0,(L4-Q4-AG4)),2)</f>
        <v>9840.5</v>
      </c>
      <c r="AI4" s="78"/>
      <c r="AJ4" s="77">
        <f>AH4+AI4</f>
        <v>9840.5</v>
      </c>
      <c r="AK4" s="79"/>
      <c r="AL4" s="77">
        <f>AJ4+AG4+AK4</f>
        <v>9990.2000000000007</v>
      </c>
      <c r="AM4" s="79"/>
      <c r="AN4" s="79"/>
      <c r="AO4" s="79"/>
      <c r="AP4" s="79"/>
      <c r="AQ4" s="79"/>
      <c r="AR4" s="84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4" si="2">IF(SUMPRODUCT(N(E$1:E$14=E4))&gt;1,"重复","不")</f>
        <v>不</v>
      </c>
      <c r="AT4" s="84" t="str">
        <f t="shared" ref="AT4:AT14" si="3">IF(SUMPRODUCT(N(AO$1:AO$14=AO4))&gt;1,"重复","不")</f>
        <v>重复</v>
      </c>
    </row>
    <row r="5" spans="1:46" s="10" customFormat="1" ht="18" customHeight="1">
      <c r="A5" s="24">
        <v>2</v>
      </c>
      <c r="B5" s="25" t="s">
        <v>175</v>
      </c>
      <c r="C5" s="25" t="s">
        <v>127</v>
      </c>
      <c r="D5" s="25" t="s">
        <v>125</v>
      </c>
      <c r="E5" s="25" t="s">
        <v>128</v>
      </c>
      <c r="F5" s="26" t="str">
        <f t="shared" si="0"/>
        <v>男</v>
      </c>
      <c r="G5" s="27">
        <v>13288877699</v>
      </c>
      <c r="H5" s="28"/>
      <c r="I5" s="28"/>
      <c r="J5" s="53"/>
      <c r="K5" s="28"/>
      <c r="L5" s="54">
        <v>11000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ref="Q5:Q14" si="4">ROUND(SUM(M5:P5),2)</f>
        <v>1009.8</v>
      </c>
      <c r="R5" s="54">
        <v>0</v>
      </c>
      <c r="S5" s="70">
        <f>L5+IFERROR(VLOOKUP($E:$E,'（居民）工资表-11月'!$E:$S,15,0),0)</f>
        <v>17574.712643678162</v>
      </c>
      <c r="T5" s="71">
        <f>5000+IFERROR(VLOOKUP($E:$E,'（居民）工资表-11月'!$E:$T,16,0),0)</f>
        <v>10000</v>
      </c>
      <c r="U5" s="71">
        <f>Q5+IFERROR(VLOOKUP($E:$E,'（居民）工资表-11月'!$E:$U,17,0),0)</f>
        <v>2019.6</v>
      </c>
      <c r="V5" s="54"/>
      <c r="W5" s="54"/>
      <c r="X5" s="54"/>
      <c r="Y5" s="54"/>
      <c r="Z5" s="54"/>
      <c r="AA5" s="54"/>
      <c r="AB5" s="70">
        <f t="shared" ref="AB5:AB14" si="5">ROUND(SUM(V5:AA5),2)</f>
        <v>0</v>
      </c>
      <c r="AC5" s="70">
        <f>R5+IFERROR(VLOOKUP($E:$E,'（居民）工资表-11月'!$E:$AC,25,0),0)</f>
        <v>0</v>
      </c>
      <c r="AD5" s="72">
        <f t="shared" ref="AD5:AD14" si="6">ROUND(S5-T5-U5-AB5-AC5,2)</f>
        <v>5555.11</v>
      </c>
      <c r="AE5" s="73">
        <f>ROUND(MAX((AD5)*{0.03;0.1;0.2;0.25;0.3;0.35;0.45}-{0;2520;16920;31920;52920;85920;181920},0),2)</f>
        <v>166.65</v>
      </c>
      <c r="AF5" s="74">
        <f>IFERROR(VLOOKUP(E:E,'（居民）工资表-11月'!E:AF,28,0)+VLOOKUP(E:E,'（居民）工资表-11月'!E:AG,29,0),0)</f>
        <v>16.95</v>
      </c>
      <c r="AG5" s="74">
        <f t="shared" ref="AG5:AG14" si="7">IF((AE5-AF5)&lt;0,0,AE5-AF5)</f>
        <v>149.70000000000002</v>
      </c>
      <c r="AH5" s="77">
        <f t="shared" ref="AH5:AH14" si="8">ROUND(IF((L5-Q5-AG5)&lt;0,0,(L5-Q5-AG5)),2)</f>
        <v>9840.5</v>
      </c>
      <c r="AI5" s="78"/>
      <c r="AJ5" s="77">
        <f t="shared" ref="AJ5:AJ14" si="9">AH5+AI5</f>
        <v>9840.5</v>
      </c>
      <c r="AK5" s="79"/>
      <c r="AL5" s="77">
        <f t="shared" ref="AL5:AL14" si="10">AJ5+AG5+AK5</f>
        <v>9990.2000000000007</v>
      </c>
      <c r="AM5" s="79"/>
      <c r="AN5" s="79"/>
      <c r="AO5" s="79"/>
      <c r="AP5" s="79"/>
      <c r="AQ5" s="79"/>
      <c r="AR5" s="84" t="str">
        <f t="shared" si="1"/>
        <v>正确</v>
      </c>
      <c r="AS5" s="84" t="str">
        <f t="shared" si="2"/>
        <v>不</v>
      </c>
      <c r="AT5" s="84" t="str">
        <f t="shared" si="3"/>
        <v>重复</v>
      </c>
    </row>
    <row r="6" spans="1:46" s="10" customFormat="1" ht="18" customHeight="1">
      <c r="A6" s="24">
        <v>3</v>
      </c>
      <c r="B6" s="25" t="s">
        <v>175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53"/>
      <c r="K6" s="28"/>
      <c r="L6" s="54">
        <v>15000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4"/>
        <v>1009.8</v>
      </c>
      <c r="R6" s="54">
        <v>0</v>
      </c>
      <c r="S6" s="70">
        <f>L6+IFERROR(VLOOKUP($E:$E,'（居民）工资表-11月'!$E:$S,15,0),0)</f>
        <v>25344.827586206899</v>
      </c>
      <c r="T6" s="71">
        <f>5000+IFERROR(VLOOKUP($E:$E,'（居民）工资表-11月'!$E:$T,16,0),0)</f>
        <v>10000</v>
      </c>
      <c r="U6" s="71">
        <f>Q6+IFERROR(VLOOKUP($E:$E,'（居民）工资表-11月'!$E:$U,17,0),0)</f>
        <v>2019.6</v>
      </c>
      <c r="V6" s="54"/>
      <c r="W6" s="54"/>
      <c r="X6" s="54"/>
      <c r="Y6" s="54"/>
      <c r="Z6" s="54"/>
      <c r="AA6" s="54"/>
      <c r="AB6" s="70">
        <f t="shared" si="5"/>
        <v>0</v>
      </c>
      <c r="AC6" s="70">
        <f>R6+IFERROR(VLOOKUP($E:$E,'（居民）工资表-11月'!$E:$AC,25,0),0)</f>
        <v>0</v>
      </c>
      <c r="AD6" s="72">
        <f t="shared" si="6"/>
        <v>13325.23</v>
      </c>
      <c r="AE6" s="73">
        <f>ROUND(MAX((AD6)*{0.03;0.1;0.2;0.25;0.3;0.35;0.45}-{0;2520;16920;31920;52920;85920;181920},0),2)</f>
        <v>399.76</v>
      </c>
      <c r="AF6" s="74">
        <f>IFERROR(VLOOKUP(E:E,'（居民）工资表-11月'!E:AF,28,0)+VLOOKUP(E:E,'（居民）工资表-11月'!E:AG,29,0),0)</f>
        <v>130.05000000000001</v>
      </c>
      <c r="AG6" s="74">
        <f t="shared" si="7"/>
        <v>269.70999999999998</v>
      </c>
      <c r="AH6" s="77">
        <f t="shared" si="8"/>
        <v>13720.49</v>
      </c>
      <c r="AI6" s="78"/>
      <c r="AJ6" s="77">
        <f t="shared" si="9"/>
        <v>13720.49</v>
      </c>
      <c r="AK6" s="79"/>
      <c r="AL6" s="77">
        <f t="shared" si="10"/>
        <v>13990.199999999999</v>
      </c>
      <c r="AM6" s="79"/>
      <c r="AN6" s="79"/>
      <c r="AO6" s="79"/>
      <c r="AP6" s="79"/>
      <c r="AQ6" s="79"/>
      <c r="AR6" s="84" t="str">
        <f t="shared" si="1"/>
        <v>正确</v>
      </c>
      <c r="AS6" s="84" t="str">
        <f t="shared" si="2"/>
        <v>不</v>
      </c>
      <c r="AT6" s="84" t="str">
        <f t="shared" si="3"/>
        <v>重复</v>
      </c>
    </row>
    <row r="7" spans="1:46" s="10" customFormat="1" ht="18" customHeight="1">
      <c r="A7" s="24">
        <v>4</v>
      </c>
      <c r="B7" s="25" t="s">
        <v>175</v>
      </c>
      <c r="C7" s="25" t="s">
        <v>182</v>
      </c>
      <c r="D7" s="25" t="s">
        <v>125</v>
      </c>
      <c r="E7" s="25" t="s">
        <v>183</v>
      </c>
      <c r="F7" s="26" t="str">
        <f t="shared" si="0"/>
        <v>女</v>
      </c>
      <c r="G7" s="27">
        <v>16600096727</v>
      </c>
      <c r="H7" s="28"/>
      <c r="I7" s="28"/>
      <c r="J7" s="53"/>
      <c r="K7" s="28"/>
      <c r="L7" s="54">
        <v>15000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4"/>
        <v>1009.8</v>
      </c>
      <c r="R7" s="54">
        <v>0</v>
      </c>
      <c r="S7" s="70">
        <f>L7+IFERROR(VLOOKUP($E:$E,'（居民）工资表-11月'!$E:$S,15,0),0)</f>
        <v>25344.827586206899</v>
      </c>
      <c r="T7" s="71">
        <f>5000+IFERROR(VLOOKUP($E:$E,'（居民）工资表-11月'!$E:$T,16,0),0)</f>
        <v>10000</v>
      </c>
      <c r="U7" s="71">
        <f>Q7+IFERROR(VLOOKUP($E:$E,'（居民）工资表-11月'!$E:$U,17,0),0)</f>
        <v>2019.6</v>
      </c>
      <c r="V7" s="54"/>
      <c r="W7" s="54"/>
      <c r="X7" s="54"/>
      <c r="Y7" s="54"/>
      <c r="Z7" s="54"/>
      <c r="AA7" s="54"/>
      <c r="AB7" s="70">
        <f t="shared" si="5"/>
        <v>0</v>
      </c>
      <c r="AC7" s="70">
        <f>R7+IFERROR(VLOOKUP($E:$E,'（居民）工资表-11月'!$E:$AC,25,0),0)</f>
        <v>0</v>
      </c>
      <c r="AD7" s="72">
        <f t="shared" si="6"/>
        <v>13325.23</v>
      </c>
      <c r="AE7" s="73">
        <f>ROUND(MAX((AD7)*{0.03;0.1;0.2;0.25;0.3;0.35;0.45}-{0;2520;16920;31920;52920;85920;181920},0),2)</f>
        <v>399.76</v>
      </c>
      <c r="AF7" s="74">
        <f>IFERROR(VLOOKUP(E:E,'（居民）工资表-11月'!E:AF,28,0)+VLOOKUP(E:E,'（居民）工资表-11月'!E:AG,29,0),0)</f>
        <v>130.05000000000001</v>
      </c>
      <c r="AG7" s="74">
        <f t="shared" si="7"/>
        <v>269.70999999999998</v>
      </c>
      <c r="AH7" s="77">
        <f t="shared" si="8"/>
        <v>13720.49</v>
      </c>
      <c r="AI7" s="78"/>
      <c r="AJ7" s="77">
        <f t="shared" si="9"/>
        <v>13720.49</v>
      </c>
      <c r="AK7" s="79"/>
      <c r="AL7" s="77">
        <f t="shared" si="10"/>
        <v>13990.199999999999</v>
      </c>
      <c r="AM7" s="79"/>
      <c r="AN7" s="79"/>
      <c r="AO7" s="79"/>
      <c r="AP7" s="79"/>
      <c r="AQ7" s="79"/>
      <c r="AR7" s="84" t="str">
        <f t="shared" si="1"/>
        <v>正确</v>
      </c>
      <c r="AS7" s="84" t="str">
        <f t="shared" si="2"/>
        <v>不</v>
      </c>
      <c r="AT7" s="84" t="str">
        <f t="shared" si="3"/>
        <v>重复</v>
      </c>
    </row>
    <row r="8" spans="1:46" s="10" customFormat="1" ht="18" customHeight="1">
      <c r="A8" s="24">
        <v>5</v>
      </c>
      <c r="B8" s="25" t="s">
        <v>175</v>
      </c>
      <c r="C8" s="25" t="s">
        <v>131</v>
      </c>
      <c r="D8" s="25" t="s">
        <v>125</v>
      </c>
      <c r="E8" s="25" t="s">
        <v>132</v>
      </c>
      <c r="F8" s="26" t="str">
        <f t="shared" si="0"/>
        <v>男</v>
      </c>
      <c r="G8" s="27">
        <v>13683242969</v>
      </c>
      <c r="H8" s="28"/>
      <c r="I8" s="28"/>
      <c r="J8" s="53"/>
      <c r="K8" s="28"/>
      <c r="L8" s="54">
        <v>10000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4"/>
        <v>1009.8</v>
      </c>
      <c r="R8" s="54">
        <v>0</v>
      </c>
      <c r="S8" s="70">
        <f>L8+IFERROR(VLOOKUP($E:$E,'（居民）工资表-11月'!$E:$S,15,0),0)</f>
        <v>11839.08045977011</v>
      </c>
      <c r="T8" s="71">
        <f>5000+IFERROR(VLOOKUP($E:$E,'（居民）工资表-11月'!$E:$T,16,0),0)</f>
        <v>10000</v>
      </c>
      <c r="U8" s="71">
        <f>Q8+IFERROR(VLOOKUP($E:$E,'（居民）工资表-11月'!$E:$U,17,0),0)</f>
        <v>1009.8</v>
      </c>
      <c r="V8" s="54"/>
      <c r="W8" s="54"/>
      <c r="X8" s="54"/>
      <c r="Y8" s="54"/>
      <c r="Z8" s="54"/>
      <c r="AA8" s="54"/>
      <c r="AB8" s="70">
        <f t="shared" si="5"/>
        <v>0</v>
      </c>
      <c r="AC8" s="70">
        <f>R8+IFERROR(VLOOKUP($E:$E,'（居民）工资表-11月'!$E:$AC,25,0),0)</f>
        <v>0</v>
      </c>
      <c r="AD8" s="72">
        <f t="shared" si="6"/>
        <v>829.28</v>
      </c>
      <c r="AE8" s="73">
        <f>ROUND(MAX((AD8)*{0.03;0.1;0.2;0.25;0.3;0.35;0.45}-{0;2520;16920;31920;52920;85920;181920},0),2)</f>
        <v>24.88</v>
      </c>
      <c r="AF8" s="74">
        <f>IFERROR(VLOOKUP(E:E,'（居民）工资表-11月'!E:AF,28,0)+VLOOKUP(E:E,'（居民）工资表-11月'!E:AG,29,0),0)</f>
        <v>0</v>
      </c>
      <c r="AG8" s="74">
        <f t="shared" si="7"/>
        <v>24.88</v>
      </c>
      <c r="AH8" s="77">
        <f t="shared" si="8"/>
        <v>8965.32</v>
      </c>
      <c r="AI8" s="78"/>
      <c r="AJ8" s="77">
        <f t="shared" si="9"/>
        <v>8965.32</v>
      </c>
      <c r="AK8" s="79"/>
      <c r="AL8" s="77">
        <f t="shared" si="10"/>
        <v>8990.1999999999989</v>
      </c>
      <c r="AM8" s="79"/>
      <c r="AN8" s="79"/>
      <c r="AO8" s="79"/>
      <c r="AP8" s="79"/>
      <c r="AQ8" s="79"/>
      <c r="AR8" s="84" t="str">
        <f t="shared" si="1"/>
        <v>正确</v>
      </c>
      <c r="AS8" s="84" t="str">
        <f t="shared" si="2"/>
        <v>不</v>
      </c>
      <c r="AT8" s="84" t="str">
        <f t="shared" si="3"/>
        <v>重复</v>
      </c>
    </row>
    <row r="9" spans="1:46" s="10" customFormat="1" ht="18" customHeight="1">
      <c r="A9" s="24">
        <v>6</v>
      </c>
      <c r="B9" s="25" t="s">
        <v>175</v>
      </c>
      <c r="C9" s="25" t="s">
        <v>133</v>
      </c>
      <c r="D9" s="25" t="s">
        <v>125</v>
      </c>
      <c r="E9" s="25" t="s">
        <v>134</v>
      </c>
      <c r="F9" s="26" t="str">
        <f t="shared" si="0"/>
        <v>男</v>
      </c>
      <c r="G9" s="27">
        <v>13163127617</v>
      </c>
      <c r="H9" s="28"/>
      <c r="I9" s="28"/>
      <c r="J9" s="53"/>
      <c r="K9" s="28"/>
      <c r="L9" s="54">
        <v>8000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4"/>
        <v>1009.8</v>
      </c>
      <c r="R9" s="54">
        <v>0</v>
      </c>
      <c r="S9" s="70">
        <f>L9+IFERROR(VLOOKUP($E:$E,'（居民）工资表-11月'!$E:$S,15,0),0)</f>
        <v>9839.0804597701099</v>
      </c>
      <c r="T9" s="71">
        <f>5000+IFERROR(VLOOKUP($E:$E,'（居民）工资表-11月'!$E:$T,16,0),0)</f>
        <v>10000</v>
      </c>
      <c r="U9" s="71">
        <f>Q9+IFERROR(VLOOKUP($E:$E,'（居民）工资表-11月'!$E:$U,17,0),0)</f>
        <v>1009.8</v>
      </c>
      <c r="V9" s="54"/>
      <c r="W9" s="54"/>
      <c r="X9" s="54"/>
      <c r="Y9" s="54"/>
      <c r="Z9" s="54"/>
      <c r="AA9" s="54"/>
      <c r="AB9" s="70">
        <f t="shared" si="5"/>
        <v>0</v>
      </c>
      <c r="AC9" s="70">
        <f>R9+IFERROR(VLOOKUP($E:$E,'（居民）工资表-11月'!$E:$AC,25,0),0)</f>
        <v>0</v>
      </c>
      <c r="AD9" s="72">
        <f t="shared" si="6"/>
        <v>-1170.72</v>
      </c>
      <c r="AE9" s="73">
        <f>ROUND(MAX((AD9)*{0.03;0.1;0.2;0.25;0.3;0.35;0.45}-{0;2520;16920;31920;52920;85920;181920},0),2)</f>
        <v>0</v>
      </c>
      <c r="AF9" s="74">
        <f>IFERROR(VLOOKUP(E:E,'（居民）工资表-11月'!E:AF,28,0)+VLOOKUP(E:E,'（居民）工资表-11月'!E:AG,29,0),0)</f>
        <v>0</v>
      </c>
      <c r="AG9" s="74">
        <f t="shared" si="7"/>
        <v>0</v>
      </c>
      <c r="AH9" s="77">
        <f t="shared" si="8"/>
        <v>6990.2</v>
      </c>
      <c r="AI9" s="78"/>
      <c r="AJ9" s="77">
        <f t="shared" si="9"/>
        <v>6990.2</v>
      </c>
      <c r="AK9" s="79"/>
      <c r="AL9" s="77">
        <f t="shared" si="10"/>
        <v>6990.2</v>
      </c>
      <c r="AM9" s="79"/>
      <c r="AN9" s="79"/>
      <c r="AO9" s="79"/>
      <c r="AP9" s="79"/>
      <c r="AQ9" s="79"/>
      <c r="AR9" s="84" t="str">
        <f t="shared" si="1"/>
        <v>正确</v>
      </c>
      <c r="AS9" s="84" t="str">
        <f t="shared" si="2"/>
        <v>不</v>
      </c>
      <c r="AT9" s="84" t="str">
        <f t="shared" si="3"/>
        <v>重复</v>
      </c>
    </row>
    <row r="10" spans="1:46" s="10" customFormat="1" ht="18" customHeight="1">
      <c r="A10" s="24">
        <v>7</v>
      </c>
      <c r="B10" s="25" t="s">
        <v>175</v>
      </c>
      <c r="C10" s="29" t="s">
        <v>135</v>
      </c>
      <c r="D10" s="25" t="s">
        <v>125</v>
      </c>
      <c r="E10" s="25" t="s">
        <v>136</v>
      </c>
      <c r="F10" s="26" t="str">
        <f t="shared" si="0"/>
        <v>男</v>
      </c>
      <c r="G10" s="27">
        <v>15652649555</v>
      </c>
      <c r="H10" s="28"/>
      <c r="I10" s="28"/>
      <c r="J10" s="53"/>
      <c r="K10" s="28"/>
      <c r="L10" s="54">
        <v>5149.43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4"/>
        <v>1009.8</v>
      </c>
      <c r="R10" s="54">
        <v>0</v>
      </c>
      <c r="S10" s="70">
        <f>L10+IFERROR(VLOOKUP($E:$E,'（居民）工资表-11月'!$E:$S,15,0),0)</f>
        <v>5149.43</v>
      </c>
      <c r="T10" s="71">
        <f>5000+IFERROR(VLOOKUP($E:$E,'（居民）工资表-11月'!$E:$T,16,0),0)</f>
        <v>5000</v>
      </c>
      <c r="U10" s="71">
        <f>Q10+IFERROR(VLOOKUP($E:$E,'（居民）工资表-11月'!$E:$U,17,0),0)</f>
        <v>1009.8</v>
      </c>
      <c r="V10" s="54"/>
      <c r="W10" s="54"/>
      <c r="X10" s="54"/>
      <c r="Y10" s="54"/>
      <c r="Z10" s="54"/>
      <c r="AA10" s="54"/>
      <c r="AB10" s="70">
        <f t="shared" si="5"/>
        <v>0</v>
      </c>
      <c r="AC10" s="70">
        <f>R10+IFERROR(VLOOKUP($E:$E,'（居民）工资表-11月'!$E:$AC,25,0),0)</f>
        <v>0</v>
      </c>
      <c r="AD10" s="72">
        <f t="shared" si="6"/>
        <v>-860.37</v>
      </c>
      <c r="AE10" s="73">
        <f>ROUND(MAX((AD10)*{0.03;0.1;0.2;0.25;0.3;0.35;0.45}-{0;2520;16920;31920;52920;85920;181920},0),2)</f>
        <v>0</v>
      </c>
      <c r="AF10" s="74">
        <f>IFERROR(VLOOKUP(E:E,'（居民）工资表-11月'!E:AF,28,0)+VLOOKUP(E:E,'（居民）工资表-11月'!E:AG,29,0),0)</f>
        <v>0</v>
      </c>
      <c r="AG10" s="74">
        <f t="shared" si="7"/>
        <v>0</v>
      </c>
      <c r="AH10" s="77">
        <f t="shared" si="8"/>
        <v>4139.63</v>
      </c>
      <c r="AI10" s="78"/>
      <c r="AJ10" s="77">
        <f t="shared" si="9"/>
        <v>4139.63</v>
      </c>
      <c r="AK10" s="79"/>
      <c r="AL10" s="77">
        <f t="shared" si="10"/>
        <v>4139.63</v>
      </c>
      <c r="AM10" s="79"/>
      <c r="AN10" s="79"/>
      <c r="AO10" s="79"/>
      <c r="AP10" s="79"/>
      <c r="AQ10" s="79"/>
      <c r="AR10" s="84" t="str">
        <f t="shared" si="1"/>
        <v>正确</v>
      </c>
      <c r="AS10" s="84" t="str">
        <f t="shared" si="2"/>
        <v>不</v>
      </c>
      <c r="AT10" s="84" t="str">
        <f t="shared" si="3"/>
        <v>重复</v>
      </c>
    </row>
    <row r="11" spans="1:46" s="10" customFormat="1" ht="18" customHeight="1">
      <c r="A11" s="24">
        <v>8</v>
      </c>
      <c r="B11" s="25" t="s">
        <v>175</v>
      </c>
      <c r="C11" s="29" t="s">
        <v>137</v>
      </c>
      <c r="D11" s="25" t="s">
        <v>125</v>
      </c>
      <c r="E11" s="219" t="s">
        <v>138</v>
      </c>
      <c r="F11" s="26" t="str">
        <f t="shared" si="0"/>
        <v>男</v>
      </c>
      <c r="G11" s="27">
        <v>17611149839</v>
      </c>
      <c r="H11" s="28"/>
      <c r="I11" s="28"/>
      <c r="J11" s="53"/>
      <c r="K11" s="28"/>
      <c r="L11" s="54">
        <v>4413.8</v>
      </c>
      <c r="M11" s="55"/>
      <c r="N11" s="55"/>
      <c r="O11" s="55"/>
      <c r="P11" s="55"/>
      <c r="Q11" s="69">
        <f t="shared" si="4"/>
        <v>0</v>
      </c>
      <c r="R11" s="54">
        <v>0</v>
      </c>
      <c r="S11" s="70">
        <f>L11+IFERROR(VLOOKUP($E:$E,'（居民）工资表-11月'!$E:$S,15,0),0)</f>
        <v>4413.8</v>
      </c>
      <c r="T11" s="71">
        <f>5000+IFERROR(VLOOKUP($E:$E,'（居民）工资表-11月'!$E:$T,16,0),0)</f>
        <v>5000</v>
      </c>
      <c r="U11" s="71">
        <f>Q11+IFERROR(VLOOKUP($E:$E,'（居民）工资表-11月'!$E:$U,17,0),0)</f>
        <v>0</v>
      </c>
      <c r="V11" s="54"/>
      <c r="W11" s="54"/>
      <c r="X11" s="54"/>
      <c r="Y11" s="54"/>
      <c r="Z11" s="54"/>
      <c r="AA11" s="54"/>
      <c r="AB11" s="70">
        <f t="shared" si="5"/>
        <v>0</v>
      </c>
      <c r="AC11" s="70">
        <f>R11+IFERROR(VLOOKUP($E:$E,'（居民）工资表-11月'!$E:$AC,25,0),0)</f>
        <v>0</v>
      </c>
      <c r="AD11" s="72">
        <f t="shared" si="6"/>
        <v>-586.20000000000005</v>
      </c>
      <c r="AE11" s="73">
        <f>ROUND(MAX((AD11)*{0.03;0.1;0.2;0.25;0.3;0.35;0.45}-{0;2520;16920;31920;52920;85920;181920},0),2)</f>
        <v>0</v>
      </c>
      <c r="AF11" s="74">
        <f>IFERROR(VLOOKUP(E:E,'（居民）工资表-11月'!E:AF,28,0)+VLOOKUP(E:E,'（居民）工资表-11月'!E:AG,29,0),0)</f>
        <v>0</v>
      </c>
      <c r="AG11" s="74">
        <f t="shared" si="7"/>
        <v>0</v>
      </c>
      <c r="AH11" s="77">
        <f t="shared" si="8"/>
        <v>4413.8</v>
      </c>
      <c r="AI11" s="78"/>
      <c r="AJ11" s="77">
        <f t="shared" si="9"/>
        <v>4413.8</v>
      </c>
      <c r="AK11" s="79"/>
      <c r="AL11" s="77">
        <f t="shared" si="10"/>
        <v>4413.8</v>
      </c>
      <c r="AM11" s="79"/>
      <c r="AN11" s="79"/>
      <c r="AO11" s="79"/>
      <c r="AP11" s="79"/>
      <c r="AQ11" s="79"/>
      <c r="AR11" s="84" t="str">
        <f t="shared" si="1"/>
        <v>正确</v>
      </c>
      <c r="AS11" s="84" t="str">
        <f t="shared" si="2"/>
        <v>不</v>
      </c>
      <c r="AT11" s="84" t="str">
        <f t="shared" si="3"/>
        <v>重复</v>
      </c>
    </row>
    <row r="12" spans="1:46" s="10" customFormat="1" ht="18" customHeight="1">
      <c r="A12" s="24">
        <v>9</v>
      </c>
      <c r="B12" s="25" t="s">
        <v>175</v>
      </c>
      <c r="C12" s="29" t="s">
        <v>139</v>
      </c>
      <c r="D12" s="25" t="s">
        <v>125</v>
      </c>
      <c r="E12" s="219" t="s">
        <v>140</v>
      </c>
      <c r="F12" s="26" t="str">
        <f t="shared" si="0"/>
        <v>男</v>
      </c>
      <c r="G12" s="27">
        <v>13596154643</v>
      </c>
      <c r="H12" s="28"/>
      <c r="I12" s="28"/>
      <c r="J12" s="53"/>
      <c r="K12" s="28"/>
      <c r="L12" s="54">
        <v>4045.98</v>
      </c>
      <c r="M12" s="55"/>
      <c r="N12" s="55"/>
      <c r="O12" s="55"/>
      <c r="P12" s="55"/>
      <c r="Q12" s="69">
        <f t="shared" si="4"/>
        <v>0</v>
      </c>
      <c r="R12" s="54">
        <v>0</v>
      </c>
      <c r="S12" s="70">
        <f>L12+IFERROR(VLOOKUP($E:$E,'（居民）工资表-11月'!$E:$S,15,0),0)</f>
        <v>4045.98</v>
      </c>
      <c r="T12" s="71">
        <f>5000+IFERROR(VLOOKUP($E:$E,'（居民）工资表-11月'!$E:$T,16,0),0)</f>
        <v>5000</v>
      </c>
      <c r="U12" s="71">
        <f>Q12+IFERROR(VLOOKUP($E:$E,'（居民）工资表-11月'!$E:$U,17,0),0)</f>
        <v>0</v>
      </c>
      <c r="V12" s="54"/>
      <c r="W12" s="54"/>
      <c r="X12" s="54"/>
      <c r="Y12" s="54"/>
      <c r="Z12" s="54"/>
      <c r="AA12" s="54"/>
      <c r="AB12" s="70">
        <f t="shared" si="5"/>
        <v>0</v>
      </c>
      <c r="AC12" s="70">
        <f>R12+IFERROR(VLOOKUP($E:$E,'（居民）工资表-11月'!$E:$AC,25,0),0)</f>
        <v>0</v>
      </c>
      <c r="AD12" s="72">
        <f t="shared" si="6"/>
        <v>-954.02</v>
      </c>
      <c r="AE12" s="73">
        <f>ROUND(MAX((AD12)*{0.03;0.1;0.2;0.25;0.3;0.35;0.45}-{0;2520;16920;31920;52920;85920;181920},0),2)</f>
        <v>0</v>
      </c>
      <c r="AF12" s="74">
        <f>IFERROR(VLOOKUP(E:E,'（居民）工资表-11月'!E:AF,28,0)+VLOOKUP(E:E,'（居民）工资表-11月'!E:AG,29,0),0)</f>
        <v>0</v>
      </c>
      <c r="AG12" s="74">
        <f t="shared" si="7"/>
        <v>0</v>
      </c>
      <c r="AH12" s="77">
        <f t="shared" si="8"/>
        <v>4045.98</v>
      </c>
      <c r="AI12" s="78"/>
      <c r="AJ12" s="77">
        <f t="shared" si="9"/>
        <v>4045.98</v>
      </c>
      <c r="AK12" s="79"/>
      <c r="AL12" s="77">
        <f t="shared" si="10"/>
        <v>4045.98</v>
      </c>
      <c r="AM12" s="79"/>
      <c r="AN12" s="79"/>
      <c r="AO12" s="79"/>
      <c r="AP12" s="79"/>
      <c r="AQ12" s="79"/>
      <c r="AR12" s="84" t="str">
        <f t="shared" si="1"/>
        <v>正确</v>
      </c>
      <c r="AS12" s="84" t="str">
        <f t="shared" si="2"/>
        <v>不</v>
      </c>
      <c r="AT12" s="84" t="str">
        <f t="shared" si="3"/>
        <v>重复</v>
      </c>
    </row>
    <row r="13" spans="1:46" s="10" customFormat="1" ht="18" customHeight="1">
      <c r="A13" s="24">
        <v>10</v>
      </c>
      <c r="B13" s="25" t="s">
        <v>175</v>
      </c>
      <c r="C13" s="29" t="s">
        <v>141</v>
      </c>
      <c r="D13" s="25" t="s">
        <v>125</v>
      </c>
      <c r="E13" s="219" t="s">
        <v>142</v>
      </c>
      <c r="F13" s="26" t="str">
        <f t="shared" si="0"/>
        <v>女</v>
      </c>
      <c r="G13" s="27">
        <v>15372592345</v>
      </c>
      <c r="H13" s="28"/>
      <c r="I13" s="28"/>
      <c r="J13" s="53"/>
      <c r="K13" s="28"/>
      <c r="L13" s="54">
        <v>3678.16</v>
      </c>
      <c r="M13" s="55"/>
      <c r="N13" s="55"/>
      <c r="O13" s="55"/>
      <c r="P13" s="55"/>
      <c r="Q13" s="69">
        <f t="shared" si="4"/>
        <v>0</v>
      </c>
      <c r="R13" s="54">
        <v>0</v>
      </c>
      <c r="S13" s="70">
        <f>L13+IFERROR(VLOOKUP($E:$E,'（居民）工资表-11月'!$E:$S,15,0),0)</f>
        <v>3678.16</v>
      </c>
      <c r="T13" s="71">
        <f>5000+IFERROR(VLOOKUP($E:$E,'（居民）工资表-11月'!$E:$T,16,0),0)</f>
        <v>5000</v>
      </c>
      <c r="U13" s="71">
        <f>Q13+IFERROR(VLOOKUP($E:$E,'（居民）工资表-11月'!$E:$U,17,0),0)</f>
        <v>0</v>
      </c>
      <c r="V13" s="54"/>
      <c r="W13" s="54"/>
      <c r="X13" s="54"/>
      <c r="Y13" s="54"/>
      <c r="Z13" s="54"/>
      <c r="AA13" s="54"/>
      <c r="AB13" s="70">
        <f t="shared" si="5"/>
        <v>0</v>
      </c>
      <c r="AC13" s="70">
        <f>R13+IFERROR(VLOOKUP($E:$E,'（居民）工资表-11月'!$E:$AC,25,0),0)</f>
        <v>0</v>
      </c>
      <c r="AD13" s="72">
        <f t="shared" si="6"/>
        <v>-1321.84</v>
      </c>
      <c r="AE13" s="73">
        <f>ROUND(MAX((AD13)*{0.03;0.1;0.2;0.25;0.3;0.35;0.45}-{0;2520;16920;31920;52920;85920;181920},0),2)</f>
        <v>0</v>
      </c>
      <c r="AF13" s="74">
        <f>IFERROR(VLOOKUP(E:E,'（居民）工资表-11月'!E:AF,28,0)+VLOOKUP(E:E,'（居民）工资表-11月'!E:AG,29,0),0)</f>
        <v>0</v>
      </c>
      <c r="AG13" s="74">
        <f t="shared" si="7"/>
        <v>0</v>
      </c>
      <c r="AH13" s="77">
        <f t="shared" si="8"/>
        <v>3678.16</v>
      </c>
      <c r="AI13" s="78"/>
      <c r="AJ13" s="77">
        <f t="shared" si="9"/>
        <v>3678.16</v>
      </c>
      <c r="AK13" s="79"/>
      <c r="AL13" s="77">
        <f t="shared" si="10"/>
        <v>3678.16</v>
      </c>
      <c r="AM13" s="79"/>
      <c r="AN13" s="79"/>
      <c r="AO13" s="79"/>
      <c r="AP13" s="79"/>
      <c r="AQ13" s="79"/>
      <c r="AR13" s="84" t="str">
        <f t="shared" si="1"/>
        <v>正确</v>
      </c>
      <c r="AS13" s="84" t="str">
        <f t="shared" si="2"/>
        <v>不</v>
      </c>
      <c r="AT13" s="84" t="str">
        <f t="shared" si="3"/>
        <v>重复</v>
      </c>
    </row>
    <row r="14" spans="1:46" s="10" customFormat="1" ht="18" customHeight="1">
      <c r="A14" s="24">
        <v>11</v>
      </c>
      <c r="B14" s="25" t="s">
        <v>175</v>
      </c>
      <c r="C14" s="30" t="s">
        <v>190</v>
      </c>
      <c r="D14" s="25" t="s">
        <v>125</v>
      </c>
      <c r="E14" s="25" t="s">
        <v>243</v>
      </c>
      <c r="F14" s="26" t="str">
        <f t="shared" si="0"/>
        <v>女</v>
      </c>
      <c r="G14" s="27">
        <v>15680913132</v>
      </c>
      <c r="H14" s="28"/>
      <c r="I14" s="28"/>
      <c r="J14" s="53"/>
      <c r="K14" s="28"/>
      <c r="L14" s="54">
        <v>8000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4"/>
        <v>1009.8</v>
      </c>
      <c r="R14" s="54">
        <v>0</v>
      </c>
      <c r="S14" s="70">
        <f>L14+IFERROR(VLOOKUP($E:$E,'（居民）工资表-11月'!$E:$S,15,0),0)</f>
        <v>9471.2643678160894</v>
      </c>
      <c r="T14" s="71">
        <f>5000+IFERROR(VLOOKUP($E:$E,'（居民）工资表-11月'!$E:$T,16,0),0)</f>
        <v>10000</v>
      </c>
      <c r="U14" s="71">
        <f>Q14+IFERROR(VLOOKUP($E:$E,'（居民）工资表-11月'!$E:$U,17,0),0)</f>
        <v>1009.8</v>
      </c>
      <c r="V14" s="54"/>
      <c r="W14" s="54"/>
      <c r="X14" s="54"/>
      <c r="Y14" s="54"/>
      <c r="Z14" s="54"/>
      <c r="AA14" s="54"/>
      <c r="AB14" s="70">
        <f t="shared" si="5"/>
        <v>0</v>
      </c>
      <c r="AC14" s="70">
        <f>R14+IFERROR(VLOOKUP($E:$E,'（居民）工资表-11月'!$E:$AC,25,0),0)</f>
        <v>0</v>
      </c>
      <c r="AD14" s="72">
        <f t="shared" si="6"/>
        <v>-1538.54</v>
      </c>
      <c r="AE14" s="73">
        <f>ROUND(MAX((AD14)*{0.03;0.1;0.2;0.25;0.3;0.35;0.45}-{0;2520;16920;31920;52920;85920;181920},0),2)</f>
        <v>0</v>
      </c>
      <c r="AF14" s="74">
        <f>IFERROR(VLOOKUP(E:E,'（居民）工资表-11月'!E:AF,28,0)+VLOOKUP(E:E,'（居民）工资表-11月'!E:AG,29,0),0)</f>
        <v>0</v>
      </c>
      <c r="AG14" s="74">
        <f t="shared" si="7"/>
        <v>0</v>
      </c>
      <c r="AH14" s="77">
        <f t="shared" si="8"/>
        <v>6990.2</v>
      </c>
      <c r="AI14" s="78"/>
      <c r="AJ14" s="77">
        <f t="shared" si="9"/>
        <v>6990.2</v>
      </c>
      <c r="AK14" s="79"/>
      <c r="AL14" s="77">
        <f t="shared" si="10"/>
        <v>6990.2</v>
      </c>
      <c r="AM14" s="79"/>
      <c r="AN14" s="79"/>
      <c r="AO14" s="79"/>
      <c r="AP14" s="79"/>
      <c r="AQ14" s="79"/>
      <c r="AR14" s="84" t="str">
        <f t="shared" si="1"/>
        <v>正确</v>
      </c>
      <c r="AS14" s="84" t="str">
        <f t="shared" si="2"/>
        <v>不</v>
      </c>
      <c r="AT14" s="84" t="str">
        <f t="shared" si="3"/>
        <v>重复</v>
      </c>
    </row>
    <row r="15" spans="1:46" s="11" customFormat="1" ht="18" customHeight="1">
      <c r="A15" s="31"/>
      <c r="B15" s="32" t="s">
        <v>151</v>
      </c>
      <c r="C15" s="32"/>
      <c r="D15" s="33"/>
      <c r="E15" s="34"/>
      <c r="F15" s="35"/>
      <c r="G15" s="36"/>
      <c r="H15" s="35"/>
      <c r="I15" s="56"/>
      <c r="J15" s="57"/>
      <c r="K15" s="56"/>
      <c r="L15" s="58">
        <f t="shared" ref="L15:AL15" si="11">SUM(L4:L14)</f>
        <v>95287.37</v>
      </c>
      <c r="M15" s="58">
        <f t="shared" si="11"/>
        <v>3430.4000000000005</v>
      </c>
      <c r="N15" s="58">
        <f t="shared" si="11"/>
        <v>881.60000000000014</v>
      </c>
      <c r="O15" s="58">
        <f t="shared" si="11"/>
        <v>214.40000000000003</v>
      </c>
      <c r="P15" s="58">
        <f t="shared" si="11"/>
        <v>3552</v>
      </c>
      <c r="Q15" s="58">
        <f t="shared" si="11"/>
        <v>8078.4000000000005</v>
      </c>
      <c r="R15" s="58">
        <f t="shared" si="11"/>
        <v>0</v>
      </c>
      <c r="S15" s="58">
        <f t="shared" si="11"/>
        <v>134275.87574712644</v>
      </c>
      <c r="T15" s="58">
        <f t="shared" si="11"/>
        <v>90000</v>
      </c>
      <c r="U15" s="58">
        <f t="shared" si="11"/>
        <v>12117.599999999997</v>
      </c>
      <c r="V15" s="58">
        <f t="shared" si="11"/>
        <v>0</v>
      </c>
      <c r="W15" s="58">
        <f t="shared" si="11"/>
        <v>0</v>
      </c>
      <c r="X15" s="58">
        <f t="shared" si="11"/>
        <v>0</v>
      </c>
      <c r="Y15" s="58">
        <f t="shared" si="11"/>
        <v>0</v>
      </c>
      <c r="Z15" s="58">
        <f t="shared" si="11"/>
        <v>0</v>
      </c>
      <c r="AA15" s="58">
        <f t="shared" si="11"/>
        <v>0</v>
      </c>
      <c r="AB15" s="58">
        <f t="shared" si="11"/>
        <v>0</v>
      </c>
      <c r="AC15" s="58">
        <f t="shared" si="11"/>
        <v>0</v>
      </c>
      <c r="AD15" s="58">
        <f t="shared" si="11"/>
        <v>32158.269999999997</v>
      </c>
      <c r="AE15" s="58">
        <f t="shared" si="11"/>
        <v>1157.7</v>
      </c>
      <c r="AF15" s="58">
        <f t="shared" si="11"/>
        <v>294</v>
      </c>
      <c r="AG15" s="58">
        <f t="shared" si="11"/>
        <v>863.69999999999993</v>
      </c>
      <c r="AH15" s="58">
        <f t="shared" si="11"/>
        <v>86345.26999999999</v>
      </c>
      <c r="AI15" s="80">
        <f t="shared" si="11"/>
        <v>0</v>
      </c>
      <c r="AJ15" s="58">
        <f t="shared" si="11"/>
        <v>86345.26999999999</v>
      </c>
      <c r="AK15" s="58">
        <f t="shared" si="11"/>
        <v>0</v>
      </c>
      <c r="AL15" s="58">
        <f t="shared" si="11"/>
        <v>87208.969999999987</v>
      </c>
      <c r="AM15" s="81"/>
      <c r="AN15" s="81"/>
      <c r="AO15" s="81"/>
      <c r="AP15" s="81"/>
      <c r="AQ15" s="81"/>
      <c r="AR15" s="35"/>
      <c r="AS15" s="35"/>
      <c r="AT15" s="85"/>
    </row>
    <row r="18" spans="1:35">
      <c r="AD18" s="75"/>
    </row>
    <row r="19" spans="1:35" ht="18.75" customHeight="1">
      <c r="B19" s="37" t="s">
        <v>104</v>
      </c>
      <c r="C19" s="37" t="s">
        <v>152</v>
      </c>
      <c r="D19" s="37" t="s">
        <v>55</v>
      </c>
      <c r="E19" s="37" t="s">
        <v>56</v>
      </c>
      <c r="AD19" s="8"/>
    </row>
    <row r="20" spans="1:35" ht="18.75" customHeight="1">
      <c r="B20" s="38">
        <f>AJ15</f>
        <v>86345.26999999999</v>
      </c>
      <c r="C20" s="38">
        <f>AG15</f>
        <v>863.69999999999993</v>
      </c>
      <c r="D20" s="38">
        <f>AK15</f>
        <v>0</v>
      </c>
      <c r="E20" s="38">
        <f>B20+C20+D20</f>
        <v>87208.969999999987</v>
      </c>
    </row>
    <row r="21" spans="1:35">
      <c r="B21" s="39"/>
      <c r="C21" s="39"/>
      <c r="D21" s="39"/>
      <c r="E21" s="39">
        <f>E20*6.78%</f>
        <v>5912.7681659999989</v>
      </c>
    </row>
    <row r="22" spans="1:35" s="12" customFormat="1">
      <c r="A22" s="40" t="s">
        <v>153</v>
      </c>
      <c r="B22" s="41" t="s">
        <v>154</v>
      </c>
      <c r="C22" s="42"/>
      <c r="D22" s="42"/>
      <c r="E22" s="42"/>
      <c r="G22" s="43"/>
      <c r="J22" s="59"/>
      <c r="M22" s="60"/>
      <c r="AI22" s="82"/>
    </row>
    <row r="23" spans="1:35" s="12" customFormat="1">
      <c r="A23" s="44"/>
      <c r="B23" s="45" t="s">
        <v>155</v>
      </c>
      <c r="C23" s="42"/>
      <c r="D23" s="42"/>
      <c r="E23" s="42"/>
      <c r="G23" s="43"/>
      <c r="J23" s="59"/>
      <c r="M23" s="60"/>
      <c r="AI23" s="82"/>
    </row>
    <row r="24" spans="1:35" s="12" customFormat="1">
      <c r="A24" s="41"/>
      <c r="B24" s="45" t="s">
        <v>156</v>
      </c>
      <c r="C24" s="46"/>
      <c r="D24" s="46"/>
      <c r="E24" s="46"/>
      <c r="F24" s="46"/>
      <c r="G24" s="46"/>
      <c r="H24" s="46"/>
      <c r="I24" s="46"/>
      <c r="J24" s="61"/>
      <c r="K24" s="46"/>
      <c r="L24" s="46"/>
      <c r="M24" s="62"/>
      <c r="N24" s="46"/>
      <c r="O24" s="46"/>
      <c r="P24" s="46"/>
      <c r="AI24" s="82"/>
    </row>
    <row r="25" spans="1:35" s="12" customFormat="1" ht="13.5" customHeight="1">
      <c r="A25" s="45"/>
      <c r="B25" s="45" t="s">
        <v>157</v>
      </c>
      <c r="C25" s="47"/>
      <c r="D25" s="47"/>
      <c r="E25" s="47"/>
      <c r="F25" s="47"/>
      <c r="G25" s="47"/>
      <c r="H25" s="47"/>
      <c r="I25" s="63"/>
      <c r="J25" s="64"/>
      <c r="K25" s="63"/>
      <c r="L25" s="63"/>
      <c r="M25" s="65"/>
      <c r="N25" s="63"/>
      <c r="O25" s="63"/>
      <c r="P25" s="63"/>
      <c r="AI25" s="82"/>
    </row>
    <row r="26" spans="1:35" s="12" customFormat="1" ht="13.5" customHeight="1">
      <c r="A26" s="45"/>
      <c r="B26" s="45" t="s">
        <v>158</v>
      </c>
      <c r="C26" s="47"/>
      <c r="D26" s="47"/>
      <c r="E26" s="47"/>
      <c r="F26" s="47"/>
      <c r="G26" s="47"/>
      <c r="H26" s="47"/>
      <c r="I26" s="47"/>
      <c r="J26" s="66"/>
      <c r="K26" s="47"/>
      <c r="L26" s="63"/>
      <c r="M26" s="65"/>
      <c r="N26" s="63"/>
      <c r="O26" s="63"/>
      <c r="P26" s="63"/>
      <c r="AI26" s="82"/>
    </row>
    <row r="27" spans="1:35" s="12" customFormat="1" ht="13.5" customHeight="1">
      <c r="A27" s="45"/>
      <c r="B27" s="45" t="s">
        <v>159</v>
      </c>
      <c r="C27" s="47"/>
      <c r="D27" s="47"/>
      <c r="E27" s="47"/>
      <c r="F27" s="47"/>
      <c r="G27" s="47"/>
      <c r="H27" s="47"/>
      <c r="I27" s="63"/>
      <c r="J27" s="64"/>
      <c r="K27" s="63"/>
      <c r="L27" s="63"/>
      <c r="M27" s="65"/>
      <c r="N27" s="63"/>
      <c r="O27" s="63"/>
      <c r="P27" s="63"/>
      <c r="AI27" s="82"/>
    </row>
    <row r="29" spans="1:35" ht="11.25" customHeight="1">
      <c r="B29" s="48" t="s">
        <v>160</v>
      </c>
    </row>
    <row r="30" spans="1:35">
      <c r="B30" s="49" t="s">
        <v>161</v>
      </c>
    </row>
    <row r="31" spans="1:35">
      <c r="B31" s="49" t="s">
        <v>162</v>
      </c>
    </row>
  </sheetData>
  <autoFilter ref="A3:AT15" xr:uid="{00000000-0009-0000-0000-00000E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7">
    <cfRule type="duplicateValues" dxfId="6" priority="2" stopIfTrue="1"/>
  </conditionalFormatting>
  <conditionalFormatting sqref="B22:B26">
    <cfRule type="duplicateValues" dxfId="5" priority="3" stopIfTrue="1"/>
  </conditionalFormatting>
  <conditionalFormatting sqref="B30:B31">
    <cfRule type="duplicateValues" dxfId="4" priority="1" stopIfTrue="1"/>
  </conditionalFormatting>
  <conditionalFormatting sqref="C19:C21">
    <cfRule type="duplicateValues" dxfId="3" priority="4" stopIfTrue="1"/>
    <cfRule type="expression" dxfId="2" priority="5" stopIfTrue="1">
      <formula>AND(COUNTIF($B$15:$B$65451,C19)+COUNTIF($B$1:$B$3,C19)&gt;1,NOT(ISBLANK(C19)))</formula>
    </cfRule>
    <cfRule type="expression" dxfId="1" priority="6" stopIfTrue="1">
      <formula>AND(COUNTIF($B$26:$B$65402,C19)+COUNTIF($B$1:$B$25,C19)&gt;1,NOT(ISBLANK(C19)))</formula>
    </cfRule>
    <cfRule type="expression" dxfId="0" priority="7" stopIfTrue="1">
      <formula>AND(COUNTIF($B$15:$B$65440,C19)+COUNTIF($B$1:$B$3,C19)&gt;1,NOT(ISBLANK(C19)))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44"/>
  <sheetViews>
    <sheetView workbookViewId="0">
      <selection activeCell="D4" sqref="D4"/>
    </sheetView>
  </sheetViews>
  <sheetFormatPr defaultColWidth="9" defaultRowHeight="14"/>
  <cols>
    <col min="3" max="3" width="32" customWidth="1"/>
    <col min="4" max="4" width="13.7265625" customWidth="1"/>
    <col min="5" max="5" width="16.08984375" customWidth="1"/>
  </cols>
  <sheetData>
    <row r="1" spans="2:5" ht="57" customHeight="1">
      <c r="B1" s="316" t="s">
        <v>244</v>
      </c>
      <c r="C1" s="316"/>
      <c r="D1" s="316"/>
      <c r="E1" s="316"/>
    </row>
    <row r="2" spans="2:5" ht="21">
      <c r="B2" s="1"/>
    </row>
    <row r="3" spans="2:5" ht="27.75" customHeight="1">
      <c r="B3" s="2" t="s">
        <v>245</v>
      </c>
      <c r="C3" s="3" t="s">
        <v>246</v>
      </c>
      <c r="D3" s="3" t="s">
        <v>247</v>
      </c>
      <c r="E3" s="3" t="s">
        <v>248</v>
      </c>
    </row>
    <row r="4" spans="2:5" ht="29.25" customHeight="1">
      <c r="B4" s="4">
        <v>1</v>
      </c>
      <c r="C4" s="5" t="s">
        <v>249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250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251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252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253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254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255</v>
      </c>
      <c r="D10" s="6">
        <v>0.45</v>
      </c>
      <c r="E10" s="7">
        <v>181920</v>
      </c>
    </row>
    <row r="13" spans="2:5" ht="57" customHeight="1">
      <c r="B13" s="316" t="s">
        <v>256</v>
      </c>
      <c r="C13" s="316"/>
      <c r="D13" s="316"/>
      <c r="E13" s="316"/>
    </row>
    <row r="14" spans="2:5" ht="21">
      <c r="B14" s="1"/>
    </row>
    <row r="15" spans="2:5" ht="27.75" customHeight="1">
      <c r="B15" s="2" t="s">
        <v>245</v>
      </c>
      <c r="C15" s="3" t="s">
        <v>257</v>
      </c>
      <c r="D15" s="3" t="s">
        <v>247</v>
      </c>
      <c r="E15" s="3" t="s">
        <v>248</v>
      </c>
    </row>
    <row r="16" spans="2:5" ht="29.25" customHeight="1">
      <c r="B16" s="4">
        <v>1</v>
      </c>
      <c r="C16" s="5" t="s">
        <v>258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259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260</v>
      </c>
      <c r="D18" s="6">
        <v>0.4</v>
      </c>
      <c r="E18" s="7">
        <v>7000</v>
      </c>
    </row>
    <row r="21" spans="2:5" ht="47.25" customHeight="1">
      <c r="B21" s="316" t="s">
        <v>261</v>
      </c>
      <c r="C21" s="316"/>
      <c r="D21" s="316"/>
      <c r="E21" s="316"/>
    </row>
    <row r="22" spans="2:5" ht="21">
      <c r="B22" s="1"/>
    </row>
    <row r="23" spans="2:5" ht="27.75" customHeight="1">
      <c r="B23" s="2" t="s">
        <v>245</v>
      </c>
      <c r="C23" s="3" t="s">
        <v>262</v>
      </c>
      <c r="D23" s="3" t="s">
        <v>247</v>
      </c>
      <c r="E23" s="3" t="s">
        <v>248</v>
      </c>
    </row>
    <row r="24" spans="2:5" ht="29.25" customHeight="1">
      <c r="B24" s="4">
        <v>1</v>
      </c>
      <c r="C24" s="5" t="s">
        <v>263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264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265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266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267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268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269</v>
      </c>
      <c r="D30" s="6">
        <v>0.45</v>
      </c>
      <c r="E30" s="7">
        <v>15160</v>
      </c>
    </row>
    <row r="35" spans="2:5" ht="57" customHeight="1">
      <c r="B35" s="317" t="s">
        <v>270</v>
      </c>
      <c r="C35" s="317"/>
      <c r="D35" s="317"/>
      <c r="E35" s="317"/>
    </row>
    <row r="37" spans="2:5" ht="21.75" customHeight="1">
      <c r="B37" s="2" t="s">
        <v>245</v>
      </c>
      <c r="C37" s="3" t="s">
        <v>271</v>
      </c>
      <c r="D37" s="3" t="s">
        <v>272</v>
      </c>
      <c r="E37" s="3" t="s">
        <v>248</v>
      </c>
    </row>
    <row r="38" spans="2:5" ht="21.75" customHeight="1">
      <c r="B38" s="4">
        <v>1</v>
      </c>
      <c r="C38" s="5" t="s">
        <v>263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264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265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266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267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268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269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8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90"/>
  <sheetViews>
    <sheetView workbookViewId="0">
      <pane xSplit="10" ySplit="2" topLeftCell="R3" activePane="bottomRight" state="frozen"/>
      <selection pane="topRight"/>
      <selection pane="bottomLeft"/>
      <selection pane="bottomRight" activeCell="J7" sqref="J7"/>
    </sheetView>
  </sheetViews>
  <sheetFormatPr defaultColWidth="9" defaultRowHeight="14"/>
  <cols>
    <col min="1" max="1" width="2.26953125" style="108" customWidth="1"/>
    <col min="2" max="2" width="19.6328125" style="108" customWidth="1"/>
    <col min="3" max="3" width="6.81640625" style="108" customWidth="1"/>
    <col min="4" max="4" width="7.453125" style="108" customWidth="1"/>
    <col min="5" max="5" width="17.08984375" style="108" customWidth="1"/>
    <col min="6" max="6" width="11.36328125" style="108" customWidth="1"/>
    <col min="7" max="10" width="9.26953125" style="108" customWidth="1"/>
    <col min="11" max="11" width="9" style="108" customWidth="1"/>
    <col min="12" max="12" width="8.453125" style="108" customWidth="1"/>
    <col min="13" max="13" width="8.6328125" style="108" customWidth="1"/>
    <col min="14" max="14" width="7.453125" style="108" customWidth="1"/>
    <col min="15" max="15" width="10.26953125" style="108" customWidth="1"/>
    <col min="16" max="16" width="9" style="108" customWidth="1"/>
    <col min="17" max="17" width="7.7265625" style="108" customWidth="1"/>
    <col min="18" max="18" width="10.26953125" style="108" customWidth="1"/>
    <col min="19" max="19" width="7.7265625" style="108" customWidth="1"/>
    <col min="20" max="20" width="11.7265625" style="108" customWidth="1"/>
    <col min="21" max="21" width="9" style="108" customWidth="1"/>
    <col min="22" max="22" width="7.7265625" style="108" customWidth="1"/>
    <col min="23" max="23" width="8.453125" style="108" customWidth="1"/>
    <col min="24" max="25" width="7.7265625" style="108" customWidth="1"/>
    <col min="26" max="26" width="9" style="108" customWidth="1"/>
    <col min="27" max="27" width="7.453125" style="108" customWidth="1"/>
    <col min="28" max="28" width="8.7265625" style="108" customWidth="1"/>
    <col min="29" max="29" width="9" style="108" customWidth="1"/>
    <col min="30" max="30" width="8.26953125" style="108" customWidth="1"/>
    <col min="31" max="31" width="10" style="108" customWidth="1"/>
    <col min="32" max="32" width="7.453125" style="108" customWidth="1"/>
    <col min="33" max="33" width="7.7265625" style="108" customWidth="1"/>
    <col min="34" max="34" width="10.26953125" style="108" customWidth="1"/>
    <col min="35" max="35" width="7.7265625" style="108" customWidth="1"/>
    <col min="36" max="36" width="10" style="108" customWidth="1"/>
    <col min="37" max="37" width="11.7265625" style="108" hidden="1" customWidth="1"/>
    <col min="38" max="38" width="7.7265625" style="108" hidden="1" customWidth="1"/>
    <col min="39" max="39" width="10.453125" style="108" hidden="1" customWidth="1"/>
    <col min="40" max="41" width="7.7265625" style="108" hidden="1" customWidth="1"/>
    <col min="42" max="42" width="10.26953125" style="108" hidden="1" customWidth="1"/>
    <col min="43" max="43" width="9" style="108" hidden="1" customWidth="1"/>
    <col min="44" max="44" width="11" style="108" customWidth="1"/>
    <col min="45" max="45" width="10.26953125" style="108" customWidth="1"/>
    <col min="46" max="47" width="13.90625" style="108" customWidth="1"/>
    <col min="48" max="48" width="12.26953125" style="108" customWidth="1"/>
    <col min="49" max="49" width="11.36328125" style="108" customWidth="1"/>
    <col min="50" max="50" width="12" style="108" customWidth="1"/>
    <col min="51" max="51" width="9.90625" style="108" customWidth="1"/>
    <col min="52" max="52" width="12.36328125" style="108" customWidth="1"/>
    <col min="53" max="53" width="40.08984375" style="108" customWidth="1"/>
    <col min="54" max="56" width="10.26953125" style="108" customWidth="1"/>
    <col min="57" max="16384" width="9" style="108"/>
  </cols>
  <sheetData>
    <row r="1" spans="1:55" ht="30" customHeight="1">
      <c r="A1" s="281" t="s">
        <v>18</v>
      </c>
      <c r="B1" s="280" t="s">
        <v>35</v>
      </c>
      <c r="C1" s="280" t="s">
        <v>36</v>
      </c>
      <c r="D1" s="280" t="s">
        <v>37</v>
      </c>
      <c r="E1" s="285" t="s">
        <v>38</v>
      </c>
      <c r="F1" s="280" t="s">
        <v>39</v>
      </c>
      <c r="G1" s="280" t="s">
        <v>40</v>
      </c>
      <c r="H1" s="280" t="s">
        <v>41</v>
      </c>
      <c r="I1" s="280" t="s">
        <v>42</v>
      </c>
      <c r="J1" s="280" t="s">
        <v>43</v>
      </c>
      <c r="K1" s="280" t="s">
        <v>44</v>
      </c>
      <c r="L1" s="280"/>
      <c r="M1" s="280"/>
      <c r="N1" s="280"/>
      <c r="O1" s="280"/>
      <c r="P1" s="280" t="s">
        <v>45</v>
      </c>
      <c r="Q1" s="280"/>
      <c r="R1" s="280"/>
      <c r="S1" s="280"/>
      <c r="T1" s="280"/>
      <c r="U1" s="280" t="s">
        <v>46</v>
      </c>
      <c r="V1" s="280"/>
      <c r="W1" s="280"/>
      <c r="X1" s="280"/>
      <c r="Y1" s="280"/>
      <c r="Z1" s="280" t="s">
        <v>47</v>
      </c>
      <c r="AA1" s="280"/>
      <c r="AB1" s="280"/>
      <c r="AC1" s="280" t="s">
        <v>48</v>
      </c>
      <c r="AD1" s="280"/>
      <c r="AE1" s="280"/>
      <c r="AF1" s="280" t="s">
        <v>49</v>
      </c>
      <c r="AG1" s="280"/>
      <c r="AH1" s="280"/>
      <c r="AI1" s="280"/>
      <c r="AJ1" s="280"/>
      <c r="AK1" s="280" t="s">
        <v>50</v>
      </c>
      <c r="AL1" s="280"/>
      <c r="AM1" s="280"/>
      <c r="AN1" s="280"/>
      <c r="AO1" s="280"/>
      <c r="AP1" s="280" t="s">
        <v>51</v>
      </c>
      <c r="AQ1" s="280"/>
      <c r="AR1" s="280" t="s">
        <v>52</v>
      </c>
      <c r="AS1" s="280"/>
      <c r="AT1" s="280"/>
      <c r="AU1" s="280"/>
      <c r="AV1" s="280"/>
      <c r="AW1" s="280" t="s">
        <v>53</v>
      </c>
      <c r="AX1" s="280" t="s">
        <v>54</v>
      </c>
      <c r="AY1" s="280" t="s">
        <v>55</v>
      </c>
      <c r="AZ1" s="280" t="s">
        <v>56</v>
      </c>
      <c r="BA1" s="287" t="s">
        <v>23</v>
      </c>
      <c r="BC1" s="149"/>
    </row>
    <row r="2" spans="1:55" ht="30" customHeight="1">
      <c r="A2" s="282"/>
      <c r="B2" s="283"/>
      <c r="C2" s="284"/>
      <c r="D2" s="284"/>
      <c r="E2" s="286"/>
      <c r="F2" s="284"/>
      <c r="G2" s="284"/>
      <c r="H2" s="284"/>
      <c r="I2" s="284"/>
      <c r="J2" s="284"/>
      <c r="K2" s="109" t="s">
        <v>57</v>
      </c>
      <c r="L2" s="122" t="s">
        <v>58</v>
      </c>
      <c r="M2" s="109" t="s">
        <v>59</v>
      </c>
      <c r="N2" s="122" t="s">
        <v>60</v>
      </c>
      <c r="O2" s="109" t="s">
        <v>61</v>
      </c>
      <c r="P2" s="109" t="s">
        <v>57</v>
      </c>
      <c r="Q2" s="109" t="s">
        <v>58</v>
      </c>
      <c r="R2" s="109" t="s">
        <v>59</v>
      </c>
      <c r="S2" s="109" t="s">
        <v>60</v>
      </c>
      <c r="T2" s="109" t="s">
        <v>61</v>
      </c>
      <c r="U2" s="109" t="s">
        <v>57</v>
      </c>
      <c r="V2" s="109" t="s">
        <v>58</v>
      </c>
      <c r="W2" s="109" t="s">
        <v>59</v>
      </c>
      <c r="X2" s="109" t="s">
        <v>60</v>
      </c>
      <c r="Y2" s="109" t="s">
        <v>61</v>
      </c>
      <c r="Z2" s="109" t="s">
        <v>57</v>
      </c>
      <c r="AA2" s="109" t="s">
        <v>62</v>
      </c>
      <c r="AB2" s="109" t="s">
        <v>22</v>
      </c>
      <c r="AC2" s="109" t="s">
        <v>57</v>
      </c>
      <c r="AD2" s="109" t="s">
        <v>62</v>
      </c>
      <c r="AE2" s="109" t="s">
        <v>22</v>
      </c>
      <c r="AF2" s="109" t="s">
        <v>57</v>
      </c>
      <c r="AG2" s="109" t="s">
        <v>58</v>
      </c>
      <c r="AH2" s="109" t="s">
        <v>59</v>
      </c>
      <c r="AI2" s="109" t="s">
        <v>60</v>
      </c>
      <c r="AJ2" s="109" t="s">
        <v>61</v>
      </c>
      <c r="AK2" s="109" t="s">
        <v>57</v>
      </c>
      <c r="AL2" s="109" t="s">
        <v>58</v>
      </c>
      <c r="AM2" s="109" t="s">
        <v>59</v>
      </c>
      <c r="AN2" s="109" t="s">
        <v>60</v>
      </c>
      <c r="AO2" s="109" t="s">
        <v>61</v>
      </c>
      <c r="AP2" s="146" t="s">
        <v>63</v>
      </c>
      <c r="AQ2" s="146" t="s">
        <v>64</v>
      </c>
      <c r="AR2" s="109" t="s">
        <v>65</v>
      </c>
      <c r="AS2" s="109" t="s">
        <v>66</v>
      </c>
      <c r="AT2" s="109" t="s">
        <v>67</v>
      </c>
      <c r="AU2" s="109" t="s">
        <v>68</v>
      </c>
      <c r="AV2" s="109" t="s">
        <v>30</v>
      </c>
      <c r="AW2" s="284"/>
      <c r="AX2" s="284"/>
      <c r="AY2" s="284"/>
      <c r="AZ2" s="284"/>
      <c r="BA2" s="288"/>
    </row>
    <row r="3" spans="1:55" ht="21" customHeight="1">
      <c r="A3" s="110" t="s">
        <v>69</v>
      </c>
      <c r="B3" s="111" t="s">
        <v>70</v>
      </c>
      <c r="C3" s="111" t="s">
        <v>71</v>
      </c>
      <c r="D3" s="112" t="s">
        <v>72</v>
      </c>
      <c r="E3" s="98" t="s">
        <v>73</v>
      </c>
      <c r="F3" s="113" t="s">
        <v>74</v>
      </c>
      <c r="G3" s="111" t="s">
        <v>75</v>
      </c>
      <c r="H3" s="111" t="s">
        <v>75</v>
      </c>
      <c r="I3" s="111" t="s">
        <v>274</v>
      </c>
      <c r="J3" s="111" t="s">
        <v>274</v>
      </c>
      <c r="K3" s="123">
        <v>6000</v>
      </c>
      <c r="L3" s="124">
        <v>0.16</v>
      </c>
      <c r="M3" s="123">
        <f>ROUNDUP(K3*L3,2)</f>
        <v>960</v>
      </c>
      <c r="N3" s="125">
        <v>0.08</v>
      </c>
      <c r="O3" s="123">
        <f>ROUNDUP(K3*N3,2)</f>
        <v>480</v>
      </c>
      <c r="P3" s="123">
        <v>6000</v>
      </c>
      <c r="Q3" s="130">
        <v>9.8000000000000004E-2</v>
      </c>
      <c r="R3" s="123">
        <f>ROUNDUP(P3*Q3,2)</f>
        <v>588</v>
      </c>
      <c r="S3" s="131">
        <v>0.02</v>
      </c>
      <c r="T3" s="132">
        <f>ROUNDUP(P3*S3,1)+3</f>
        <v>123</v>
      </c>
      <c r="U3" s="123">
        <v>6000</v>
      </c>
      <c r="V3" s="133">
        <v>5.0000000000000001E-3</v>
      </c>
      <c r="W3" s="132">
        <f>ROUNDUP(U3*V3,1)</f>
        <v>30</v>
      </c>
      <c r="X3" s="133">
        <v>5.0000000000000001E-3</v>
      </c>
      <c r="Y3" s="132">
        <f>ROUNDUP(U3*X3,1)</f>
        <v>30</v>
      </c>
      <c r="Z3" s="123"/>
      <c r="AA3" s="138"/>
      <c r="AB3" s="123"/>
      <c r="AC3" s="123">
        <v>6000</v>
      </c>
      <c r="AD3" s="139">
        <v>2.3999999999999998E-3</v>
      </c>
      <c r="AE3" s="132">
        <f>ROUNDUP(AC3*AD3,25)</f>
        <v>14.4</v>
      </c>
      <c r="AF3" s="123">
        <v>6000</v>
      </c>
      <c r="AG3" s="142">
        <v>0.12</v>
      </c>
      <c r="AH3" s="132">
        <f>ROUND(AF3*AG3,0)</f>
        <v>720</v>
      </c>
      <c r="AI3" s="142">
        <v>0.12</v>
      </c>
      <c r="AJ3" s="132">
        <f>ROUND(AF3*AI3,0)</f>
        <v>720</v>
      </c>
      <c r="AK3" s="143"/>
      <c r="AL3" s="132"/>
      <c r="AM3" s="132"/>
      <c r="AN3" s="132"/>
      <c r="AO3" s="132"/>
      <c r="AP3" s="147"/>
      <c r="AQ3" s="147"/>
      <c r="AR3" s="132">
        <f>ROUND(SUM(M3,R3,W3,AB3,AE3,AM3,AP3),2)</f>
        <v>1592.4</v>
      </c>
      <c r="AS3" s="132">
        <f>ROUND(SUM(O3,T3,Y3,AO3,AQ3),2)</f>
        <v>633</v>
      </c>
      <c r="AT3" s="132">
        <f>AH3</f>
        <v>720</v>
      </c>
      <c r="AU3" s="132">
        <f>AJ3</f>
        <v>720</v>
      </c>
      <c r="AV3" s="132">
        <f>AR3+AS3+AT3+AU3</f>
        <v>3665.4</v>
      </c>
      <c r="AW3" s="132">
        <f>ROUND(AR3+AS3,2)</f>
        <v>2225.4</v>
      </c>
      <c r="AX3" s="132">
        <f>ROUND(AU3+AT3,2)</f>
        <v>1440</v>
      </c>
      <c r="AY3" s="132">
        <v>120</v>
      </c>
      <c r="AZ3" s="132">
        <f>ROUND(SUM(AW3:AY3),2)</f>
        <v>3785.4</v>
      </c>
      <c r="BA3" s="150"/>
      <c r="BB3" s="151"/>
      <c r="BC3" s="152"/>
    </row>
    <row r="4" spans="1:55" ht="20" customHeight="1">
      <c r="A4" s="114"/>
      <c r="B4" s="115"/>
      <c r="C4" s="115"/>
      <c r="D4" s="116"/>
      <c r="E4" s="117"/>
      <c r="F4" s="118"/>
      <c r="G4" s="115"/>
      <c r="H4" s="115"/>
      <c r="I4" s="115"/>
      <c r="J4" s="115"/>
      <c r="K4" s="126"/>
      <c r="L4" s="127"/>
      <c r="M4" s="126"/>
      <c r="N4" s="128"/>
      <c r="O4" s="126"/>
      <c r="P4" s="126"/>
      <c r="Q4" s="134"/>
      <c r="R4" s="126"/>
      <c r="S4" s="135"/>
      <c r="T4" s="136"/>
      <c r="U4" s="126"/>
      <c r="V4" s="137"/>
      <c r="W4" s="136"/>
      <c r="X4" s="137"/>
      <c r="Y4" s="136"/>
      <c r="Z4" s="126"/>
      <c r="AA4" s="140"/>
      <c r="AB4" s="126"/>
      <c r="AC4" s="126"/>
      <c r="AD4" s="141"/>
      <c r="AE4" s="136"/>
      <c r="AF4" s="126"/>
      <c r="AG4" s="144"/>
      <c r="AH4" s="136"/>
      <c r="AI4" s="144"/>
      <c r="AJ4" s="136"/>
      <c r="AK4" s="145"/>
      <c r="AL4" s="136"/>
      <c r="AM4" s="136"/>
      <c r="AN4" s="136"/>
      <c r="AO4" s="136"/>
      <c r="AP4" s="148"/>
      <c r="AQ4" s="148"/>
      <c r="AR4" s="136"/>
      <c r="AS4" s="136"/>
      <c r="AT4" s="136"/>
      <c r="AU4" s="136"/>
      <c r="AV4" s="136"/>
      <c r="AW4" s="136"/>
      <c r="AX4" s="136"/>
      <c r="AY4" s="136"/>
      <c r="AZ4" s="136"/>
      <c r="BA4" s="153"/>
      <c r="BB4" s="151"/>
      <c r="BC4" s="152"/>
    </row>
    <row r="5" spans="1:55" ht="20.149999999999999" customHeight="1">
      <c r="A5" s="119" t="s">
        <v>56</v>
      </c>
      <c r="B5" s="120"/>
      <c r="C5" s="120"/>
      <c r="D5" s="120"/>
      <c r="E5" s="120"/>
      <c r="F5" s="120"/>
      <c r="G5" s="120"/>
      <c r="H5" s="120"/>
      <c r="I5" s="120"/>
      <c r="J5" s="120"/>
      <c r="K5" s="120">
        <f t="shared" ref="K5:AZ5" si="0">ROUND(SUM(K3:K4),2)</f>
        <v>6000</v>
      </c>
      <c r="L5" s="120">
        <f t="shared" si="0"/>
        <v>0.16</v>
      </c>
      <c r="M5" s="120">
        <f t="shared" si="0"/>
        <v>960</v>
      </c>
      <c r="N5" s="120">
        <f t="shared" si="0"/>
        <v>0.08</v>
      </c>
      <c r="O5" s="120">
        <f t="shared" si="0"/>
        <v>480</v>
      </c>
      <c r="P5" s="120">
        <f t="shared" si="0"/>
        <v>6000</v>
      </c>
      <c r="Q5" s="120">
        <f t="shared" si="0"/>
        <v>0.1</v>
      </c>
      <c r="R5" s="120">
        <f t="shared" si="0"/>
        <v>588</v>
      </c>
      <c r="S5" s="120">
        <f t="shared" si="0"/>
        <v>0.02</v>
      </c>
      <c r="T5" s="120">
        <f t="shared" si="0"/>
        <v>123</v>
      </c>
      <c r="U5" s="120">
        <f t="shared" si="0"/>
        <v>6000</v>
      </c>
      <c r="V5" s="120">
        <f t="shared" si="0"/>
        <v>0.01</v>
      </c>
      <c r="W5" s="120">
        <f t="shared" si="0"/>
        <v>30</v>
      </c>
      <c r="X5" s="120">
        <f t="shared" si="0"/>
        <v>0.01</v>
      </c>
      <c r="Y5" s="120">
        <f t="shared" si="0"/>
        <v>30</v>
      </c>
      <c r="Z5" s="120">
        <f t="shared" si="0"/>
        <v>0</v>
      </c>
      <c r="AA5" s="120">
        <f t="shared" si="0"/>
        <v>0</v>
      </c>
      <c r="AB5" s="120">
        <f t="shared" si="0"/>
        <v>0</v>
      </c>
      <c r="AC5" s="120">
        <f t="shared" si="0"/>
        <v>6000</v>
      </c>
      <c r="AD5" s="120">
        <f t="shared" si="0"/>
        <v>0</v>
      </c>
      <c r="AE5" s="120">
        <f t="shared" si="0"/>
        <v>14.4</v>
      </c>
      <c r="AF5" s="120">
        <f t="shared" si="0"/>
        <v>6000</v>
      </c>
      <c r="AG5" s="120">
        <f t="shared" si="0"/>
        <v>0.12</v>
      </c>
      <c r="AH5" s="120">
        <f t="shared" si="0"/>
        <v>720</v>
      </c>
      <c r="AI5" s="120">
        <f t="shared" si="0"/>
        <v>0.12</v>
      </c>
      <c r="AJ5" s="120">
        <f t="shared" si="0"/>
        <v>720</v>
      </c>
      <c r="AK5" s="120">
        <f t="shared" si="0"/>
        <v>0</v>
      </c>
      <c r="AL5" s="120">
        <f t="shared" si="0"/>
        <v>0</v>
      </c>
      <c r="AM5" s="120">
        <f t="shared" si="0"/>
        <v>0</v>
      </c>
      <c r="AN5" s="120">
        <f t="shared" si="0"/>
        <v>0</v>
      </c>
      <c r="AO5" s="120">
        <f t="shared" si="0"/>
        <v>0</v>
      </c>
      <c r="AP5" s="120">
        <f t="shared" si="0"/>
        <v>0</v>
      </c>
      <c r="AQ5" s="120">
        <f t="shared" si="0"/>
        <v>0</v>
      </c>
      <c r="AR5" s="120">
        <f t="shared" si="0"/>
        <v>1592.4</v>
      </c>
      <c r="AS5" s="120">
        <f t="shared" si="0"/>
        <v>633</v>
      </c>
      <c r="AT5" s="120">
        <f t="shared" si="0"/>
        <v>720</v>
      </c>
      <c r="AU5" s="120">
        <f t="shared" si="0"/>
        <v>720</v>
      </c>
      <c r="AV5" s="120">
        <f t="shared" si="0"/>
        <v>3665.4</v>
      </c>
      <c r="AW5" s="120">
        <f t="shared" si="0"/>
        <v>2225.4</v>
      </c>
      <c r="AX5" s="120">
        <f t="shared" si="0"/>
        <v>1440</v>
      </c>
      <c r="AY5" s="120">
        <f t="shared" si="0"/>
        <v>120</v>
      </c>
      <c r="AZ5" s="120">
        <f t="shared" si="0"/>
        <v>3785.4</v>
      </c>
      <c r="BA5" s="154"/>
    </row>
    <row r="6" spans="1:55" ht="16.5">
      <c r="I6" s="129"/>
      <c r="L6" s="121"/>
      <c r="N6" s="121"/>
      <c r="AY6" s="155"/>
      <c r="AZ6" s="107"/>
    </row>
    <row r="7" spans="1:55" ht="16.5">
      <c r="C7" s="121"/>
      <c r="I7" s="129"/>
      <c r="L7" s="121"/>
      <c r="N7" s="121"/>
      <c r="AZ7" s="107"/>
    </row>
    <row r="8" spans="1:55" ht="16.5">
      <c r="J8" s="129"/>
      <c r="N8" s="121"/>
      <c r="AZ8" s="107"/>
    </row>
    <row r="9" spans="1:55" ht="16.5">
      <c r="C9" s="121"/>
      <c r="J9" s="129"/>
      <c r="N9" s="121"/>
    </row>
    <row r="10" spans="1:55" ht="16.5">
      <c r="J10" s="129"/>
      <c r="N10" s="121"/>
    </row>
    <row r="11" spans="1:55" ht="16.5">
      <c r="J11" s="129"/>
      <c r="N11" s="121"/>
    </row>
    <row r="12" spans="1:55" ht="16.5">
      <c r="J12" s="129"/>
      <c r="N12" s="121"/>
    </row>
    <row r="13" spans="1:55" ht="16.5">
      <c r="J13" s="129"/>
      <c r="N13" s="121"/>
    </row>
    <row r="14" spans="1:55" ht="16.5">
      <c r="J14" s="129"/>
      <c r="N14" s="121"/>
    </row>
    <row r="15" spans="1:55" ht="16.5">
      <c r="J15" s="129"/>
      <c r="N15" s="121"/>
    </row>
    <row r="16" spans="1:55" ht="16.5">
      <c r="J16" s="129"/>
      <c r="N16" s="121"/>
    </row>
    <row r="17" spans="10:14" ht="16.5">
      <c r="J17" s="129"/>
      <c r="N17" s="121"/>
    </row>
    <row r="18" spans="10:14" ht="16.5">
      <c r="J18" s="129"/>
    </row>
    <row r="19" spans="10:14" ht="16.5">
      <c r="J19" s="129"/>
    </row>
    <row r="20" spans="10:14" ht="16.5">
      <c r="J20" s="129"/>
    </row>
    <row r="21" spans="10:14" ht="16.5">
      <c r="J21" s="129"/>
    </row>
    <row r="22" spans="10:14" ht="16.5">
      <c r="J22" s="129"/>
    </row>
    <row r="290" spans="6:6" ht="16.5">
      <c r="F290" s="121">
        <v>-2470</v>
      </c>
    </row>
  </sheetData>
  <mergeCells count="24">
    <mergeCell ref="AW1:AW2"/>
    <mergeCell ref="AX1:AX2"/>
    <mergeCell ref="AY1:AY2"/>
    <mergeCell ref="AZ1:AZ2"/>
    <mergeCell ref="BA1:BA2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O1"/>
    <mergeCell ref="P1:T1"/>
    <mergeCell ref="U1:Y1"/>
    <mergeCell ref="Z1:AB1"/>
    <mergeCell ref="AC1:AE1"/>
  </mergeCells>
  <phoneticPr fontId="87" type="noConversion"/>
  <dataValidations count="1">
    <dataValidation type="list" allowBlank="1" showInputMessage="1" showErrorMessage="1" sqref="F3 F4" xr:uid="{00000000-0002-0000-0100-000000000000}">
      <formula1>"本地城镇,本地农村,外地城镇,外地农村"</formula1>
    </dataValidation>
  </dataValidations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 pane="topRight"/>
      <selection pane="bottomLeft"/>
      <selection pane="bottomRight" activeCell="A4" sqref="A4:R16"/>
    </sheetView>
  </sheetViews>
  <sheetFormatPr defaultColWidth="9" defaultRowHeight="14" outlineLevelCol="1"/>
  <cols>
    <col min="1" max="1" width="4.453125" style="13" customWidth="1"/>
    <col min="2" max="2" width="14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.54296875" style="13" customWidth="1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9.72656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1.453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hidden="1" customWidth="1"/>
    <col min="41" max="41" width="22.26953125" style="13" customWidth="1"/>
    <col min="42" max="42" width="28.5429687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124</v>
      </c>
      <c r="D4" s="25" t="s">
        <v>125</v>
      </c>
      <c r="E4" s="25" t="s">
        <v>126</v>
      </c>
      <c r="F4" s="26" t="str">
        <f>IF(MOD(MID(E4,17,1),2)=1,"男","女")</f>
        <v>女</v>
      </c>
      <c r="G4" s="27">
        <v>19801207903</v>
      </c>
      <c r="H4" s="28"/>
      <c r="I4" s="28"/>
      <c r="J4" s="86"/>
      <c r="K4" s="28"/>
      <c r="L4" s="54">
        <v>11000</v>
      </c>
      <c r="M4" s="55">
        <v>428.8</v>
      </c>
      <c r="N4" s="55">
        <v>110.2</v>
      </c>
      <c r="O4" s="55">
        <v>26.8</v>
      </c>
      <c r="P4" s="55">
        <v>444</v>
      </c>
      <c r="Q4" s="69">
        <f>ROUND(SUM(M4:P4),2)</f>
        <v>1009.8</v>
      </c>
      <c r="R4" s="54">
        <v>0</v>
      </c>
      <c r="S4" s="70">
        <f>L4</f>
        <v>11000</v>
      </c>
      <c r="T4" s="71">
        <v>5000</v>
      </c>
      <c r="U4" s="71">
        <f>Q4</f>
        <v>1009.8</v>
      </c>
      <c r="V4" s="54"/>
      <c r="W4" s="54"/>
      <c r="X4" s="54"/>
      <c r="Y4" s="54"/>
      <c r="Z4" s="54"/>
      <c r="AA4" s="54"/>
      <c r="AB4" s="70">
        <f>ROUND(SUM(V4:AA4),2)</f>
        <v>0</v>
      </c>
      <c r="AC4" s="70">
        <f>R4</f>
        <v>0</v>
      </c>
      <c r="AD4" s="72">
        <f>ROUND(S4-T4-U4-AB4-AC4,2)</f>
        <v>4990.2</v>
      </c>
      <c r="AE4" s="73">
        <f>ROUND(MAX((AD4)*{0.03;0.1;0.2;0.25;0.3;0.35;0.45}-{0;2520;16920;31920;52920;85920;181920},0),2)</f>
        <v>149.71</v>
      </c>
      <c r="AF4" s="74">
        <v>0</v>
      </c>
      <c r="AG4" s="74">
        <f>IF((AE4-AF4)&lt;0,0,AE4-AF4)</f>
        <v>149.71</v>
      </c>
      <c r="AH4" s="77">
        <f>ROUND(IF((L4-Q4-AG4)&lt;0,0,(L4-Q4-AG4)),2)</f>
        <v>9840.49</v>
      </c>
      <c r="AI4" s="78"/>
      <c r="AJ4" s="77">
        <f>AH4+AI4</f>
        <v>9840.49</v>
      </c>
      <c r="AK4" s="79"/>
      <c r="AL4" s="77">
        <f>AJ4+AG4+AK4</f>
        <v>9990.1999999999989</v>
      </c>
      <c r="AM4" s="79"/>
      <c r="AN4" s="79"/>
      <c r="AO4" s="79"/>
      <c r="AP4" s="79"/>
      <c r="AQ4" s="79"/>
      <c r="AR4" s="84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>IF(SUMPRODUCT(N(E$1:E$16=E4))&gt;1,"重复","不")</f>
        <v>不</v>
      </c>
      <c r="AT4" s="84" t="str">
        <f>IF(SUMPRODUCT(N(AO$1:AO$16=AO4))&gt;1,"重复","不")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127</v>
      </c>
      <c r="D5" s="25" t="s">
        <v>125</v>
      </c>
      <c r="E5" s="25" t="s">
        <v>128</v>
      </c>
      <c r="F5" s="26" t="str">
        <f t="shared" ref="F5:F16" si="0">IF(MOD(MID(E5,17,1),2)=1,"男","女")</f>
        <v>男</v>
      </c>
      <c r="G5" s="27">
        <v>13288877699</v>
      </c>
      <c r="H5" s="28"/>
      <c r="I5" s="28"/>
      <c r="J5" s="86"/>
      <c r="K5" s="28"/>
      <c r="L5" s="54">
        <v>11000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ref="Q5:Q16" si="1">ROUND(SUM(M5:P5),2)</f>
        <v>1009.8</v>
      </c>
      <c r="R5" s="54">
        <v>0</v>
      </c>
      <c r="S5" s="70">
        <f t="shared" ref="S5:S16" si="2">L5</f>
        <v>11000</v>
      </c>
      <c r="T5" s="71">
        <v>5000</v>
      </c>
      <c r="U5" s="71">
        <f t="shared" ref="U5:U16" si="3">Q5</f>
        <v>1009.8</v>
      </c>
      <c r="V5" s="54"/>
      <c r="W5" s="54"/>
      <c r="X5" s="54"/>
      <c r="Y5" s="54"/>
      <c r="Z5" s="54"/>
      <c r="AA5" s="54"/>
      <c r="AB5" s="70">
        <f t="shared" ref="AB5:AB16" si="4">ROUND(SUM(V5:AA5),2)</f>
        <v>0</v>
      </c>
      <c r="AC5" s="70">
        <f t="shared" ref="AC5:AC16" si="5">R5</f>
        <v>0</v>
      </c>
      <c r="AD5" s="72">
        <f t="shared" ref="AD5:AD16" si="6">ROUND(S5-T5-U5-AB5-AC5,2)</f>
        <v>4990.2</v>
      </c>
      <c r="AE5" s="73">
        <f>ROUND(MAX((AD5)*{0.03;0.1;0.2;0.25;0.3;0.35;0.45}-{0;2520;16920;31920;52920;85920;181920},0),2)</f>
        <v>149.71</v>
      </c>
      <c r="AF5" s="74">
        <v>0</v>
      </c>
      <c r="AG5" s="74">
        <f t="shared" ref="AG5:AG16" si="7">IF((AE5-AF5)&lt;0,0,AE5-AF5)</f>
        <v>149.71</v>
      </c>
      <c r="AH5" s="77">
        <f t="shared" ref="AH5:AH16" si="8">ROUND(IF((L5-Q5-AG5)&lt;0,0,(L5-Q5-AG5)),2)</f>
        <v>9840.49</v>
      </c>
      <c r="AI5" s="78"/>
      <c r="AJ5" s="77">
        <f t="shared" ref="AJ5:AJ16" si="9">AH5+AI5</f>
        <v>9840.49</v>
      </c>
      <c r="AK5" s="79"/>
      <c r="AL5" s="77">
        <f t="shared" ref="AL5:AL16" si="10">AJ5+AG5+AK5</f>
        <v>9990.1999999999989</v>
      </c>
      <c r="AM5" s="79"/>
      <c r="AN5" s="79"/>
      <c r="AO5" s="79"/>
      <c r="AP5" s="79"/>
      <c r="AQ5" s="79"/>
      <c r="AR5" s="84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4" t="str">
        <f t="shared" ref="AS5:AS16" si="12">IF(SUMPRODUCT(N(E$1:E$16=E5))&gt;1,"重复","不")</f>
        <v>不</v>
      </c>
      <c r="AT5" s="84" t="str">
        <f t="shared" ref="AT5:AT16" si="13">IF(SUMPRODUCT(N(AO$1:AO$16=AO5))&gt;1,"重复","不")</f>
        <v>重复</v>
      </c>
    </row>
    <row r="6" spans="1:46" s="10" customFormat="1" ht="18" customHeight="1">
      <c r="A6" s="24">
        <v>3</v>
      </c>
      <c r="B6" s="25" t="s">
        <v>123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86"/>
      <c r="K6" s="28"/>
      <c r="L6" s="54">
        <v>12000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1"/>
        <v>1009.8</v>
      </c>
      <c r="R6" s="54">
        <v>0</v>
      </c>
      <c r="S6" s="70">
        <f t="shared" si="2"/>
        <v>12000</v>
      </c>
      <c r="T6" s="71">
        <v>5000</v>
      </c>
      <c r="U6" s="71">
        <f t="shared" si="3"/>
        <v>1009.8</v>
      </c>
      <c r="V6" s="54"/>
      <c r="W6" s="54"/>
      <c r="X6" s="54"/>
      <c r="Y6" s="54"/>
      <c r="Z6" s="54"/>
      <c r="AA6" s="54"/>
      <c r="AB6" s="70">
        <f t="shared" si="4"/>
        <v>0</v>
      </c>
      <c r="AC6" s="70">
        <f t="shared" si="5"/>
        <v>0</v>
      </c>
      <c r="AD6" s="72">
        <f t="shared" si="6"/>
        <v>5990.2</v>
      </c>
      <c r="AE6" s="73">
        <f>ROUND(MAX((AD6)*{0.03;0.1;0.2;0.25;0.3;0.35;0.45}-{0;2520;16920;31920;52920;85920;181920},0),2)</f>
        <v>179.71</v>
      </c>
      <c r="AF6" s="74">
        <v>0</v>
      </c>
      <c r="AG6" s="74">
        <f t="shared" si="7"/>
        <v>179.71</v>
      </c>
      <c r="AH6" s="77">
        <f t="shared" si="8"/>
        <v>10810.49</v>
      </c>
      <c r="AI6" s="78"/>
      <c r="AJ6" s="77">
        <f t="shared" si="9"/>
        <v>10810.49</v>
      </c>
      <c r="AK6" s="79"/>
      <c r="AL6" s="77">
        <f t="shared" si="10"/>
        <v>10990.199999999999</v>
      </c>
      <c r="AM6" s="79"/>
      <c r="AN6" s="79"/>
      <c r="AO6" s="79"/>
      <c r="AP6" s="79"/>
      <c r="AQ6" s="79"/>
      <c r="AR6" s="84" t="str">
        <f t="shared" si="11"/>
        <v>正确</v>
      </c>
      <c r="AS6" s="84" t="str">
        <f t="shared" si="12"/>
        <v>不</v>
      </c>
      <c r="AT6" s="84" t="str">
        <f t="shared" si="13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131</v>
      </c>
      <c r="D7" s="25" t="s">
        <v>125</v>
      </c>
      <c r="E7" s="25" t="s">
        <v>132</v>
      </c>
      <c r="F7" s="26" t="str">
        <f t="shared" si="0"/>
        <v>男</v>
      </c>
      <c r="G7" s="27">
        <v>13683242969</v>
      </c>
      <c r="H7" s="28"/>
      <c r="I7" s="28"/>
      <c r="J7" s="86"/>
      <c r="K7" s="28"/>
      <c r="L7" s="54">
        <v>12298.8505747126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1"/>
        <v>1009.8</v>
      </c>
      <c r="R7" s="54">
        <v>0</v>
      </c>
      <c r="S7" s="70">
        <f t="shared" si="2"/>
        <v>12298.8505747126</v>
      </c>
      <c r="T7" s="71">
        <v>5000</v>
      </c>
      <c r="U7" s="71">
        <f t="shared" si="3"/>
        <v>1009.8</v>
      </c>
      <c r="V7" s="54"/>
      <c r="W7" s="54"/>
      <c r="X7" s="54"/>
      <c r="Y7" s="54"/>
      <c r="Z7" s="54"/>
      <c r="AA7" s="54"/>
      <c r="AB7" s="70">
        <f t="shared" si="4"/>
        <v>0</v>
      </c>
      <c r="AC7" s="70">
        <f t="shared" si="5"/>
        <v>0</v>
      </c>
      <c r="AD7" s="72">
        <f t="shared" si="6"/>
        <v>6289.05</v>
      </c>
      <c r="AE7" s="73">
        <f>ROUND(MAX((AD7)*{0.03;0.1;0.2;0.25;0.3;0.35;0.45}-{0;2520;16920;31920;52920;85920;181920},0),2)</f>
        <v>188.67</v>
      </c>
      <c r="AF7" s="74">
        <v>0</v>
      </c>
      <c r="AG7" s="74">
        <f t="shared" si="7"/>
        <v>188.67</v>
      </c>
      <c r="AH7" s="77">
        <f t="shared" si="8"/>
        <v>11100.38</v>
      </c>
      <c r="AI7" s="78"/>
      <c r="AJ7" s="77">
        <f t="shared" si="9"/>
        <v>11100.38</v>
      </c>
      <c r="AK7" s="79"/>
      <c r="AL7" s="77">
        <f t="shared" si="10"/>
        <v>11289.05</v>
      </c>
      <c r="AM7" s="79"/>
      <c r="AN7" s="79"/>
      <c r="AO7" s="79"/>
      <c r="AP7" s="79"/>
      <c r="AQ7" s="79"/>
      <c r="AR7" s="84" t="str">
        <f t="shared" si="11"/>
        <v>正确</v>
      </c>
      <c r="AS7" s="84" t="str">
        <f t="shared" si="12"/>
        <v>不</v>
      </c>
      <c r="AT7" s="84" t="str">
        <f t="shared" si="13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133</v>
      </c>
      <c r="D8" s="25" t="s">
        <v>125</v>
      </c>
      <c r="E8" s="25" t="s">
        <v>134</v>
      </c>
      <c r="F8" s="26" t="str">
        <f t="shared" si="0"/>
        <v>男</v>
      </c>
      <c r="G8" s="27">
        <v>13163127617</v>
      </c>
      <c r="H8" s="28"/>
      <c r="I8" s="28"/>
      <c r="J8" s="86"/>
      <c r="K8" s="28"/>
      <c r="L8" s="54">
        <v>10574.71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1"/>
        <v>1009.8</v>
      </c>
      <c r="R8" s="54">
        <v>0</v>
      </c>
      <c r="S8" s="70">
        <f t="shared" si="2"/>
        <v>10574.71</v>
      </c>
      <c r="T8" s="71">
        <v>5000</v>
      </c>
      <c r="U8" s="71">
        <f t="shared" si="3"/>
        <v>1009.8</v>
      </c>
      <c r="V8" s="54"/>
      <c r="W8" s="54"/>
      <c r="X8" s="54"/>
      <c r="Y8" s="54"/>
      <c r="Z8" s="54"/>
      <c r="AA8" s="54"/>
      <c r="AB8" s="70">
        <f t="shared" si="4"/>
        <v>0</v>
      </c>
      <c r="AC8" s="70">
        <f t="shared" si="5"/>
        <v>0</v>
      </c>
      <c r="AD8" s="72">
        <f t="shared" si="6"/>
        <v>4564.91</v>
      </c>
      <c r="AE8" s="73">
        <f>ROUND(MAX((AD8)*{0.03;0.1;0.2;0.25;0.3;0.35;0.45}-{0;2520;16920;31920;52920;85920;181920},0),2)</f>
        <v>136.94999999999999</v>
      </c>
      <c r="AF8" s="74">
        <v>0</v>
      </c>
      <c r="AG8" s="74">
        <f t="shared" si="7"/>
        <v>136.94999999999999</v>
      </c>
      <c r="AH8" s="77">
        <f t="shared" si="8"/>
        <v>9427.9599999999991</v>
      </c>
      <c r="AI8" s="78"/>
      <c r="AJ8" s="77">
        <f t="shared" si="9"/>
        <v>9427.9599999999991</v>
      </c>
      <c r="AK8" s="79"/>
      <c r="AL8" s="77">
        <f t="shared" si="10"/>
        <v>9564.91</v>
      </c>
      <c r="AM8" s="79"/>
      <c r="AN8" s="79"/>
      <c r="AO8" s="79"/>
      <c r="AP8" s="79"/>
      <c r="AQ8" s="79"/>
      <c r="AR8" s="84" t="str">
        <f t="shared" si="11"/>
        <v>正确</v>
      </c>
      <c r="AS8" s="84" t="str">
        <f t="shared" si="12"/>
        <v>不</v>
      </c>
      <c r="AT8" s="84" t="str">
        <f t="shared" si="13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135</v>
      </c>
      <c r="D9" s="25" t="s">
        <v>125</v>
      </c>
      <c r="E9" s="25" t="s">
        <v>136</v>
      </c>
      <c r="F9" s="26" t="str">
        <f t="shared" si="0"/>
        <v>男</v>
      </c>
      <c r="G9" s="27">
        <v>15652649555</v>
      </c>
      <c r="H9" s="28"/>
      <c r="I9" s="28"/>
      <c r="J9" s="86"/>
      <c r="K9" s="28"/>
      <c r="L9" s="54">
        <v>10000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1"/>
        <v>1009.8</v>
      </c>
      <c r="R9" s="54">
        <v>0</v>
      </c>
      <c r="S9" s="70">
        <f t="shared" si="2"/>
        <v>10000</v>
      </c>
      <c r="T9" s="71">
        <v>5000</v>
      </c>
      <c r="U9" s="71">
        <f t="shared" si="3"/>
        <v>1009.8</v>
      </c>
      <c r="V9" s="54"/>
      <c r="W9" s="54"/>
      <c r="X9" s="54"/>
      <c r="Y9" s="54"/>
      <c r="Z9" s="54"/>
      <c r="AA9" s="54"/>
      <c r="AB9" s="70">
        <f t="shared" si="4"/>
        <v>0</v>
      </c>
      <c r="AC9" s="70">
        <f t="shared" si="5"/>
        <v>0</v>
      </c>
      <c r="AD9" s="72">
        <f t="shared" si="6"/>
        <v>3990.2</v>
      </c>
      <c r="AE9" s="73">
        <f>ROUND(MAX((AD9)*{0.03;0.1;0.2;0.25;0.3;0.35;0.45}-{0;2520;16920;31920;52920;85920;181920},0),2)</f>
        <v>119.71</v>
      </c>
      <c r="AF9" s="74">
        <v>0</v>
      </c>
      <c r="AG9" s="74">
        <f t="shared" si="7"/>
        <v>119.71</v>
      </c>
      <c r="AH9" s="77">
        <f t="shared" si="8"/>
        <v>8870.49</v>
      </c>
      <c r="AI9" s="78"/>
      <c r="AJ9" s="77">
        <f t="shared" si="9"/>
        <v>8870.49</v>
      </c>
      <c r="AK9" s="79"/>
      <c r="AL9" s="77">
        <f t="shared" si="10"/>
        <v>8990.1999999999989</v>
      </c>
      <c r="AM9" s="79"/>
      <c r="AN9" s="79"/>
      <c r="AO9" s="79"/>
      <c r="AP9" s="79"/>
      <c r="AQ9" s="79"/>
      <c r="AR9" s="84" t="str">
        <f t="shared" si="11"/>
        <v>正确</v>
      </c>
      <c r="AS9" s="84" t="str">
        <f t="shared" si="12"/>
        <v>不</v>
      </c>
      <c r="AT9" s="84" t="str">
        <f t="shared" si="13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137</v>
      </c>
      <c r="D10" s="25" t="s">
        <v>125</v>
      </c>
      <c r="E10" s="219" t="s">
        <v>138</v>
      </c>
      <c r="F10" s="26" t="str">
        <f t="shared" si="0"/>
        <v>男</v>
      </c>
      <c r="G10" s="27">
        <v>17611149839</v>
      </c>
      <c r="H10" s="28"/>
      <c r="I10" s="28"/>
      <c r="J10" s="86"/>
      <c r="K10" s="28"/>
      <c r="L10" s="54">
        <v>8000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1"/>
        <v>1009.8</v>
      </c>
      <c r="R10" s="54">
        <v>0</v>
      </c>
      <c r="S10" s="70">
        <f t="shared" si="2"/>
        <v>8000</v>
      </c>
      <c r="T10" s="71">
        <v>5000</v>
      </c>
      <c r="U10" s="71">
        <f t="shared" si="3"/>
        <v>1009.8</v>
      </c>
      <c r="V10" s="54"/>
      <c r="W10" s="54"/>
      <c r="X10" s="54"/>
      <c r="Y10" s="54"/>
      <c r="Z10" s="54"/>
      <c r="AA10" s="54"/>
      <c r="AB10" s="70">
        <f t="shared" si="4"/>
        <v>0</v>
      </c>
      <c r="AC10" s="70">
        <f t="shared" si="5"/>
        <v>0</v>
      </c>
      <c r="AD10" s="72">
        <f t="shared" si="6"/>
        <v>1990.2</v>
      </c>
      <c r="AE10" s="73">
        <f>ROUND(MAX((AD10)*{0.03;0.1;0.2;0.25;0.3;0.35;0.45}-{0;2520;16920;31920;52920;85920;181920},0),2)</f>
        <v>59.71</v>
      </c>
      <c r="AF10" s="74">
        <v>0</v>
      </c>
      <c r="AG10" s="74">
        <f t="shared" si="7"/>
        <v>59.71</v>
      </c>
      <c r="AH10" s="77">
        <f t="shared" si="8"/>
        <v>6930.49</v>
      </c>
      <c r="AI10" s="78"/>
      <c r="AJ10" s="77">
        <f t="shared" si="9"/>
        <v>6930.49</v>
      </c>
      <c r="AK10" s="79"/>
      <c r="AL10" s="77">
        <f t="shared" si="10"/>
        <v>6990.2</v>
      </c>
      <c r="AM10" s="79"/>
      <c r="AN10" s="79"/>
      <c r="AO10" s="79"/>
      <c r="AP10" s="79"/>
      <c r="AQ10" s="79"/>
      <c r="AR10" s="84" t="str">
        <f t="shared" si="11"/>
        <v>正确</v>
      </c>
      <c r="AS10" s="84" t="str">
        <f t="shared" si="12"/>
        <v>不</v>
      </c>
      <c r="AT10" s="84" t="str">
        <f t="shared" si="13"/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139</v>
      </c>
      <c r="D11" s="25" t="s">
        <v>125</v>
      </c>
      <c r="E11" s="219" t="s">
        <v>140</v>
      </c>
      <c r="F11" s="26" t="str">
        <f t="shared" si="0"/>
        <v>男</v>
      </c>
      <c r="G11" s="27">
        <v>13596154643</v>
      </c>
      <c r="H11" s="28"/>
      <c r="I11" s="28"/>
      <c r="J11" s="86"/>
      <c r="K11" s="28"/>
      <c r="L11" s="54">
        <v>10000</v>
      </c>
      <c r="M11" s="55">
        <v>428.8</v>
      </c>
      <c r="N11" s="55">
        <v>110.2</v>
      </c>
      <c r="O11" s="55">
        <v>26.8</v>
      </c>
      <c r="P11" s="55">
        <v>444</v>
      </c>
      <c r="Q11" s="69">
        <f t="shared" si="1"/>
        <v>1009.8</v>
      </c>
      <c r="R11" s="54">
        <v>0</v>
      </c>
      <c r="S11" s="70">
        <f t="shared" si="2"/>
        <v>10000</v>
      </c>
      <c r="T11" s="71">
        <v>5000</v>
      </c>
      <c r="U11" s="71">
        <f t="shared" si="3"/>
        <v>1009.8</v>
      </c>
      <c r="V11" s="54"/>
      <c r="W11" s="54"/>
      <c r="X11" s="54"/>
      <c r="Y11" s="54"/>
      <c r="Z11" s="54"/>
      <c r="AA11" s="54"/>
      <c r="AB11" s="70">
        <f t="shared" si="4"/>
        <v>0</v>
      </c>
      <c r="AC11" s="70">
        <f t="shared" si="5"/>
        <v>0</v>
      </c>
      <c r="AD11" s="72">
        <f t="shared" si="6"/>
        <v>3990.2</v>
      </c>
      <c r="AE11" s="73">
        <f>ROUND(MAX((AD11)*{0.03;0.1;0.2;0.25;0.3;0.35;0.45}-{0;2520;16920;31920;52920;85920;181920},0),2)</f>
        <v>119.71</v>
      </c>
      <c r="AF11" s="74">
        <v>0</v>
      </c>
      <c r="AG11" s="74">
        <f t="shared" si="7"/>
        <v>119.71</v>
      </c>
      <c r="AH11" s="77">
        <f t="shared" si="8"/>
        <v>8870.49</v>
      </c>
      <c r="AI11" s="78"/>
      <c r="AJ11" s="77">
        <f t="shared" si="9"/>
        <v>8870.49</v>
      </c>
      <c r="AK11" s="79"/>
      <c r="AL11" s="77">
        <f t="shared" si="10"/>
        <v>8990.1999999999989</v>
      </c>
      <c r="AM11" s="79"/>
      <c r="AN11" s="79"/>
      <c r="AO11" s="79"/>
      <c r="AP11" s="79"/>
      <c r="AQ11" s="79"/>
      <c r="AR11" s="84" t="str">
        <f t="shared" si="11"/>
        <v>正确</v>
      </c>
      <c r="AS11" s="84" t="str">
        <f t="shared" si="12"/>
        <v>不</v>
      </c>
      <c r="AT11" s="84" t="str">
        <f t="shared" si="13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141</v>
      </c>
      <c r="D12" s="25" t="s">
        <v>125</v>
      </c>
      <c r="E12" s="219" t="s">
        <v>142</v>
      </c>
      <c r="F12" s="26" t="str">
        <f t="shared" si="0"/>
        <v>女</v>
      </c>
      <c r="G12" s="27">
        <v>15372592345</v>
      </c>
      <c r="H12" s="28"/>
      <c r="I12" s="28"/>
      <c r="J12" s="86"/>
      <c r="K12" s="28"/>
      <c r="L12" s="54">
        <v>12298.8505747126</v>
      </c>
      <c r="M12" s="55">
        <v>428.8</v>
      </c>
      <c r="N12" s="55">
        <v>110.2</v>
      </c>
      <c r="O12" s="55">
        <v>26.8</v>
      </c>
      <c r="P12" s="55">
        <v>444</v>
      </c>
      <c r="Q12" s="69">
        <f t="shared" si="1"/>
        <v>1009.8</v>
      </c>
      <c r="R12" s="54">
        <v>0</v>
      </c>
      <c r="S12" s="70">
        <f t="shared" si="2"/>
        <v>12298.8505747126</v>
      </c>
      <c r="T12" s="71">
        <v>5000</v>
      </c>
      <c r="U12" s="71">
        <f t="shared" si="3"/>
        <v>1009.8</v>
      </c>
      <c r="V12" s="54"/>
      <c r="W12" s="54"/>
      <c r="X12" s="54"/>
      <c r="Y12" s="54"/>
      <c r="Z12" s="54"/>
      <c r="AA12" s="54"/>
      <c r="AB12" s="70">
        <f t="shared" si="4"/>
        <v>0</v>
      </c>
      <c r="AC12" s="70">
        <f t="shared" si="5"/>
        <v>0</v>
      </c>
      <c r="AD12" s="72">
        <f t="shared" si="6"/>
        <v>6289.05</v>
      </c>
      <c r="AE12" s="73">
        <f>ROUND(MAX((AD12)*{0.03;0.1;0.2;0.25;0.3;0.35;0.45}-{0;2520;16920;31920;52920;85920;181920},0),2)</f>
        <v>188.67</v>
      </c>
      <c r="AF12" s="74">
        <v>0</v>
      </c>
      <c r="AG12" s="74">
        <f t="shared" si="7"/>
        <v>188.67</v>
      </c>
      <c r="AH12" s="77">
        <f t="shared" si="8"/>
        <v>11100.38</v>
      </c>
      <c r="AI12" s="78"/>
      <c r="AJ12" s="77">
        <f t="shared" si="9"/>
        <v>11100.38</v>
      </c>
      <c r="AK12" s="79"/>
      <c r="AL12" s="77">
        <f t="shared" si="10"/>
        <v>11289.05</v>
      </c>
      <c r="AM12" s="79"/>
      <c r="AN12" s="79"/>
      <c r="AO12" s="79"/>
      <c r="AP12" s="79"/>
      <c r="AQ12" s="79"/>
      <c r="AR12" s="84" t="str">
        <f t="shared" si="11"/>
        <v>正确</v>
      </c>
      <c r="AS12" s="84" t="str">
        <f t="shared" si="12"/>
        <v>不</v>
      </c>
      <c r="AT12" s="84" t="str">
        <f t="shared" si="13"/>
        <v>重复</v>
      </c>
    </row>
    <row r="13" spans="1:46" s="10" customFormat="1" ht="18" customHeight="1">
      <c r="A13" s="24">
        <v>10</v>
      </c>
      <c r="B13" s="25" t="s">
        <v>123</v>
      </c>
      <c r="C13" s="25" t="s">
        <v>143</v>
      </c>
      <c r="D13" s="25" t="s">
        <v>125</v>
      </c>
      <c r="E13" s="219" t="s">
        <v>144</v>
      </c>
      <c r="F13" s="26" t="str">
        <f t="shared" si="0"/>
        <v>男</v>
      </c>
      <c r="G13" s="27">
        <v>13626366929</v>
      </c>
      <c r="H13" s="28"/>
      <c r="I13" s="28"/>
      <c r="J13" s="86"/>
      <c r="K13" s="28"/>
      <c r="L13" s="54">
        <v>16379.3103448276</v>
      </c>
      <c r="M13" s="55">
        <v>428.8</v>
      </c>
      <c r="N13" s="55">
        <v>110.2</v>
      </c>
      <c r="O13" s="55">
        <v>26.8</v>
      </c>
      <c r="P13" s="55">
        <v>444</v>
      </c>
      <c r="Q13" s="69">
        <f t="shared" si="1"/>
        <v>1009.8</v>
      </c>
      <c r="R13" s="54">
        <v>0</v>
      </c>
      <c r="S13" s="70">
        <f t="shared" si="2"/>
        <v>16379.3103448276</v>
      </c>
      <c r="T13" s="71">
        <v>5000</v>
      </c>
      <c r="U13" s="71">
        <f t="shared" si="3"/>
        <v>1009.8</v>
      </c>
      <c r="V13" s="54"/>
      <c r="W13" s="54"/>
      <c r="X13" s="54"/>
      <c r="Y13" s="54"/>
      <c r="Z13" s="54"/>
      <c r="AA13" s="54"/>
      <c r="AB13" s="70">
        <f t="shared" si="4"/>
        <v>0</v>
      </c>
      <c r="AC13" s="70">
        <f t="shared" si="5"/>
        <v>0</v>
      </c>
      <c r="AD13" s="72">
        <f t="shared" si="6"/>
        <v>10369.51</v>
      </c>
      <c r="AE13" s="73">
        <f>ROUND(MAX((AD13)*{0.03;0.1;0.2;0.25;0.3;0.35;0.45}-{0;2520;16920;31920;52920;85920;181920},0),2)</f>
        <v>311.08999999999997</v>
      </c>
      <c r="AF13" s="74">
        <v>0</v>
      </c>
      <c r="AG13" s="74">
        <f t="shared" si="7"/>
        <v>311.08999999999997</v>
      </c>
      <c r="AH13" s="77">
        <f t="shared" si="8"/>
        <v>15058.42</v>
      </c>
      <c r="AI13" s="78"/>
      <c r="AJ13" s="77">
        <f t="shared" si="9"/>
        <v>15058.42</v>
      </c>
      <c r="AK13" s="79"/>
      <c r="AL13" s="77">
        <f t="shared" si="10"/>
        <v>15369.51</v>
      </c>
      <c r="AM13" s="79"/>
      <c r="AN13" s="79"/>
      <c r="AO13" s="79"/>
      <c r="AP13" s="79"/>
      <c r="AQ13" s="79"/>
      <c r="AR13" s="84" t="str">
        <f t="shared" si="11"/>
        <v>正确</v>
      </c>
      <c r="AS13" s="84" t="str">
        <f t="shared" si="12"/>
        <v>不</v>
      </c>
      <c r="AT13" s="84" t="str">
        <f t="shared" si="13"/>
        <v>重复</v>
      </c>
    </row>
    <row r="14" spans="1:46" s="10" customFormat="1" ht="18" customHeight="1">
      <c r="A14" s="24">
        <v>11</v>
      </c>
      <c r="B14" s="25" t="s">
        <v>123</v>
      </c>
      <c r="C14" s="25" t="s">
        <v>145</v>
      </c>
      <c r="D14" s="25" t="s">
        <v>125</v>
      </c>
      <c r="E14" s="219" t="s">
        <v>146</v>
      </c>
      <c r="F14" s="26" t="str">
        <f t="shared" si="0"/>
        <v>女</v>
      </c>
      <c r="G14" s="27">
        <v>15201493035</v>
      </c>
      <c r="H14" s="28"/>
      <c r="I14" s="28"/>
      <c r="J14" s="86"/>
      <c r="K14" s="28"/>
      <c r="L14" s="54">
        <v>10114.942528735601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1"/>
        <v>1009.8</v>
      </c>
      <c r="R14" s="54">
        <v>0</v>
      </c>
      <c r="S14" s="70">
        <f t="shared" si="2"/>
        <v>10114.942528735601</v>
      </c>
      <c r="T14" s="71">
        <v>5000</v>
      </c>
      <c r="U14" s="71">
        <f t="shared" si="3"/>
        <v>1009.8</v>
      </c>
      <c r="V14" s="54"/>
      <c r="W14" s="54"/>
      <c r="X14" s="54"/>
      <c r="Y14" s="54"/>
      <c r="Z14" s="54"/>
      <c r="AA14" s="54"/>
      <c r="AB14" s="70">
        <f t="shared" si="4"/>
        <v>0</v>
      </c>
      <c r="AC14" s="70">
        <f t="shared" si="5"/>
        <v>0</v>
      </c>
      <c r="AD14" s="72">
        <f t="shared" si="6"/>
        <v>4105.1400000000003</v>
      </c>
      <c r="AE14" s="73">
        <f>ROUND(MAX((AD14)*{0.03;0.1;0.2;0.25;0.3;0.35;0.45}-{0;2520;16920;31920;52920;85920;181920},0),2)</f>
        <v>123.15</v>
      </c>
      <c r="AF14" s="74">
        <v>0</v>
      </c>
      <c r="AG14" s="74">
        <f t="shared" si="7"/>
        <v>123.15</v>
      </c>
      <c r="AH14" s="77">
        <f t="shared" si="8"/>
        <v>8981.99</v>
      </c>
      <c r="AI14" s="78"/>
      <c r="AJ14" s="77">
        <f t="shared" si="9"/>
        <v>8981.99</v>
      </c>
      <c r="AK14" s="79"/>
      <c r="AL14" s="77">
        <f t="shared" si="10"/>
        <v>9105.14</v>
      </c>
      <c r="AM14" s="79"/>
      <c r="AN14" s="79"/>
      <c r="AO14" s="79"/>
      <c r="AP14" s="79"/>
      <c r="AQ14" s="79"/>
      <c r="AR14" s="84" t="str">
        <f t="shared" si="11"/>
        <v>正确</v>
      </c>
      <c r="AS14" s="84" t="str">
        <f t="shared" si="12"/>
        <v>不</v>
      </c>
      <c r="AT14" s="84" t="str">
        <f t="shared" si="13"/>
        <v>重复</v>
      </c>
    </row>
    <row r="15" spans="1:46" s="10" customFormat="1" ht="18" customHeight="1">
      <c r="A15" s="24">
        <v>12</v>
      </c>
      <c r="B15" s="25" t="s">
        <v>123</v>
      </c>
      <c r="C15" s="25" t="s">
        <v>147</v>
      </c>
      <c r="D15" s="25" t="s">
        <v>125</v>
      </c>
      <c r="E15" s="219" t="s">
        <v>148</v>
      </c>
      <c r="F15" s="26" t="str">
        <f t="shared" si="0"/>
        <v>女</v>
      </c>
      <c r="G15" s="27">
        <v>18674014622</v>
      </c>
      <c r="H15" s="28"/>
      <c r="I15" s="28"/>
      <c r="J15" s="86"/>
      <c r="K15" s="28"/>
      <c r="L15" s="54">
        <v>8275.8620689655199</v>
      </c>
      <c r="M15" s="55">
        <v>428.8</v>
      </c>
      <c r="N15" s="55">
        <v>110.2</v>
      </c>
      <c r="O15" s="55">
        <v>26.8</v>
      </c>
      <c r="P15" s="55">
        <v>600</v>
      </c>
      <c r="Q15" s="69">
        <f t="shared" si="1"/>
        <v>1165.8</v>
      </c>
      <c r="R15" s="54">
        <v>0</v>
      </c>
      <c r="S15" s="70">
        <f t="shared" si="2"/>
        <v>8275.8620689655199</v>
      </c>
      <c r="T15" s="71">
        <v>5000</v>
      </c>
      <c r="U15" s="71">
        <f t="shared" si="3"/>
        <v>1165.8</v>
      </c>
      <c r="V15" s="54"/>
      <c r="W15" s="54"/>
      <c r="X15" s="54"/>
      <c r="Y15" s="54"/>
      <c r="Z15" s="54"/>
      <c r="AA15" s="54"/>
      <c r="AB15" s="70">
        <f t="shared" si="4"/>
        <v>0</v>
      </c>
      <c r="AC15" s="70">
        <f t="shared" si="5"/>
        <v>0</v>
      </c>
      <c r="AD15" s="72">
        <f t="shared" si="6"/>
        <v>2110.06</v>
      </c>
      <c r="AE15" s="73">
        <f>ROUND(MAX((AD15)*{0.03;0.1;0.2;0.25;0.3;0.35;0.45}-{0;2520;16920;31920;52920;85920;181920},0),2)</f>
        <v>63.3</v>
      </c>
      <c r="AF15" s="74">
        <v>0</v>
      </c>
      <c r="AG15" s="74">
        <f t="shared" si="7"/>
        <v>63.3</v>
      </c>
      <c r="AH15" s="77">
        <f t="shared" si="8"/>
        <v>7046.76</v>
      </c>
      <c r="AI15" s="78"/>
      <c r="AJ15" s="77">
        <f t="shared" si="9"/>
        <v>7046.76</v>
      </c>
      <c r="AK15" s="79"/>
      <c r="AL15" s="77">
        <f t="shared" si="10"/>
        <v>7110.06</v>
      </c>
      <c r="AM15" s="79"/>
      <c r="AN15" s="79"/>
      <c r="AO15" s="79"/>
      <c r="AP15" s="79"/>
      <c r="AQ15" s="79"/>
      <c r="AR15" s="84" t="str">
        <f t="shared" si="11"/>
        <v>正确</v>
      </c>
      <c r="AS15" s="84" t="str">
        <f t="shared" si="12"/>
        <v>不</v>
      </c>
      <c r="AT15" s="84" t="str">
        <f t="shared" si="13"/>
        <v>重复</v>
      </c>
    </row>
    <row r="16" spans="1:46" s="10" customFormat="1" ht="18" customHeight="1">
      <c r="A16" s="24">
        <v>13</v>
      </c>
      <c r="B16" s="25" t="s">
        <v>123</v>
      </c>
      <c r="C16" s="25" t="s">
        <v>149</v>
      </c>
      <c r="D16" s="25" t="s">
        <v>125</v>
      </c>
      <c r="E16" s="219" t="s">
        <v>150</v>
      </c>
      <c r="F16" s="26" t="str">
        <f t="shared" si="0"/>
        <v>女</v>
      </c>
      <c r="G16" s="27">
        <v>15145001723</v>
      </c>
      <c r="H16" s="28"/>
      <c r="I16" s="28"/>
      <c r="J16" s="86"/>
      <c r="K16" s="28"/>
      <c r="L16" s="54">
        <v>3678.1609195402302</v>
      </c>
      <c r="M16" s="55"/>
      <c r="N16" s="55"/>
      <c r="O16" s="55"/>
      <c r="P16" s="55"/>
      <c r="Q16" s="69">
        <f t="shared" si="1"/>
        <v>0</v>
      </c>
      <c r="R16" s="54">
        <v>0</v>
      </c>
      <c r="S16" s="70">
        <f t="shared" si="2"/>
        <v>3678.1609195402302</v>
      </c>
      <c r="T16" s="71">
        <v>5000</v>
      </c>
      <c r="U16" s="71">
        <f t="shared" si="3"/>
        <v>0</v>
      </c>
      <c r="V16" s="54"/>
      <c r="W16" s="54"/>
      <c r="X16" s="54"/>
      <c r="Y16" s="54"/>
      <c r="Z16" s="54"/>
      <c r="AA16" s="54"/>
      <c r="AB16" s="70">
        <f t="shared" si="4"/>
        <v>0</v>
      </c>
      <c r="AC16" s="70">
        <f t="shared" si="5"/>
        <v>0</v>
      </c>
      <c r="AD16" s="72">
        <f t="shared" si="6"/>
        <v>-1321.84</v>
      </c>
      <c r="AE16" s="73">
        <f>ROUND(MAX((AD16)*{0.03;0.1;0.2;0.25;0.3;0.35;0.45}-{0;2520;16920;31920;52920;85920;181920},0),2)</f>
        <v>0</v>
      </c>
      <c r="AF16" s="74">
        <v>0</v>
      </c>
      <c r="AG16" s="74">
        <f t="shared" si="7"/>
        <v>0</v>
      </c>
      <c r="AH16" s="77">
        <f t="shared" si="8"/>
        <v>3678.16</v>
      </c>
      <c r="AI16" s="78"/>
      <c r="AJ16" s="77">
        <f t="shared" si="9"/>
        <v>3678.16</v>
      </c>
      <c r="AK16" s="79"/>
      <c r="AL16" s="77">
        <f t="shared" si="10"/>
        <v>3678.16</v>
      </c>
      <c r="AM16" s="79"/>
      <c r="AN16" s="79"/>
      <c r="AO16" s="79"/>
      <c r="AP16" s="79"/>
      <c r="AQ16" s="79"/>
      <c r="AR16" s="84" t="str">
        <f t="shared" si="11"/>
        <v>正确</v>
      </c>
      <c r="AS16" s="84" t="str">
        <f t="shared" si="12"/>
        <v>不</v>
      </c>
      <c r="AT16" s="84" t="str">
        <f t="shared" si="13"/>
        <v>重复</v>
      </c>
    </row>
    <row r="17" spans="1:46" s="11" customFormat="1" ht="18" customHeight="1">
      <c r="A17" s="31"/>
      <c r="B17" s="32" t="s">
        <v>151</v>
      </c>
      <c r="C17" s="32"/>
      <c r="D17" s="33"/>
      <c r="E17" s="34"/>
      <c r="F17" s="35"/>
      <c r="G17" s="36"/>
      <c r="H17" s="35"/>
      <c r="I17" s="56"/>
      <c r="J17" s="57"/>
      <c r="K17" s="56"/>
      <c r="L17" s="58">
        <f t="shared" ref="L17:AL17" si="14">SUM(L4:L16)</f>
        <v>135620.68701149416</v>
      </c>
      <c r="M17" s="58">
        <f t="shared" si="14"/>
        <v>5145.6000000000013</v>
      </c>
      <c r="N17" s="58">
        <f t="shared" si="14"/>
        <v>1322.4000000000003</v>
      </c>
      <c r="O17" s="58">
        <f t="shared" si="14"/>
        <v>321.60000000000008</v>
      </c>
      <c r="P17" s="58">
        <f t="shared" si="14"/>
        <v>5484</v>
      </c>
      <c r="Q17" s="58">
        <f t="shared" si="14"/>
        <v>12273.599999999999</v>
      </c>
      <c r="R17" s="58">
        <f t="shared" si="14"/>
        <v>0</v>
      </c>
      <c r="S17" s="58">
        <f t="shared" si="14"/>
        <v>135620.68701149416</v>
      </c>
      <c r="T17" s="58">
        <f t="shared" si="14"/>
        <v>65000</v>
      </c>
      <c r="U17" s="58">
        <f t="shared" si="14"/>
        <v>12273.599999999999</v>
      </c>
      <c r="V17" s="58">
        <f t="shared" si="14"/>
        <v>0</v>
      </c>
      <c r="W17" s="58">
        <f t="shared" si="14"/>
        <v>0</v>
      </c>
      <c r="X17" s="58">
        <f t="shared" si="14"/>
        <v>0</v>
      </c>
      <c r="Y17" s="58">
        <f t="shared" si="14"/>
        <v>0</v>
      </c>
      <c r="Z17" s="58">
        <f t="shared" si="14"/>
        <v>0</v>
      </c>
      <c r="AA17" s="58">
        <f t="shared" si="14"/>
        <v>0</v>
      </c>
      <c r="AB17" s="58">
        <f t="shared" si="14"/>
        <v>0</v>
      </c>
      <c r="AC17" s="58">
        <f t="shared" si="14"/>
        <v>0</v>
      </c>
      <c r="AD17" s="58">
        <f t="shared" si="14"/>
        <v>58347.08</v>
      </c>
      <c r="AE17" s="58">
        <f t="shared" si="14"/>
        <v>1790.0900000000001</v>
      </c>
      <c r="AF17" s="58">
        <f t="shared" si="14"/>
        <v>0</v>
      </c>
      <c r="AG17" s="58">
        <f t="shared" si="14"/>
        <v>1790.0900000000001</v>
      </c>
      <c r="AH17" s="58">
        <f t="shared" si="14"/>
        <v>121556.99</v>
      </c>
      <c r="AI17" s="80">
        <f t="shared" si="14"/>
        <v>0</v>
      </c>
      <c r="AJ17" s="58">
        <f t="shared" si="14"/>
        <v>121556.99</v>
      </c>
      <c r="AK17" s="58">
        <f t="shared" si="14"/>
        <v>0</v>
      </c>
      <c r="AL17" s="58">
        <f t="shared" si="14"/>
        <v>123347.07999999999</v>
      </c>
      <c r="AM17" s="81"/>
      <c r="AN17" s="81"/>
      <c r="AO17" s="81"/>
      <c r="AP17" s="81"/>
      <c r="AQ17" s="81"/>
      <c r="AR17" s="35"/>
      <c r="AS17" s="35"/>
      <c r="AT17" s="85"/>
    </row>
    <row r="20" spans="1:46">
      <c r="AD20" s="75"/>
    </row>
    <row r="21" spans="1:46" ht="18.75" customHeight="1">
      <c r="B21" s="37" t="s">
        <v>104</v>
      </c>
      <c r="C21" s="37" t="s">
        <v>152</v>
      </c>
      <c r="D21" s="37" t="s">
        <v>55</v>
      </c>
      <c r="E21" s="37" t="s">
        <v>56</v>
      </c>
      <c r="AD21" s="8"/>
    </row>
    <row r="22" spans="1:46" ht="18.75" customHeight="1">
      <c r="B22" s="38">
        <f>AJ17</f>
        <v>121556.99</v>
      </c>
      <c r="C22" s="38">
        <f>AG17</f>
        <v>1790.0900000000001</v>
      </c>
      <c r="D22" s="38">
        <f>AK17</f>
        <v>0</v>
      </c>
      <c r="E22" s="38">
        <f>B22+C22+D22</f>
        <v>123347.08</v>
      </c>
      <c r="F22" s="13">
        <f>E22*6.78%</f>
        <v>8362.9320239999997</v>
      </c>
    </row>
    <row r="23" spans="1:46">
      <c r="B23" s="39"/>
      <c r="C23" s="39"/>
      <c r="D23" s="39"/>
      <c r="E23" s="39"/>
    </row>
    <row r="24" spans="1:46" s="12" customFormat="1">
      <c r="A24" s="40" t="s">
        <v>153</v>
      </c>
      <c r="B24" s="41" t="s">
        <v>154</v>
      </c>
      <c r="C24" s="42"/>
      <c r="D24" s="42"/>
      <c r="E24" s="42"/>
      <c r="G24" s="43"/>
      <c r="J24" s="59"/>
      <c r="M24" s="60"/>
      <c r="AI24" s="82"/>
    </row>
    <row r="25" spans="1:46" s="12" customFormat="1">
      <c r="A25" s="44"/>
      <c r="B25" s="45" t="s">
        <v>155</v>
      </c>
      <c r="C25" s="42"/>
      <c r="D25" s="42"/>
      <c r="E25" s="42"/>
      <c r="G25" s="43"/>
      <c r="J25" s="59"/>
      <c r="M25" s="60"/>
      <c r="AI25" s="82"/>
    </row>
    <row r="26" spans="1:46" s="12" customFormat="1">
      <c r="A26" s="41"/>
      <c r="B26" s="45" t="s">
        <v>156</v>
      </c>
      <c r="C26" s="46"/>
      <c r="D26" s="46"/>
      <c r="E26" s="46"/>
      <c r="F26" s="46"/>
      <c r="G26" s="46"/>
      <c r="H26" s="46"/>
      <c r="I26" s="46"/>
      <c r="J26" s="61"/>
      <c r="K26" s="46"/>
      <c r="L26" s="46"/>
      <c r="M26" s="62"/>
      <c r="N26" s="46"/>
      <c r="O26" s="46"/>
      <c r="P26" s="46"/>
      <c r="AI26" s="82"/>
    </row>
    <row r="27" spans="1:46" s="12" customFormat="1" ht="13.5" customHeight="1">
      <c r="A27" s="45"/>
      <c r="B27" s="45" t="s">
        <v>157</v>
      </c>
      <c r="C27" s="47"/>
      <c r="D27" s="47"/>
      <c r="E27" s="47"/>
      <c r="F27" s="47"/>
      <c r="G27" s="47"/>
      <c r="H27" s="47"/>
      <c r="I27" s="63"/>
      <c r="J27" s="64"/>
      <c r="K27" s="63"/>
      <c r="L27" s="63"/>
      <c r="M27" s="65"/>
      <c r="N27" s="63"/>
      <c r="O27" s="63"/>
      <c r="P27" s="63"/>
      <c r="AI27" s="82"/>
    </row>
    <row r="28" spans="1:46" s="12" customFormat="1" ht="13.5" customHeight="1">
      <c r="A28" s="45"/>
      <c r="B28" s="45" t="s">
        <v>158</v>
      </c>
      <c r="C28" s="47"/>
      <c r="D28" s="47"/>
      <c r="E28" s="47"/>
      <c r="F28" s="47"/>
      <c r="G28" s="47"/>
      <c r="H28" s="47"/>
      <c r="I28" s="47"/>
      <c r="J28" s="66"/>
      <c r="K28" s="47"/>
      <c r="L28" s="63"/>
      <c r="M28" s="65"/>
      <c r="N28" s="63"/>
      <c r="O28" s="63"/>
      <c r="P28" s="63"/>
      <c r="AI28" s="82"/>
    </row>
    <row r="29" spans="1:46" s="12" customFormat="1" ht="13.5" customHeight="1">
      <c r="A29" s="45"/>
      <c r="B29" s="45" t="s">
        <v>159</v>
      </c>
      <c r="C29" s="47"/>
      <c r="D29" s="47"/>
      <c r="E29" s="47"/>
      <c r="F29" s="47"/>
      <c r="G29" s="47"/>
      <c r="H29" s="47"/>
      <c r="I29" s="63"/>
      <c r="J29" s="64"/>
      <c r="K29" s="63"/>
      <c r="L29" s="63"/>
      <c r="M29" s="65"/>
      <c r="N29" s="63"/>
      <c r="O29" s="63"/>
      <c r="P29" s="63"/>
      <c r="AI29" s="82"/>
    </row>
    <row r="31" spans="1:46" ht="11.25" customHeight="1">
      <c r="B31" s="48" t="s">
        <v>160</v>
      </c>
    </row>
    <row r="32" spans="1:46">
      <c r="B32" s="49" t="s">
        <v>161</v>
      </c>
    </row>
    <row r="33" spans="2:2">
      <c r="B33" s="49" t="s">
        <v>162</v>
      </c>
    </row>
  </sheetData>
  <autoFilter ref="A3:AT17" xr:uid="{00000000-0009-0000-0000-000002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9">
    <cfRule type="duplicateValues" dxfId="83" priority="10" stopIfTrue="1"/>
  </conditionalFormatting>
  <conditionalFormatting sqref="B24:B28">
    <cfRule type="duplicateValues" dxfId="82" priority="13" stopIfTrue="1"/>
  </conditionalFormatting>
  <conditionalFormatting sqref="B32:B33">
    <cfRule type="duplicateValues" dxfId="81" priority="1" stopIfTrue="1"/>
  </conditionalFormatting>
  <conditionalFormatting sqref="C21:C23">
    <cfRule type="duplicateValues" dxfId="80" priority="17" stopIfTrue="1"/>
    <cfRule type="expression" dxfId="79" priority="19" stopIfTrue="1">
      <formula>AND(COUNTIF($B$17:$B$65453,C21)+COUNTIF($B$1:$B$3,C21)&gt;1,NOT(ISBLANK(C21)))</formula>
    </cfRule>
    <cfRule type="expression" dxfId="78" priority="21" stopIfTrue="1">
      <formula>AND(COUNTIF($B$28:$B$65404,C21)+COUNTIF($B$1:$B$27,C21)&gt;1,NOT(ISBLANK(C21)))</formula>
    </cfRule>
    <cfRule type="expression" dxfId="77" priority="23" stopIfTrue="1">
      <formula>AND(COUNTIF($B$17:$B$65442,C21)+COUNTIF($B$1:$B$3,C21)&gt;1,NOT(ISBLANK(C21)))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T33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16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9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1.453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>
        <f>U4/2</f>
        <v>1009.8</v>
      </c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124</v>
      </c>
      <c r="D4" s="25" t="s">
        <v>125</v>
      </c>
      <c r="E4" s="25" t="s">
        <v>126</v>
      </c>
      <c r="F4" s="26" t="str">
        <f t="shared" ref="F4:F16" si="0">IF(MOD(MID(E4,17,1),2)=1,"男","女")</f>
        <v>女</v>
      </c>
      <c r="G4" s="27">
        <v>19801207903</v>
      </c>
      <c r="H4" s="28"/>
      <c r="I4" s="28"/>
      <c r="J4" s="86"/>
      <c r="K4" s="28"/>
      <c r="L4" s="54">
        <v>11000</v>
      </c>
      <c r="M4" s="55">
        <v>428.8</v>
      </c>
      <c r="N4" s="55">
        <v>110.2</v>
      </c>
      <c r="O4" s="55">
        <v>26.8</v>
      </c>
      <c r="P4" s="55">
        <v>444</v>
      </c>
      <c r="Q4" s="69">
        <f t="shared" ref="Q4:Q16" si="1">ROUND(SUM(M4:P4),2)</f>
        <v>1009.8</v>
      </c>
      <c r="R4" s="54">
        <v>0</v>
      </c>
      <c r="S4" s="70">
        <f>L4+IFERROR(VLOOKUP($E:$E,'（居民）工资表-1月'!$E:$S,15,0),0)</f>
        <v>22000</v>
      </c>
      <c r="T4" s="71">
        <f>5000+IFERROR(VLOOKUP($E:$E,'（居民）工资表-1月'!$E:$T,16,0),0)</f>
        <v>10000</v>
      </c>
      <c r="U4" s="71">
        <f>Q4+IFERROR(VLOOKUP($E:$E,'（居民）工资表-1月'!$E:$U,17,0),0)</f>
        <v>2019.6</v>
      </c>
      <c r="V4" s="54"/>
      <c r="W4" s="54"/>
      <c r="X4" s="54"/>
      <c r="Y4" s="54"/>
      <c r="Z4" s="54"/>
      <c r="AA4" s="54"/>
      <c r="AB4" s="70">
        <f t="shared" ref="AB4:AB16" si="2">ROUND(SUM(V4:AA4),2)</f>
        <v>0</v>
      </c>
      <c r="AC4" s="70">
        <f>R4+IFERROR(VLOOKUP($E:$E,'（居民）工资表-1月'!$E:$AC,25,0),0)</f>
        <v>0</v>
      </c>
      <c r="AD4" s="72">
        <f t="shared" ref="AD4:AD16" si="3">ROUND(S4-T4-U4-AB4-AC4,2)</f>
        <v>9980.4</v>
      </c>
      <c r="AE4" s="73">
        <f>ROUND(MAX((AD4)*{0.03;0.1;0.2;0.25;0.3;0.35;0.45}-{0;2520;16920;31920;52920;85920;181920},0),2)</f>
        <v>299.41000000000003</v>
      </c>
      <c r="AF4" s="74">
        <f>IFERROR(VLOOKUP(E:E,'（居民）工资表-1月'!E:AF,28,0)+VLOOKUP(E:E,'（居民）工资表-1月'!E:AG,29,0),0)</f>
        <v>149.71</v>
      </c>
      <c r="AG4" s="74">
        <f t="shared" ref="AG4:AG16" si="4">IF((AE4-AF4)&lt;0,0,AE4-AF4)</f>
        <v>149.70000000000002</v>
      </c>
      <c r="AH4" s="77">
        <f t="shared" ref="AH4:AH16" si="5">ROUND(IF((L4-Q4-AG4)&lt;0,0,(L4-Q4-AG4)),2)</f>
        <v>9840.5</v>
      </c>
      <c r="AI4" s="78"/>
      <c r="AJ4" s="77">
        <f t="shared" ref="AJ4:AJ16" si="6">AH4+AI4</f>
        <v>9840.5</v>
      </c>
      <c r="AK4" s="79"/>
      <c r="AL4" s="77">
        <f t="shared" ref="AL4:AL16" si="7">AJ4+AG4+AK4</f>
        <v>9990.2000000000007</v>
      </c>
      <c r="AM4" s="79"/>
      <c r="AN4" s="79"/>
      <c r="AO4" s="79"/>
      <c r="AP4" s="79"/>
      <c r="AQ4" s="79"/>
      <c r="AR4" s="84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6" si="9">IF(SUMPRODUCT(N(E$1:E$16=E4))&gt;1,"重复","不")</f>
        <v>不</v>
      </c>
      <c r="AT4" s="84" t="str">
        <f t="shared" ref="AT4:AT16" si="10">IF(SUMPRODUCT(N(AO$1:AO$16=AO4))&gt;1,"重复","不")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127</v>
      </c>
      <c r="D5" s="25" t="s">
        <v>125</v>
      </c>
      <c r="E5" s="25" t="s">
        <v>128</v>
      </c>
      <c r="F5" s="26" t="str">
        <f t="shared" si="0"/>
        <v>男</v>
      </c>
      <c r="G5" s="27">
        <v>13288877699</v>
      </c>
      <c r="H5" s="28"/>
      <c r="I5" s="28"/>
      <c r="J5" s="86"/>
      <c r="K5" s="28"/>
      <c r="L5" s="54">
        <v>11000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si="1"/>
        <v>1009.8</v>
      </c>
      <c r="R5" s="54">
        <v>0</v>
      </c>
      <c r="S5" s="70">
        <f>L5+IFERROR(VLOOKUP($E:$E,'（居民）工资表-1月'!$E:$S,15,0),0)</f>
        <v>22000</v>
      </c>
      <c r="T5" s="71">
        <f>5000+IFERROR(VLOOKUP($E:$E,'（居民）工资表-1月'!$E:$T,16,0),0)</f>
        <v>10000</v>
      </c>
      <c r="U5" s="71">
        <f>Q5+IFERROR(VLOOKUP($E:$E,'（居民）工资表-1月'!$E:$U,17,0),0)</f>
        <v>2019.6</v>
      </c>
      <c r="V5" s="54"/>
      <c r="W5" s="54"/>
      <c r="X5" s="54"/>
      <c r="Y5" s="54"/>
      <c r="Z5" s="54"/>
      <c r="AA5" s="54"/>
      <c r="AB5" s="70">
        <f t="shared" si="2"/>
        <v>0</v>
      </c>
      <c r="AC5" s="70">
        <f>R5+IFERROR(VLOOKUP($E:$E,'（居民）工资表-1月'!$E:$AC,25,0),0)</f>
        <v>0</v>
      </c>
      <c r="AD5" s="72">
        <f t="shared" si="3"/>
        <v>9980.4</v>
      </c>
      <c r="AE5" s="73">
        <f>ROUND(MAX((AD5)*{0.03;0.1;0.2;0.25;0.3;0.35;0.45}-{0;2520;16920;31920;52920;85920;181920},0),2)</f>
        <v>299.41000000000003</v>
      </c>
      <c r="AF5" s="74">
        <f>IFERROR(VLOOKUP(E:E,'（居民）工资表-1月'!E:AF,28,0)+VLOOKUP(E:E,'（居民）工资表-1月'!E:AG,29,0),0)</f>
        <v>149.71</v>
      </c>
      <c r="AG5" s="74">
        <f t="shared" si="4"/>
        <v>149.70000000000002</v>
      </c>
      <c r="AH5" s="77">
        <f t="shared" si="5"/>
        <v>9840.5</v>
      </c>
      <c r="AI5" s="78"/>
      <c r="AJ5" s="77">
        <f t="shared" si="6"/>
        <v>9840.5</v>
      </c>
      <c r="AK5" s="79"/>
      <c r="AL5" s="77">
        <f t="shared" si="7"/>
        <v>9990.2000000000007</v>
      </c>
      <c r="AM5" s="79"/>
      <c r="AN5" s="79"/>
      <c r="AO5" s="79"/>
      <c r="AP5" s="79"/>
      <c r="AQ5" s="79"/>
      <c r="AR5" s="84" t="str">
        <f t="shared" si="8"/>
        <v>正确</v>
      </c>
      <c r="AS5" s="84" t="str">
        <f t="shared" si="9"/>
        <v>不</v>
      </c>
      <c r="AT5" s="84" t="str">
        <f t="shared" si="10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86"/>
      <c r="K6" s="28"/>
      <c r="L6" s="54">
        <v>12000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1"/>
        <v>1009.8</v>
      </c>
      <c r="R6" s="54">
        <v>0</v>
      </c>
      <c r="S6" s="70">
        <f>L6+IFERROR(VLOOKUP($E:$E,'（居民）工资表-1月'!$E:$S,15,0),0)</f>
        <v>24000</v>
      </c>
      <c r="T6" s="71">
        <f>5000+IFERROR(VLOOKUP($E:$E,'（居民）工资表-1月'!$E:$T,16,0),0)</f>
        <v>10000</v>
      </c>
      <c r="U6" s="71">
        <f>Q6+IFERROR(VLOOKUP($E:$E,'（居民）工资表-1月'!$E:$U,17,0),0)</f>
        <v>2019.6</v>
      </c>
      <c r="V6" s="54"/>
      <c r="W6" s="54"/>
      <c r="X6" s="54"/>
      <c r="Y6" s="54"/>
      <c r="Z6" s="54"/>
      <c r="AA6" s="54"/>
      <c r="AB6" s="70">
        <f t="shared" si="2"/>
        <v>0</v>
      </c>
      <c r="AC6" s="70">
        <f>R6+IFERROR(VLOOKUP($E:$E,'（居民）工资表-1月'!$E:$AC,25,0),0)</f>
        <v>0</v>
      </c>
      <c r="AD6" s="72">
        <f t="shared" si="3"/>
        <v>11980.4</v>
      </c>
      <c r="AE6" s="73">
        <f>ROUND(MAX((AD6)*{0.03;0.1;0.2;0.25;0.3;0.35;0.45}-{0;2520;16920;31920;52920;85920;181920},0),2)</f>
        <v>359.41</v>
      </c>
      <c r="AF6" s="74">
        <f>IFERROR(VLOOKUP(E:E,'（居民）工资表-1月'!E:AF,28,0)+VLOOKUP(E:E,'（居民）工资表-1月'!E:AG,29,0),0)</f>
        <v>179.71</v>
      </c>
      <c r="AG6" s="74">
        <f t="shared" si="4"/>
        <v>179.70000000000002</v>
      </c>
      <c r="AH6" s="77">
        <f t="shared" si="5"/>
        <v>10810.5</v>
      </c>
      <c r="AI6" s="78"/>
      <c r="AJ6" s="77">
        <f t="shared" si="6"/>
        <v>10810.5</v>
      </c>
      <c r="AK6" s="79"/>
      <c r="AL6" s="77">
        <f t="shared" si="7"/>
        <v>10990.2</v>
      </c>
      <c r="AM6" s="79"/>
      <c r="AN6" s="79"/>
      <c r="AO6" s="79"/>
      <c r="AP6" s="79"/>
      <c r="AQ6" s="79"/>
      <c r="AR6" s="84" t="str">
        <f t="shared" si="8"/>
        <v>正确</v>
      </c>
      <c r="AS6" s="84" t="str">
        <f t="shared" si="9"/>
        <v>不</v>
      </c>
      <c r="AT6" s="84" t="str">
        <f t="shared" si="10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135</v>
      </c>
      <c r="D7" s="25" t="s">
        <v>125</v>
      </c>
      <c r="E7" s="25" t="s">
        <v>136</v>
      </c>
      <c r="F7" s="26" t="str">
        <f t="shared" si="0"/>
        <v>男</v>
      </c>
      <c r="G7" s="27">
        <v>15652649555</v>
      </c>
      <c r="H7" s="28"/>
      <c r="I7" s="28"/>
      <c r="J7" s="86"/>
      <c r="K7" s="28"/>
      <c r="L7" s="54">
        <v>10000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1"/>
        <v>1009.8</v>
      </c>
      <c r="R7" s="54">
        <v>0</v>
      </c>
      <c r="S7" s="70">
        <f>L7+IFERROR(VLOOKUP($E:$E,'（居民）工资表-1月'!$E:$S,15,0),0)</f>
        <v>20000</v>
      </c>
      <c r="T7" s="71">
        <f>5000+IFERROR(VLOOKUP($E:$E,'（居民）工资表-1月'!$E:$T,16,0),0)</f>
        <v>10000</v>
      </c>
      <c r="U7" s="71">
        <f>Q7+IFERROR(VLOOKUP($E:$E,'（居民）工资表-1月'!$E:$U,17,0),0)</f>
        <v>2019.6</v>
      </c>
      <c r="V7" s="54"/>
      <c r="W7" s="54"/>
      <c r="X7" s="54"/>
      <c r="Y7" s="54"/>
      <c r="Z7" s="54"/>
      <c r="AA7" s="54"/>
      <c r="AB7" s="70">
        <f t="shared" si="2"/>
        <v>0</v>
      </c>
      <c r="AC7" s="70">
        <f>R7+IFERROR(VLOOKUP($E:$E,'（居民）工资表-1月'!$E:$AC,25,0),0)</f>
        <v>0</v>
      </c>
      <c r="AD7" s="72">
        <f t="shared" si="3"/>
        <v>7980.4</v>
      </c>
      <c r="AE7" s="73">
        <f>ROUND(MAX((AD7)*{0.03;0.1;0.2;0.25;0.3;0.35;0.45}-{0;2520;16920;31920;52920;85920;181920},0),2)</f>
        <v>239.41</v>
      </c>
      <c r="AF7" s="74">
        <f>IFERROR(VLOOKUP(E:E,'（居民）工资表-1月'!E:AF,28,0)+VLOOKUP(E:E,'（居民）工资表-1月'!E:AG,29,0),0)</f>
        <v>119.71</v>
      </c>
      <c r="AG7" s="74">
        <f t="shared" si="4"/>
        <v>119.7</v>
      </c>
      <c r="AH7" s="77">
        <f t="shared" si="5"/>
        <v>8870.5</v>
      </c>
      <c r="AI7" s="78"/>
      <c r="AJ7" s="77">
        <f t="shared" si="6"/>
        <v>8870.5</v>
      </c>
      <c r="AK7" s="79"/>
      <c r="AL7" s="77">
        <f t="shared" si="7"/>
        <v>8990.2000000000007</v>
      </c>
      <c r="AM7" s="79"/>
      <c r="AN7" s="79"/>
      <c r="AO7" s="79"/>
      <c r="AP7" s="79"/>
      <c r="AQ7" s="79"/>
      <c r="AR7" s="84" t="str">
        <f t="shared" si="8"/>
        <v>正确</v>
      </c>
      <c r="AS7" s="84" t="str">
        <f t="shared" si="9"/>
        <v>不</v>
      </c>
      <c r="AT7" s="84" t="str">
        <f t="shared" si="10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137</v>
      </c>
      <c r="D8" s="25" t="s">
        <v>125</v>
      </c>
      <c r="E8" s="219" t="s">
        <v>138</v>
      </c>
      <c r="F8" s="26" t="str">
        <f t="shared" si="0"/>
        <v>男</v>
      </c>
      <c r="G8" s="27">
        <v>17611149839</v>
      </c>
      <c r="H8" s="28"/>
      <c r="I8" s="28"/>
      <c r="J8" s="86"/>
      <c r="K8" s="28"/>
      <c r="L8" s="54">
        <v>10000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1"/>
        <v>1009.8</v>
      </c>
      <c r="R8" s="54">
        <v>0</v>
      </c>
      <c r="S8" s="70">
        <f>L8+IFERROR(VLOOKUP($E:$E,'（居民）工资表-1月'!$E:$S,15,0),0)</f>
        <v>18000</v>
      </c>
      <c r="T8" s="71">
        <f>5000+IFERROR(VLOOKUP($E:$E,'（居民）工资表-1月'!$E:$T,16,0),0)</f>
        <v>10000</v>
      </c>
      <c r="U8" s="71">
        <f>Q8+IFERROR(VLOOKUP($E:$E,'（居民）工资表-1月'!$E:$U,17,0),0)</f>
        <v>2019.6</v>
      </c>
      <c r="V8" s="54"/>
      <c r="W8" s="54"/>
      <c r="X8" s="54"/>
      <c r="Y8" s="54"/>
      <c r="Z8" s="54"/>
      <c r="AA8" s="54"/>
      <c r="AB8" s="70">
        <f t="shared" si="2"/>
        <v>0</v>
      </c>
      <c r="AC8" s="70">
        <f>R8+IFERROR(VLOOKUP($E:$E,'（居民）工资表-1月'!$E:$AC,25,0),0)</f>
        <v>0</v>
      </c>
      <c r="AD8" s="72">
        <f t="shared" si="3"/>
        <v>5980.4</v>
      </c>
      <c r="AE8" s="73">
        <f>ROUND(MAX((AD8)*{0.03;0.1;0.2;0.25;0.3;0.35;0.45}-{0;2520;16920;31920;52920;85920;181920},0),2)</f>
        <v>179.41</v>
      </c>
      <c r="AF8" s="74">
        <f>IFERROR(VLOOKUP(E:E,'（居民）工资表-1月'!E:AF,28,0)+VLOOKUP(E:E,'（居民）工资表-1月'!E:AG,29,0),0)</f>
        <v>59.71</v>
      </c>
      <c r="AG8" s="74">
        <f t="shared" si="4"/>
        <v>119.69999999999999</v>
      </c>
      <c r="AH8" s="77">
        <f t="shared" si="5"/>
        <v>8870.5</v>
      </c>
      <c r="AI8" s="78"/>
      <c r="AJ8" s="77">
        <f t="shared" si="6"/>
        <v>8870.5</v>
      </c>
      <c r="AK8" s="79"/>
      <c r="AL8" s="77">
        <f t="shared" si="7"/>
        <v>8990.2000000000007</v>
      </c>
      <c r="AM8" s="79"/>
      <c r="AN8" s="79"/>
      <c r="AO8" s="79"/>
      <c r="AP8" s="79"/>
      <c r="AQ8" s="79"/>
      <c r="AR8" s="84" t="str">
        <f t="shared" si="8"/>
        <v>正确</v>
      </c>
      <c r="AS8" s="84" t="str">
        <f t="shared" si="9"/>
        <v>不</v>
      </c>
      <c r="AT8" s="84" t="str">
        <f t="shared" si="10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139</v>
      </c>
      <c r="D9" s="25" t="s">
        <v>125</v>
      </c>
      <c r="E9" s="219" t="s">
        <v>140</v>
      </c>
      <c r="F9" s="26" t="str">
        <f t="shared" si="0"/>
        <v>男</v>
      </c>
      <c r="G9" s="27">
        <v>13596154643</v>
      </c>
      <c r="H9" s="28"/>
      <c r="I9" s="28"/>
      <c r="J9" s="86"/>
      <c r="K9" s="28"/>
      <c r="L9" s="54">
        <v>10000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1"/>
        <v>1009.8</v>
      </c>
      <c r="R9" s="54">
        <v>0</v>
      </c>
      <c r="S9" s="70">
        <f>L9+IFERROR(VLOOKUP($E:$E,'（居民）工资表-1月'!$E:$S,15,0),0)</f>
        <v>20000</v>
      </c>
      <c r="T9" s="71">
        <f>5000+IFERROR(VLOOKUP($E:$E,'（居民）工资表-1月'!$E:$T,16,0),0)</f>
        <v>10000</v>
      </c>
      <c r="U9" s="71">
        <f>Q9+IFERROR(VLOOKUP($E:$E,'（居民）工资表-1月'!$E:$U,17,0),0)</f>
        <v>2019.6</v>
      </c>
      <c r="V9" s="54"/>
      <c r="W9" s="54"/>
      <c r="X9" s="54"/>
      <c r="Y9" s="54"/>
      <c r="Z9" s="54"/>
      <c r="AA9" s="54"/>
      <c r="AB9" s="70">
        <f t="shared" si="2"/>
        <v>0</v>
      </c>
      <c r="AC9" s="70">
        <f>R9+IFERROR(VLOOKUP($E:$E,'（居民）工资表-1月'!$E:$AC,25,0),0)</f>
        <v>0</v>
      </c>
      <c r="AD9" s="72">
        <f t="shared" si="3"/>
        <v>7980.4</v>
      </c>
      <c r="AE9" s="73">
        <f>ROUND(MAX((AD9)*{0.03;0.1;0.2;0.25;0.3;0.35;0.45}-{0;2520;16920;31920;52920;85920;181920},0),2)</f>
        <v>239.41</v>
      </c>
      <c r="AF9" s="74">
        <f>IFERROR(VLOOKUP(E:E,'（居民）工资表-1月'!E:AF,28,0)+VLOOKUP(E:E,'（居民）工资表-1月'!E:AG,29,0),0)</f>
        <v>119.71</v>
      </c>
      <c r="AG9" s="74">
        <f t="shared" si="4"/>
        <v>119.7</v>
      </c>
      <c r="AH9" s="77">
        <f t="shared" si="5"/>
        <v>8870.5</v>
      </c>
      <c r="AI9" s="78"/>
      <c r="AJ9" s="77">
        <f t="shared" si="6"/>
        <v>8870.5</v>
      </c>
      <c r="AK9" s="79"/>
      <c r="AL9" s="77">
        <f t="shared" si="7"/>
        <v>8990.2000000000007</v>
      </c>
      <c r="AM9" s="79"/>
      <c r="AN9" s="79"/>
      <c r="AO9" s="79"/>
      <c r="AP9" s="79"/>
      <c r="AQ9" s="79"/>
      <c r="AR9" s="84" t="str">
        <f t="shared" si="8"/>
        <v>正确</v>
      </c>
      <c r="AS9" s="84" t="str">
        <f t="shared" si="9"/>
        <v>不</v>
      </c>
      <c r="AT9" s="84" t="str">
        <f t="shared" si="10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143</v>
      </c>
      <c r="D10" s="25" t="s">
        <v>125</v>
      </c>
      <c r="E10" s="219" t="s">
        <v>144</v>
      </c>
      <c r="F10" s="26" t="str">
        <f t="shared" si="0"/>
        <v>男</v>
      </c>
      <c r="G10" s="27">
        <v>13626366929</v>
      </c>
      <c r="H10" s="28"/>
      <c r="I10" s="28"/>
      <c r="J10" s="86"/>
      <c r="K10" s="28"/>
      <c r="L10" s="54">
        <v>14220.344827586199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1"/>
        <v>1009.8</v>
      </c>
      <c r="R10" s="54">
        <v>0</v>
      </c>
      <c r="S10" s="70">
        <f>L10+IFERROR(VLOOKUP($E:$E,'（居民）工资表-1月'!$E:$S,15,0),0)</f>
        <v>30599.655172413797</v>
      </c>
      <c r="T10" s="71">
        <f>5000+IFERROR(VLOOKUP($E:$E,'（居民）工资表-1月'!$E:$T,16,0),0)</f>
        <v>10000</v>
      </c>
      <c r="U10" s="71">
        <f>Q10+IFERROR(VLOOKUP($E:$E,'（居民）工资表-1月'!$E:$U,17,0),0)</f>
        <v>2019.6</v>
      </c>
      <c r="V10" s="54"/>
      <c r="W10" s="54"/>
      <c r="X10" s="54"/>
      <c r="Y10" s="54"/>
      <c r="Z10" s="54"/>
      <c r="AA10" s="54"/>
      <c r="AB10" s="70">
        <f t="shared" si="2"/>
        <v>0</v>
      </c>
      <c r="AC10" s="70">
        <f>R10+IFERROR(VLOOKUP($E:$E,'（居民）工资表-1月'!$E:$AC,25,0),0)</f>
        <v>0</v>
      </c>
      <c r="AD10" s="72">
        <f t="shared" si="3"/>
        <v>18580.060000000001</v>
      </c>
      <c r="AE10" s="73">
        <f>ROUND(MAX((AD10)*{0.03;0.1;0.2;0.25;0.3;0.35;0.45}-{0;2520;16920;31920;52920;85920;181920},0),2)</f>
        <v>557.4</v>
      </c>
      <c r="AF10" s="74">
        <f>IFERROR(VLOOKUP(E:E,'（居民）工资表-1月'!E:AF,28,0)+VLOOKUP(E:E,'（居民）工资表-1月'!E:AG,29,0),0)</f>
        <v>311.08999999999997</v>
      </c>
      <c r="AG10" s="74">
        <f t="shared" si="4"/>
        <v>246.31</v>
      </c>
      <c r="AH10" s="77">
        <f t="shared" si="5"/>
        <v>12964.23</v>
      </c>
      <c r="AI10" s="78"/>
      <c r="AJ10" s="77">
        <f t="shared" si="6"/>
        <v>12964.23</v>
      </c>
      <c r="AK10" s="79"/>
      <c r="AL10" s="77">
        <f t="shared" si="7"/>
        <v>13210.539999999999</v>
      </c>
      <c r="AM10" s="79"/>
      <c r="AN10" s="79"/>
      <c r="AO10" s="79"/>
      <c r="AP10" s="79"/>
      <c r="AQ10" s="79"/>
      <c r="AR10" s="84" t="str">
        <f t="shared" si="8"/>
        <v>正确</v>
      </c>
      <c r="AS10" s="84" t="str">
        <f t="shared" si="9"/>
        <v>不</v>
      </c>
      <c r="AT10" s="84" t="str">
        <f t="shared" si="10"/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145</v>
      </c>
      <c r="D11" s="25" t="s">
        <v>125</v>
      </c>
      <c r="E11" s="219" t="s">
        <v>146</v>
      </c>
      <c r="F11" s="26" t="str">
        <f t="shared" si="0"/>
        <v>女</v>
      </c>
      <c r="G11" s="27">
        <v>15201493035</v>
      </c>
      <c r="H11" s="28"/>
      <c r="I11" s="28"/>
      <c r="J11" s="86"/>
      <c r="K11" s="28"/>
      <c r="L11" s="54">
        <v>10444.2528735632</v>
      </c>
      <c r="M11" s="55">
        <v>428.8</v>
      </c>
      <c r="N11" s="55">
        <v>110.2</v>
      </c>
      <c r="O11" s="55">
        <v>26.8</v>
      </c>
      <c r="P11" s="55">
        <v>444</v>
      </c>
      <c r="Q11" s="69">
        <f t="shared" si="1"/>
        <v>1009.8</v>
      </c>
      <c r="R11" s="54">
        <v>0</v>
      </c>
      <c r="S11" s="70">
        <f>L11+IFERROR(VLOOKUP($E:$E,'（居民）工资表-1月'!$E:$S,15,0),0)</f>
        <v>20559.195402298799</v>
      </c>
      <c r="T11" s="71">
        <f>5000+IFERROR(VLOOKUP($E:$E,'（居民）工资表-1月'!$E:$T,16,0),0)</f>
        <v>10000</v>
      </c>
      <c r="U11" s="71">
        <f>Q11+IFERROR(VLOOKUP($E:$E,'（居民）工资表-1月'!$E:$U,17,0),0)</f>
        <v>2019.6</v>
      </c>
      <c r="V11" s="54"/>
      <c r="W11" s="54"/>
      <c r="X11" s="54"/>
      <c r="Y11" s="54"/>
      <c r="Z11" s="54"/>
      <c r="AA11" s="54"/>
      <c r="AB11" s="70">
        <f t="shared" si="2"/>
        <v>0</v>
      </c>
      <c r="AC11" s="70">
        <f>R11+IFERROR(VLOOKUP($E:$E,'（居民）工资表-1月'!$E:$AC,25,0),0)</f>
        <v>0</v>
      </c>
      <c r="AD11" s="72">
        <f t="shared" si="3"/>
        <v>8539.6</v>
      </c>
      <c r="AE11" s="73">
        <f>ROUND(MAX((AD11)*{0.03;0.1;0.2;0.25;0.3;0.35;0.45}-{0;2520;16920;31920;52920;85920;181920},0),2)</f>
        <v>256.19</v>
      </c>
      <c r="AF11" s="74">
        <f>IFERROR(VLOOKUP(E:E,'（居民）工资表-1月'!E:AF,28,0)+VLOOKUP(E:E,'（居民）工资表-1月'!E:AG,29,0),0)</f>
        <v>123.15</v>
      </c>
      <c r="AG11" s="74">
        <f t="shared" si="4"/>
        <v>133.04</v>
      </c>
      <c r="AH11" s="77">
        <f t="shared" si="5"/>
        <v>9301.41</v>
      </c>
      <c r="AI11" s="78"/>
      <c r="AJ11" s="77">
        <f t="shared" si="6"/>
        <v>9301.41</v>
      </c>
      <c r="AK11" s="79"/>
      <c r="AL11" s="77">
        <f t="shared" si="7"/>
        <v>9434.4500000000007</v>
      </c>
      <c r="AM11" s="79"/>
      <c r="AN11" s="79"/>
      <c r="AO11" s="79"/>
      <c r="AP11" s="79"/>
      <c r="AQ11" s="79"/>
      <c r="AR11" s="84" t="str">
        <f t="shared" si="8"/>
        <v>正确</v>
      </c>
      <c r="AS11" s="84" t="str">
        <f t="shared" si="9"/>
        <v>不</v>
      </c>
      <c r="AT11" s="84" t="str">
        <f t="shared" si="10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147</v>
      </c>
      <c r="D12" s="25" t="s">
        <v>125</v>
      </c>
      <c r="E12" s="219" t="s">
        <v>148</v>
      </c>
      <c r="F12" s="26" t="str">
        <f t="shared" si="0"/>
        <v>女</v>
      </c>
      <c r="G12" s="27">
        <v>18674014622</v>
      </c>
      <c r="H12" s="28"/>
      <c r="I12" s="28"/>
      <c r="J12" s="86"/>
      <c r="K12" s="28"/>
      <c r="L12" s="54">
        <v>10000</v>
      </c>
      <c r="M12" s="55">
        <v>428.8</v>
      </c>
      <c r="N12" s="55">
        <v>110.2</v>
      </c>
      <c r="O12" s="55">
        <v>26.8</v>
      </c>
      <c r="P12" s="55">
        <v>600</v>
      </c>
      <c r="Q12" s="69">
        <f t="shared" si="1"/>
        <v>1165.8</v>
      </c>
      <c r="R12" s="54">
        <v>0</v>
      </c>
      <c r="S12" s="70">
        <f>L12+IFERROR(VLOOKUP($E:$E,'（居民）工资表-1月'!$E:$S,15,0),0)</f>
        <v>18275.862068965522</v>
      </c>
      <c r="T12" s="71">
        <f>5000+IFERROR(VLOOKUP($E:$E,'（居民）工资表-1月'!$E:$T,16,0),0)</f>
        <v>10000</v>
      </c>
      <c r="U12" s="71">
        <f>Q12+IFERROR(VLOOKUP($E:$E,'（居民）工资表-1月'!$E:$U,17,0),0)</f>
        <v>2331.6</v>
      </c>
      <c r="V12" s="54"/>
      <c r="W12" s="54"/>
      <c r="X12" s="54"/>
      <c r="Y12" s="54"/>
      <c r="Z12" s="54"/>
      <c r="AA12" s="54"/>
      <c r="AB12" s="70">
        <f t="shared" si="2"/>
        <v>0</v>
      </c>
      <c r="AC12" s="70">
        <f>R12+IFERROR(VLOOKUP($E:$E,'（居民）工资表-1月'!$E:$AC,25,0),0)</f>
        <v>0</v>
      </c>
      <c r="AD12" s="72">
        <f t="shared" si="3"/>
        <v>5944.26</v>
      </c>
      <c r="AE12" s="73">
        <f>ROUND(MAX((AD12)*{0.03;0.1;0.2;0.25;0.3;0.35;0.45}-{0;2520;16920;31920;52920;85920;181920},0),2)</f>
        <v>178.33</v>
      </c>
      <c r="AF12" s="74">
        <f>IFERROR(VLOOKUP(E:E,'（居民）工资表-1月'!E:AF,28,0)+VLOOKUP(E:E,'（居民）工资表-1月'!E:AG,29,0),0)</f>
        <v>63.3</v>
      </c>
      <c r="AG12" s="74">
        <f t="shared" si="4"/>
        <v>115.03000000000002</v>
      </c>
      <c r="AH12" s="77">
        <f t="shared" si="5"/>
        <v>8719.17</v>
      </c>
      <c r="AI12" s="78"/>
      <c r="AJ12" s="77">
        <f t="shared" si="6"/>
        <v>8719.17</v>
      </c>
      <c r="AK12" s="79"/>
      <c r="AL12" s="77">
        <f t="shared" si="7"/>
        <v>8834.2000000000007</v>
      </c>
      <c r="AM12" s="79"/>
      <c r="AN12" s="79"/>
      <c r="AO12" s="79"/>
      <c r="AP12" s="79"/>
      <c r="AQ12" s="79"/>
      <c r="AR12" s="84" t="str">
        <f t="shared" si="8"/>
        <v>正确</v>
      </c>
      <c r="AS12" s="84" t="str">
        <f t="shared" si="9"/>
        <v>不</v>
      </c>
      <c r="AT12" s="84" t="str">
        <f t="shared" si="10"/>
        <v>重复</v>
      </c>
    </row>
    <row r="13" spans="1:46" s="10" customFormat="1" ht="18" customHeight="1">
      <c r="A13" s="24">
        <v>10</v>
      </c>
      <c r="B13" s="25" t="s">
        <v>123</v>
      </c>
      <c r="C13" s="25" t="s">
        <v>149</v>
      </c>
      <c r="D13" s="25" t="s">
        <v>125</v>
      </c>
      <c r="E13" s="219" t="s">
        <v>150</v>
      </c>
      <c r="F13" s="26" t="str">
        <f t="shared" si="0"/>
        <v>女</v>
      </c>
      <c r="G13" s="27">
        <v>15145001723</v>
      </c>
      <c r="H13" s="28"/>
      <c r="I13" s="28"/>
      <c r="J13" s="86"/>
      <c r="K13" s="28"/>
      <c r="L13" s="54">
        <v>9540.2298850574698</v>
      </c>
      <c r="M13" s="55">
        <v>428.8</v>
      </c>
      <c r="N13" s="55">
        <v>110.2</v>
      </c>
      <c r="O13" s="55">
        <v>26.8</v>
      </c>
      <c r="P13" s="55">
        <v>444</v>
      </c>
      <c r="Q13" s="69">
        <f t="shared" si="1"/>
        <v>1009.8</v>
      </c>
      <c r="R13" s="54">
        <v>0</v>
      </c>
      <c r="S13" s="70">
        <f>L13+IFERROR(VLOOKUP($E:$E,'（居民）工资表-1月'!$E:$S,15,0),0)</f>
        <v>13218.3908045977</v>
      </c>
      <c r="T13" s="71">
        <f>5000+IFERROR(VLOOKUP($E:$E,'（居民）工资表-1月'!$E:$T,16,0),0)</f>
        <v>10000</v>
      </c>
      <c r="U13" s="71">
        <f>Q13+IFERROR(VLOOKUP($E:$E,'（居民）工资表-1月'!$E:$U,17,0),0)</f>
        <v>1009.8</v>
      </c>
      <c r="V13" s="54"/>
      <c r="W13" s="54"/>
      <c r="X13" s="54"/>
      <c r="Y13" s="54"/>
      <c r="Z13" s="54"/>
      <c r="AA13" s="54"/>
      <c r="AB13" s="70">
        <f t="shared" si="2"/>
        <v>0</v>
      </c>
      <c r="AC13" s="70">
        <f>R13+IFERROR(VLOOKUP($E:$E,'（居民）工资表-1月'!$E:$AC,25,0),0)</f>
        <v>0</v>
      </c>
      <c r="AD13" s="72">
        <f t="shared" si="3"/>
        <v>2208.59</v>
      </c>
      <c r="AE13" s="73">
        <f>ROUND(MAX((AD13)*{0.03;0.1;0.2;0.25;0.3;0.35;0.45}-{0;2520;16920;31920;52920;85920;181920},0),2)</f>
        <v>66.260000000000005</v>
      </c>
      <c r="AF13" s="74">
        <f>IFERROR(VLOOKUP(E:E,'（居民）工资表-1月'!E:AF,28,0)+VLOOKUP(E:E,'（居民）工资表-1月'!E:AG,29,0),0)</f>
        <v>0</v>
      </c>
      <c r="AG13" s="74">
        <f t="shared" si="4"/>
        <v>66.260000000000005</v>
      </c>
      <c r="AH13" s="77">
        <f t="shared" si="5"/>
        <v>8464.17</v>
      </c>
      <c r="AI13" s="78"/>
      <c r="AJ13" s="77">
        <f t="shared" si="6"/>
        <v>8464.17</v>
      </c>
      <c r="AK13" s="79"/>
      <c r="AL13" s="77">
        <f t="shared" si="7"/>
        <v>8530.43</v>
      </c>
      <c r="AM13" s="79"/>
      <c r="AN13" s="79"/>
      <c r="AO13" s="79"/>
      <c r="AP13" s="79"/>
      <c r="AQ13" s="79"/>
      <c r="AR13" s="84" t="str">
        <f t="shared" si="8"/>
        <v>正确</v>
      </c>
      <c r="AS13" s="84" t="str">
        <f t="shared" si="9"/>
        <v>不</v>
      </c>
      <c r="AT13" s="84" t="str">
        <f t="shared" si="10"/>
        <v>重复</v>
      </c>
    </row>
    <row r="14" spans="1:46" s="10" customFormat="1" ht="18" customHeight="1">
      <c r="A14" s="24">
        <v>11</v>
      </c>
      <c r="B14" s="25" t="s">
        <v>123</v>
      </c>
      <c r="C14" s="25" t="s">
        <v>163</v>
      </c>
      <c r="D14" s="25" t="s">
        <v>125</v>
      </c>
      <c r="E14" s="219" t="s">
        <v>164</v>
      </c>
      <c r="F14" s="26" t="str">
        <f t="shared" si="0"/>
        <v>女</v>
      </c>
      <c r="G14" s="27">
        <v>15943200312</v>
      </c>
      <c r="H14" s="28"/>
      <c r="I14" s="28"/>
      <c r="J14" s="86"/>
      <c r="K14" s="28"/>
      <c r="L14" s="54">
        <v>11950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1"/>
        <v>1009.8</v>
      </c>
      <c r="R14" s="54">
        <v>0</v>
      </c>
      <c r="S14" s="70">
        <f>L14+IFERROR(VLOOKUP($E:$E,'（居民）工资表-1月'!$E:$S,15,0),0)</f>
        <v>11950</v>
      </c>
      <c r="T14" s="71">
        <f>5000+IFERROR(VLOOKUP($E:$E,'（居民）工资表-1月'!$E:$T,16,0),0)</f>
        <v>5000</v>
      </c>
      <c r="U14" s="71">
        <f>Q14+IFERROR(VLOOKUP($E:$E,'（居民）工资表-1月'!$E:$U,17,0),0)</f>
        <v>1009.8</v>
      </c>
      <c r="V14" s="54"/>
      <c r="W14" s="54"/>
      <c r="X14" s="54"/>
      <c r="Y14" s="54"/>
      <c r="Z14" s="54"/>
      <c r="AA14" s="54"/>
      <c r="AB14" s="70">
        <f t="shared" si="2"/>
        <v>0</v>
      </c>
      <c r="AC14" s="70">
        <f>R14+IFERROR(VLOOKUP($E:$E,'（居民）工资表-1月'!$E:$AC,25,0),0)</f>
        <v>0</v>
      </c>
      <c r="AD14" s="72">
        <f t="shared" si="3"/>
        <v>5940.2</v>
      </c>
      <c r="AE14" s="73">
        <f>ROUND(MAX((AD14)*{0.03;0.1;0.2;0.25;0.3;0.35;0.45}-{0;2520;16920;31920;52920;85920;181920},0),2)</f>
        <v>178.21</v>
      </c>
      <c r="AF14" s="74">
        <f>IFERROR(VLOOKUP(E:E,'（居民）工资表-1月'!E:AF,28,0)+VLOOKUP(E:E,'（居民）工资表-1月'!E:AG,29,0),0)</f>
        <v>0</v>
      </c>
      <c r="AG14" s="74">
        <f t="shared" si="4"/>
        <v>178.21</v>
      </c>
      <c r="AH14" s="77">
        <f t="shared" si="5"/>
        <v>10761.99</v>
      </c>
      <c r="AI14" s="78"/>
      <c r="AJ14" s="77">
        <f t="shared" si="6"/>
        <v>10761.99</v>
      </c>
      <c r="AK14" s="79"/>
      <c r="AL14" s="77">
        <f t="shared" si="7"/>
        <v>10940.199999999999</v>
      </c>
      <c r="AM14" s="79"/>
      <c r="AN14" s="79"/>
      <c r="AO14" s="79"/>
      <c r="AP14" s="79"/>
      <c r="AQ14" s="79"/>
      <c r="AR14" s="84" t="str">
        <f t="shared" si="8"/>
        <v>正确</v>
      </c>
      <c r="AS14" s="84" t="str">
        <f t="shared" si="9"/>
        <v>不</v>
      </c>
      <c r="AT14" s="84" t="str">
        <f t="shared" si="10"/>
        <v>重复</v>
      </c>
    </row>
    <row r="15" spans="1:46" s="10" customFormat="1" ht="18" customHeight="1">
      <c r="A15" s="24">
        <v>12</v>
      </c>
      <c r="B15" s="25" t="s">
        <v>123</v>
      </c>
      <c r="C15" s="25" t="s">
        <v>165</v>
      </c>
      <c r="D15" s="25" t="s">
        <v>125</v>
      </c>
      <c r="E15" s="219" t="s">
        <v>166</v>
      </c>
      <c r="F15" s="26" t="str">
        <f t="shared" si="0"/>
        <v>女</v>
      </c>
      <c r="G15" s="27">
        <v>18745463721</v>
      </c>
      <c r="H15" s="28"/>
      <c r="I15" s="28"/>
      <c r="J15" s="86"/>
      <c r="K15" s="28"/>
      <c r="L15" s="54">
        <v>8091.9540229885097</v>
      </c>
      <c r="M15" s="55">
        <v>428.8</v>
      </c>
      <c r="N15" s="55">
        <v>110.2</v>
      </c>
      <c r="O15" s="55">
        <v>26.8</v>
      </c>
      <c r="P15" s="55">
        <v>444</v>
      </c>
      <c r="Q15" s="69">
        <f t="shared" si="1"/>
        <v>1009.8</v>
      </c>
      <c r="R15" s="54">
        <v>0</v>
      </c>
      <c r="S15" s="70">
        <f>L15+IFERROR(VLOOKUP($E:$E,'（居民）工资表-1月'!$E:$S,15,0),0)</f>
        <v>8091.9540229885097</v>
      </c>
      <c r="T15" s="71">
        <f>5000+IFERROR(VLOOKUP($E:$E,'（居民）工资表-1月'!$E:$T,16,0),0)</f>
        <v>5000</v>
      </c>
      <c r="U15" s="71">
        <f>Q15+IFERROR(VLOOKUP($E:$E,'（居民）工资表-1月'!$E:$U,17,0),0)</f>
        <v>1009.8</v>
      </c>
      <c r="V15" s="54"/>
      <c r="W15" s="54"/>
      <c r="X15" s="54"/>
      <c r="Y15" s="54"/>
      <c r="Z15" s="54"/>
      <c r="AA15" s="54"/>
      <c r="AB15" s="70">
        <f t="shared" si="2"/>
        <v>0</v>
      </c>
      <c r="AC15" s="70">
        <f>R15+IFERROR(VLOOKUP($E:$E,'（居民）工资表-1月'!$E:$AC,25,0),0)</f>
        <v>0</v>
      </c>
      <c r="AD15" s="72">
        <f t="shared" si="3"/>
        <v>2082.15</v>
      </c>
      <c r="AE15" s="73">
        <f>ROUND(MAX((AD15)*{0.03;0.1;0.2;0.25;0.3;0.35;0.45}-{0;2520;16920;31920;52920;85920;181920},0),2)</f>
        <v>62.46</v>
      </c>
      <c r="AF15" s="74">
        <f>IFERROR(VLOOKUP(E:E,'（居民）工资表-1月'!E:AF,28,0)+VLOOKUP(E:E,'（居民）工资表-1月'!E:AG,29,0),0)</f>
        <v>0</v>
      </c>
      <c r="AG15" s="74">
        <f t="shared" si="4"/>
        <v>62.46</v>
      </c>
      <c r="AH15" s="77">
        <f t="shared" si="5"/>
        <v>7019.69</v>
      </c>
      <c r="AI15" s="78"/>
      <c r="AJ15" s="77">
        <f t="shared" si="6"/>
        <v>7019.69</v>
      </c>
      <c r="AK15" s="79"/>
      <c r="AL15" s="77">
        <f t="shared" si="7"/>
        <v>7082.15</v>
      </c>
      <c r="AM15" s="79"/>
      <c r="AN15" s="79"/>
      <c r="AO15" s="79"/>
      <c r="AP15" s="79"/>
      <c r="AQ15" s="79"/>
      <c r="AR15" s="84" t="str">
        <f t="shared" si="8"/>
        <v>正确</v>
      </c>
      <c r="AS15" s="84" t="str">
        <f t="shared" si="9"/>
        <v>不</v>
      </c>
      <c r="AT15" s="84" t="str">
        <f t="shared" si="10"/>
        <v>重复</v>
      </c>
    </row>
    <row r="16" spans="1:46" s="10" customFormat="1" ht="18" customHeight="1">
      <c r="A16" s="24">
        <v>13</v>
      </c>
      <c r="B16" s="25" t="s">
        <v>123</v>
      </c>
      <c r="C16" s="25" t="s">
        <v>167</v>
      </c>
      <c r="D16" s="25" t="s">
        <v>125</v>
      </c>
      <c r="E16" s="219" t="s">
        <v>168</v>
      </c>
      <c r="F16" s="26" t="str">
        <f t="shared" si="0"/>
        <v>女</v>
      </c>
      <c r="G16" s="27">
        <v>18935711299</v>
      </c>
      <c r="H16" s="28"/>
      <c r="I16" s="28"/>
      <c r="J16" s="86"/>
      <c r="K16" s="28"/>
      <c r="L16" s="54">
        <v>10000</v>
      </c>
      <c r="M16" s="55">
        <v>428.8</v>
      </c>
      <c r="N16" s="55">
        <v>110.2</v>
      </c>
      <c r="O16" s="55">
        <v>26.8</v>
      </c>
      <c r="P16" s="55">
        <v>444</v>
      </c>
      <c r="Q16" s="69">
        <f t="shared" si="1"/>
        <v>1009.8</v>
      </c>
      <c r="R16" s="54">
        <v>0</v>
      </c>
      <c r="S16" s="70">
        <f>L16+IFERROR(VLOOKUP($E:$E,'（居民）工资表-1月'!$E:$S,15,0),0)</f>
        <v>10000</v>
      </c>
      <c r="T16" s="71">
        <f>5000+IFERROR(VLOOKUP($E:$E,'（居民）工资表-1月'!$E:$T,16,0),0)</f>
        <v>5000</v>
      </c>
      <c r="U16" s="71">
        <f>Q16+IFERROR(VLOOKUP($E:$E,'（居民）工资表-1月'!$E:$U,17,0),0)</f>
        <v>1009.8</v>
      </c>
      <c r="V16" s="54"/>
      <c r="W16" s="54"/>
      <c r="X16" s="54"/>
      <c r="Y16" s="54"/>
      <c r="Z16" s="54"/>
      <c r="AA16" s="54"/>
      <c r="AB16" s="70">
        <f t="shared" si="2"/>
        <v>0</v>
      </c>
      <c r="AC16" s="70">
        <f>R16+IFERROR(VLOOKUP($E:$E,'（居民）工资表-1月'!$E:$AC,25,0),0)</f>
        <v>0</v>
      </c>
      <c r="AD16" s="72">
        <f t="shared" si="3"/>
        <v>3990.2</v>
      </c>
      <c r="AE16" s="73">
        <f>ROUND(MAX((AD16)*{0.03;0.1;0.2;0.25;0.3;0.35;0.45}-{0;2520;16920;31920;52920;85920;181920},0),2)</f>
        <v>119.71</v>
      </c>
      <c r="AF16" s="74">
        <f>IFERROR(VLOOKUP(E:E,'（居民）工资表-1月'!E:AF,28,0)+VLOOKUP(E:E,'（居民）工资表-1月'!E:AG,29,0),0)</f>
        <v>0</v>
      </c>
      <c r="AG16" s="74">
        <f t="shared" si="4"/>
        <v>119.71</v>
      </c>
      <c r="AH16" s="77">
        <f t="shared" si="5"/>
        <v>8870.49</v>
      </c>
      <c r="AI16" s="78"/>
      <c r="AJ16" s="77">
        <f t="shared" si="6"/>
        <v>8870.49</v>
      </c>
      <c r="AK16" s="79"/>
      <c r="AL16" s="77">
        <f t="shared" si="7"/>
        <v>8990.1999999999989</v>
      </c>
      <c r="AM16" s="79"/>
      <c r="AN16" s="79"/>
      <c r="AO16" s="79"/>
      <c r="AP16" s="79"/>
      <c r="AQ16" s="79"/>
      <c r="AR16" s="84" t="str">
        <f t="shared" si="8"/>
        <v>正确</v>
      </c>
      <c r="AS16" s="84" t="str">
        <f t="shared" si="9"/>
        <v>不</v>
      </c>
      <c r="AT16" s="84" t="str">
        <f t="shared" si="10"/>
        <v>重复</v>
      </c>
    </row>
    <row r="17" spans="1:46" s="11" customFormat="1" ht="18" customHeight="1">
      <c r="A17" s="31"/>
      <c r="B17" s="32" t="s">
        <v>151</v>
      </c>
      <c r="C17" s="32"/>
      <c r="D17" s="33"/>
      <c r="E17" s="34"/>
      <c r="F17" s="35"/>
      <c r="G17" s="36"/>
      <c r="H17" s="35"/>
      <c r="I17" s="56"/>
      <c r="J17" s="57"/>
      <c r="K17" s="56"/>
      <c r="L17" s="58">
        <f t="shared" ref="L17:AL17" si="11">SUM(L4:L16)</f>
        <v>138246.7816091954</v>
      </c>
      <c r="M17" s="58">
        <f t="shared" si="11"/>
        <v>5574.4000000000015</v>
      </c>
      <c r="N17" s="58">
        <f t="shared" si="11"/>
        <v>1432.6000000000004</v>
      </c>
      <c r="O17" s="58">
        <f t="shared" si="11"/>
        <v>348.40000000000009</v>
      </c>
      <c r="P17" s="58">
        <f t="shared" si="11"/>
        <v>5928</v>
      </c>
      <c r="Q17" s="58">
        <f t="shared" si="11"/>
        <v>13283.399999999998</v>
      </c>
      <c r="R17" s="58">
        <f t="shared" si="11"/>
        <v>0</v>
      </c>
      <c r="S17" s="58">
        <f t="shared" si="11"/>
        <v>238695.05747126433</v>
      </c>
      <c r="T17" s="58">
        <f t="shared" si="11"/>
        <v>115000</v>
      </c>
      <c r="U17" s="58">
        <f t="shared" si="11"/>
        <v>22527.599999999999</v>
      </c>
      <c r="V17" s="58">
        <f t="shared" si="11"/>
        <v>0</v>
      </c>
      <c r="W17" s="58">
        <f t="shared" si="11"/>
        <v>0</v>
      </c>
      <c r="X17" s="58">
        <f t="shared" si="11"/>
        <v>0</v>
      </c>
      <c r="Y17" s="58">
        <f t="shared" si="11"/>
        <v>0</v>
      </c>
      <c r="Z17" s="58">
        <f t="shared" si="11"/>
        <v>0</v>
      </c>
      <c r="AA17" s="58">
        <f t="shared" si="11"/>
        <v>0</v>
      </c>
      <c r="AB17" s="58">
        <f t="shared" si="11"/>
        <v>0</v>
      </c>
      <c r="AC17" s="58">
        <f t="shared" si="11"/>
        <v>0</v>
      </c>
      <c r="AD17" s="58">
        <f t="shared" si="11"/>
        <v>101167.45999999999</v>
      </c>
      <c r="AE17" s="58">
        <f t="shared" si="11"/>
        <v>3035.0200000000004</v>
      </c>
      <c r="AF17" s="58">
        <f t="shared" si="11"/>
        <v>1275.8000000000002</v>
      </c>
      <c r="AG17" s="58">
        <f t="shared" si="11"/>
        <v>1759.22</v>
      </c>
      <c r="AH17" s="58">
        <f t="shared" si="11"/>
        <v>123204.15000000001</v>
      </c>
      <c r="AI17" s="80">
        <f t="shared" si="11"/>
        <v>0</v>
      </c>
      <c r="AJ17" s="58">
        <f t="shared" si="11"/>
        <v>123204.15000000001</v>
      </c>
      <c r="AK17" s="58">
        <f t="shared" si="11"/>
        <v>0</v>
      </c>
      <c r="AL17" s="58">
        <f t="shared" si="11"/>
        <v>124963.36999999997</v>
      </c>
      <c r="AM17" s="81"/>
      <c r="AN17" s="81"/>
      <c r="AO17" s="81"/>
      <c r="AP17" s="81"/>
      <c r="AQ17" s="81"/>
      <c r="AR17" s="35"/>
      <c r="AS17" s="35"/>
      <c r="AT17" s="85"/>
    </row>
    <row r="20" spans="1:46">
      <c r="AD20" s="75"/>
    </row>
    <row r="21" spans="1:46" ht="18.75" customHeight="1">
      <c r="B21" s="37" t="s">
        <v>104</v>
      </c>
      <c r="C21" s="37" t="s">
        <v>152</v>
      </c>
      <c r="D21" s="37" t="s">
        <v>55</v>
      </c>
      <c r="E21" s="37" t="s">
        <v>56</v>
      </c>
      <c r="AD21" s="8"/>
    </row>
    <row r="22" spans="1:46" ht="18.75" customHeight="1">
      <c r="B22" s="38">
        <f>AJ17</f>
        <v>123204.15000000001</v>
      </c>
      <c r="C22" s="38">
        <f>AG17</f>
        <v>1759.22</v>
      </c>
      <c r="D22" s="38">
        <f>AK17</f>
        <v>0</v>
      </c>
      <c r="E22" s="38">
        <f>B22+C22+D22</f>
        <v>124963.37000000001</v>
      </c>
    </row>
    <row r="23" spans="1:46">
      <c r="B23" s="39"/>
      <c r="C23" s="39"/>
      <c r="D23" s="39"/>
      <c r="E23" s="39"/>
    </row>
    <row r="24" spans="1:46" s="12" customFormat="1">
      <c r="A24" s="40" t="s">
        <v>153</v>
      </c>
      <c r="B24" s="41" t="s">
        <v>154</v>
      </c>
      <c r="C24" s="42"/>
      <c r="D24" s="42"/>
      <c r="E24" s="42"/>
      <c r="G24" s="43"/>
      <c r="J24" s="59"/>
      <c r="M24" s="60"/>
      <c r="AI24" s="82"/>
    </row>
    <row r="25" spans="1:46" s="12" customFormat="1">
      <c r="A25" s="44"/>
      <c r="B25" s="45" t="s">
        <v>155</v>
      </c>
      <c r="C25" s="42"/>
      <c r="D25" s="42"/>
      <c r="E25" s="42"/>
      <c r="G25" s="43"/>
      <c r="J25" s="59"/>
      <c r="M25" s="60"/>
      <c r="AI25" s="82"/>
    </row>
    <row r="26" spans="1:46" s="12" customFormat="1">
      <c r="A26" s="41"/>
      <c r="B26" s="45" t="s">
        <v>156</v>
      </c>
      <c r="C26" s="46"/>
      <c r="D26" s="46"/>
      <c r="E26" s="46"/>
      <c r="F26" s="46"/>
      <c r="G26" s="46"/>
      <c r="H26" s="46"/>
      <c r="I26" s="46"/>
      <c r="J26" s="61"/>
      <c r="K26" s="46"/>
      <c r="L26" s="46"/>
      <c r="M26" s="62"/>
      <c r="N26" s="46"/>
      <c r="O26" s="46"/>
      <c r="P26" s="46"/>
      <c r="AI26" s="82"/>
    </row>
    <row r="27" spans="1:46" s="12" customFormat="1" ht="13.5" customHeight="1">
      <c r="A27" s="45"/>
      <c r="B27" s="45" t="s">
        <v>157</v>
      </c>
      <c r="C27" s="47"/>
      <c r="D27" s="47"/>
      <c r="E27" s="47"/>
      <c r="F27" s="47"/>
      <c r="G27" s="47"/>
      <c r="H27" s="47"/>
      <c r="I27" s="63"/>
      <c r="J27" s="64"/>
      <c r="K27" s="63"/>
      <c r="L27" s="63"/>
      <c r="M27" s="65"/>
      <c r="N27" s="63"/>
      <c r="O27" s="63"/>
      <c r="P27" s="63"/>
      <c r="AI27" s="82"/>
    </row>
    <row r="28" spans="1:46" s="12" customFormat="1" ht="13.5" customHeight="1">
      <c r="A28" s="45"/>
      <c r="B28" s="45" t="s">
        <v>158</v>
      </c>
      <c r="C28" s="47"/>
      <c r="D28" s="47"/>
      <c r="E28" s="47"/>
      <c r="F28" s="47"/>
      <c r="G28" s="47"/>
      <c r="H28" s="47"/>
      <c r="I28" s="47"/>
      <c r="J28" s="66"/>
      <c r="K28" s="47"/>
      <c r="L28" s="63"/>
      <c r="M28" s="65"/>
      <c r="N28" s="63"/>
      <c r="O28" s="63"/>
      <c r="P28" s="63"/>
      <c r="AI28" s="82"/>
    </row>
    <row r="29" spans="1:46" s="12" customFormat="1" ht="13.5" customHeight="1">
      <c r="A29" s="45"/>
      <c r="B29" s="45" t="s">
        <v>159</v>
      </c>
      <c r="C29" s="47"/>
      <c r="D29" s="47"/>
      <c r="E29" s="47"/>
      <c r="F29" s="47"/>
      <c r="G29" s="47"/>
      <c r="H29" s="47"/>
      <c r="I29" s="63"/>
      <c r="J29" s="64"/>
      <c r="K29" s="63"/>
      <c r="L29" s="63"/>
      <c r="M29" s="65"/>
      <c r="N29" s="63"/>
      <c r="O29" s="63"/>
      <c r="P29" s="63"/>
      <c r="AI29" s="82"/>
    </row>
    <row r="31" spans="1:46" ht="11.25" customHeight="1">
      <c r="B31" s="48" t="s">
        <v>160</v>
      </c>
    </row>
    <row r="32" spans="1:46">
      <c r="B32" s="49" t="s">
        <v>161</v>
      </c>
    </row>
    <row r="33" spans="2:2">
      <c r="B33" s="49" t="s">
        <v>162</v>
      </c>
    </row>
  </sheetData>
  <autoFilter ref="A3:AT17" xr:uid="{00000000-0009-0000-0000-000003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9">
    <cfRule type="duplicateValues" dxfId="76" priority="2" stopIfTrue="1"/>
  </conditionalFormatting>
  <conditionalFormatting sqref="B24:B28">
    <cfRule type="duplicateValues" dxfId="75" priority="3" stopIfTrue="1"/>
  </conditionalFormatting>
  <conditionalFormatting sqref="B32:B33">
    <cfRule type="duplicateValues" dxfId="74" priority="1" stopIfTrue="1"/>
  </conditionalFormatting>
  <conditionalFormatting sqref="C21:C23">
    <cfRule type="duplicateValues" dxfId="73" priority="4" stopIfTrue="1"/>
    <cfRule type="expression" dxfId="72" priority="5" stopIfTrue="1">
      <formula>AND(COUNTIF($B$17:$B$65453,C21)+COUNTIF($B$1:$B$3,C21)&gt;1,NOT(ISBLANK(C21)))</formula>
    </cfRule>
    <cfRule type="expression" dxfId="71" priority="6" stopIfTrue="1">
      <formula>AND(COUNTIF($B$28:$B$65404,C21)+COUNTIF($B$1:$B$27,C21)&gt;1,NOT(ISBLANK(C21)))</formula>
    </cfRule>
    <cfRule type="expression" dxfId="70" priority="7" stopIfTrue="1">
      <formula>AND(COUNTIF($B$17:$B$65442,C21)+COUNTIF($B$1:$B$3,C21)&gt;1,NOT(ISBLANK(C21)))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 pane="topRight"/>
      <selection pane="bottomLeft"/>
      <selection pane="bottomRight" activeCell="C18" sqref="C18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9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1.453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124</v>
      </c>
      <c r="D4" s="25" t="s">
        <v>125</v>
      </c>
      <c r="E4" s="25" t="s">
        <v>126</v>
      </c>
      <c r="F4" s="26" t="str">
        <f t="shared" ref="F4:F19" si="0">IF(MOD(MID(E4,17,1),2)=1,"男","女")</f>
        <v>女</v>
      </c>
      <c r="G4" s="27">
        <v>19801207903</v>
      </c>
      <c r="H4" s="28"/>
      <c r="I4" s="28"/>
      <c r="J4" s="86"/>
      <c r="K4" s="28"/>
      <c r="L4" s="54">
        <v>11000</v>
      </c>
      <c r="M4" s="55">
        <v>428.8</v>
      </c>
      <c r="N4" s="55">
        <v>110.2</v>
      </c>
      <c r="O4" s="55">
        <v>26.8</v>
      </c>
      <c r="P4" s="55">
        <v>444</v>
      </c>
      <c r="Q4" s="69">
        <f>ROUND(SUM(M4:P4),2)</f>
        <v>1009.8</v>
      </c>
      <c r="R4" s="54">
        <v>0</v>
      </c>
      <c r="S4" s="70">
        <f>L4+IFERROR(VLOOKUP($E:$E,'（居民）工资表-2月'!$E:$S,15,0),0)</f>
        <v>33000</v>
      </c>
      <c r="T4" s="71">
        <f>5000+IFERROR(VLOOKUP($E:$E,'（居民）工资表-2月'!$E:$T,16,0),0)</f>
        <v>15000</v>
      </c>
      <c r="U4" s="71">
        <f>Q4+IFERROR(VLOOKUP($E:$E,'（居民）工资表-2月'!$E:$U,17,0),0)</f>
        <v>3029.3999999999996</v>
      </c>
      <c r="V4" s="54"/>
      <c r="W4" s="54"/>
      <c r="X4" s="54"/>
      <c r="Y4" s="54"/>
      <c r="Z4" s="54"/>
      <c r="AA4" s="54"/>
      <c r="AB4" s="70">
        <f>ROUND(SUM(V4:AA4),2)</f>
        <v>0</v>
      </c>
      <c r="AC4" s="70">
        <f>R4+IFERROR(VLOOKUP($E:$E,'（居民）工资表-2月'!$E:$AC,25,0),0)</f>
        <v>0</v>
      </c>
      <c r="AD4" s="72">
        <f>ROUND(S4-T4-U4-AB4-AC4,2)</f>
        <v>14970.6</v>
      </c>
      <c r="AE4" s="73">
        <f>ROUND(MAX((AD4)*{0.03;0.1;0.2;0.25;0.3;0.35;0.45}-{0;2520;16920;31920;52920;85920;181920},0),2)</f>
        <v>449.12</v>
      </c>
      <c r="AF4" s="74">
        <f>IFERROR(VLOOKUP(E:E,'（居民）工资表-2月'!E:AF,28,0)+VLOOKUP(E:E,'（居民）工资表-2月'!E:AG,29,0),0)</f>
        <v>299.41000000000003</v>
      </c>
      <c r="AG4" s="74">
        <f>IF((AE4-AF4)&lt;0,0,AE4-AF4)</f>
        <v>149.70999999999998</v>
      </c>
      <c r="AH4" s="77">
        <f>ROUND(IF((L4-Q4-AG4)&lt;0,0,(L4-Q4-AG4)),2)</f>
        <v>9840.49</v>
      </c>
      <c r="AI4" s="78"/>
      <c r="AJ4" s="77">
        <f>AH4+AI4</f>
        <v>9840.49</v>
      </c>
      <c r="AK4" s="79"/>
      <c r="AL4" s="77">
        <f>AJ4+AG4+AK4</f>
        <v>9990.1999999999989</v>
      </c>
      <c r="AM4" s="79"/>
      <c r="AN4" s="79"/>
      <c r="AO4" s="79"/>
      <c r="AP4" s="79"/>
      <c r="AQ4" s="79"/>
      <c r="AR4" s="84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6" si="2">IF(SUMPRODUCT(N(E$1:E$16=E4))&gt;1,"重复","不")</f>
        <v>不</v>
      </c>
      <c r="AT4" s="84" t="str">
        <f t="shared" ref="AT4:AT16" si="3">IF(SUMPRODUCT(N(AO$1:AO$16=AO4))&gt;1,"重复","不")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127</v>
      </c>
      <c r="D5" s="25" t="s">
        <v>125</v>
      </c>
      <c r="E5" s="25" t="s">
        <v>128</v>
      </c>
      <c r="F5" s="26" t="str">
        <f t="shared" si="0"/>
        <v>男</v>
      </c>
      <c r="G5" s="27">
        <v>13288877699</v>
      </c>
      <c r="H5" s="28"/>
      <c r="I5" s="28"/>
      <c r="J5" s="86"/>
      <c r="K5" s="28"/>
      <c r="L5" s="54">
        <v>11030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ref="Q5:Q19" si="4">ROUND(SUM(M5:P5),2)</f>
        <v>1009.8</v>
      </c>
      <c r="R5" s="54">
        <v>0</v>
      </c>
      <c r="S5" s="70">
        <f>L5+IFERROR(VLOOKUP($E:$E,'（居民）工资表-2月'!$E:$S,15,0),0)</f>
        <v>33030</v>
      </c>
      <c r="T5" s="71">
        <f>5000+IFERROR(VLOOKUP($E:$E,'（居民）工资表-2月'!$E:$T,16,0),0)</f>
        <v>15000</v>
      </c>
      <c r="U5" s="71">
        <f>Q5+IFERROR(VLOOKUP($E:$E,'（居民）工资表-2月'!$E:$U,17,0),0)</f>
        <v>3029.3999999999996</v>
      </c>
      <c r="V5" s="54"/>
      <c r="W5" s="54"/>
      <c r="X5" s="54"/>
      <c r="Y5" s="54"/>
      <c r="Z5" s="54"/>
      <c r="AA5" s="54"/>
      <c r="AB5" s="70">
        <f t="shared" ref="AB5:AB19" si="5">ROUND(SUM(V5:AA5),2)</f>
        <v>0</v>
      </c>
      <c r="AC5" s="70">
        <f>R5+IFERROR(VLOOKUP($E:$E,'（居民）工资表-2月'!$E:$AC,25,0),0)</f>
        <v>0</v>
      </c>
      <c r="AD5" s="72">
        <f t="shared" ref="AD5:AD19" si="6">ROUND(S5-T5-U5-AB5-AC5,2)</f>
        <v>15000.6</v>
      </c>
      <c r="AE5" s="73">
        <f>ROUND(MAX((AD5)*{0.03;0.1;0.2;0.25;0.3;0.35;0.45}-{0;2520;16920;31920;52920;85920;181920},0),2)</f>
        <v>450.02</v>
      </c>
      <c r="AF5" s="74">
        <f>IFERROR(VLOOKUP(E:E,'（居民）工资表-2月'!E:AF,28,0)+VLOOKUP(E:E,'（居民）工资表-2月'!E:AG,29,0),0)</f>
        <v>299.41000000000003</v>
      </c>
      <c r="AG5" s="74">
        <f t="shared" ref="AG5:AG19" si="7">IF((AE5-AF5)&lt;0,0,AE5-AF5)</f>
        <v>150.60999999999996</v>
      </c>
      <c r="AH5" s="77">
        <f t="shared" ref="AH5:AH19" si="8">ROUND(IF((L5-Q5-AG5)&lt;0,0,(L5-Q5-AG5)),2)</f>
        <v>9869.59</v>
      </c>
      <c r="AI5" s="78"/>
      <c r="AJ5" s="77">
        <f t="shared" ref="AJ5:AJ19" si="9">AH5+AI5</f>
        <v>9869.59</v>
      </c>
      <c r="AK5" s="79"/>
      <c r="AL5" s="77">
        <f t="shared" ref="AL5:AL19" si="10">AJ5+AG5+AK5</f>
        <v>10020.200000000001</v>
      </c>
      <c r="AM5" s="79"/>
      <c r="AN5" s="79"/>
      <c r="AO5" s="79"/>
      <c r="AP5" s="79"/>
      <c r="AQ5" s="79"/>
      <c r="AR5" s="84" t="str">
        <f t="shared" si="1"/>
        <v>正确</v>
      </c>
      <c r="AS5" s="84" t="str">
        <f t="shared" si="2"/>
        <v>不</v>
      </c>
      <c r="AT5" s="84" t="str">
        <f t="shared" si="3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86"/>
      <c r="K6" s="28"/>
      <c r="L6" s="54">
        <v>11448.275862069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4"/>
        <v>1009.8</v>
      </c>
      <c r="R6" s="54">
        <v>0</v>
      </c>
      <c r="S6" s="70">
        <f>L6+IFERROR(VLOOKUP($E:$E,'（居民）工资表-2月'!$E:$S,15,0),0)</f>
        <v>35448.275862069</v>
      </c>
      <c r="T6" s="71">
        <f>5000+IFERROR(VLOOKUP($E:$E,'（居民）工资表-2月'!$E:$T,16,0),0)</f>
        <v>15000</v>
      </c>
      <c r="U6" s="71">
        <f>Q6+IFERROR(VLOOKUP($E:$E,'（居民）工资表-2月'!$E:$U,17,0),0)</f>
        <v>3029.3999999999996</v>
      </c>
      <c r="V6" s="54"/>
      <c r="W6" s="54"/>
      <c r="X6" s="54"/>
      <c r="Y6" s="54"/>
      <c r="Z6" s="54"/>
      <c r="AA6" s="54"/>
      <c r="AB6" s="70">
        <f t="shared" si="5"/>
        <v>0</v>
      </c>
      <c r="AC6" s="70">
        <f>R6+IFERROR(VLOOKUP($E:$E,'（居民）工资表-2月'!$E:$AC,25,0),0)</f>
        <v>0</v>
      </c>
      <c r="AD6" s="72">
        <f t="shared" si="6"/>
        <v>17418.88</v>
      </c>
      <c r="AE6" s="73">
        <f>ROUND(MAX((AD6)*{0.03;0.1;0.2;0.25;0.3;0.35;0.45}-{0;2520;16920;31920;52920;85920;181920},0),2)</f>
        <v>522.57000000000005</v>
      </c>
      <c r="AF6" s="74">
        <f>IFERROR(VLOOKUP(E:E,'（居民）工资表-2月'!E:AF,28,0)+VLOOKUP(E:E,'（居民）工资表-2月'!E:AG,29,0),0)</f>
        <v>359.41</v>
      </c>
      <c r="AG6" s="74">
        <f t="shared" si="7"/>
        <v>163.16000000000003</v>
      </c>
      <c r="AH6" s="77">
        <f t="shared" si="8"/>
        <v>10275.32</v>
      </c>
      <c r="AI6" s="78"/>
      <c r="AJ6" s="77">
        <f t="shared" si="9"/>
        <v>10275.32</v>
      </c>
      <c r="AK6" s="79"/>
      <c r="AL6" s="77">
        <f t="shared" si="10"/>
        <v>10438.48</v>
      </c>
      <c r="AM6" s="79"/>
      <c r="AN6" s="79"/>
      <c r="AO6" s="79"/>
      <c r="AP6" s="79"/>
      <c r="AQ6" s="79"/>
      <c r="AR6" s="84" t="str">
        <f t="shared" si="1"/>
        <v>正确</v>
      </c>
      <c r="AS6" s="84" t="str">
        <f t="shared" si="2"/>
        <v>不</v>
      </c>
      <c r="AT6" s="84" t="str">
        <f t="shared" si="3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135</v>
      </c>
      <c r="D7" s="25" t="s">
        <v>125</v>
      </c>
      <c r="E7" s="25" t="s">
        <v>136</v>
      </c>
      <c r="F7" s="26" t="str">
        <f t="shared" si="0"/>
        <v>男</v>
      </c>
      <c r="G7" s="27">
        <v>15652649555</v>
      </c>
      <c r="H7" s="28"/>
      <c r="I7" s="28"/>
      <c r="J7" s="86"/>
      <c r="K7" s="28"/>
      <c r="L7" s="54">
        <v>11505.7471264368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4"/>
        <v>1009.8</v>
      </c>
      <c r="R7" s="54">
        <v>0</v>
      </c>
      <c r="S7" s="70">
        <f>L7+IFERROR(VLOOKUP($E:$E,'（居民）工资表-2月'!$E:$S,15,0),0)</f>
        <v>31505.7471264368</v>
      </c>
      <c r="T7" s="71">
        <f>5000+IFERROR(VLOOKUP($E:$E,'（居民）工资表-2月'!$E:$T,16,0),0)</f>
        <v>15000</v>
      </c>
      <c r="U7" s="71">
        <f>Q7+IFERROR(VLOOKUP($E:$E,'（居民）工资表-2月'!$E:$U,17,0),0)</f>
        <v>3029.3999999999996</v>
      </c>
      <c r="V7" s="54"/>
      <c r="W7" s="54"/>
      <c r="X7" s="54"/>
      <c r="Y7" s="54"/>
      <c r="Z7" s="54"/>
      <c r="AA7" s="54"/>
      <c r="AB7" s="70">
        <f t="shared" si="5"/>
        <v>0</v>
      </c>
      <c r="AC7" s="70">
        <f>R7+IFERROR(VLOOKUP($E:$E,'（居民）工资表-2月'!$E:$AC,25,0),0)</f>
        <v>0</v>
      </c>
      <c r="AD7" s="72">
        <f t="shared" si="6"/>
        <v>13476.35</v>
      </c>
      <c r="AE7" s="73">
        <f>ROUND(MAX((AD7)*{0.03;0.1;0.2;0.25;0.3;0.35;0.45}-{0;2520;16920;31920;52920;85920;181920},0),2)</f>
        <v>404.29</v>
      </c>
      <c r="AF7" s="74">
        <f>IFERROR(VLOOKUP(E:E,'（居民）工资表-2月'!E:AF,28,0)+VLOOKUP(E:E,'（居民）工资表-2月'!E:AG,29,0),0)</f>
        <v>239.41</v>
      </c>
      <c r="AG7" s="74">
        <f t="shared" si="7"/>
        <v>164.88000000000002</v>
      </c>
      <c r="AH7" s="77">
        <f t="shared" si="8"/>
        <v>10331.07</v>
      </c>
      <c r="AI7" s="78"/>
      <c r="AJ7" s="77">
        <f t="shared" si="9"/>
        <v>10331.07</v>
      </c>
      <c r="AK7" s="79"/>
      <c r="AL7" s="77">
        <f t="shared" si="10"/>
        <v>10495.949999999999</v>
      </c>
      <c r="AM7" s="79"/>
      <c r="AN7" s="79"/>
      <c r="AO7" s="79"/>
      <c r="AP7" s="79"/>
      <c r="AQ7" s="79"/>
      <c r="AR7" s="84" t="str">
        <f t="shared" si="1"/>
        <v>正确</v>
      </c>
      <c r="AS7" s="84" t="str">
        <f t="shared" si="2"/>
        <v>不</v>
      </c>
      <c r="AT7" s="84" t="str">
        <f t="shared" si="3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137</v>
      </c>
      <c r="D8" s="25" t="s">
        <v>125</v>
      </c>
      <c r="E8" s="219" t="s">
        <v>138</v>
      </c>
      <c r="F8" s="26" t="str">
        <f t="shared" si="0"/>
        <v>男</v>
      </c>
      <c r="G8" s="27">
        <v>17611149839</v>
      </c>
      <c r="H8" s="28"/>
      <c r="I8" s="28"/>
      <c r="J8" s="86"/>
      <c r="K8" s="28"/>
      <c r="L8" s="54">
        <v>10614.2528735632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4"/>
        <v>1009.8</v>
      </c>
      <c r="R8" s="54">
        <v>0</v>
      </c>
      <c r="S8" s="70">
        <f>L8+IFERROR(VLOOKUP($E:$E,'（居民）工资表-2月'!$E:$S,15,0),0)</f>
        <v>28614.2528735632</v>
      </c>
      <c r="T8" s="71">
        <f>5000+IFERROR(VLOOKUP($E:$E,'（居民）工资表-2月'!$E:$T,16,0),0)</f>
        <v>15000</v>
      </c>
      <c r="U8" s="71">
        <f>Q8+IFERROR(VLOOKUP($E:$E,'（居民）工资表-2月'!$E:$U,17,0),0)</f>
        <v>3029.3999999999996</v>
      </c>
      <c r="V8" s="54"/>
      <c r="W8" s="54"/>
      <c r="X8" s="54"/>
      <c r="Y8" s="54"/>
      <c r="Z8" s="54"/>
      <c r="AA8" s="54"/>
      <c r="AB8" s="70">
        <f t="shared" si="5"/>
        <v>0</v>
      </c>
      <c r="AC8" s="70">
        <f>R8+IFERROR(VLOOKUP($E:$E,'（居民）工资表-2月'!$E:$AC,25,0),0)</f>
        <v>0</v>
      </c>
      <c r="AD8" s="72">
        <f t="shared" si="6"/>
        <v>10584.85</v>
      </c>
      <c r="AE8" s="73">
        <f>ROUND(MAX((AD8)*{0.03;0.1;0.2;0.25;0.3;0.35;0.45}-{0;2520;16920;31920;52920;85920;181920},0),2)</f>
        <v>317.55</v>
      </c>
      <c r="AF8" s="74">
        <f>IFERROR(VLOOKUP(E:E,'（居民）工资表-2月'!E:AF,28,0)+VLOOKUP(E:E,'（居民）工资表-2月'!E:AG,29,0),0)</f>
        <v>179.41</v>
      </c>
      <c r="AG8" s="74">
        <f t="shared" si="7"/>
        <v>138.14000000000001</v>
      </c>
      <c r="AH8" s="77">
        <f t="shared" si="8"/>
        <v>9466.31</v>
      </c>
      <c r="AI8" s="78"/>
      <c r="AJ8" s="77">
        <f t="shared" si="9"/>
        <v>9466.31</v>
      </c>
      <c r="AK8" s="79"/>
      <c r="AL8" s="77">
        <f t="shared" si="10"/>
        <v>9604.4499999999989</v>
      </c>
      <c r="AM8" s="79"/>
      <c r="AN8" s="79"/>
      <c r="AO8" s="79"/>
      <c r="AP8" s="79"/>
      <c r="AQ8" s="79"/>
      <c r="AR8" s="84" t="str">
        <f t="shared" si="1"/>
        <v>正确</v>
      </c>
      <c r="AS8" s="84" t="str">
        <f t="shared" si="2"/>
        <v>不</v>
      </c>
      <c r="AT8" s="84" t="str">
        <f t="shared" si="3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139</v>
      </c>
      <c r="D9" s="25" t="s">
        <v>125</v>
      </c>
      <c r="E9" s="219" t="s">
        <v>140</v>
      </c>
      <c r="F9" s="26" t="str">
        <f t="shared" si="0"/>
        <v>男</v>
      </c>
      <c r="G9" s="27">
        <v>13596154643</v>
      </c>
      <c r="H9" s="28"/>
      <c r="I9" s="28"/>
      <c r="J9" s="86"/>
      <c r="K9" s="28"/>
      <c r="L9" s="54">
        <v>11535.7471264368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4"/>
        <v>1009.8</v>
      </c>
      <c r="R9" s="54">
        <v>0</v>
      </c>
      <c r="S9" s="70">
        <f>L9+IFERROR(VLOOKUP($E:$E,'（居民）工资表-2月'!$E:$S,15,0),0)</f>
        <v>31535.7471264368</v>
      </c>
      <c r="T9" s="71">
        <f>5000+IFERROR(VLOOKUP($E:$E,'（居民）工资表-2月'!$E:$T,16,0),0)</f>
        <v>15000</v>
      </c>
      <c r="U9" s="71">
        <f>Q9+IFERROR(VLOOKUP($E:$E,'（居民）工资表-2月'!$E:$U,17,0),0)</f>
        <v>3029.3999999999996</v>
      </c>
      <c r="V9" s="54"/>
      <c r="W9" s="54"/>
      <c r="X9" s="54"/>
      <c r="Y9" s="54"/>
      <c r="Z9" s="54"/>
      <c r="AA9" s="54"/>
      <c r="AB9" s="70">
        <f t="shared" si="5"/>
        <v>0</v>
      </c>
      <c r="AC9" s="70">
        <f>R9+IFERROR(VLOOKUP($E:$E,'（居民）工资表-2月'!$E:$AC,25,0),0)</f>
        <v>0</v>
      </c>
      <c r="AD9" s="72">
        <f t="shared" si="6"/>
        <v>13506.35</v>
      </c>
      <c r="AE9" s="73">
        <f>ROUND(MAX((AD9)*{0.03;0.1;0.2;0.25;0.3;0.35;0.45}-{0;2520;16920;31920;52920;85920;181920},0),2)</f>
        <v>405.19</v>
      </c>
      <c r="AF9" s="74">
        <f>IFERROR(VLOOKUP(E:E,'（居民）工资表-2月'!E:AF,28,0)+VLOOKUP(E:E,'（居民）工资表-2月'!E:AG,29,0),0)</f>
        <v>239.41</v>
      </c>
      <c r="AG9" s="74">
        <f t="shared" si="7"/>
        <v>165.78</v>
      </c>
      <c r="AH9" s="77">
        <f t="shared" si="8"/>
        <v>10360.17</v>
      </c>
      <c r="AI9" s="78"/>
      <c r="AJ9" s="77">
        <f t="shared" si="9"/>
        <v>10360.17</v>
      </c>
      <c r="AK9" s="79"/>
      <c r="AL9" s="77">
        <f t="shared" si="10"/>
        <v>10525.95</v>
      </c>
      <c r="AM9" s="79"/>
      <c r="AN9" s="79"/>
      <c r="AO9" s="79"/>
      <c r="AP9" s="79"/>
      <c r="AQ9" s="79"/>
      <c r="AR9" s="84" t="str">
        <f t="shared" si="1"/>
        <v>正确</v>
      </c>
      <c r="AS9" s="84" t="str">
        <f t="shared" si="2"/>
        <v>不</v>
      </c>
      <c r="AT9" s="84" t="str">
        <f t="shared" si="3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143</v>
      </c>
      <c r="D10" s="25" t="s">
        <v>125</v>
      </c>
      <c r="E10" s="219" t="s">
        <v>144</v>
      </c>
      <c r="F10" s="26" t="str">
        <f t="shared" si="0"/>
        <v>男</v>
      </c>
      <c r="G10" s="27">
        <v>13626366929</v>
      </c>
      <c r="H10" s="28"/>
      <c r="I10" s="28"/>
      <c r="J10" s="86"/>
      <c r="K10" s="28"/>
      <c r="L10" s="54">
        <v>14850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4"/>
        <v>1009.8</v>
      </c>
      <c r="R10" s="54">
        <v>0</v>
      </c>
      <c r="S10" s="70">
        <f>L10+IFERROR(VLOOKUP($E:$E,'（居民）工资表-2月'!$E:$S,15,0),0)</f>
        <v>45449.655172413797</v>
      </c>
      <c r="T10" s="71">
        <f>5000+IFERROR(VLOOKUP($E:$E,'（居民）工资表-2月'!$E:$T,16,0),0)</f>
        <v>15000</v>
      </c>
      <c r="U10" s="71">
        <f>Q10+IFERROR(VLOOKUP($E:$E,'（居民）工资表-2月'!$E:$U,17,0),0)</f>
        <v>3029.3999999999996</v>
      </c>
      <c r="V10" s="54"/>
      <c r="W10" s="54"/>
      <c r="X10" s="54"/>
      <c r="Y10" s="54"/>
      <c r="Z10" s="54"/>
      <c r="AA10" s="54"/>
      <c r="AB10" s="70">
        <f t="shared" si="5"/>
        <v>0</v>
      </c>
      <c r="AC10" s="70">
        <f>R10+IFERROR(VLOOKUP($E:$E,'（居民）工资表-2月'!$E:$AC,25,0),0)</f>
        <v>0</v>
      </c>
      <c r="AD10" s="72">
        <f t="shared" si="6"/>
        <v>27420.26</v>
      </c>
      <c r="AE10" s="73">
        <f>ROUND(MAX((AD10)*{0.03;0.1;0.2;0.25;0.3;0.35;0.45}-{0;2520;16920;31920;52920;85920;181920},0),2)</f>
        <v>822.61</v>
      </c>
      <c r="AF10" s="74">
        <f>IFERROR(VLOOKUP(E:E,'（居民）工资表-2月'!E:AF,28,0)+VLOOKUP(E:E,'（居民）工资表-2月'!E:AG,29,0),0)</f>
        <v>557.4</v>
      </c>
      <c r="AG10" s="74">
        <f t="shared" si="7"/>
        <v>265.21000000000004</v>
      </c>
      <c r="AH10" s="77">
        <f t="shared" si="8"/>
        <v>13574.99</v>
      </c>
      <c r="AI10" s="78"/>
      <c r="AJ10" s="77">
        <f t="shared" si="9"/>
        <v>13574.99</v>
      </c>
      <c r="AK10" s="79"/>
      <c r="AL10" s="77">
        <f t="shared" si="10"/>
        <v>13840.2</v>
      </c>
      <c r="AM10" s="79"/>
      <c r="AN10" s="79"/>
      <c r="AO10" s="79"/>
      <c r="AP10" s="79"/>
      <c r="AQ10" s="79"/>
      <c r="AR10" s="84" t="str">
        <f t="shared" si="1"/>
        <v>正确</v>
      </c>
      <c r="AS10" s="84" t="str">
        <f t="shared" si="2"/>
        <v>不</v>
      </c>
      <c r="AT10" s="84" t="str">
        <f t="shared" si="3"/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145</v>
      </c>
      <c r="D11" s="25" t="s">
        <v>125</v>
      </c>
      <c r="E11" s="219" t="s">
        <v>146</v>
      </c>
      <c r="F11" s="26" t="str">
        <f t="shared" si="0"/>
        <v>女</v>
      </c>
      <c r="G11" s="27">
        <v>15201493035</v>
      </c>
      <c r="H11" s="28"/>
      <c r="I11" s="28"/>
      <c r="J11" s="86"/>
      <c r="K11" s="28"/>
      <c r="L11" s="54">
        <v>5107.4712643678204</v>
      </c>
      <c r="M11" s="55"/>
      <c r="N11" s="55"/>
      <c r="O11" s="55"/>
      <c r="P11" s="55"/>
      <c r="Q11" s="69">
        <f t="shared" si="4"/>
        <v>0</v>
      </c>
      <c r="R11" s="54">
        <v>0</v>
      </c>
      <c r="S11" s="70">
        <f>L11+IFERROR(VLOOKUP($E:$E,'（居民）工资表-2月'!$E:$S,15,0),0)</f>
        <v>25666.666666666621</v>
      </c>
      <c r="T11" s="71">
        <f>5000+IFERROR(VLOOKUP($E:$E,'（居民）工资表-2月'!$E:$T,16,0),0)</f>
        <v>15000</v>
      </c>
      <c r="U11" s="71">
        <f>Q11+IFERROR(VLOOKUP($E:$E,'（居民）工资表-2月'!$E:$U,17,0),0)</f>
        <v>2019.6</v>
      </c>
      <c r="V11" s="54"/>
      <c r="W11" s="54"/>
      <c r="X11" s="54"/>
      <c r="Y11" s="54"/>
      <c r="Z11" s="54"/>
      <c r="AA11" s="54"/>
      <c r="AB11" s="70">
        <f t="shared" si="5"/>
        <v>0</v>
      </c>
      <c r="AC11" s="70">
        <f>R11+IFERROR(VLOOKUP($E:$E,'（居民）工资表-2月'!$E:$AC,25,0),0)</f>
        <v>0</v>
      </c>
      <c r="AD11" s="72">
        <f t="shared" si="6"/>
        <v>8647.07</v>
      </c>
      <c r="AE11" s="73">
        <f>ROUND(MAX((AD11)*{0.03;0.1;0.2;0.25;0.3;0.35;0.45}-{0;2520;16920;31920;52920;85920;181920},0),2)</f>
        <v>259.41000000000003</v>
      </c>
      <c r="AF11" s="74">
        <f>IFERROR(VLOOKUP(E:E,'（居民）工资表-2月'!E:AF,28,0)+VLOOKUP(E:E,'（居民）工资表-2月'!E:AG,29,0),0)</f>
        <v>256.19</v>
      </c>
      <c r="AG11" s="74">
        <f t="shared" si="7"/>
        <v>3.2200000000000273</v>
      </c>
      <c r="AH11" s="77">
        <f t="shared" si="8"/>
        <v>5104.25</v>
      </c>
      <c r="AI11" s="78"/>
      <c r="AJ11" s="77">
        <f t="shared" si="9"/>
        <v>5104.25</v>
      </c>
      <c r="AK11" s="79"/>
      <c r="AL11" s="77">
        <f t="shared" si="10"/>
        <v>5107.47</v>
      </c>
      <c r="AM11" s="79"/>
      <c r="AN11" s="79"/>
      <c r="AO11" s="79"/>
      <c r="AP11" s="79"/>
      <c r="AQ11" s="79"/>
      <c r="AR11" s="84" t="str">
        <f t="shared" si="1"/>
        <v>正确</v>
      </c>
      <c r="AS11" s="84" t="str">
        <f t="shared" si="2"/>
        <v>不</v>
      </c>
      <c r="AT11" s="84" t="str">
        <f t="shared" si="3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147</v>
      </c>
      <c r="D12" s="25" t="s">
        <v>125</v>
      </c>
      <c r="E12" s="219" t="s">
        <v>148</v>
      </c>
      <c r="F12" s="26" t="str">
        <f t="shared" si="0"/>
        <v>女</v>
      </c>
      <c r="G12" s="27">
        <v>18674014622</v>
      </c>
      <c r="H12" s="28"/>
      <c r="I12" s="28"/>
      <c r="J12" s="86"/>
      <c r="K12" s="28"/>
      <c r="L12" s="54">
        <v>10000</v>
      </c>
      <c r="M12" s="55">
        <v>428.8</v>
      </c>
      <c r="N12" s="55">
        <v>110.2</v>
      </c>
      <c r="O12" s="55">
        <v>26.8</v>
      </c>
      <c r="P12" s="55">
        <v>600</v>
      </c>
      <c r="Q12" s="69">
        <f t="shared" si="4"/>
        <v>1165.8</v>
      </c>
      <c r="R12" s="54">
        <v>0</v>
      </c>
      <c r="S12" s="70">
        <f>L12+IFERROR(VLOOKUP($E:$E,'（居民）工资表-2月'!$E:$S,15,0),0)</f>
        <v>28275.862068965522</v>
      </c>
      <c r="T12" s="71">
        <f>5000+IFERROR(VLOOKUP($E:$E,'（居民）工资表-2月'!$E:$T,16,0),0)</f>
        <v>15000</v>
      </c>
      <c r="U12" s="71">
        <f>Q12+IFERROR(VLOOKUP($E:$E,'（居民）工资表-2月'!$E:$U,17,0),0)</f>
        <v>3497.3999999999996</v>
      </c>
      <c r="V12" s="54"/>
      <c r="W12" s="54"/>
      <c r="X12" s="54"/>
      <c r="Y12" s="54"/>
      <c r="Z12" s="54"/>
      <c r="AA12" s="54"/>
      <c r="AB12" s="70">
        <f t="shared" si="5"/>
        <v>0</v>
      </c>
      <c r="AC12" s="70">
        <f>R12+IFERROR(VLOOKUP($E:$E,'（居民）工资表-2月'!$E:$AC,25,0),0)</f>
        <v>0</v>
      </c>
      <c r="AD12" s="72">
        <f t="shared" si="6"/>
        <v>9778.4599999999991</v>
      </c>
      <c r="AE12" s="73">
        <f>ROUND(MAX((AD12)*{0.03;0.1;0.2;0.25;0.3;0.35;0.45}-{0;2520;16920;31920;52920;85920;181920},0),2)</f>
        <v>293.35000000000002</v>
      </c>
      <c r="AF12" s="74">
        <f>IFERROR(VLOOKUP(E:E,'（居民）工资表-2月'!E:AF,28,0)+VLOOKUP(E:E,'（居民）工资表-2月'!E:AG,29,0),0)</f>
        <v>178.33</v>
      </c>
      <c r="AG12" s="74">
        <f t="shared" si="7"/>
        <v>115.02000000000001</v>
      </c>
      <c r="AH12" s="77">
        <f t="shared" si="8"/>
        <v>8719.18</v>
      </c>
      <c r="AI12" s="78"/>
      <c r="AJ12" s="77">
        <f t="shared" si="9"/>
        <v>8719.18</v>
      </c>
      <c r="AK12" s="79"/>
      <c r="AL12" s="77">
        <f t="shared" si="10"/>
        <v>8834.2000000000007</v>
      </c>
      <c r="AM12" s="79"/>
      <c r="AN12" s="79"/>
      <c r="AO12" s="79"/>
      <c r="AP12" s="79"/>
      <c r="AQ12" s="79"/>
      <c r="AR12" s="84" t="str">
        <f t="shared" si="1"/>
        <v>正确</v>
      </c>
      <c r="AS12" s="84" t="str">
        <f t="shared" si="2"/>
        <v>不</v>
      </c>
      <c r="AT12" s="84" t="str">
        <f t="shared" si="3"/>
        <v>重复</v>
      </c>
    </row>
    <row r="13" spans="1:46" s="10" customFormat="1" ht="18" customHeight="1">
      <c r="A13" s="24">
        <v>10</v>
      </c>
      <c r="B13" s="25" t="s">
        <v>123</v>
      </c>
      <c r="C13" s="25" t="s">
        <v>149</v>
      </c>
      <c r="D13" s="25" t="s">
        <v>125</v>
      </c>
      <c r="E13" s="219" t="s">
        <v>150</v>
      </c>
      <c r="F13" s="26" t="str">
        <f t="shared" si="0"/>
        <v>女</v>
      </c>
      <c r="G13" s="27">
        <v>15145001723</v>
      </c>
      <c r="H13" s="28"/>
      <c r="I13" s="28"/>
      <c r="J13" s="86"/>
      <c r="K13" s="28"/>
      <c r="L13" s="54">
        <v>9540.2298850574698</v>
      </c>
      <c r="M13" s="55">
        <v>428.8</v>
      </c>
      <c r="N13" s="55">
        <v>110.2</v>
      </c>
      <c r="O13" s="55">
        <v>26.8</v>
      </c>
      <c r="P13" s="55">
        <v>444</v>
      </c>
      <c r="Q13" s="69">
        <f t="shared" si="4"/>
        <v>1009.8</v>
      </c>
      <c r="R13" s="54">
        <v>0</v>
      </c>
      <c r="S13" s="70">
        <f>L13+IFERROR(VLOOKUP($E:$E,'（居民）工资表-2月'!$E:$S,15,0),0)</f>
        <v>22758.62068965517</v>
      </c>
      <c r="T13" s="71">
        <f>5000+IFERROR(VLOOKUP($E:$E,'（居民）工资表-2月'!$E:$T,16,0),0)</f>
        <v>15000</v>
      </c>
      <c r="U13" s="71">
        <f>Q13+IFERROR(VLOOKUP($E:$E,'（居民）工资表-2月'!$E:$U,17,0),0)</f>
        <v>2019.6</v>
      </c>
      <c r="V13" s="54"/>
      <c r="W13" s="54"/>
      <c r="X13" s="54"/>
      <c r="Y13" s="54"/>
      <c r="Z13" s="54"/>
      <c r="AA13" s="54"/>
      <c r="AB13" s="70">
        <f t="shared" si="5"/>
        <v>0</v>
      </c>
      <c r="AC13" s="70">
        <f>R13+IFERROR(VLOOKUP($E:$E,'（居民）工资表-2月'!$E:$AC,25,0),0)</f>
        <v>0</v>
      </c>
      <c r="AD13" s="72">
        <f t="shared" si="6"/>
        <v>5739.02</v>
      </c>
      <c r="AE13" s="73">
        <f>ROUND(MAX((AD13)*{0.03;0.1;0.2;0.25;0.3;0.35;0.45}-{0;2520;16920;31920;52920;85920;181920},0),2)</f>
        <v>172.17</v>
      </c>
      <c r="AF13" s="74">
        <f>IFERROR(VLOOKUP(E:E,'（居民）工资表-2月'!E:AF,28,0)+VLOOKUP(E:E,'（居民）工资表-2月'!E:AG,29,0),0)</f>
        <v>66.260000000000005</v>
      </c>
      <c r="AG13" s="74">
        <f t="shared" si="7"/>
        <v>105.90999999999998</v>
      </c>
      <c r="AH13" s="77">
        <f t="shared" si="8"/>
        <v>8424.52</v>
      </c>
      <c r="AI13" s="78"/>
      <c r="AJ13" s="77">
        <f t="shared" si="9"/>
        <v>8424.52</v>
      </c>
      <c r="AK13" s="79"/>
      <c r="AL13" s="77">
        <f t="shared" si="10"/>
        <v>8530.43</v>
      </c>
      <c r="AM13" s="79"/>
      <c r="AN13" s="79"/>
      <c r="AO13" s="79"/>
      <c r="AP13" s="79"/>
      <c r="AQ13" s="79"/>
      <c r="AR13" s="84" t="str">
        <f t="shared" si="1"/>
        <v>正确</v>
      </c>
      <c r="AS13" s="84" t="str">
        <f t="shared" si="2"/>
        <v>不</v>
      </c>
      <c r="AT13" s="84" t="str">
        <f t="shared" si="3"/>
        <v>重复</v>
      </c>
    </row>
    <row r="14" spans="1:46" s="10" customFormat="1" ht="18" customHeight="1">
      <c r="A14" s="24">
        <v>11</v>
      </c>
      <c r="B14" s="25" t="s">
        <v>123</v>
      </c>
      <c r="C14" s="25" t="s">
        <v>163</v>
      </c>
      <c r="D14" s="25" t="s">
        <v>125</v>
      </c>
      <c r="E14" s="219" t="s">
        <v>164</v>
      </c>
      <c r="F14" s="26" t="str">
        <f t="shared" si="0"/>
        <v>女</v>
      </c>
      <c r="G14" s="27">
        <v>15943200312</v>
      </c>
      <c r="H14" s="28"/>
      <c r="I14" s="28"/>
      <c r="J14" s="86"/>
      <c r="K14" s="28"/>
      <c r="L14" s="54">
        <v>11448.275862069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4"/>
        <v>1009.8</v>
      </c>
      <c r="R14" s="54">
        <v>0</v>
      </c>
      <c r="S14" s="70">
        <f>L14+IFERROR(VLOOKUP($E:$E,'（居民）工资表-2月'!$E:$S,15,0),0)</f>
        <v>23398.275862069</v>
      </c>
      <c r="T14" s="71">
        <f>5000+IFERROR(VLOOKUP($E:$E,'（居民）工资表-2月'!$E:$T,16,0),0)</f>
        <v>10000</v>
      </c>
      <c r="U14" s="71">
        <f>Q14+IFERROR(VLOOKUP($E:$E,'（居民）工资表-2月'!$E:$U,17,0),0)</f>
        <v>2019.6</v>
      </c>
      <c r="V14" s="54"/>
      <c r="W14" s="54"/>
      <c r="X14" s="54"/>
      <c r="Y14" s="54"/>
      <c r="Z14" s="54"/>
      <c r="AA14" s="54"/>
      <c r="AB14" s="70">
        <f t="shared" si="5"/>
        <v>0</v>
      </c>
      <c r="AC14" s="70">
        <f>R14+IFERROR(VLOOKUP($E:$E,'（居民）工资表-2月'!$E:$AC,25,0),0)</f>
        <v>0</v>
      </c>
      <c r="AD14" s="72">
        <f t="shared" si="6"/>
        <v>11378.68</v>
      </c>
      <c r="AE14" s="73">
        <f>ROUND(MAX((AD14)*{0.03;0.1;0.2;0.25;0.3;0.35;0.45}-{0;2520;16920;31920;52920;85920;181920},0),2)</f>
        <v>341.36</v>
      </c>
      <c r="AF14" s="74">
        <f>IFERROR(VLOOKUP(E:E,'（居民）工资表-2月'!E:AF,28,0)+VLOOKUP(E:E,'（居民）工资表-2月'!E:AG,29,0),0)</f>
        <v>178.21</v>
      </c>
      <c r="AG14" s="74">
        <f t="shared" si="7"/>
        <v>163.15</v>
      </c>
      <c r="AH14" s="77">
        <f t="shared" si="8"/>
        <v>10275.33</v>
      </c>
      <c r="AI14" s="78"/>
      <c r="AJ14" s="77">
        <f t="shared" si="9"/>
        <v>10275.33</v>
      </c>
      <c r="AK14" s="79"/>
      <c r="AL14" s="77">
        <f t="shared" si="10"/>
        <v>10438.48</v>
      </c>
      <c r="AM14" s="79"/>
      <c r="AN14" s="79"/>
      <c r="AO14" s="79"/>
      <c r="AP14" s="79"/>
      <c r="AQ14" s="79"/>
      <c r="AR14" s="84" t="str">
        <f t="shared" si="1"/>
        <v>正确</v>
      </c>
      <c r="AS14" s="84" t="str">
        <f t="shared" si="2"/>
        <v>不</v>
      </c>
      <c r="AT14" s="84" t="str">
        <f t="shared" si="3"/>
        <v>重复</v>
      </c>
    </row>
    <row r="15" spans="1:46" s="10" customFormat="1" ht="18" customHeight="1">
      <c r="A15" s="24">
        <v>12</v>
      </c>
      <c r="B15" s="25" t="s">
        <v>123</v>
      </c>
      <c r="C15" s="25" t="s">
        <v>165</v>
      </c>
      <c r="D15" s="25" t="s">
        <v>125</v>
      </c>
      <c r="E15" s="219" t="s">
        <v>166</v>
      </c>
      <c r="F15" s="26" t="str">
        <f t="shared" si="0"/>
        <v>女</v>
      </c>
      <c r="G15" s="27">
        <v>18745463721</v>
      </c>
      <c r="H15" s="28"/>
      <c r="I15" s="28"/>
      <c r="J15" s="86"/>
      <c r="K15" s="28"/>
      <c r="L15" s="54">
        <v>9482.7586206896594</v>
      </c>
      <c r="M15" s="55">
        <v>428.8</v>
      </c>
      <c r="N15" s="55">
        <v>110.2</v>
      </c>
      <c r="O15" s="55">
        <v>26.8</v>
      </c>
      <c r="P15" s="55">
        <v>444</v>
      </c>
      <c r="Q15" s="69">
        <f t="shared" si="4"/>
        <v>1009.8</v>
      </c>
      <c r="R15" s="54">
        <v>0</v>
      </c>
      <c r="S15" s="70">
        <f>L15+IFERROR(VLOOKUP($E:$E,'（居民）工资表-2月'!$E:$S,15,0),0)</f>
        <v>17574.712643678169</v>
      </c>
      <c r="T15" s="71">
        <f>5000+IFERROR(VLOOKUP($E:$E,'（居民）工资表-2月'!$E:$T,16,0),0)</f>
        <v>10000</v>
      </c>
      <c r="U15" s="71">
        <f>Q15+IFERROR(VLOOKUP($E:$E,'（居民）工资表-2月'!$E:$U,17,0),0)</f>
        <v>2019.6</v>
      </c>
      <c r="V15" s="54"/>
      <c r="W15" s="54"/>
      <c r="X15" s="54"/>
      <c r="Y15" s="54"/>
      <c r="Z15" s="54"/>
      <c r="AA15" s="54"/>
      <c r="AB15" s="70">
        <f t="shared" si="5"/>
        <v>0</v>
      </c>
      <c r="AC15" s="70">
        <f>R15+IFERROR(VLOOKUP($E:$E,'（居民）工资表-2月'!$E:$AC,25,0),0)</f>
        <v>0</v>
      </c>
      <c r="AD15" s="72">
        <f t="shared" si="6"/>
        <v>5555.11</v>
      </c>
      <c r="AE15" s="73">
        <f>ROUND(MAX((AD15)*{0.03;0.1;0.2;0.25;0.3;0.35;0.45}-{0;2520;16920;31920;52920;85920;181920},0),2)</f>
        <v>166.65</v>
      </c>
      <c r="AF15" s="74">
        <f>IFERROR(VLOOKUP(E:E,'（居民）工资表-2月'!E:AF,28,0)+VLOOKUP(E:E,'（居民）工资表-2月'!E:AG,29,0),0)</f>
        <v>62.46</v>
      </c>
      <c r="AG15" s="74">
        <f t="shared" si="7"/>
        <v>104.19</v>
      </c>
      <c r="AH15" s="77">
        <f t="shared" si="8"/>
        <v>8368.77</v>
      </c>
      <c r="AI15" s="78"/>
      <c r="AJ15" s="77">
        <f t="shared" si="9"/>
        <v>8368.77</v>
      </c>
      <c r="AK15" s="79"/>
      <c r="AL15" s="77">
        <f t="shared" si="10"/>
        <v>8472.9600000000009</v>
      </c>
      <c r="AM15" s="79"/>
      <c r="AN15" s="79"/>
      <c r="AO15" s="79"/>
      <c r="AP15" s="79"/>
      <c r="AQ15" s="79"/>
      <c r="AR15" s="84" t="str">
        <f t="shared" si="1"/>
        <v>正确</v>
      </c>
      <c r="AS15" s="84" t="str">
        <f t="shared" si="2"/>
        <v>不</v>
      </c>
      <c r="AT15" s="84" t="str">
        <f t="shared" si="3"/>
        <v>重复</v>
      </c>
    </row>
    <row r="16" spans="1:46" s="10" customFormat="1" ht="18" customHeight="1">
      <c r="A16" s="24">
        <v>13</v>
      </c>
      <c r="B16" s="25" t="s">
        <v>123</v>
      </c>
      <c r="C16" s="25" t="s">
        <v>167</v>
      </c>
      <c r="D16" s="25" t="s">
        <v>125</v>
      </c>
      <c r="E16" s="219" t="s">
        <v>168</v>
      </c>
      <c r="F16" s="26" t="str">
        <f t="shared" si="0"/>
        <v>女</v>
      </c>
      <c r="G16" s="27">
        <v>18935711299</v>
      </c>
      <c r="H16" s="28"/>
      <c r="I16" s="28"/>
      <c r="J16" s="86"/>
      <c r="K16" s="28"/>
      <c r="L16" s="54">
        <v>10867.1264367816</v>
      </c>
      <c r="M16" s="55">
        <v>428.8</v>
      </c>
      <c r="N16" s="55">
        <v>110.2</v>
      </c>
      <c r="O16" s="55">
        <v>26.8</v>
      </c>
      <c r="P16" s="55">
        <v>444</v>
      </c>
      <c r="Q16" s="69">
        <f t="shared" si="4"/>
        <v>1009.8</v>
      </c>
      <c r="R16" s="54">
        <v>0</v>
      </c>
      <c r="S16" s="70">
        <f>L16+IFERROR(VLOOKUP($E:$E,'（居民）工资表-2月'!$E:$S,15,0),0)</f>
        <v>20867.1264367816</v>
      </c>
      <c r="T16" s="71">
        <f>5000+IFERROR(VLOOKUP($E:$E,'（居民）工资表-2月'!$E:$T,16,0),0)</f>
        <v>10000</v>
      </c>
      <c r="U16" s="71">
        <f>Q16+IFERROR(VLOOKUP($E:$E,'（居民）工资表-2月'!$E:$U,17,0),0)</f>
        <v>2019.6</v>
      </c>
      <c r="V16" s="54"/>
      <c r="W16" s="54"/>
      <c r="X16" s="54"/>
      <c r="Y16" s="54"/>
      <c r="Z16" s="54"/>
      <c r="AA16" s="54"/>
      <c r="AB16" s="70">
        <f t="shared" si="5"/>
        <v>0</v>
      </c>
      <c r="AC16" s="70">
        <f>R16+IFERROR(VLOOKUP($E:$E,'（居民）工资表-2月'!$E:$AC,25,0),0)</f>
        <v>0</v>
      </c>
      <c r="AD16" s="72">
        <f t="shared" si="6"/>
        <v>8847.5300000000007</v>
      </c>
      <c r="AE16" s="73">
        <f>ROUND(MAX((AD16)*{0.03;0.1;0.2;0.25;0.3;0.35;0.45}-{0;2520;16920;31920;52920;85920;181920},0),2)</f>
        <v>265.43</v>
      </c>
      <c r="AF16" s="74">
        <f>IFERROR(VLOOKUP(E:E,'（居民）工资表-2月'!E:AF,28,0)+VLOOKUP(E:E,'（居民）工资表-2月'!E:AG,29,0),0)</f>
        <v>119.71</v>
      </c>
      <c r="AG16" s="74">
        <f t="shared" si="7"/>
        <v>145.72000000000003</v>
      </c>
      <c r="AH16" s="77">
        <f t="shared" si="8"/>
        <v>9711.61</v>
      </c>
      <c r="AI16" s="78"/>
      <c r="AJ16" s="77">
        <f t="shared" si="9"/>
        <v>9711.61</v>
      </c>
      <c r="AK16" s="79"/>
      <c r="AL16" s="77">
        <f t="shared" si="10"/>
        <v>9857.33</v>
      </c>
      <c r="AM16" s="79"/>
      <c r="AN16" s="79"/>
      <c r="AO16" s="79"/>
      <c r="AP16" s="79"/>
      <c r="AQ16" s="79"/>
      <c r="AR16" s="84" t="str">
        <f t="shared" si="1"/>
        <v>正确</v>
      </c>
      <c r="AS16" s="84" t="str">
        <f t="shared" si="2"/>
        <v>不</v>
      </c>
      <c r="AT16" s="84" t="str">
        <f t="shared" si="3"/>
        <v>重复</v>
      </c>
    </row>
    <row r="17" spans="1:46" s="10" customFormat="1" ht="18" customHeight="1">
      <c r="A17" s="24">
        <v>14</v>
      </c>
      <c r="B17" s="25" t="s">
        <v>123</v>
      </c>
      <c r="C17" s="25" t="s">
        <v>169</v>
      </c>
      <c r="D17" s="25" t="s">
        <v>125</v>
      </c>
      <c r="E17" s="219" t="s">
        <v>170</v>
      </c>
      <c r="F17" s="26" t="str">
        <f t="shared" si="0"/>
        <v>女</v>
      </c>
      <c r="G17" s="27">
        <v>13301242552</v>
      </c>
      <c r="H17" s="28"/>
      <c r="I17" s="28"/>
      <c r="J17" s="86"/>
      <c r="K17" s="28"/>
      <c r="L17" s="54">
        <v>27000</v>
      </c>
      <c r="M17" s="55">
        <v>640</v>
      </c>
      <c r="N17" s="55">
        <v>163</v>
      </c>
      <c r="O17" s="55">
        <v>40</v>
      </c>
      <c r="P17" s="55">
        <v>960</v>
      </c>
      <c r="Q17" s="69">
        <f t="shared" si="4"/>
        <v>1803</v>
      </c>
      <c r="R17" s="54">
        <v>0</v>
      </c>
      <c r="S17" s="70">
        <f>L17+IFERROR(VLOOKUP($E:$E,'（居民）工资表-2月'!$E:$S,15,0),0)</f>
        <v>27000</v>
      </c>
      <c r="T17" s="71">
        <f>5000+IFERROR(VLOOKUP($E:$E,'（居民）工资表-2月'!$E:$T,16,0),0)</f>
        <v>5000</v>
      </c>
      <c r="U17" s="71">
        <f>Q17+IFERROR(VLOOKUP($E:$E,'（居民）工资表-2月'!$E:$U,17,0),0)</f>
        <v>1803</v>
      </c>
      <c r="V17" s="54"/>
      <c r="W17" s="54"/>
      <c r="X17" s="54"/>
      <c r="Y17" s="54"/>
      <c r="Z17" s="54"/>
      <c r="AA17" s="54"/>
      <c r="AB17" s="70">
        <f t="shared" si="5"/>
        <v>0</v>
      </c>
      <c r="AC17" s="70">
        <f>R17+IFERROR(VLOOKUP($E:$E,'（居民）工资表-2月'!$E:$AC,25,0),0)</f>
        <v>0</v>
      </c>
      <c r="AD17" s="72">
        <f t="shared" si="6"/>
        <v>20197</v>
      </c>
      <c r="AE17" s="73">
        <f>ROUND(MAX((AD17)*{0.03;0.1;0.2;0.25;0.3;0.35;0.45}-{0;2520;16920;31920;52920;85920;181920},0),2)</f>
        <v>605.91</v>
      </c>
      <c r="AF17" s="74">
        <f>IFERROR(VLOOKUP(E:E,'（居民）工资表-2月'!E:AF,28,0)+VLOOKUP(E:E,'（居民）工资表-2月'!E:AG,29,0),0)</f>
        <v>0</v>
      </c>
      <c r="AG17" s="74">
        <f t="shared" si="7"/>
        <v>605.91</v>
      </c>
      <c r="AH17" s="77">
        <f t="shared" si="8"/>
        <v>24591.09</v>
      </c>
      <c r="AI17" s="78"/>
      <c r="AJ17" s="77">
        <f t="shared" si="9"/>
        <v>24591.09</v>
      </c>
      <c r="AK17" s="79"/>
      <c r="AL17" s="77">
        <f t="shared" si="10"/>
        <v>25197</v>
      </c>
      <c r="AM17" s="79"/>
      <c r="AN17" s="79"/>
      <c r="AO17" s="79"/>
      <c r="AP17" s="79"/>
      <c r="AQ17" s="79"/>
      <c r="AR17" s="84" t="str">
        <f t="shared" si="1"/>
        <v>正确</v>
      </c>
      <c r="AS17" s="84" t="str">
        <f>IF(SUMPRODUCT(N(E$1:E$16=E17))&gt;1,"重复","不")</f>
        <v>不</v>
      </c>
      <c r="AT17" s="84" t="str">
        <f>IF(SUMPRODUCT(N(AO$1:AO$16=AO17))&gt;1,"重复","不")</f>
        <v>重复</v>
      </c>
    </row>
    <row r="18" spans="1:46" s="10" customFormat="1" ht="18" customHeight="1">
      <c r="A18" s="24">
        <v>15</v>
      </c>
      <c r="B18" s="25" t="s">
        <v>123</v>
      </c>
      <c r="C18" s="25" t="s">
        <v>171</v>
      </c>
      <c r="D18" s="25" t="s">
        <v>125</v>
      </c>
      <c r="E18" s="219" t="s">
        <v>172</v>
      </c>
      <c r="F18" s="26" t="str">
        <f t="shared" si="0"/>
        <v>女</v>
      </c>
      <c r="G18" s="27">
        <v>13842815360</v>
      </c>
      <c r="H18" s="28"/>
      <c r="I18" s="28"/>
      <c r="J18" s="86"/>
      <c r="K18" s="28"/>
      <c r="L18" s="54">
        <v>6068.9655172413804</v>
      </c>
      <c r="M18" s="55">
        <v>428.8</v>
      </c>
      <c r="N18" s="55">
        <v>110.2</v>
      </c>
      <c r="O18" s="55">
        <v>26.8</v>
      </c>
      <c r="P18" s="55">
        <v>444</v>
      </c>
      <c r="Q18" s="69">
        <f t="shared" si="4"/>
        <v>1009.8</v>
      </c>
      <c r="R18" s="54">
        <v>0</v>
      </c>
      <c r="S18" s="70">
        <f>L18+IFERROR(VLOOKUP($E:$E,'（居民）工资表-2月'!$E:$S,15,0),0)</f>
        <v>6068.9655172413804</v>
      </c>
      <c r="T18" s="71">
        <f>5000+IFERROR(VLOOKUP($E:$E,'（居民）工资表-2月'!$E:$T,16,0),0)</f>
        <v>5000</v>
      </c>
      <c r="U18" s="71">
        <f>Q18+IFERROR(VLOOKUP($E:$E,'（居民）工资表-2月'!$E:$U,17,0),0)</f>
        <v>1009.8</v>
      </c>
      <c r="V18" s="54"/>
      <c r="W18" s="54"/>
      <c r="X18" s="54"/>
      <c r="Y18" s="54"/>
      <c r="Z18" s="54"/>
      <c r="AA18" s="54"/>
      <c r="AB18" s="70">
        <f t="shared" si="5"/>
        <v>0</v>
      </c>
      <c r="AC18" s="70">
        <f>R18+IFERROR(VLOOKUP($E:$E,'（居民）工资表-2月'!$E:$AC,25,0),0)</f>
        <v>0</v>
      </c>
      <c r="AD18" s="72">
        <f t="shared" si="6"/>
        <v>59.17</v>
      </c>
      <c r="AE18" s="73">
        <f>ROUND(MAX((AD18)*{0.03;0.1;0.2;0.25;0.3;0.35;0.45}-{0;2520;16920;31920;52920;85920;181920},0),2)</f>
        <v>1.78</v>
      </c>
      <c r="AF18" s="74">
        <f>IFERROR(VLOOKUP(E:E,'（居民）工资表-2月'!E:AF,28,0)+VLOOKUP(E:E,'（居民）工资表-2月'!E:AG,29,0),0)</f>
        <v>0</v>
      </c>
      <c r="AG18" s="74">
        <f t="shared" si="7"/>
        <v>1.78</v>
      </c>
      <c r="AH18" s="77">
        <f t="shared" si="8"/>
        <v>5057.3900000000003</v>
      </c>
      <c r="AI18" s="78"/>
      <c r="AJ18" s="77">
        <f t="shared" si="9"/>
        <v>5057.3900000000003</v>
      </c>
      <c r="AK18" s="79"/>
      <c r="AL18" s="77">
        <f t="shared" si="10"/>
        <v>5059.17</v>
      </c>
      <c r="AM18" s="79"/>
      <c r="AN18" s="79"/>
      <c r="AO18" s="79"/>
      <c r="AP18" s="79"/>
      <c r="AQ18" s="79"/>
      <c r="AR18" s="84" t="str">
        <f t="shared" si="1"/>
        <v>正确</v>
      </c>
      <c r="AS18" s="84" t="str">
        <f>IF(SUMPRODUCT(N(E$1:E$16=E18))&gt;1,"重复","不")</f>
        <v>不</v>
      </c>
      <c r="AT18" s="84" t="str">
        <f>IF(SUMPRODUCT(N(AO$1:AO$16=AO18))&gt;1,"重复","不")</f>
        <v>重复</v>
      </c>
    </row>
    <row r="19" spans="1:46" s="10" customFormat="1" ht="18" customHeight="1">
      <c r="A19" s="24">
        <v>16</v>
      </c>
      <c r="B19" s="25" t="s">
        <v>123</v>
      </c>
      <c r="C19" s="25" t="s">
        <v>173</v>
      </c>
      <c r="D19" s="25" t="s">
        <v>125</v>
      </c>
      <c r="E19" s="25" t="s">
        <v>174</v>
      </c>
      <c r="F19" s="26" t="str">
        <f t="shared" si="0"/>
        <v>女</v>
      </c>
      <c r="G19" s="27">
        <v>18733620146</v>
      </c>
      <c r="H19" s="28"/>
      <c r="I19" s="28"/>
      <c r="J19" s="86"/>
      <c r="K19" s="28"/>
      <c r="L19" s="54">
        <v>3678.1609195402302</v>
      </c>
      <c r="M19" s="55">
        <v>428.8</v>
      </c>
      <c r="N19" s="55">
        <v>110.2</v>
      </c>
      <c r="O19" s="55">
        <v>26.8</v>
      </c>
      <c r="P19" s="55">
        <v>444</v>
      </c>
      <c r="Q19" s="69">
        <f t="shared" si="4"/>
        <v>1009.8</v>
      </c>
      <c r="R19" s="54">
        <v>0</v>
      </c>
      <c r="S19" s="70">
        <f>L19+IFERROR(VLOOKUP($E:$E,'（居民）工资表-2月'!$E:$S,15,0),0)</f>
        <v>3678.1609195402302</v>
      </c>
      <c r="T19" s="71">
        <f>5000+IFERROR(VLOOKUP($E:$E,'（居民）工资表-2月'!$E:$T,16,0),0)</f>
        <v>5000</v>
      </c>
      <c r="U19" s="71">
        <f>Q19+IFERROR(VLOOKUP($E:$E,'（居民）工资表-2月'!$E:$U,17,0),0)</f>
        <v>1009.8</v>
      </c>
      <c r="V19" s="54"/>
      <c r="W19" s="54"/>
      <c r="X19" s="54"/>
      <c r="Y19" s="54"/>
      <c r="Z19" s="54"/>
      <c r="AA19" s="54"/>
      <c r="AB19" s="70">
        <f t="shared" si="5"/>
        <v>0</v>
      </c>
      <c r="AC19" s="70">
        <f>R19+IFERROR(VLOOKUP($E:$E,'（居民）工资表-2月'!$E:$AC,25,0),0)</f>
        <v>0</v>
      </c>
      <c r="AD19" s="72">
        <f t="shared" si="6"/>
        <v>-2331.64</v>
      </c>
      <c r="AE19" s="73">
        <f>ROUND(MAX((AD19)*{0.03;0.1;0.2;0.25;0.3;0.35;0.45}-{0;2520;16920;31920;52920;85920;181920},0),2)</f>
        <v>0</v>
      </c>
      <c r="AF19" s="74">
        <f>IFERROR(VLOOKUP(E:E,'（居民）工资表-2月'!E:AF,28,0)+VLOOKUP(E:E,'（居民）工资表-2月'!E:AG,29,0),0)</f>
        <v>0</v>
      </c>
      <c r="AG19" s="74">
        <f t="shared" si="7"/>
        <v>0</v>
      </c>
      <c r="AH19" s="77">
        <f t="shared" si="8"/>
        <v>2668.36</v>
      </c>
      <c r="AI19" s="78"/>
      <c r="AJ19" s="77">
        <f t="shared" si="9"/>
        <v>2668.36</v>
      </c>
      <c r="AK19" s="79"/>
      <c r="AL19" s="77">
        <f t="shared" si="10"/>
        <v>2668.36</v>
      </c>
      <c r="AM19" s="79"/>
      <c r="AN19" s="79"/>
      <c r="AO19" s="79"/>
      <c r="AP19" s="79"/>
      <c r="AQ19" s="79"/>
      <c r="AR19" s="84" t="str">
        <f t="shared" si="1"/>
        <v>正确</v>
      </c>
      <c r="AS19" s="84" t="str">
        <f>IF(SUMPRODUCT(N(E$1:E$16=E19))&gt;1,"重复","不")</f>
        <v>不</v>
      </c>
      <c r="AT19" s="84" t="str">
        <f>IF(SUMPRODUCT(N(AO$1:AO$16=AO19))&gt;1,"重复","不")</f>
        <v>重复</v>
      </c>
    </row>
    <row r="20" spans="1:46" s="11" customFormat="1" ht="18" customHeight="1">
      <c r="A20" s="31"/>
      <c r="B20" s="32" t="s">
        <v>151</v>
      </c>
      <c r="C20" s="32"/>
      <c r="D20" s="33"/>
      <c r="E20" s="34"/>
      <c r="F20" s="35"/>
      <c r="G20" s="36"/>
      <c r="H20" s="35"/>
      <c r="I20" s="56"/>
      <c r="J20" s="57"/>
      <c r="K20" s="56"/>
      <c r="L20" s="58">
        <f>SUM(L4:L19)</f>
        <v>175177.01149425301</v>
      </c>
      <c r="M20" s="58">
        <f t="shared" ref="M20:AL20" si="11">SUM(M4:M19)</f>
        <v>6643.2000000000016</v>
      </c>
      <c r="N20" s="58">
        <f t="shared" si="11"/>
        <v>1705.8000000000004</v>
      </c>
      <c r="O20" s="58">
        <f t="shared" si="11"/>
        <v>415.2000000000001</v>
      </c>
      <c r="P20" s="58">
        <f t="shared" si="11"/>
        <v>7332</v>
      </c>
      <c r="Q20" s="58">
        <f t="shared" si="11"/>
        <v>16096.199999999995</v>
      </c>
      <c r="R20" s="58">
        <f t="shared" si="11"/>
        <v>0</v>
      </c>
      <c r="S20" s="58">
        <f t="shared" si="11"/>
        <v>413872.06896551728</v>
      </c>
      <c r="T20" s="58">
        <f t="shared" si="11"/>
        <v>195000</v>
      </c>
      <c r="U20" s="58">
        <f t="shared" si="11"/>
        <v>38623.799999999996</v>
      </c>
      <c r="V20" s="58">
        <f t="shared" si="11"/>
        <v>0</v>
      </c>
      <c r="W20" s="58">
        <f t="shared" si="11"/>
        <v>0</v>
      </c>
      <c r="X20" s="58">
        <f t="shared" si="11"/>
        <v>0</v>
      </c>
      <c r="Y20" s="58">
        <f t="shared" si="11"/>
        <v>0</v>
      </c>
      <c r="Z20" s="58">
        <f t="shared" si="11"/>
        <v>0</v>
      </c>
      <c r="AA20" s="58">
        <f t="shared" si="11"/>
        <v>0</v>
      </c>
      <c r="AB20" s="58">
        <f t="shared" si="11"/>
        <v>0</v>
      </c>
      <c r="AC20" s="58">
        <f t="shared" si="11"/>
        <v>0</v>
      </c>
      <c r="AD20" s="58">
        <f t="shared" si="11"/>
        <v>180248.28999999995</v>
      </c>
      <c r="AE20" s="58">
        <f t="shared" si="11"/>
        <v>5477.4099999999989</v>
      </c>
      <c r="AF20" s="58">
        <f t="shared" si="11"/>
        <v>3035.0200000000004</v>
      </c>
      <c r="AG20" s="58">
        <f t="shared" si="11"/>
        <v>2442.3900000000003</v>
      </c>
      <c r="AH20" s="58">
        <f t="shared" si="11"/>
        <v>156638.44</v>
      </c>
      <c r="AI20" s="58">
        <f t="shared" si="11"/>
        <v>0</v>
      </c>
      <c r="AJ20" s="58">
        <f t="shared" si="11"/>
        <v>156638.44</v>
      </c>
      <c r="AK20" s="58">
        <f t="shared" si="11"/>
        <v>0</v>
      </c>
      <c r="AL20" s="58">
        <f t="shared" si="11"/>
        <v>159080.82999999999</v>
      </c>
      <c r="AM20" s="81"/>
      <c r="AN20" s="81"/>
      <c r="AO20" s="81"/>
      <c r="AP20" s="81"/>
      <c r="AQ20" s="81"/>
      <c r="AR20" s="35"/>
      <c r="AS20" s="35"/>
      <c r="AT20" s="85"/>
    </row>
    <row r="23" spans="1:46">
      <c r="AD23" s="75"/>
    </row>
    <row r="24" spans="1:46" ht="18.75" customHeight="1">
      <c r="B24" s="37" t="s">
        <v>104</v>
      </c>
      <c r="C24" s="37" t="s">
        <v>152</v>
      </c>
      <c r="D24" s="37" t="s">
        <v>55</v>
      </c>
      <c r="E24" s="37" t="s">
        <v>56</v>
      </c>
      <c r="AD24" s="8"/>
    </row>
    <row r="25" spans="1:46" ht="18.75" customHeight="1">
      <c r="B25" s="38">
        <f>AJ20</f>
        <v>156638.44</v>
      </c>
      <c r="C25" s="38">
        <f>AG20</f>
        <v>2442.3900000000003</v>
      </c>
      <c r="D25" s="38">
        <f>AK20</f>
        <v>0</v>
      </c>
      <c r="E25" s="38">
        <f>B25+C25+D25</f>
        <v>159080.83000000002</v>
      </c>
      <c r="F25" s="13">
        <v>58585.3</v>
      </c>
    </row>
    <row r="26" spans="1:46" ht="16.5">
      <c r="B26" s="39"/>
      <c r="C26" s="39"/>
      <c r="D26" s="39"/>
      <c r="E26" s="107">
        <f>E25*6.78%</f>
        <v>10785.680274</v>
      </c>
      <c r="F26" s="13">
        <v>3972.0833400000001</v>
      </c>
    </row>
    <row r="27" spans="1:46" s="12" customFormat="1">
      <c r="A27" s="40" t="s">
        <v>153</v>
      </c>
      <c r="B27" s="41" t="s">
        <v>154</v>
      </c>
      <c r="C27" s="42"/>
      <c r="D27" s="42"/>
      <c r="E27" s="42"/>
      <c r="G27" s="43"/>
      <c r="J27" s="59"/>
      <c r="M27" s="60"/>
      <c r="AI27" s="82"/>
    </row>
    <row r="28" spans="1:46" s="12" customFormat="1">
      <c r="A28" s="44"/>
      <c r="B28" s="45" t="s">
        <v>155</v>
      </c>
      <c r="C28" s="42"/>
      <c r="D28" s="42"/>
      <c r="E28" s="42"/>
      <c r="G28" s="43"/>
      <c r="J28" s="59"/>
      <c r="M28" s="60"/>
      <c r="AI28" s="82"/>
    </row>
    <row r="29" spans="1:46" s="12" customFormat="1">
      <c r="A29" s="41"/>
      <c r="B29" s="45" t="s">
        <v>156</v>
      </c>
      <c r="C29" s="46"/>
      <c r="D29" s="46"/>
      <c r="E29" s="46"/>
      <c r="F29" s="46"/>
      <c r="G29" s="46"/>
      <c r="H29" s="46"/>
      <c r="I29" s="46"/>
      <c r="J29" s="61"/>
      <c r="K29" s="46"/>
      <c r="L29" s="46"/>
      <c r="M29" s="62"/>
      <c r="N29" s="46"/>
      <c r="O29" s="46"/>
      <c r="P29" s="46"/>
      <c r="AI29" s="82"/>
    </row>
    <row r="30" spans="1:46" s="12" customFormat="1" ht="13.5" customHeight="1">
      <c r="A30" s="45"/>
      <c r="B30" s="45" t="s">
        <v>157</v>
      </c>
      <c r="C30" s="47"/>
      <c r="D30" s="47"/>
      <c r="E30" s="47"/>
      <c r="F30" s="47"/>
      <c r="G30" s="47"/>
      <c r="H30" s="47"/>
      <c r="I30" s="63"/>
      <c r="J30" s="64"/>
      <c r="K30" s="63"/>
      <c r="L30" s="63"/>
      <c r="M30" s="65"/>
      <c r="N30" s="63"/>
      <c r="O30" s="63"/>
      <c r="P30" s="63"/>
      <c r="AI30" s="82"/>
    </row>
    <row r="31" spans="1:46" s="12" customFormat="1" ht="13.5" customHeight="1">
      <c r="A31" s="45"/>
      <c r="B31" s="45" t="s">
        <v>158</v>
      </c>
      <c r="C31" s="47"/>
      <c r="D31" s="47"/>
      <c r="E31" s="47"/>
      <c r="F31" s="47"/>
      <c r="G31" s="47"/>
      <c r="H31" s="47"/>
      <c r="I31" s="47"/>
      <c r="J31" s="66"/>
      <c r="K31" s="47"/>
      <c r="L31" s="63"/>
      <c r="M31" s="65"/>
      <c r="N31" s="63"/>
      <c r="O31" s="63"/>
      <c r="P31" s="63"/>
      <c r="AI31" s="82"/>
    </row>
    <row r="32" spans="1:46" s="12" customFormat="1" ht="13.5" customHeight="1">
      <c r="A32" s="45"/>
      <c r="B32" s="45" t="s">
        <v>159</v>
      </c>
      <c r="C32" s="47"/>
      <c r="D32" s="47"/>
      <c r="E32" s="47"/>
      <c r="F32" s="47"/>
      <c r="G32" s="47"/>
      <c r="H32" s="47"/>
      <c r="I32" s="63"/>
      <c r="J32" s="64"/>
      <c r="K32" s="63"/>
      <c r="L32" s="63"/>
      <c r="M32" s="65"/>
      <c r="N32" s="63"/>
      <c r="O32" s="63"/>
      <c r="P32" s="63"/>
      <c r="AI32" s="82"/>
    </row>
    <row r="34" spans="2:2" ht="11.25" customHeight="1">
      <c r="B34" s="48" t="s">
        <v>160</v>
      </c>
    </row>
    <row r="35" spans="2:2">
      <c r="B35" s="49" t="s">
        <v>161</v>
      </c>
    </row>
    <row r="36" spans="2:2">
      <c r="B36" s="49" t="s">
        <v>162</v>
      </c>
    </row>
  </sheetData>
  <autoFilter ref="A3:AT20" xr:uid="{00000000-0009-0000-0000-000004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32">
    <cfRule type="duplicateValues" dxfId="69" priority="2" stopIfTrue="1"/>
  </conditionalFormatting>
  <conditionalFormatting sqref="B27:B31">
    <cfRule type="duplicateValues" dxfId="68" priority="3" stopIfTrue="1"/>
  </conditionalFormatting>
  <conditionalFormatting sqref="B35:B36">
    <cfRule type="duplicateValues" dxfId="67" priority="1" stopIfTrue="1"/>
  </conditionalFormatting>
  <conditionalFormatting sqref="C24:C26">
    <cfRule type="duplicateValues" dxfId="66" priority="4" stopIfTrue="1"/>
    <cfRule type="expression" dxfId="65" priority="5" stopIfTrue="1">
      <formula>AND(COUNTIF($B$20:$B$65456,C24)+COUNTIF($B$1:$B$3,C24)&gt;1,NOT(ISBLANK(C24)))</formula>
    </cfRule>
    <cfRule type="expression" dxfId="64" priority="6" stopIfTrue="1">
      <formula>AND(COUNTIF($B$31:$B$65407,C24)+COUNTIF($B$1:$B$30,C24)&gt;1,NOT(ISBLANK(C24)))</formula>
    </cfRule>
    <cfRule type="expression" dxfId="63" priority="7" stopIfTrue="1">
      <formula>AND(COUNTIF($B$20:$B$65445,C24)+COUNTIF($B$1:$B$3,C24)&gt;1,NOT(ISBLANK(C24)))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 pane="topRight"/>
      <selection pane="bottomLeft"/>
      <selection pane="bottomRight" activeCell="G7" sqref="G7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3.36328125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175</v>
      </c>
      <c r="C4" s="25" t="s">
        <v>124</v>
      </c>
      <c r="D4" s="25" t="s">
        <v>125</v>
      </c>
      <c r="E4" s="25" t="s">
        <v>126</v>
      </c>
      <c r="F4" s="26" t="str">
        <f t="shared" ref="F4:F10" si="0">IF(MOD(MID(E4,17,1),2)=1,"男","女")</f>
        <v>女</v>
      </c>
      <c r="G4" s="27">
        <v>19801207903</v>
      </c>
      <c r="H4" s="28"/>
      <c r="I4" s="28"/>
      <c r="J4" s="86"/>
      <c r="K4" s="28"/>
      <c r="L4" s="54">
        <v>6574.71264367816</v>
      </c>
      <c r="M4" s="55">
        <v>428.8</v>
      </c>
      <c r="N4" s="55">
        <v>110.2</v>
      </c>
      <c r="O4" s="55">
        <v>26.8</v>
      </c>
      <c r="P4" s="55">
        <v>444</v>
      </c>
      <c r="Q4" s="69">
        <f t="shared" ref="Q4:Q10" si="1">ROUND(SUM(M4:P4),2)</f>
        <v>1009.8</v>
      </c>
      <c r="R4" s="54">
        <v>0</v>
      </c>
      <c r="S4" s="70">
        <f>L4+IFERROR(VLOOKUP($E:$E,'（居民）工资表-10月'!$E:$S,15,0),0)</f>
        <v>6574.71264367816</v>
      </c>
      <c r="T4" s="71">
        <f>5000+IFERROR(VLOOKUP($E:$E,'（居民）工资表-10月'!$E:$T,16,0),0)</f>
        <v>5000</v>
      </c>
      <c r="U4" s="71">
        <f>Q4+IFERROR(VLOOKUP($E:$E,'（居民）工资表-10月'!$E:$U,17,0),0)</f>
        <v>1009.8</v>
      </c>
      <c r="V4" s="54"/>
      <c r="W4" s="54"/>
      <c r="X4" s="54"/>
      <c r="Y4" s="54"/>
      <c r="Z4" s="54"/>
      <c r="AA4" s="54"/>
      <c r="AB4" s="70">
        <f t="shared" ref="AB4:AB10" si="2">ROUND(SUM(V4:AA4),2)</f>
        <v>0</v>
      </c>
      <c r="AC4" s="70">
        <f>R4+IFERROR(VLOOKUP($E:$E,'（居民）工资表-10月'!$E:$AC,25,0),0)</f>
        <v>0</v>
      </c>
      <c r="AD4" s="72">
        <f t="shared" ref="AD4:AD10" si="3">ROUND(S4-T4-U4-AB4-AC4,2)</f>
        <v>564.91</v>
      </c>
      <c r="AE4" s="73">
        <f>ROUND(MAX((AD4)*{0.03;0.1;0.2;0.25;0.3;0.35;0.45}-{0;2520;16920;31920;52920;85920;181920},0),2)</f>
        <v>16.95</v>
      </c>
      <c r="AF4" s="74">
        <f>IFERROR(VLOOKUP(E:E,'（居民）工资表-10月'!E:AF,28,0)+VLOOKUP(E:E,'（居民）工资表-10月'!E:AG,29,0),0)</f>
        <v>0</v>
      </c>
      <c r="AG4" s="74">
        <f t="shared" ref="AG4:AG10" si="4">IF((AE4-AF4)&lt;0,0,AE4-AF4)</f>
        <v>16.95</v>
      </c>
      <c r="AH4" s="77">
        <f t="shared" ref="AH4:AH10" si="5">ROUND(IF((L4-Q4-AG4)&lt;0,0,(L4-Q4-AG4)),2)</f>
        <v>5547.96</v>
      </c>
      <c r="AI4" s="78"/>
      <c r="AJ4" s="77">
        <f t="shared" ref="AJ4:AJ10" si="6">AH4+AI4</f>
        <v>5547.96</v>
      </c>
      <c r="AK4" s="79"/>
      <c r="AL4" s="77">
        <f t="shared" ref="AL4:AL10" si="7">AJ4+AG4+AK4</f>
        <v>5564.91</v>
      </c>
      <c r="AM4" s="79"/>
      <c r="AN4" s="79"/>
      <c r="AO4" s="220" t="s">
        <v>176</v>
      </c>
      <c r="AP4" s="79" t="s">
        <v>177</v>
      </c>
      <c r="AQ4" s="79"/>
      <c r="AR4" s="84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0" si="9">IF(SUMPRODUCT(N(E$1:E$10=E4))&gt;1,"重复","不")</f>
        <v>不</v>
      </c>
      <c r="AT4" s="84" t="str">
        <f t="shared" ref="AT4:AT10" si="10">IF(SUMPRODUCT(N(AO$1:AO$10=AO4))&gt;1,"重复","不")</f>
        <v>不</v>
      </c>
    </row>
    <row r="5" spans="1:46" s="10" customFormat="1" ht="18" customHeight="1">
      <c r="A5" s="24">
        <v>2</v>
      </c>
      <c r="B5" s="25" t="s">
        <v>175</v>
      </c>
      <c r="C5" s="25" t="s">
        <v>127</v>
      </c>
      <c r="D5" s="25" t="s">
        <v>125</v>
      </c>
      <c r="E5" s="25" t="s">
        <v>128</v>
      </c>
      <c r="F5" s="26" t="str">
        <f t="shared" si="0"/>
        <v>男</v>
      </c>
      <c r="G5" s="27">
        <v>13288877699</v>
      </c>
      <c r="H5" s="28"/>
      <c r="I5" s="28"/>
      <c r="J5" s="86"/>
      <c r="K5" s="28"/>
      <c r="L5" s="54">
        <v>6574.71264367816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si="1"/>
        <v>1009.8</v>
      </c>
      <c r="R5" s="54">
        <v>0</v>
      </c>
      <c r="S5" s="70">
        <f>L5+IFERROR(VLOOKUP($E:$E,'（居民）工资表-10月'!$E:$S,15,0),0)</f>
        <v>6574.71264367816</v>
      </c>
      <c r="T5" s="71">
        <f>5000+IFERROR(VLOOKUP($E:$E,'（居民）工资表-10月'!$E:$T,16,0),0)</f>
        <v>5000</v>
      </c>
      <c r="U5" s="71">
        <f>Q5+IFERROR(VLOOKUP($E:$E,'（居民）工资表-10月'!$E:$U,17,0),0)</f>
        <v>1009.8</v>
      </c>
      <c r="V5" s="54"/>
      <c r="W5" s="54"/>
      <c r="X5" s="54"/>
      <c r="Y5" s="54"/>
      <c r="Z5" s="54"/>
      <c r="AA5" s="54"/>
      <c r="AB5" s="70">
        <f t="shared" si="2"/>
        <v>0</v>
      </c>
      <c r="AC5" s="70">
        <f>R5+IFERROR(VLOOKUP($E:$E,'（居民）工资表-10月'!$E:$AC,25,0),0)</f>
        <v>0</v>
      </c>
      <c r="AD5" s="72">
        <f t="shared" si="3"/>
        <v>564.91</v>
      </c>
      <c r="AE5" s="73">
        <f>ROUND(MAX((AD5)*{0.03;0.1;0.2;0.25;0.3;0.35;0.45}-{0;2520;16920;31920;52920;85920;181920},0),2)</f>
        <v>16.95</v>
      </c>
      <c r="AF5" s="74">
        <f>IFERROR(VLOOKUP(E:E,'（居民）工资表-10月'!E:AF,28,0)+VLOOKUP(E:E,'（居民）工资表-10月'!E:AG,29,0),0)</f>
        <v>0</v>
      </c>
      <c r="AG5" s="74">
        <f t="shared" si="4"/>
        <v>16.95</v>
      </c>
      <c r="AH5" s="77">
        <f t="shared" si="5"/>
        <v>5547.96</v>
      </c>
      <c r="AI5" s="78"/>
      <c r="AJ5" s="77">
        <f t="shared" si="6"/>
        <v>5547.96</v>
      </c>
      <c r="AK5" s="79"/>
      <c r="AL5" s="77">
        <f t="shared" si="7"/>
        <v>5564.91</v>
      </c>
      <c r="AM5" s="79"/>
      <c r="AN5" s="79"/>
      <c r="AO5" s="220" t="s">
        <v>178</v>
      </c>
      <c r="AP5" s="79" t="s">
        <v>179</v>
      </c>
      <c r="AQ5" s="79"/>
      <c r="AR5" s="84" t="str">
        <f t="shared" si="8"/>
        <v>正确</v>
      </c>
      <c r="AS5" s="84" t="str">
        <f t="shared" si="9"/>
        <v>不</v>
      </c>
      <c r="AT5" s="84" t="str">
        <f t="shared" si="10"/>
        <v>不</v>
      </c>
    </row>
    <row r="6" spans="1:46" s="10" customFormat="1" ht="18" customHeight="1">
      <c r="A6" s="24">
        <v>3</v>
      </c>
      <c r="B6" s="25" t="s">
        <v>175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86"/>
      <c r="K6" s="28"/>
      <c r="L6" s="54">
        <v>10344.8275862069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1"/>
        <v>1009.8</v>
      </c>
      <c r="R6" s="54">
        <v>0</v>
      </c>
      <c r="S6" s="70">
        <f>L6+IFERROR(VLOOKUP($E:$E,'（居民）工资表-10月'!$E:$S,15,0),0)</f>
        <v>10344.8275862069</v>
      </c>
      <c r="T6" s="71">
        <f>5000+IFERROR(VLOOKUP($E:$E,'（居民）工资表-10月'!$E:$T,16,0),0)</f>
        <v>5000</v>
      </c>
      <c r="U6" s="71">
        <f>Q6+IFERROR(VLOOKUP($E:$E,'（居民）工资表-10月'!$E:$U,17,0),0)</f>
        <v>1009.8</v>
      </c>
      <c r="V6" s="54"/>
      <c r="W6" s="54"/>
      <c r="X6" s="54"/>
      <c r="Y6" s="54"/>
      <c r="Z6" s="54"/>
      <c r="AA6" s="54"/>
      <c r="AB6" s="70">
        <f t="shared" si="2"/>
        <v>0</v>
      </c>
      <c r="AC6" s="70">
        <f>R6+IFERROR(VLOOKUP($E:$E,'（居民）工资表-10月'!$E:$AC,25,0),0)</f>
        <v>0</v>
      </c>
      <c r="AD6" s="72">
        <f t="shared" si="3"/>
        <v>4335.03</v>
      </c>
      <c r="AE6" s="73">
        <f>ROUND(MAX((AD6)*{0.03;0.1;0.2;0.25;0.3;0.35;0.45}-{0;2520;16920;31920;52920;85920;181920},0),2)</f>
        <v>130.05000000000001</v>
      </c>
      <c r="AF6" s="74">
        <f>IFERROR(VLOOKUP(E:E,'（居民）工资表-10月'!E:AF,28,0)+VLOOKUP(E:E,'（居民）工资表-10月'!E:AG,29,0),0)</f>
        <v>0</v>
      </c>
      <c r="AG6" s="74">
        <f t="shared" si="4"/>
        <v>130.05000000000001</v>
      </c>
      <c r="AH6" s="77">
        <f t="shared" si="5"/>
        <v>9204.98</v>
      </c>
      <c r="AI6" s="78"/>
      <c r="AJ6" s="77">
        <f t="shared" si="6"/>
        <v>9204.98</v>
      </c>
      <c r="AK6" s="79"/>
      <c r="AL6" s="77">
        <f t="shared" si="7"/>
        <v>9335.0299999999988</v>
      </c>
      <c r="AM6" s="79"/>
      <c r="AN6" s="79"/>
      <c r="AO6" s="220" t="s">
        <v>180</v>
      </c>
      <c r="AP6" s="79" t="s">
        <v>181</v>
      </c>
      <c r="AQ6" s="79"/>
      <c r="AR6" s="84" t="str">
        <f t="shared" si="8"/>
        <v>正确</v>
      </c>
      <c r="AS6" s="84" t="str">
        <f t="shared" si="9"/>
        <v>不</v>
      </c>
      <c r="AT6" s="84" t="str">
        <f t="shared" si="10"/>
        <v>不</v>
      </c>
    </row>
    <row r="7" spans="1:46" s="10" customFormat="1" ht="18" customHeight="1">
      <c r="A7" s="24">
        <v>4</v>
      </c>
      <c r="B7" s="25" t="s">
        <v>175</v>
      </c>
      <c r="C7" s="25" t="s">
        <v>182</v>
      </c>
      <c r="D7" s="25" t="s">
        <v>125</v>
      </c>
      <c r="E7" s="25" t="s">
        <v>183</v>
      </c>
      <c r="F7" s="26" t="str">
        <f t="shared" si="0"/>
        <v>女</v>
      </c>
      <c r="G7" s="27">
        <v>16600096727</v>
      </c>
      <c r="H7" s="28"/>
      <c r="I7" s="28"/>
      <c r="J7" s="86"/>
      <c r="K7" s="28"/>
      <c r="L7" s="54">
        <v>10344.8275862069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1"/>
        <v>1009.8</v>
      </c>
      <c r="R7" s="54">
        <v>0</v>
      </c>
      <c r="S7" s="70">
        <f>L7+IFERROR(VLOOKUP($E:$E,'（居民）工资表-10月'!$E:$S,15,0),0)</f>
        <v>10344.8275862069</v>
      </c>
      <c r="T7" s="71">
        <f>5000+IFERROR(VLOOKUP($E:$E,'（居民）工资表-10月'!$E:$T,16,0),0)</f>
        <v>5000</v>
      </c>
      <c r="U7" s="71">
        <f>Q7+IFERROR(VLOOKUP($E:$E,'（居民）工资表-10月'!$E:$U,17,0),0)</f>
        <v>1009.8</v>
      </c>
      <c r="V7" s="54"/>
      <c r="W7" s="54"/>
      <c r="X7" s="54"/>
      <c r="Y7" s="54"/>
      <c r="Z7" s="54"/>
      <c r="AA7" s="54"/>
      <c r="AB7" s="70">
        <f t="shared" si="2"/>
        <v>0</v>
      </c>
      <c r="AC7" s="70">
        <f>R7+IFERROR(VLOOKUP($E:$E,'（居民）工资表-10月'!$E:$AC,25,0),0)</f>
        <v>0</v>
      </c>
      <c r="AD7" s="72">
        <f t="shared" si="3"/>
        <v>4335.03</v>
      </c>
      <c r="AE7" s="73">
        <f>ROUND(MAX((AD7)*{0.03;0.1;0.2;0.25;0.3;0.35;0.45}-{0;2520;16920;31920;52920;85920;181920},0),2)</f>
        <v>130.05000000000001</v>
      </c>
      <c r="AF7" s="74">
        <f>IFERROR(VLOOKUP(E:E,'（居民）工资表-10月'!E:AF,28,0)+VLOOKUP(E:E,'（居民）工资表-10月'!E:AG,29,0),0)</f>
        <v>0</v>
      </c>
      <c r="AG7" s="74">
        <f t="shared" si="4"/>
        <v>130.05000000000001</v>
      </c>
      <c r="AH7" s="77">
        <f t="shared" si="5"/>
        <v>9204.98</v>
      </c>
      <c r="AI7" s="78"/>
      <c r="AJ7" s="77">
        <f t="shared" si="6"/>
        <v>9204.98</v>
      </c>
      <c r="AK7" s="79"/>
      <c r="AL7" s="77">
        <f t="shared" si="7"/>
        <v>9335.0299999999988</v>
      </c>
      <c r="AM7" s="79"/>
      <c r="AN7" s="79"/>
      <c r="AO7" s="220" t="s">
        <v>184</v>
      </c>
      <c r="AP7" s="79" t="s">
        <v>185</v>
      </c>
      <c r="AQ7" s="79"/>
      <c r="AR7" s="84" t="str">
        <f t="shared" si="8"/>
        <v>正确</v>
      </c>
      <c r="AS7" s="84" t="str">
        <f t="shared" si="9"/>
        <v>不</v>
      </c>
      <c r="AT7" s="84" t="str">
        <f t="shared" si="10"/>
        <v>不</v>
      </c>
    </row>
    <row r="8" spans="1:46" s="10" customFormat="1" ht="18" customHeight="1">
      <c r="A8" s="24">
        <v>5</v>
      </c>
      <c r="B8" s="25" t="s">
        <v>175</v>
      </c>
      <c r="C8" s="25" t="s">
        <v>131</v>
      </c>
      <c r="D8" s="25" t="s">
        <v>125</v>
      </c>
      <c r="E8" s="25" t="s">
        <v>132</v>
      </c>
      <c r="F8" s="26" t="str">
        <f t="shared" si="0"/>
        <v>男</v>
      </c>
      <c r="G8" s="27">
        <v>13683242969</v>
      </c>
      <c r="H8" s="28"/>
      <c r="I8" s="28"/>
      <c r="J8" s="86"/>
      <c r="K8" s="28"/>
      <c r="L8" s="54">
        <v>1839.0804597701101</v>
      </c>
      <c r="M8" s="55"/>
      <c r="N8" s="55"/>
      <c r="O8" s="55"/>
      <c r="P8" s="55"/>
      <c r="Q8" s="69">
        <f t="shared" si="1"/>
        <v>0</v>
      </c>
      <c r="R8" s="54">
        <v>0</v>
      </c>
      <c r="S8" s="70">
        <f>L8+IFERROR(VLOOKUP($E:$E,'（居民）工资表-10月'!$E:$S,15,0),0)</f>
        <v>1839.0804597701101</v>
      </c>
      <c r="T8" s="71">
        <f>5000+IFERROR(VLOOKUP($E:$E,'（居民）工资表-10月'!$E:$T,16,0),0)</f>
        <v>5000</v>
      </c>
      <c r="U8" s="71">
        <f>Q8+IFERROR(VLOOKUP($E:$E,'（居民）工资表-10月'!$E:$U,17,0),0)</f>
        <v>0</v>
      </c>
      <c r="V8" s="54"/>
      <c r="W8" s="54"/>
      <c r="X8" s="54"/>
      <c r="Y8" s="54"/>
      <c r="Z8" s="54"/>
      <c r="AA8" s="54"/>
      <c r="AB8" s="70">
        <f t="shared" si="2"/>
        <v>0</v>
      </c>
      <c r="AC8" s="70">
        <f>R8+IFERROR(VLOOKUP($E:$E,'（居民）工资表-10月'!$E:$AC,25,0),0)</f>
        <v>0</v>
      </c>
      <c r="AD8" s="72">
        <f t="shared" si="3"/>
        <v>-3160.92</v>
      </c>
      <c r="AE8" s="73">
        <f>ROUND(MAX((AD8)*{0.03;0.1;0.2;0.25;0.3;0.35;0.45}-{0;2520;16920;31920;52920;85920;181920},0),2)</f>
        <v>0</v>
      </c>
      <c r="AF8" s="74">
        <f>IFERROR(VLOOKUP(E:E,'（居民）工资表-10月'!E:AF,28,0)+VLOOKUP(E:E,'（居民）工资表-10月'!E:AG,29,0),0)</f>
        <v>0</v>
      </c>
      <c r="AG8" s="74">
        <f t="shared" si="4"/>
        <v>0</v>
      </c>
      <c r="AH8" s="77">
        <f t="shared" si="5"/>
        <v>1839.08</v>
      </c>
      <c r="AI8" s="78"/>
      <c r="AJ8" s="77">
        <f t="shared" si="6"/>
        <v>1839.08</v>
      </c>
      <c r="AK8" s="79"/>
      <c r="AL8" s="77">
        <f t="shared" si="7"/>
        <v>1839.08</v>
      </c>
      <c r="AM8" s="79"/>
      <c r="AN8" s="79"/>
      <c r="AO8" s="220" t="s">
        <v>186</v>
      </c>
      <c r="AP8" s="79" t="s">
        <v>187</v>
      </c>
      <c r="AQ8" s="79"/>
      <c r="AR8" s="84" t="str">
        <f t="shared" si="8"/>
        <v>正确</v>
      </c>
      <c r="AS8" s="84" t="str">
        <f t="shared" si="9"/>
        <v>不</v>
      </c>
      <c r="AT8" s="84" t="str">
        <f t="shared" si="10"/>
        <v>不</v>
      </c>
    </row>
    <row r="9" spans="1:46" s="10" customFormat="1" ht="18" customHeight="1">
      <c r="A9" s="24">
        <v>6</v>
      </c>
      <c r="B9" s="25" t="s">
        <v>175</v>
      </c>
      <c r="C9" s="25" t="s">
        <v>133</v>
      </c>
      <c r="D9" s="25" t="s">
        <v>125</v>
      </c>
      <c r="E9" s="25" t="s">
        <v>134</v>
      </c>
      <c r="F9" s="26" t="str">
        <f t="shared" si="0"/>
        <v>男</v>
      </c>
      <c r="G9" s="27">
        <v>13163127617</v>
      </c>
      <c r="H9" s="28"/>
      <c r="I9" s="28"/>
      <c r="J9" s="86"/>
      <c r="K9" s="28"/>
      <c r="L9" s="54">
        <v>1839.0804597701101</v>
      </c>
      <c r="M9" s="55"/>
      <c r="N9" s="55"/>
      <c r="O9" s="55"/>
      <c r="P9" s="55"/>
      <c r="Q9" s="69">
        <f t="shared" si="1"/>
        <v>0</v>
      </c>
      <c r="R9" s="54">
        <v>0</v>
      </c>
      <c r="S9" s="70">
        <f>L9+IFERROR(VLOOKUP($E:$E,'（居民）工资表-10月'!$E:$S,15,0),0)</f>
        <v>1839.0804597701101</v>
      </c>
      <c r="T9" s="71">
        <f>5000+IFERROR(VLOOKUP($E:$E,'（居民）工资表-10月'!$E:$T,16,0),0)</f>
        <v>5000</v>
      </c>
      <c r="U9" s="71">
        <f>Q9+IFERROR(VLOOKUP($E:$E,'（居民）工资表-10月'!$E:$U,17,0),0)</f>
        <v>0</v>
      </c>
      <c r="V9" s="54"/>
      <c r="W9" s="54"/>
      <c r="X9" s="54"/>
      <c r="Y9" s="54"/>
      <c r="Z9" s="54"/>
      <c r="AA9" s="54"/>
      <c r="AB9" s="70">
        <f t="shared" si="2"/>
        <v>0</v>
      </c>
      <c r="AC9" s="70">
        <f>R9+IFERROR(VLOOKUP($E:$E,'（居民）工资表-10月'!$E:$AC,25,0),0)</f>
        <v>0</v>
      </c>
      <c r="AD9" s="72">
        <f t="shared" si="3"/>
        <v>-3160.92</v>
      </c>
      <c r="AE9" s="73">
        <f>ROUND(MAX((AD9)*{0.03;0.1;0.2;0.25;0.3;0.35;0.45}-{0;2520;16920;31920;52920;85920;181920},0),2)</f>
        <v>0</v>
      </c>
      <c r="AF9" s="74">
        <f>IFERROR(VLOOKUP(E:E,'（居民）工资表-10月'!E:AF,28,0)+VLOOKUP(E:E,'（居民）工资表-10月'!E:AG,29,0),0)</f>
        <v>0</v>
      </c>
      <c r="AG9" s="74">
        <f t="shared" si="4"/>
        <v>0</v>
      </c>
      <c r="AH9" s="77">
        <f t="shared" si="5"/>
        <v>1839.08</v>
      </c>
      <c r="AI9" s="78"/>
      <c r="AJ9" s="77">
        <f t="shared" si="6"/>
        <v>1839.08</v>
      </c>
      <c r="AK9" s="79"/>
      <c r="AL9" s="77">
        <f t="shared" si="7"/>
        <v>1839.08</v>
      </c>
      <c r="AM9" s="79"/>
      <c r="AN9" s="79"/>
      <c r="AO9" s="220" t="s">
        <v>188</v>
      </c>
      <c r="AP9" s="79" t="s">
        <v>189</v>
      </c>
      <c r="AQ9" s="79"/>
      <c r="AR9" s="84" t="str">
        <f t="shared" si="8"/>
        <v>正确</v>
      </c>
      <c r="AS9" s="84" t="str">
        <f t="shared" si="9"/>
        <v>不</v>
      </c>
      <c r="AT9" s="84" t="str">
        <f t="shared" si="10"/>
        <v>不</v>
      </c>
    </row>
    <row r="10" spans="1:46" s="10" customFormat="1" ht="18" customHeight="1">
      <c r="A10" s="24">
        <v>7</v>
      </c>
      <c r="B10" s="25" t="s">
        <v>175</v>
      </c>
      <c r="C10" s="25" t="s">
        <v>190</v>
      </c>
      <c r="D10" s="25" t="s">
        <v>125</v>
      </c>
      <c r="E10" s="25" t="s">
        <v>191</v>
      </c>
      <c r="F10" s="26" t="str">
        <f t="shared" si="0"/>
        <v>女</v>
      </c>
      <c r="G10" s="27">
        <v>15680913132</v>
      </c>
      <c r="H10" s="28"/>
      <c r="I10" s="28"/>
      <c r="J10" s="86"/>
      <c r="K10" s="28"/>
      <c r="L10" s="54">
        <v>1471.26436781609</v>
      </c>
      <c r="M10" s="55"/>
      <c r="N10" s="55"/>
      <c r="O10" s="55"/>
      <c r="P10" s="55"/>
      <c r="Q10" s="69">
        <f t="shared" si="1"/>
        <v>0</v>
      </c>
      <c r="R10" s="54">
        <v>0</v>
      </c>
      <c r="S10" s="70">
        <f>L10+IFERROR(VLOOKUP($E:$E,'（居民）工资表-10月'!$E:$S,15,0),0)</f>
        <v>1471.26436781609</v>
      </c>
      <c r="T10" s="71">
        <f>5000+IFERROR(VLOOKUP($E:$E,'（居民）工资表-10月'!$E:$T,16,0),0)</f>
        <v>5000</v>
      </c>
      <c r="U10" s="71">
        <f>Q10+IFERROR(VLOOKUP($E:$E,'（居民）工资表-10月'!$E:$U,17,0),0)</f>
        <v>0</v>
      </c>
      <c r="V10" s="54"/>
      <c r="W10" s="54"/>
      <c r="X10" s="54"/>
      <c r="Y10" s="54"/>
      <c r="Z10" s="54"/>
      <c r="AA10" s="54"/>
      <c r="AB10" s="70">
        <f t="shared" si="2"/>
        <v>0</v>
      </c>
      <c r="AC10" s="70">
        <f>R10+IFERROR(VLOOKUP($E:$E,'（居民）工资表-10月'!$E:$AC,25,0),0)</f>
        <v>0</v>
      </c>
      <c r="AD10" s="72">
        <f t="shared" si="3"/>
        <v>-3528.74</v>
      </c>
      <c r="AE10" s="73">
        <f>ROUND(MAX((AD10)*{0.03;0.1;0.2;0.25;0.3;0.35;0.45}-{0;2520;16920;31920;52920;85920;181920},0),2)</f>
        <v>0</v>
      </c>
      <c r="AF10" s="74">
        <f>IFERROR(VLOOKUP(E:E,'（居民）工资表-10月'!E:AF,28,0)+VLOOKUP(E:E,'（居民）工资表-10月'!E:AG,29,0),0)</f>
        <v>0</v>
      </c>
      <c r="AG10" s="74">
        <f t="shared" si="4"/>
        <v>0</v>
      </c>
      <c r="AH10" s="77">
        <f t="shared" si="5"/>
        <v>1471.26</v>
      </c>
      <c r="AI10" s="78"/>
      <c r="AJ10" s="77">
        <f t="shared" si="6"/>
        <v>1471.26</v>
      </c>
      <c r="AK10" s="79"/>
      <c r="AL10" s="77">
        <f t="shared" si="7"/>
        <v>1471.26</v>
      </c>
      <c r="AM10" s="79"/>
      <c r="AN10" s="79"/>
      <c r="AO10" s="220" t="s">
        <v>192</v>
      </c>
      <c r="AP10" s="79" t="s">
        <v>193</v>
      </c>
      <c r="AQ10" s="79"/>
      <c r="AR10" s="84" t="str">
        <f t="shared" si="8"/>
        <v>正确</v>
      </c>
      <c r="AS10" s="84" t="str">
        <f t="shared" si="9"/>
        <v>不</v>
      </c>
      <c r="AT10" s="84" t="str">
        <f t="shared" si="10"/>
        <v>不</v>
      </c>
    </row>
    <row r="11" spans="1:46" s="11" customFormat="1" ht="18" customHeight="1">
      <c r="A11" s="31"/>
      <c r="B11" s="32" t="s">
        <v>151</v>
      </c>
      <c r="C11" s="32"/>
      <c r="D11" s="33"/>
      <c r="E11" s="34"/>
      <c r="F11" s="35"/>
      <c r="G11" s="36"/>
      <c r="H11" s="35"/>
      <c r="I11" s="56"/>
      <c r="J11" s="57"/>
      <c r="K11" s="56"/>
      <c r="L11" s="58">
        <f t="shared" ref="L11:AL11" si="11">SUM(L4:L10)</f>
        <v>38988.505747126437</v>
      </c>
      <c r="M11" s="58">
        <f t="shared" si="11"/>
        <v>1715.2</v>
      </c>
      <c r="N11" s="58">
        <f t="shared" si="11"/>
        <v>440.8</v>
      </c>
      <c r="O11" s="58">
        <f t="shared" si="11"/>
        <v>107.2</v>
      </c>
      <c r="P11" s="58">
        <f t="shared" si="11"/>
        <v>1776</v>
      </c>
      <c r="Q11" s="58">
        <f t="shared" si="11"/>
        <v>4039.2</v>
      </c>
      <c r="R11" s="58">
        <f t="shared" si="11"/>
        <v>0</v>
      </c>
      <c r="S11" s="58">
        <f t="shared" si="11"/>
        <v>38988.505747126437</v>
      </c>
      <c r="T11" s="58">
        <f t="shared" si="11"/>
        <v>35000</v>
      </c>
      <c r="U11" s="58">
        <f t="shared" si="11"/>
        <v>4039.2</v>
      </c>
      <c r="V11" s="58">
        <f t="shared" si="11"/>
        <v>0</v>
      </c>
      <c r="W11" s="58">
        <f t="shared" si="11"/>
        <v>0</v>
      </c>
      <c r="X11" s="58">
        <f t="shared" si="11"/>
        <v>0</v>
      </c>
      <c r="Y11" s="58">
        <f t="shared" si="11"/>
        <v>0</v>
      </c>
      <c r="Z11" s="58">
        <f t="shared" si="11"/>
        <v>0</v>
      </c>
      <c r="AA11" s="58">
        <f t="shared" si="11"/>
        <v>0</v>
      </c>
      <c r="AB11" s="58">
        <f t="shared" si="11"/>
        <v>0</v>
      </c>
      <c r="AC11" s="58">
        <f t="shared" si="11"/>
        <v>0</v>
      </c>
      <c r="AD11" s="58">
        <f t="shared" si="11"/>
        <v>-50.700000000000728</v>
      </c>
      <c r="AE11" s="58">
        <f t="shared" si="11"/>
        <v>294</v>
      </c>
      <c r="AF11" s="58">
        <f t="shared" si="11"/>
        <v>0</v>
      </c>
      <c r="AG11" s="58">
        <f t="shared" si="11"/>
        <v>294</v>
      </c>
      <c r="AH11" s="58">
        <f t="shared" si="11"/>
        <v>34655.300000000003</v>
      </c>
      <c r="AI11" s="80">
        <f t="shared" si="11"/>
        <v>0</v>
      </c>
      <c r="AJ11" s="58">
        <f t="shared" si="11"/>
        <v>34655.300000000003</v>
      </c>
      <c r="AK11" s="58">
        <f t="shared" si="11"/>
        <v>0</v>
      </c>
      <c r="AL11" s="58">
        <f t="shared" si="11"/>
        <v>34949.300000000003</v>
      </c>
      <c r="AM11" s="81"/>
      <c r="AN11" s="81"/>
      <c r="AO11" s="81"/>
      <c r="AP11" s="81"/>
      <c r="AQ11" s="81"/>
      <c r="AR11" s="35"/>
      <c r="AS11" s="35"/>
      <c r="AT11" s="85"/>
    </row>
    <row r="14" spans="1:46">
      <c r="AD14" s="75"/>
    </row>
    <row r="15" spans="1:46" ht="18.75" customHeight="1">
      <c r="B15" s="37" t="s">
        <v>104</v>
      </c>
      <c r="C15" s="37" t="s">
        <v>152</v>
      </c>
      <c r="D15" s="37" t="s">
        <v>55</v>
      </c>
      <c r="E15" s="37" t="s">
        <v>56</v>
      </c>
      <c r="AD15" s="8"/>
    </row>
    <row r="16" spans="1:46" ht="18.75" customHeight="1">
      <c r="B16" s="38">
        <f>AJ11</f>
        <v>34655.300000000003</v>
      </c>
      <c r="C16" s="38">
        <f>AG11</f>
        <v>294</v>
      </c>
      <c r="D16" s="38">
        <f>AK11</f>
        <v>0</v>
      </c>
      <c r="E16" s="38">
        <f>B16+C16+D16</f>
        <v>34949.300000000003</v>
      </c>
      <c r="F16" s="13">
        <v>29363.4</v>
      </c>
    </row>
    <row r="17" spans="1:35">
      <c r="B17" s="39"/>
      <c r="C17" s="39"/>
      <c r="D17" s="39"/>
      <c r="E17" s="39">
        <f>E16*6.78%</f>
        <v>2369.5625400000004</v>
      </c>
      <c r="F17" s="13">
        <v>1990.83852</v>
      </c>
    </row>
    <row r="18" spans="1:35" s="12" customFormat="1">
      <c r="A18" s="40" t="s">
        <v>153</v>
      </c>
      <c r="B18" s="41" t="s">
        <v>154</v>
      </c>
      <c r="C18" s="42"/>
      <c r="D18" s="42"/>
      <c r="E18" s="42"/>
      <c r="G18" s="43"/>
      <c r="J18" s="59"/>
      <c r="M18" s="60"/>
      <c r="AI18" s="82"/>
    </row>
    <row r="19" spans="1:35" s="12" customFormat="1">
      <c r="A19" s="44"/>
      <c r="B19" s="45" t="s">
        <v>155</v>
      </c>
      <c r="C19" s="42"/>
      <c r="D19" s="42"/>
      <c r="E19" s="42"/>
      <c r="G19" s="43"/>
      <c r="J19" s="59"/>
      <c r="M19" s="60"/>
      <c r="AI19" s="82"/>
    </row>
    <row r="20" spans="1:35" s="12" customFormat="1">
      <c r="A20" s="41"/>
      <c r="B20" s="45" t="s">
        <v>156</v>
      </c>
      <c r="C20" s="46"/>
      <c r="D20" s="46"/>
      <c r="E20" s="46"/>
      <c r="F20" s="46"/>
      <c r="G20" s="46"/>
      <c r="H20" s="46"/>
      <c r="I20" s="46"/>
      <c r="J20" s="61"/>
      <c r="K20" s="46"/>
      <c r="L20" s="46"/>
      <c r="M20" s="62"/>
      <c r="N20" s="46"/>
      <c r="O20" s="46"/>
      <c r="P20" s="46"/>
      <c r="AI20" s="82"/>
    </row>
    <row r="21" spans="1:35" s="12" customFormat="1" ht="13.5" customHeight="1">
      <c r="A21" s="45"/>
      <c r="B21" s="45" t="s">
        <v>157</v>
      </c>
      <c r="C21" s="47"/>
      <c r="D21" s="47"/>
      <c r="E21" s="47"/>
      <c r="F21" s="47"/>
      <c r="G21" s="47"/>
      <c r="H21" s="47"/>
      <c r="I21" s="63"/>
      <c r="J21" s="64"/>
      <c r="K21" s="63"/>
      <c r="L21" s="63"/>
      <c r="M21" s="65"/>
      <c r="N21" s="63"/>
      <c r="O21" s="63"/>
      <c r="P21" s="63"/>
      <c r="AI21" s="82"/>
    </row>
    <row r="22" spans="1:35" s="12" customFormat="1" ht="13.5" customHeight="1">
      <c r="A22" s="45"/>
      <c r="B22" s="45" t="s">
        <v>158</v>
      </c>
      <c r="C22" s="47"/>
      <c r="D22" s="47"/>
      <c r="E22" s="47"/>
      <c r="F22" s="47"/>
      <c r="G22" s="47"/>
      <c r="H22" s="47"/>
      <c r="I22" s="47"/>
      <c r="J22" s="66"/>
      <c r="K22" s="47"/>
      <c r="L22" s="63"/>
      <c r="M22" s="65"/>
      <c r="N22" s="63"/>
      <c r="O22" s="63"/>
      <c r="P22" s="63"/>
      <c r="AI22" s="82"/>
    </row>
    <row r="23" spans="1:35" s="12" customFormat="1" ht="13.5" customHeight="1">
      <c r="A23" s="45"/>
      <c r="B23" s="45" t="s">
        <v>159</v>
      </c>
      <c r="C23" s="47"/>
      <c r="D23" s="47"/>
      <c r="E23" s="47"/>
      <c r="F23" s="47"/>
      <c r="G23" s="47"/>
      <c r="H23" s="47"/>
      <c r="I23" s="63"/>
      <c r="J23" s="64"/>
      <c r="K23" s="63"/>
      <c r="L23" s="63"/>
      <c r="M23" s="65"/>
      <c r="N23" s="63"/>
      <c r="O23" s="63"/>
      <c r="P23" s="63"/>
      <c r="AI23" s="82"/>
    </row>
    <row r="25" spans="1:35" ht="11.25" customHeight="1">
      <c r="B25" s="48" t="s">
        <v>160</v>
      </c>
    </row>
    <row r="26" spans="1:35">
      <c r="B26" s="49" t="s">
        <v>161</v>
      </c>
    </row>
    <row r="27" spans="1:35">
      <c r="B27" s="49" t="s">
        <v>162</v>
      </c>
    </row>
  </sheetData>
  <autoFilter ref="A3:AT11" xr:uid="{00000000-0009-0000-0000-000005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3">
    <cfRule type="duplicateValues" dxfId="62" priority="2" stopIfTrue="1"/>
  </conditionalFormatting>
  <conditionalFormatting sqref="B18:B22">
    <cfRule type="duplicateValues" dxfId="61" priority="3" stopIfTrue="1"/>
  </conditionalFormatting>
  <conditionalFormatting sqref="B26:B27">
    <cfRule type="duplicateValues" dxfId="60" priority="1" stopIfTrue="1"/>
  </conditionalFormatting>
  <conditionalFormatting sqref="C15:C17">
    <cfRule type="duplicateValues" dxfId="59" priority="4" stopIfTrue="1"/>
    <cfRule type="expression" dxfId="58" priority="5" stopIfTrue="1">
      <formula>AND(COUNTIF($B$11:$B$65447,C15)+COUNTIF($B$1:$B$3,C15)&gt;1,NOT(ISBLANK(C15)))</formula>
    </cfRule>
    <cfRule type="expression" dxfId="57" priority="6" stopIfTrue="1">
      <formula>AND(COUNTIF($B$22:$B$65398,C15)+COUNTIF($B$1:$B$21,C15)&gt;1,NOT(ISBLANK(C15)))</formula>
    </cfRule>
    <cfRule type="expression" dxfId="56" priority="7" stopIfTrue="1">
      <formula>AND(COUNTIF($B$11:$B$65436,C15)+COUNTIF($B$1:$B$3,C15)&gt;1,NOT(ISBLANK(C15)))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 pane="topRight"/>
      <selection pane="bottomLeft"/>
      <selection pane="bottomRight" activeCell="A4" sqref="A4:P16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9.72656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4.0898437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27.906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135</v>
      </c>
      <c r="D4" s="25" t="s">
        <v>125</v>
      </c>
      <c r="E4" s="25" t="s">
        <v>136</v>
      </c>
      <c r="F4" s="26" t="str">
        <f t="shared" ref="F4:F14" si="0">IF(MOD(MID(E4,17,1),2)=1,"男","女")</f>
        <v>男</v>
      </c>
      <c r="G4" s="27">
        <v>15652649555</v>
      </c>
      <c r="H4" s="28"/>
      <c r="I4" s="28"/>
      <c r="J4" s="105"/>
      <c r="K4" s="28"/>
      <c r="L4" s="54">
        <v>12028.7356321839</v>
      </c>
      <c r="M4" s="55">
        <v>428.8</v>
      </c>
      <c r="N4" s="55">
        <v>110.2</v>
      </c>
      <c r="O4" s="55">
        <v>26.8</v>
      </c>
      <c r="P4" s="55">
        <v>444</v>
      </c>
      <c r="Q4" s="69">
        <f t="shared" ref="Q4:Q16" si="1">ROUND(SUM(M4:P4),2)</f>
        <v>1009.8</v>
      </c>
      <c r="R4" s="54">
        <v>0</v>
      </c>
      <c r="S4" s="70">
        <f>L4+IFERROR(VLOOKUP($E:$E,'（居民）工资表-4月'!$E:$S,15,0),0)</f>
        <v>55034.482758620696</v>
      </c>
      <c r="T4" s="71">
        <f>5000+IFERROR(VLOOKUP($E:$E,'（居民）工资表-4月'!$E:$T,16,0),0)</f>
        <v>25000</v>
      </c>
      <c r="U4" s="71">
        <f>Q4+IFERROR(VLOOKUP($E:$E,'（居民）工资表-4月'!$E:$U,17,0),0)</f>
        <v>5049</v>
      </c>
      <c r="V4" s="54">
        <v>0</v>
      </c>
      <c r="W4" s="54">
        <v>0</v>
      </c>
      <c r="X4" s="54">
        <v>0</v>
      </c>
      <c r="Y4" s="54">
        <v>0</v>
      </c>
      <c r="Z4" s="54">
        <v>0</v>
      </c>
      <c r="AA4" s="54"/>
      <c r="AB4" s="70">
        <f t="shared" ref="AB4:AB16" si="2">ROUND(SUM(V4:AA4),2)</f>
        <v>0</v>
      </c>
      <c r="AC4" s="70">
        <f t="shared" ref="AC4:AC16" si="3">R4</f>
        <v>0</v>
      </c>
      <c r="AD4" s="72">
        <f t="shared" ref="AD4:AD16" si="4">ROUND(S4-T4-U4-AB4-AC4,2)</f>
        <v>24985.48</v>
      </c>
      <c r="AE4" s="73">
        <f>ROUND(MAX((AD4)*{0.03;0.1;0.2;0.25;0.3;0.35;0.45}-{0;2520;16920;31920;52920;85920;181920},0),2)</f>
        <v>749.56</v>
      </c>
      <c r="AF4" s="74">
        <f>IFERROR(VLOOKUP(E:E,'（居民）工资表-4月'!E:AF,28,0)+VLOOKUP(E:E,'（居民）工资表-4月'!E:AG,29,0),0)</f>
        <v>569</v>
      </c>
      <c r="AG4" s="74">
        <f t="shared" ref="AG4:AG16" si="5">IF((AE4-AF4)&lt;0,0,AE4-AF4)</f>
        <v>180.55999999999995</v>
      </c>
      <c r="AH4" s="77">
        <f t="shared" ref="AH4:AH16" si="6">ROUND(IF((L4-Q4-AG4)&lt;0,0,(L4-Q4-AG4)),2)</f>
        <v>10838.38</v>
      </c>
      <c r="AI4" s="78"/>
      <c r="AJ4" s="77">
        <f t="shared" ref="AJ4:AJ16" si="7">AH4+AI4</f>
        <v>10838.38</v>
      </c>
      <c r="AK4" s="79"/>
      <c r="AL4" s="77">
        <f t="shared" ref="AL4:AL16" si="8">AJ4+AG4+AK4</f>
        <v>11018.939999999999</v>
      </c>
      <c r="AM4" s="79"/>
      <c r="AN4" s="79"/>
      <c r="AO4" s="79"/>
      <c r="AP4" s="79"/>
      <c r="AQ4" s="79"/>
      <c r="AR4" s="84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9" si="10">IF(SUMPRODUCT(N(E$1:E$3=E4))&gt;1,"重复","不")</f>
        <v>不</v>
      </c>
      <c r="AT4" s="84" t="str">
        <f t="shared" ref="AT4:AT9" si="11">IF(SUMPRODUCT(N(AO$1:AO$3=AO4))&gt;1,"重复","不")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137</v>
      </c>
      <c r="D5" s="25" t="s">
        <v>125</v>
      </c>
      <c r="E5" s="219" t="s">
        <v>138</v>
      </c>
      <c r="F5" s="26" t="str">
        <f t="shared" si="0"/>
        <v>男</v>
      </c>
      <c r="G5" s="27">
        <v>17611149839</v>
      </c>
      <c r="H5" s="28"/>
      <c r="I5" s="28"/>
      <c r="J5" s="105"/>
      <c r="K5" s="28"/>
      <c r="L5" s="54">
        <v>10747.1264367816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si="1"/>
        <v>1009.8</v>
      </c>
      <c r="R5" s="54">
        <v>0</v>
      </c>
      <c r="S5" s="70">
        <f>L5+IFERROR(VLOOKUP($E:$E,'（居民）工资表-4月'!$E:$S,15,0),0)</f>
        <v>50481.379310344797</v>
      </c>
      <c r="T5" s="71">
        <f>5000+IFERROR(VLOOKUP($E:$E,'（居民）工资表-4月'!$E:$T,16,0),0)</f>
        <v>25000</v>
      </c>
      <c r="U5" s="71">
        <f>Q5+IFERROR(VLOOKUP($E:$E,'（居民）工资表-4月'!$E:$U,17,0),0)</f>
        <v>5049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/>
      <c r="AB5" s="70">
        <f t="shared" si="2"/>
        <v>0</v>
      </c>
      <c r="AC5" s="70">
        <f t="shared" si="3"/>
        <v>0</v>
      </c>
      <c r="AD5" s="72">
        <f t="shared" si="4"/>
        <v>20432.38</v>
      </c>
      <c r="AE5" s="73">
        <f>ROUND(MAX((AD5)*{0.03;0.1;0.2;0.25;0.3;0.35;0.45}-{0;2520;16920;31920;52920;85920;181920},0),2)</f>
        <v>612.97</v>
      </c>
      <c r="AF5" s="74">
        <f>IFERROR(VLOOKUP(E:E,'（居民）工资表-4月'!E:AF,28,0)+VLOOKUP(E:E,'（居民）工资表-4月'!E:AG,29,0),0)</f>
        <v>470.85</v>
      </c>
      <c r="AG5" s="74">
        <f t="shared" si="5"/>
        <v>142.12</v>
      </c>
      <c r="AH5" s="77">
        <f t="shared" si="6"/>
        <v>9595.2099999999991</v>
      </c>
      <c r="AI5" s="78"/>
      <c r="AJ5" s="77">
        <f t="shared" si="7"/>
        <v>9595.2099999999991</v>
      </c>
      <c r="AK5" s="79"/>
      <c r="AL5" s="77">
        <f t="shared" si="8"/>
        <v>9737.33</v>
      </c>
      <c r="AM5" s="79"/>
      <c r="AN5" s="79"/>
      <c r="AO5" s="79"/>
      <c r="AP5" s="79"/>
      <c r="AQ5" s="79"/>
      <c r="AR5" s="84" t="str">
        <f t="shared" si="9"/>
        <v>正确</v>
      </c>
      <c r="AS5" s="84" t="str">
        <f t="shared" si="10"/>
        <v>不</v>
      </c>
      <c r="AT5" s="84" t="str">
        <f t="shared" si="11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139</v>
      </c>
      <c r="D6" s="25" t="s">
        <v>125</v>
      </c>
      <c r="E6" s="219" t="s">
        <v>140</v>
      </c>
      <c r="F6" s="26" t="str">
        <f t="shared" si="0"/>
        <v>男</v>
      </c>
      <c r="G6" s="27">
        <v>13596154643</v>
      </c>
      <c r="H6" s="28"/>
      <c r="I6" s="28"/>
      <c r="J6" s="105"/>
      <c r="K6" s="28"/>
      <c r="L6" s="54">
        <v>12028.7356321839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1"/>
        <v>1009.8</v>
      </c>
      <c r="R6" s="54">
        <v>0</v>
      </c>
      <c r="S6" s="70">
        <f>L6+IFERROR(VLOOKUP($E:$E,'（居民）工资表-4月'!$E:$S,15,0),0)</f>
        <v>55064.482758620696</v>
      </c>
      <c r="T6" s="71">
        <f>5000+IFERROR(VLOOKUP($E:$E,'（居民）工资表-4月'!$E:$T,16,0),0)</f>
        <v>25000</v>
      </c>
      <c r="U6" s="71">
        <f>Q6+IFERROR(VLOOKUP($E:$E,'（居民）工资表-4月'!$E:$U,17,0),0)</f>
        <v>5049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/>
      <c r="AB6" s="70">
        <f t="shared" si="2"/>
        <v>0</v>
      </c>
      <c r="AC6" s="70">
        <f t="shared" si="3"/>
        <v>0</v>
      </c>
      <c r="AD6" s="72">
        <f t="shared" si="4"/>
        <v>25015.48</v>
      </c>
      <c r="AE6" s="73">
        <f>ROUND(MAX((AD6)*{0.03;0.1;0.2;0.25;0.3;0.35;0.45}-{0;2520;16920;31920;52920;85920;181920},0),2)</f>
        <v>750.46</v>
      </c>
      <c r="AF6" s="74">
        <f>IFERROR(VLOOKUP(E:E,'（居民）工资表-4月'!E:AF,28,0)+VLOOKUP(E:E,'（居民）工资表-4月'!E:AG,29,0),0)</f>
        <v>569.9</v>
      </c>
      <c r="AG6" s="74">
        <f t="shared" si="5"/>
        <v>180.56000000000006</v>
      </c>
      <c r="AH6" s="77">
        <f t="shared" si="6"/>
        <v>10838.38</v>
      </c>
      <c r="AI6" s="78"/>
      <c r="AJ6" s="77">
        <f t="shared" si="7"/>
        <v>10838.38</v>
      </c>
      <c r="AK6" s="79"/>
      <c r="AL6" s="77">
        <f t="shared" si="8"/>
        <v>11018.939999999999</v>
      </c>
      <c r="AM6" s="79"/>
      <c r="AN6" s="79"/>
      <c r="AO6" s="79"/>
      <c r="AP6" s="79"/>
      <c r="AQ6" s="79"/>
      <c r="AR6" s="84" t="str">
        <f t="shared" si="9"/>
        <v>正确</v>
      </c>
      <c r="AS6" s="84" t="str">
        <f t="shared" si="10"/>
        <v>不</v>
      </c>
      <c r="AT6" s="84" t="str">
        <f t="shared" si="11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143</v>
      </c>
      <c r="D7" s="25" t="s">
        <v>125</v>
      </c>
      <c r="E7" s="219" t="s">
        <v>144</v>
      </c>
      <c r="F7" s="26" t="str">
        <f t="shared" si="0"/>
        <v>男</v>
      </c>
      <c r="G7" s="27">
        <v>13626366929</v>
      </c>
      <c r="H7" s="28"/>
      <c r="I7" s="28"/>
      <c r="J7" s="105"/>
      <c r="K7" s="28"/>
      <c r="L7" s="54">
        <v>14110.344827586199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1"/>
        <v>1009.8</v>
      </c>
      <c r="R7" s="54">
        <v>0</v>
      </c>
      <c r="S7" s="70">
        <f>L7+IFERROR(VLOOKUP($E:$E,'（居民）工资表-4月'!$E:$S,15,0),0)</f>
        <v>74490</v>
      </c>
      <c r="T7" s="71">
        <f>5000+IFERROR(VLOOKUP($E:$E,'（居民）工资表-4月'!$E:$T,16,0),0)</f>
        <v>25000</v>
      </c>
      <c r="U7" s="71">
        <f>Q7+IFERROR(VLOOKUP($E:$E,'（居民）工资表-4月'!$E:$U,17,0),0)</f>
        <v>5049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/>
      <c r="AB7" s="70">
        <f t="shared" si="2"/>
        <v>0</v>
      </c>
      <c r="AC7" s="70">
        <f t="shared" si="3"/>
        <v>0</v>
      </c>
      <c r="AD7" s="72">
        <f t="shared" si="4"/>
        <v>44441</v>
      </c>
      <c r="AE7" s="73">
        <f>ROUND(MAX((AD7)*{0.03;0.1;0.2;0.25;0.3;0.35;0.45}-{0;2520;16920;31920;52920;85920;181920},0),2)</f>
        <v>1924.1</v>
      </c>
      <c r="AF7" s="74">
        <f>IFERROR(VLOOKUP(E:E,'（居民）工资表-4月'!E:AF,28,0)+VLOOKUP(E:E,'（居民）工资表-4月'!E:AG,29,0),0)</f>
        <v>1114.05</v>
      </c>
      <c r="AG7" s="74">
        <f t="shared" si="5"/>
        <v>810.05</v>
      </c>
      <c r="AH7" s="77">
        <f t="shared" si="6"/>
        <v>12290.49</v>
      </c>
      <c r="AI7" s="78"/>
      <c r="AJ7" s="77">
        <f t="shared" si="7"/>
        <v>12290.49</v>
      </c>
      <c r="AK7" s="79"/>
      <c r="AL7" s="77">
        <f t="shared" si="8"/>
        <v>13100.539999999999</v>
      </c>
      <c r="AM7" s="79"/>
      <c r="AN7" s="79"/>
      <c r="AO7" s="79"/>
      <c r="AP7" s="79"/>
      <c r="AQ7" s="79"/>
      <c r="AR7" s="84" t="str">
        <f t="shared" si="9"/>
        <v>正确</v>
      </c>
      <c r="AS7" s="84" t="str">
        <f t="shared" si="10"/>
        <v>不</v>
      </c>
      <c r="AT7" s="84" t="str">
        <f t="shared" si="11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147</v>
      </c>
      <c r="D8" s="25" t="s">
        <v>125</v>
      </c>
      <c r="E8" s="219" t="s">
        <v>148</v>
      </c>
      <c r="F8" s="26" t="str">
        <f t="shared" si="0"/>
        <v>女</v>
      </c>
      <c r="G8" s="27">
        <v>18674014622</v>
      </c>
      <c r="H8" s="28"/>
      <c r="I8" s="28"/>
      <c r="J8" s="105"/>
      <c r="K8" s="28"/>
      <c r="L8" s="54">
        <v>10000</v>
      </c>
      <c r="M8" s="55">
        <v>428.8</v>
      </c>
      <c r="N8" s="55">
        <v>110.2</v>
      </c>
      <c r="O8" s="55">
        <v>26.8</v>
      </c>
      <c r="P8" s="55">
        <v>600</v>
      </c>
      <c r="Q8" s="69">
        <f t="shared" si="1"/>
        <v>1165.8</v>
      </c>
      <c r="R8" s="54">
        <v>0</v>
      </c>
      <c r="S8" s="70">
        <f>L8+IFERROR(VLOOKUP($E:$E,'（居民）工资表-4月'!$E:$S,15,0),0)</f>
        <v>48275.862068965522</v>
      </c>
      <c r="T8" s="71">
        <f>5000+IFERROR(VLOOKUP($E:$E,'（居民）工资表-4月'!$E:$T,16,0),0)</f>
        <v>25000</v>
      </c>
      <c r="U8" s="71">
        <f>Q8+IFERROR(VLOOKUP($E:$E,'（居民）工资表-4月'!$E:$U,17,0),0)</f>
        <v>5829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/>
      <c r="AB8" s="70">
        <f t="shared" si="2"/>
        <v>0</v>
      </c>
      <c r="AC8" s="70">
        <f t="shared" si="3"/>
        <v>0</v>
      </c>
      <c r="AD8" s="72">
        <f t="shared" si="4"/>
        <v>17446.86</v>
      </c>
      <c r="AE8" s="73">
        <f>ROUND(MAX((AD8)*{0.03;0.1;0.2;0.25;0.3;0.35;0.45}-{0;2520;16920;31920;52920;85920;181920},0),2)</f>
        <v>523.41</v>
      </c>
      <c r="AF8" s="74">
        <f>IFERROR(VLOOKUP(E:E,'（居民）工资表-4月'!E:AF,28,0)+VLOOKUP(E:E,'（居民）工资表-4月'!E:AG,29,0),0)</f>
        <v>408.38</v>
      </c>
      <c r="AG8" s="74">
        <f t="shared" si="5"/>
        <v>115.02999999999997</v>
      </c>
      <c r="AH8" s="77">
        <f t="shared" si="6"/>
        <v>8719.17</v>
      </c>
      <c r="AI8" s="78"/>
      <c r="AJ8" s="77">
        <f t="shared" si="7"/>
        <v>8719.17</v>
      </c>
      <c r="AK8" s="79"/>
      <c r="AL8" s="77">
        <f t="shared" si="8"/>
        <v>8834.2000000000007</v>
      </c>
      <c r="AM8" s="79"/>
      <c r="AN8" s="79"/>
      <c r="AO8" s="79"/>
      <c r="AP8" s="79"/>
      <c r="AQ8" s="79"/>
      <c r="AR8" s="84" t="str">
        <f t="shared" si="9"/>
        <v>正确</v>
      </c>
      <c r="AS8" s="84" t="str">
        <f t="shared" si="10"/>
        <v>不</v>
      </c>
      <c r="AT8" s="84" t="str">
        <f t="shared" si="11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149</v>
      </c>
      <c r="D9" s="25" t="s">
        <v>125</v>
      </c>
      <c r="E9" s="219" t="s">
        <v>150</v>
      </c>
      <c r="F9" s="26" t="str">
        <f t="shared" si="0"/>
        <v>女</v>
      </c>
      <c r="G9" s="27">
        <v>15145001723</v>
      </c>
      <c r="H9" s="28"/>
      <c r="I9" s="28"/>
      <c r="J9" s="105"/>
      <c r="K9" s="28"/>
      <c r="L9" s="54">
        <v>10000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1"/>
        <v>1009.8</v>
      </c>
      <c r="R9" s="54">
        <v>0</v>
      </c>
      <c r="S9" s="70">
        <f>L9+IFERROR(VLOOKUP($E:$E,'（居民）工资表-4月'!$E:$S,15,0),0)</f>
        <v>42758.620689655174</v>
      </c>
      <c r="T9" s="71">
        <f>5000+IFERROR(VLOOKUP($E:$E,'（居民）工资表-4月'!$E:$T,16,0),0)</f>
        <v>25000</v>
      </c>
      <c r="U9" s="71">
        <f>Q9+IFERROR(VLOOKUP($E:$E,'（居民）工资表-4月'!$E:$U,17,0),0)</f>
        <v>4039.2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/>
      <c r="AB9" s="70">
        <f t="shared" si="2"/>
        <v>0</v>
      </c>
      <c r="AC9" s="70">
        <f t="shared" si="3"/>
        <v>0</v>
      </c>
      <c r="AD9" s="72">
        <f t="shared" si="4"/>
        <v>13719.42</v>
      </c>
      <c r="AE9" s="73">
        <f>ROUND(MAX((AD9)*{0.03;0.1;0.2;0.25;0.3;0.35;0.45}-{0;2520;16920;31920;52920;85920;181920},0),2)</f>
        <v>411.58</v>
      </c>
      <c r="AF9" s="74">
        <f>IFERROR(VLOOKUP(E:E,'（居民）工资表-4月'!E:AF,28,0)+VLOOKUP(E:E,'（居民）工资表-4月'!E:AG,29,0),0)</f>
        <v>291.88</v>
      </c>
      <c r="AG9" s="74">
        <f t="shared" si="5"/>
        <v>119.69999999999999</v>
      </c>
      <c r="AH9" s="77">
        <f t="shared" si="6"/>
        <v>8870.5</v>
      </c>
      <c r="AI9" s="78"/>
      <c r="AJ9" s="77">
        <f t="shared" si="7"/>
        <v>8870.5</v>
      </c>
      <c r="AK9" s="79"/>
      <c r="AL9" s="77">
        <f t="shared" si="8"/>
        <v>8990.2000000000007</v>
      </c>
      <c r="AM9" s="79"/>
      <c r="AN9" s="79"/>
      <c r="AO9" s="79"/>
      <c r="AP9" s="79"/>
      <c r="AQ9" s="79"/>
      <c r="AR9" s="84" t="str">
        <f t="shared" si="9"/>
        <v>正确</v>
      </c>
      <c r="AS9" s="84" t="str">
        <f t="shared" si="10"/>
        <v>不</v>
      </c>
      <c r="AT9" s="84" t="str">
        <f t="shared" si="11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165</v>
      </c>
      <c r="D10" s="25" t="s">
        <v>125</v>
      </c>
      <c r="E10" s="219" t="s">
        <v>166</v>
      </c>
      <c r="F10" s="26" t="str">
        <f t="shared" si="0"/>
        <v>女</v>
      </c>
      <c r="G10" s="27">
        <v>18745463721</v>
      </c>
      <c r="H10" s="28"/>
      <c r="I10" s="28"/>
      <c r="J10" s="105"/>
      <c r="K10" s="28"/>
      <c r="L10" s="54">
        <v>9988.5057471264408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1"/>
        <v>1009.8</v>
      </c>
      <c r="R10" s="54">
        <v>0</v>
      </c>
      <c r="S10" s="70">
        <f>L10+IFERROR(VLOOKUP($E:$E,'（居民）工资表-4月'!$E:$S,15,0),0)</f>
        <v>38563.218390804614</v>
      </c>
      <c r="T10" s="71">
        <f>5000+IFERROR(VLOOKUP($E:$E,'（居民）工资表-4月'!$E:$T,16,0),0)</f>
        <v>20000</v>
      </c>
      <c r="U10" s="71">
        <f>Q10+IFERROR(VLOOKUP($E:$E,'（居民）工资表-4月'!$E:$U,17,0),0)</f>
        <v>4039.2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/>
      <c r="AB10" s="70">
        <f t="shared" si="2"/>
        <v>0</v>
      </c>
      <c r="AC10" s="70">
        <f t="shared" si="3"/>
        <v>0</v>
      </c>
      <c r="AD10" s="72">
        <f t="shared" si="4"/>
        <v>14524.02</v>
      </c>
      <c r="AE10" s="73">
        <f>ROUND(MAX((AD10)*{0.03;0.1;0.2;0.25;0.3;0.35;0.45}-{0;2520;16920;31920;52920;85920;181920},0),2)</f>
        <v>435.72</v>
      </c>
      <c r="AF10" s="74">
        <f>IFERROR(VLOOKUP(E:E,'（居民）工资表-4月'!E:AF,28,0)+VLOOKUP(E:E,'（居民）工资表-4月'!E:AG,29,0),0)</f>
        <v>316.36</v>
      </c>
      <c r="AG10" s="74">
        <f t="shared" si="5"/>
        <v>119.36000000000001</v>
      </c>
      <c r="AH10" s="77">
        <f t="shared" si="6"/>
        <v>8859.35</v>
      </c>
      <c r="AI10" s="78"/>
      <c r="AJ10" s="77">
        <f t="shared" si="7"/>
        <v>8859.35</v>
      </c>
      <c r="AK10" s="79"/>
      <c r="AL10" s="77">
        <f t="shared" si="8"/>
        <v>8978.7100000000009</v>
      </c>
      <c r="AM10" s="79"/>
      <c r="AN10" s="79"/>
      <c r="AO10" s="79"/>
      <c r="AP10" s="79"/>
      <c r="AQ10" s="79"/>
      <c r="AR10" s="84" t="str">
        <f t="shared" si="9"/>
        <v>正确</v>
      </c>
      <c r="AS10" s="84" t="str">
        <f t="shared" ref="AS10:AS16" si="12">IF(SUMPRODUCT(N(E$1:E$3=E10))&gt;1,"重复","不")</f>
        <v>不</v>
      </c>
      <c r="AT10" s="84" t="str">
        <f t="shared" ref="AT10:AT16" si="13">IF(SUMPRODUCT(N(AO$1:AO$3=AO10))&gt;1,"重复","不")</f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167</v>
      </c>
      <c r="D11" s="25" t="s">
        <v>125</v>
      </c>
      <c r="E11" s="219" t="s">
        <v>168</v>
      </c>
      <c r="F11" s="26" t="str">
        <f t="shared" si="0"/>
        <v>女</v>
      </c>
      <c r="G11" s="27">
        <v>18935711299</v>
      </c>
      <c r="H11" s="28"/>
      <c r="I11" s="28"/>
      <c r="J11" s="105"/>
      <c r="K11" s="28"/>
      <c r="L11" s="54">
        <v>10747.1264367816</v>
      </c>
      <c r="M11" s="55">
        <v>428.8</v>
      </c>
      <c r="N11" s="55">
        <v>110.2</v>
      </c>
      <c r="O11" s="55">
        <v>26.8</v>
      </c>
      <c r="P11" s="55">
        <v>444</v>
      </c>
      <c r="Q11" s="69">
        <f t="shared" si="1"/>
        <v>1009.8</v>
      </c>
      <c r="R11" s="54">
        <v>0</v>
      </c>
      <c r="S11" s="70">
        <f>L11+IFERROR(VLOOKUP($E:$E,'（居民）工资表-4月'!$E:$S,15,0),0)</f>
        <v>42614.2528735632</v>
      </c>
      <c r="T11" s="71">
        <f>5000+IFERROR(VLOOKUP($E:$E,'（居民）工资表-4月'!$E:$T,16,0),0)</f>
        <v>20000</v>
      </c>
      <c r="U11" s="71">
        <f>Q11+IFERROR(VLOOKUP($E:$E,'（居民）工资表-4月'!$E:$U,17,0),0)</f>
        <v>4039.2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/>
      <c r="AB11" s="70">
        <f t="shared" si="2"/>
        <v>0</v>
      </c>
      <c r="AC11" s="70">
        <f t="shared" si="3"/>
        <v>0</v>
      </c>
      <c r="AD11" s="72">
        <f t="shared" si="4"/>
        <v>18575.05</v>
      </c>
      <c r="AE11" s="73">
        <f>ROUND(MAX((AD11)*{0.03;0.1;0.2;0.25;0.3;0.35;0.45}-{0;2520;16920;31920;52920;85920;181920},0),2)</f>
        <v>557.25</v>
      </c>
      <c r="AF11" s="74">
        <f>IFERROR(VLOOKUP(E:E,'（居民）工资表-4月'!E:AF,28,0)+VLOOKUP(E:E,'（居民）工资表-4月'!E:AG,29,0),0)</f>
        <v>415.13</v>
      </c>
      <c r="AG11" s="74">
        <f t="shared" si="5"/>
        <v>142.12</v>
      </c>
      <c r="AH11" s="77">
        <f t="shared" si="6"/>
        <v>9595.2099999999991</v>
      </c>
      <c r="AI11" s="78"/>
      <c r="AJ11" s="77">
        <f t="shared" si="7"/>
        <v>9595.2099999999991</v>
      </c>
      <c r="AK11" s="79"/>
      <c r="AL11" s="77">
        <f t="shared" si="8"/>
        <v>9737.33</v>
      </c>
      <c r="AM11" s="79"/>
      <c r="AN11" s="79"/>
      <c r="AO11" s="79"/>
      <c r="AP11" s="79"/>
      <c r="AQ11" s="79"/>
      <c r="AR11" s="84" t="str">
        <f t="shared" si="9"/>
        <v>正确</v>
      </c>
      <c r="AS11" s="84" t="str">
        <f t="shared" si="12"/>
        <v>不</v>
      </c>
      <c r="AT11" s="84" t="str">
        <f t="shared" si="13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169</v>
      </c>
      <c r="D12" s="25" t="s">
        <v>125</v>
      </c>
      <c r="E12" s="219" t="s">
        <v>170</v>
      </c>
      <c r="F12" s="26" t="str">
        <f t="shared" si="0"/>
        <v>女</v>
      </c>
      <c r="G12" s="27">
        <v>13301242552</v>
      </c>
      <c r="H12" s="28"/>
      <c r="I12" s="28"/>
      <c r="J12" s="105"/>
      <c r="K12" s="28"/>
      <c r="L12" s="54">
        <v>14000</v>
      </c>
      <c r="M12" s="55">
        <v>640</v>
      </c>
      <c r="N12" s="55">
        <v>163</v>
      </c>
      <c r="O12" s="55">
        <v>40</v>
      </c>
      <c r="P12" s="55">
        <v>960</v>
      </c>
      <c r="Q12" s="69">
        <f t="shared" si="1"/>
        <v>1803</v>
      </c>
      <c r="R12" s="54">
        <v>0</v>
      </c>
      <c r="S12" s="70">
        <f>L12+IFERROR(VLOOKUP($E:$E,'（居民）工资表-4月'!$E:$S,15,0),0)</f>
        <v>55000</v>
      </c>
      <c r="T12" s="71">
        <f>5000+IFERROR(VLOOKUP($E:$E,'（居民）工资表-4月'!$E:$T,16,0),0)</f>
        <v>15000</v>
      </c>
      <c r="U12" s="71">
        <f>Q12+IFERROR(VLOOKUP($E:$E,'（居民）工资表-4月'!$E:$U,17,0),0)</f>
        <v>5409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/>
      <c r="AB12" s="70">
        <f t="shared" si="2"/>
        <v>0</v>
      </c>
      <c r="AC12" s="70">
        <f t="shared" si="3"/>
        <v>0</v>
      </c>
      <c r="AD12" s="72">
        <f t="shared" si="4"/>
        <v>34591</v>
      </c>
      <c r="AE12" s="73">
        <f>ROUND(MAX((AD12)*{0.03;0.1;0.2;0.25;0.3;0.35;0.45}-{0;2520;16920;31920;52920;85920;181920},0),2)</f>
        <v>1037.73</v>
      </c>
      <c r="AF12" s="74">
        <f>IFERROR(VLOOKUP(E:E,'（居民）工资表-4月'!E:AF,28,0)+VLOOKUP(E:E,'（居民）工资表-4月'!E:AG,29,0),0)</f>
        <v>821.82</v>
      </c>
      <c r="AG12" s="74">
        <f t="shared" si="5"/>
        <v>215.90999999999997</v>
      </c>
      <c r="AH12" s="77">
        <f t="shared" si="6"/>
        <v>11981.09</v>
      </c>
      <c r="AI12" s="78"/>
      <c r="AJ12" s="77">
        <f t="shared" si="7"/>
        <v>11981.09</v>
      </c>
      <c r="AK12" s="79"/>
      <c r="AL12" s="77">
        <f t="shared" si="8"/>
        <v>12197</v>
      </c>
      <c r="AM12" s="79"/>
      <c r="AN12" s="79"/>
      <c r="AO12" s="79"/>
      <c r="AP12" s="79"/>
      <c r="AQ12" s="79"/>
      <c r="AR12" s="84" t="str">
        <f t="shared" si="9"/>
        <v>正确</v>
      </c>
      <c r="AS12" s="84" t="str">
        <f t="shared" si="12"/>
        <v>不</v>
      </c>
      <c r="AT12" s="84" t="str">
        <f t="shared" si="13"/>
        <v>重复</v>
      </c>
    </row>
    <row r="13" spans="1:46" s="10" customFormat="1" ht="18" customHeight="1">
      <c r="A13" s="24">
        <v>10</v>
      </c>
      <c r="B13" s="25" t="s">
        <v>123</v>
      </c>
      <c r="C13" s="25" t="s">
        <v>194</v>
      </c>
      <c r="D13" s="25" t="s">
        <v>125</v>
      </c>
      <c r="E13" s="219" t="s">
        <v>195</v>
      </c>
      <c r="F13" s="26" t="str">
        <f t="shared" si="0"/>
        <v>女</v>
      </c>
      <c r="G13" s="27">
        <v>15321201469</v>
      </c>
      <c r="H13" s="28"/>
      <c r="I13" s="28"/>
      <c r="J13" s="105"/>
      <c r="K13" s="28"/>
      <c r="L13" s="54">
        <v>15000</v>
      </c>
      <c r="M13" s="55">
        <v>560</v>
      </c>
      <c r="N13" s="55">
        <v>143</v>
      </c>
      <c r="O13" s="55">
        <v>35</v>
      </c>
      <c r="P13" s="55">
        <v>840</v>
      </c>
      <c r="Q13" s="69">
        <f t="shared" si="1"/>
        <v>1578</v>
      </c>
      <c r="R13" s="54">
        <v>0</v>
      </c>
      <c r="S13" s="70">
        <f>L13+IFERROR(VLOOKUP($E:$E,'（居民）工资表-4月'!$E:$S,15,0),0)</f>
        <v>25359.770114942497</v>
      </c>
      <c r="T13" s="71">
        <f>5000+IFERROR(VLOOKUP($E:$E,'（居民）工资表-4月'!$E:$T,16,0),0)</f>
        <v>10000</v>
      </c>
      <c r="U13" s="71">
        <f>Q13+IFERROR(VLOOKUP($E:$E,'（居民）工资表-4月'!$E:$U,17,0),0)</f>
        <v>3156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/>
      <c r="AB13" s="70">
        <f t="shared" si="2"/>
        <v>0</v>
      </c>
      <c r="AC13" s="70">
        <f t="shared" si="3"/>
        <v>0</v>
      </c>
      <c r="AD13" s="72">
        <f t="shared" si="4"/>
        <v>12203.77</v>
      </c>
      <c r="AE13" s="73">
        <f>ROUND(MAX((AD13)*{0.03;0.1;0.2;0.25;0.3;0.35;0.45}-{0;2520;16920;31920;52920;85920;181920},0),2)</f>
        <v>366.11</v>
      </c>
      <c r="AF13" s="74">
        <f>IFERROR(VLOOKUP(E:E,'（居民）工资表-4月'!E:AF,28,0)+VLOOKUP(E:E,'（居民）工资表-4月'!E:AG,29,0),0)</f>
        <v>113.45</v>
      </c>
      <c r="AG13" s="74">
        <f t="shared" si="5"/>
        <v>252.66000000000003</v>
      </c>
      <c r="AH13" s="77">
        <f t="shared" si="6"/>
        <v>13169.34</v>
      </c>
      <c r="AI13" s="78"/>
      <c r="AJ13" s="77">
        <f t="shared" si="7"/>
        <v>13169.34</v>
      </c>
      <c r="AK13" s="79"/>
      <c r="AL13" s="77">
        <f t="shared" si="8"/>
        <v>13422</v>
      </c>
      <c r="AM13" s="79"/>
      <c r="AN13" s="79"/>
      <c r="AO13" s="79"/>
      <c r="AP13" s="79"/>
      <c r="AQ13" s="79"/>
      <c r="AR13" s="84" t="str">
        <f t="shared" si="9"/>
        <v>正确</v>
      </c>
      <c r="AS13" s="84" t="str">
        <f t="shared" si="12"/>
        <v>不</v>
      </c>
      <c r="AT13" s="84" t="str">
        <f t="shared" si="13"/>
        <v>重复</v>
      </c>
    </row>
    <row r="14" spans="1:46" s="10" customFormat="1" ht="18" customHeight="1">
      <c r="A14" s="24">
        <v>11</v>
      </c>
      <c r="B14" s="25" t="s">
        <v>123</v>
      </c>
      <c r="C14" s="25" t="s">
        <v>196</v>
      </c>
      <c r="D14" s="25" t="s">
        <v>125</v>
      </c>
      <c r="E14" s="219" t="s">
        <v>197</v>
      </c>
      <c r="F14" s="26" t="str">
        <f t="shared" si="0"/>
        <v>女</v>
      </c>
      <c r="G14" s="27">
        <v>17611309622</v>
      </c>
      <c r="H14" s="28"/>
      <c r="I14" s="28"/>
      <c r="J14" s="105"/>
      <c r="K14" s="28"/>
      <c r="L14" s="54">
        <v>12551.724137931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1"/>
        <v>1009.8</v>
      </c>
      <c r="R14" s="54">
        <v>0</v>
      </c>
      <c r="S14" s="70">
        <f>L14+IFERROR(VLOOKUP($E:$E,'（居民）工资表-4月'!$E:$S,15,0),0)</f>
        <v>20275.862068965478</v>
      </c>
      <c r="T14" s="71">
        <f>5000+IFERROR(VLOOKUP($E:$E,'（居民）工资表-4月'!$E:$T,16,0),0)</f>
        <v>10000</v>
      </c>
      <c r="U14" s="71">
        <f>Q14+IFERROR(VLOOKUP($E:$E,'（居民）工资表-4月'!$E:$U,17,0),0)</f>
        <v>2019.6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/>
      <c r="AB14" s="70">
        <f t="shared" si="2"/>
        <v>0</v>
      </c>
      <c r="AC14" s="70">
        <f t="shared" si="3"/>
        <v>0</v>
      </c>
      <c r="AD14" s="72">
        <f t="shared" si="4"/>
        <v>8256.26</v>
      </c>
      <c r="AE14" s="73">
        <f>ROUND(MAX((AD14)*{0.03;0.1;0.2;0.25;0.3;0.35;0.45}-{0;2520;16920;31920;52920;85920;181920},0),2)</f>
        <v>247.69</v>
      </c>
      <c r="AF14" s="74">
        <f>IFERROR(VLOOKUP(E:E,'（居民）工资表-4月'!E:AF,28,0)+VLOOKUP(E:E,'（居民）工资表-4月'!E:AG,29,0),0)</f>
        <v>51.43</v>
      </c>
      <c r="AG14" s="74">
        <f t="shared" si="5"/>
        <v>196.26</v>
      </c>
      <c r="AH14" s="77">
        <f t="shared" si="6"/>
        <v>11345.66</v>
      </c>
      <c r="AI14" s="78"/>
      <c r="AJ14" s="77">
        <f t="shared" si="7"/>
        <v>11345.66</v>
      </c>
      <c r="AK14" s="79"/>
      <c r="AL14" s="77">
        <f t="shared" si="8"/>
        <v>11541.92</v>
      </c>
      <c r="AM14" s="79"/>
      <c r="AN14" s="79"/>
      <c r="AO14" s="79"/>
      <c r="AP14" s="79"/>
      <c r="AQ14" s="79"/>
      <c r="AR14" s="84" t="str">
        <f t="shared" si="9"/>
        <v>正确</v>
      </c>
      <c r="AS14" s="84" t="str">
        <f t="shared" si="12"/>
        <v>不</v>
      </c>
      <c r="AT14" s="84" t="str">
        <f t="shared" si="13"/>
        <v>重复</v>
      </c>
    </row>
    <row r="15" spans="1:46" s="10" customFormat="1" ht="18" customHeight="1">
      <c r="A15" s="24">
        <v>12</v>
      </c>
      <c r="B15" s="25" t="s">
        <v>123</v>
      </c>
      <c r="C15" s="25" t="s">
        <v>198</v>
      </c>
      <c r="D15" s="25" t="s">
        <v>125</v>
      </c>
      <c r="E15" s="25" t="s">
        <v>199</v>
      </c>
      <c r="F15" s="26" t="s">
        <v>200</v>
      </c>
      <c r="G15" s="27">
        <v>15091197795</v>
      </c>
      <c r="H15" s="28"/>
      <c r="I15" s="28"/>
      <c r="J15" s="105"/>
      <c r="K15" s="28"/>
      <c r="L15" s="54">
        <v>7356.3218390804604</v>
      </c>
      <c r="M15" s="55">
        <v>428.8</v>
      </c>
      <c r="N15" s="55">
        <v>110.2</v>
      </c>
      <c r="O15" s="55">
        <v>26.8</v>
      </c>
      <c r="P15" s="55">
        <v>444</v>
      </c>
      <c r="Q15" s="69">
        <f t="shared" si="1"/>
        <v>1009.8</v>
      </c>
      <c r="R15" s="54">
        <v>0</v>
      </c>
      <c r="S15" s="70">
        <f>L15+IFERROR(VLOOKUP($E:$E,'（居民）工资表-4月'!$E:$S,15,0),0)</f>
        <v>7356.3218390804604</v>
      </c>
      <c r="T15" s="71">
        <f>5000+IFERROR(VLOOKUP($E:$E,'（居民）工资表-4月'!$E:$T,16,0),0)</f>
        <v>5000</v>
      </c>
      <c r="U15" s="71">
        <f>Q15+IFERROR(VLOOKUP($E:$E,'（居民）工资表-4月'!$E:$U,17,0),0)</f>
        <v>1009.8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/>
      <c r="AB15" s="70">
        <f t="shared" si="2"/>
        <v>0</v>
      </c>
      <c r="AC15" s="70">
        <f t="shared" si="3"/>
        <v>0</v>
      </c>
      <c r="AD15" s="72">
        <f t="shared" si="4"/>
        <v>1346.52</v>
      </c>
      <c r="AE15" s="73">
        <f>ROUND(MAX((AD15)*{0.03;0.1;0.2;0.25;0.3;0.35;0.45}-{0;2520;16920;31920;52920;85920;181920},0),2)</f>
        <v>40.4</v>
      </c>
      <c r="AF15" s="74">
        <f>IFERROR(VLOOKUP(E:E,'（居民）工资表-4月'!E:AF,28,0)+VLOOKUP(E:E,'（居民）工资表-4月'!E:AG,29,0),0)</f>
        <v>0</v>
      </c>
      <c r="AG15" s="74">
        <f t="shared" si="5"/>
        <v>40.4</v>
      </c>
      <c r="AH15" s="77">
        <f t="shared" si="6"/>
        <v>6306.12</v>
      </c>
      <c r="AI15" s="78"/>
      <c r="AJ15" s="77">
        <f t="shared" si="7"/>
        <v>6306.12</v>
      </c>
      <c r="AK15" s="79"/>
      <c r="AL15" s="77">
        <f t="shared" si="8"/>
        <v>6346.5199999999995</v>
      </c>
      <c r="AM15" s="79"/>
      <c r="AN15" s="79"/>
      <c r="AO15" s="79"/>
      <c r="AP15" s="79"/>
      <c r="AQ15" s="79"/>
      <c r="AR15" s="84" t="str">
        <f t="shared" si="9"/>
        <v>正确</v>
      </c>
      <c r="AS15" s="84" t="str">
        <f t="shared" si="12"/>
        <v>不</v>
      </c>
      <c r="AT15" s="84" t="str">
        <f t="shared" si="13"/>
        <v>重复</v>
      </c>
    </row>
    <row r="16" spans="1:46" s="10" customFormat="1" ht="18" customHeight="1">
      <c r="A16" s="24">
        <v>13</v>
      </c>
      <c r="B16" s="25" t="s">
        <v>123</v>
      </c>
      <c r="C16" s="25" t="s">
        <v>201</v>
      </c>
      <c r="D16" s="25" t="s">
        <v>125</v>
      </c>
      <c r="E16" s="25" t="s">
        <v>202</v>
      </c>
      <c r="F16" s="26" t="s">
        <v>200</v>
      </c>
      <c r="G16" s="27">
        <v>18803345711</v>
      </c>
      <c r="H16" s="28"/>
      <c r="I16" s="28"/>
      <c r="J16" s="105"/>
      <c r="K16" s="28"/>
      <c r="L16" s="54">
        <v>5977.0114942528699</v>
      </c>
      <c r="M16" s="55">
        <v>428.8</v>
      </c>
      <c r="N16" s="55">
        <v>110.2</v>
      </c>
      <c r="O16" s="55">
        <v>26.8</v>
      </c>
      <c r="P16" s="55">
        <v>444</v>
      </c>
      <c r="Q16" s="69">
        <f t="shared" si="1"/>
        <v>1009.8</v>
      </c>
      <c r="R16" s="54">
        <v>0</v>
      </c>
      <c r="S16" s="70">
        <f>L16+IFERROR(VLOOKUP($E:$E,'（居民）工资表-4月'!$E:$S,15,0),0)</f>
        <v>5977.0114942528699</v>
      </c>
      <c r="T16" s="71">
        <f>5000+IFERROR(VLOOKUP($E:$E,'（居民）工资表-4月'!$E:$T,16,0),0)</f>
        <v>5000</v>
      </c>
      <c r="U16" s="71">
        <f>Q16+IFERROR(VLOOKUP($E:$E,'（居民）工资表-4月'!$E:$U,17,0),0)</f>
        <v>1009.8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/>
      <c r="AB16" s="70">
        <f t="shared" si="2"/>
        <v>0</v>
      </c>
      <c r="AC16" s="70">
        <f t="shared" si="3"/>
        <v>0</v>
      </c>
      <c r="AD16" s="72">
        <f t="shared" si="4"/>
        <v>-32.79</v>
      </c>
      <c r="AE16" s="73">
        <f>ROUND(MAX((AD16)*{0.03;0.1;0.2;0.25;0.3;0.35;0.45}-{0;2520;16920;31920;52920;85920;181920},0),2)</f>
        <v>0</v>
      </c>
      <c r="AF16" s="74">
        <f>IFERROR(VLOOKUP(E:E,'（居民）工资表-4月'!E:AF,28,0)+VLOOKUP(E:E,'（居民）工资表-4月'!E:AG,29,0),0)</f>
        <v>0</v>
      </c>
      <c r="AG16" s="74">
        <f t="shared" si="5"/>
        <v>0</v>
      </c>
      <c r="AH16" s="77">
        <f t="shared" si="6"/>
        <v>4967.21</v>
      </c>
      <c r="AI16" s="78"/>
      <c r="AJ16" s="77">
        <f t="shared" si="7"/>
        <v>4967.21</v>
      </c>
      <c r="AK16" s="79"/>
      <c r="AL16" s="77">
        <f t="shared" si="8"/>
        <v>4967.21</v>
      </c>
      <c r="AM16" s="79"/>
      <c r="AN16" s="79"/>
      <c r="AO16" s="79"/>
      <c r="AP16" s="79"/>
      <c r="AQ16" s="79"/>
      <c r="AR16" s="84" t="str">
        <f t="shared" si="9"/>
        <v>正确</v>
      </c>
      <c r="AS16" s="84" t="str">
        <f t="shared" si="12"/>
        <v>不</v>
      </c>
      <c r="AT16" s="84" t="str">
        <f t="shared" si="13"/>
        <v>重复</v>
      </c>
    </row>
    <row r="17" spans="1:46" s="10" customFormat="1" ht="18" customHeight="1">
      <c r="A17" s="24"/>
      <c r="B17" s="25"/>
      <c r="C17" s="25"/>
      <c r="D17" s="25"/>
      <c r="E17" s="25"/>
      <c r="F17" s="26"/>
      <c r="G17" s="27"/>
      <c r="H17" s="28"/>
      <c r="I17" s="28"/>
      <c r="J17" s="86"/>
      <c r="K17" s="28"/>
      <c r="L17" s="54"/>
      <c r="M17" s="55"/>
      <c r="N17" s="55"/>
      <c r="O17" s="55"/>
      <c r="P17" s="55"/>
      <c r="Q17" s="69"/>
      <c r="R17" s="54"/>
      <c r="S17" s="70"/>
      <c r="T17" s="71"/>
      <c r="U17" s="71"/>
      <c r="V17" s="54"/>
      <c r="W17" s="54"/>
      <c r="X17" s="54"/>
      <c r="Y17" s="54"/>
      <c r="Z17" s="54"/>
      <c r="AA17" s="54"/>
      <c r="AB17" s="70"/>
      <c r="AC17" s="70"/>
      <c r="AD17" s="72"/>
      <c r="AE17" s="73"/>
      <c r="AF17" s="74"/>
      <c r="AG17" s="74"/>
      <c r="AH17" s="77"/>
      <c r="AI17" s="78"/>
      <c r="AJ17" s="77"/>
      <c r="AK17" s="79"/>
      <c r="AL17" s="77"/>
      <c r="AM17" s="79"/>
      <c r="AN17" s="79"/>
      <c r="AO17" s="79"/>
      <c r="AP17" s="79"/>
      <c r="AQ17" s="79"/>
      <c r="AR17" s="84"/>
      <c r="AS17" s="84"/>
      <c r="AT17" s="84"/>
    </row>
    <row r="18" spans="1:46" s="11" customFormat="1" ht="18" customHeight="1">
      <c r="A18" s="31"/>
      <c r="B18" s="32" t="s">
        <v>151</v>
      </c>
      <c r="C18" s="32"/>
      <c r="D18" s="33"/>
      <c r="E18" s="34"/>
      <c r="F18" s="35"/>
      <c r="G18" s="36"/>
      <c r="H18" s="35"/>
      <c r="I18" s="56"/>
      <c r="J18" s="57"/>
      <c r="K18" s="56"/>
      <c r="L18" s="58">
        <f>SUM(L4:L17)</f>
        <v>144535.63218390796</v>
      </c>
      <c r="M18" s="58">
        <f t="shared" ref="M18:AL18" si="14">SUM(M4:M17)</f>
        <v>5916.8000000000011</v>
      </c>
      <c r="N18" s="58">
        <f t="shared" si="14"/>
        <v>1518.2000000000003</v>
      </c>
      <c r="O18" s="58">
        <f t="shared" si="14"/>
        <v>369.80000000000007</v>
      </c>
      <c r="P18" s="58">
        <f t="shared" si="14"/>
        <v>6840</v>
      </c>
      <c r="Q18" s="58">
        <f t="shared" si="14"/>
        <v>14644.799999999997</v>
      </c>
      <c r="R18" s="58">
        <f t="shared" si="14"/>
        <v>0</v>
      </c>
      <c r="S18" s="58">
        <f t="shared" si="14"/>
        <v>521251.26436781604</v>
      </c>
      <c r="T18" s="58">
        <f t="shared" si="14"/>
        <v>235000</v>
      </c>
      <c r="U18" s="58">
        <f t="shared" si="14"/>
        <v>50746.8</v>
      </c>
      <c r="V18" s="58">
        <f t="shared" si="14"/>
        <v>0</v>
      </c>
      <c r="W18" s="58">
        <f t="shared" si="14"/>
        <v>0</v>
      </c>
      <c r="X18" s="58">
        <f t="shared" si="14"/>
        <v>0</v>
      </c>
      <c r="Y18" s="58">
        <f t="shared" si="14"/>
        <v>0</v>
      </c>
      <c r="Z18" s="58">
        <f t="shared" si="14"/>
        <v>0</v>
      </c>
      <c r="AA18" s="58">
        <f t="shared" si="14"/>
        <v>0</v>
      </c>
      <c r="AB18" s="58">
        <f t="shared" si="14"/>
        <v>0</v>
      </c>
      <c r="AC18" s="58">
        <f t="shared" si="14"/>
        <v>0</v>
      </c>
      <c r="AD18" s="58">
        <f t="shared" si="14"/>
        <v>235504.44999999998</v>
      </c>
      <c r="AE18" s="58">
        <f t="shared" si="14"/>
        <v>7656.98</v>
      </c>
      <c r="AF18" s="58">
        <f t="shared" si="14"/>
        <v>5142.25</v>
      </c>
      <c r="AG18" s="58">
        <f t="shared" si="14"/>
        <v>2514.73</v>
      </c>
      <c r="AH18" s="58">
        <f t="shared" si="14"/>
        <v>127376.11</v>
      </c>
      <c r="AI18" s="58">
        <f t="shared" si="14"/>
        <v>0</v>
      </c>
      <c r="AJ18" s="58">
        <f t="shared" si="14"/>
        <v>127376.11</v>
      </c>
      <c r="AK18" s="58">
        <f t="shared" si="14"/>
        <v>0</v>
      </c>
      <c r="AL18" s="58">
        <f t="shared" si="14"/>
        <v>129890.84000000001</v>
      </c>
      <c r="AM18" s="81"/>
      <c r="AN18" s="81"/>
      <c r="AO18" s="81"/>
      <c r="AP18" s="81"/>
      <c r="AQ18" s="81"/>
      <c r="AR18" s="35"/>
      <c r="AS18" s="35"/>
      <c r="AT18" s="85"/>
    </row>
    <row r="21" spans="1:46">
      <c r="AD21" s="75"/>
    </row>
    <row r="22" spans="1:46" ht="18.75" customHeight="1">
      <c r="B22" s="37" t="s">
        <v>104</v>
      </c>
      <c r="C22" s="37" t="s">
        <v>152</v>
      </c>
      <c r="D22" s="37" t="s">
        <v>55</v>
      </c>
      <c r="E22" s="37" t="s">
        <v>56</v>
      </c>
      <c r="AD22" s="8"/>
      <c r="AG22" s="17"/>
    </row>
    <row r="23" spans="1:46" ht="18.75" customHeight="1">
      <c r="B23" s="38">
        <f>AJ18</f>
        <v>127376.11</v>
      </c>
      <c r="C23" s="38">
        <f>AG18</f>
        <v>2514.73</v>
      </c>
      <c r="D23" s="38">
        <f>AK18</f>
        <v>0</v>
      </c>
      <c r="E23" s="38">
        <f>B23+C23+D23</f>
        <v>129890.84</v>
      </c>
    </row>
    <row r="24" spans="1:46">
      <c r="B24" s="39"/>
      <c r="C24" s="39"/>
      <c r="D24" s="39"/>
      <c r="E24" s="39">
        <f>E23*6.78%</f>
        <v>8806.5989520000003</v>
      </c>
    </row>
    <row r="25" spans="1:46" s="12" customFormat="1">
      <c r="A25" s="40" t="s">
        <v>153</v>
      </c>
      <c r="B25" s="41" t="s">
        <v>154</v>
      </c>
      <c r="C25" s="42"/>
      <c r="D25" s="42"/>
      <c r="E25" s="42"/>
      <c r="G25" s="43"/>
      <c r="J25" s="59"/>
      <c r="M25" s="60"/>
      <c r="AI25" s="82"/>
    </row>
    <row r="26" spans="1:46" s="12" customFormat="1">
      <c r="A26" s="44"/>
      <c r="B26" s="45" t="s">
        <v>155</v>
      </c>
      <c r="C26" s="42"/>
      <c r="D26" s="42"/>
      <c r="E26" s="42"/>
      <c r="G26" s="43"/>
      <c r="J26" s="59"/>
      <c r="M26" s="60"/>
      <c r="AI26" s="82"/>
    </row>
    <row r="27" spans="1:46" s="12" customFormat="1">
      <c r="A27" s="41"/>
      <c r="B27" s="45" t="s">
        <v>156</v>
      </c>
      <c r="C27" s="46"/>
      <c r="D27" s="46"/>
      <c r="E27" s="46"/>
      <c r="F27" s="46"/>
      <c r="G27" s="46"/>
      <c r="H27" s="46"/>
      <c r="I27" s="46"/>
      <c r="J27" s="61"/>
      <c r="K27" s="46"/>
      <c r="L27" s="46"/>
      <c r="M27" s="62"/>
      <c r="N27" s="46"/>
      <c r="O27" s="46"/>
      <c r="P27" s="46"/>
      <c r="AI27" s="82"/>
    </row>
    <row r="28" spans="1:46" s="12" customFormat="1" ht="13.5" customHeight="1">
      <c r="A28" s="45"/>
      <c r="B28" s="45" t="s">
        <v>157</v>
      </c>
      <c r="C28" s="47"/>
      <c r="D28" s="47"/>
      <c r="E28" s="47"/>
      <c r="F28" s="47"/>
      <c r="G28" s="47"/>
      <c r="H28" s="47"/>
      <c r="I28" s="63"/>
      <c r="J28" s="64"/>
      <c r="K28" s="63"/>
      <c r="L28" s="63"/>
      <c r="M28" s="65"/>
      <c r="N28" s="63"/>
      <c r="O28" s="63"/>
      <c r="P28" s="63"/>
      <c r="AI28" s="82"/>
    </row>
    <row r="29" spans="1:46" s="12" customFormat="1" ht="13.5" customHeight="1">
      <c r="A29" s="45"/>
      <c r="B29" s="45" t="s">
        <v>158</v>
      </c>
      <c r="C29" s="47"/>
      <c r="D29" s="47"/>
      <c r="E29" s="47"/>
      <c r="F29" s="47"/>
      <c r="G29" s="47"/>
      <c r="H29" s="47"/>
      <c r="I29" s="47"/>
      <c r="J29" s="66"/>
      <c r="K29" s="47"/>
      <c r="L29" s="63"/>
      <c r="M29" s="65"/>
      <c r="N29" s="63"/>
      <c r="O29" s="63"/>
      <c r="P29" s="63"/>
      <c r="AI29" s="82"/>
    </row>
    <row r="30" spans="1:46" s="12" customFormat="1" ht="13.5" customHeight="1">
      <c r="A30" s="45"/>
      <c r="B30" s="45" t="s">
        <v>159</v>
      </c>
      <c r="C30" s="47"/>
      <c r="D30" s="47"/>
      <c r="E30" s="47"/>
      <c r="F30" s="47"/>
      <c r="G30" s="47"/>
      <c r="H30" s="47"/>
      <c r="I30" s="63"/>
      <c r="J30" s="64"/>
      <c r="K30" s="63"/>
      <c r="L30" s="63"/>
      <c r="M30" s="65"/>
      <c r="N30" s="63"/>
      <c r="O30" s="63"/>
      <c r="P30" s="63"/>
      <c r="AI30" s="82"/>
    </row>
    <row r="32" spans="1:46" ht="11.25" customHeight="1">
      <c r="B32" s="48" t="s">
        <v>160</v>
      </c>
    </row>
    <row r="33" spans="2:2">
      <c r="B33" s="49" t="s">
        <v>161</v>
      </c>
    </row>
    <row r="34" spans="2:2">
      <c r="B34" s="49" t="s">
        <v>162</v>
      </c>
    </row>
  </sheetData>
  <autoFilter ref="A3:AT18" xr:uid="{00000000-0009-0000-0000-000006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30">
    <cfRule type="duplicateValues" dxfId="55" priority="2" stopIfTrue="1"/>
  </conditionalFormatting>
  <conditionalFormatting sqref="B25:B29">
    <cfRule type="duplicateValues" dxfId="54" priority="3" stopIfTrue="1"/>
  </conditionalFormatting>
  <conditionalFormatting sqref="B33:B34">
    <cfRule type="duplicateValues" dxfId="53" priority="1" stopIfTrue="1"/>
  </conditionalFormatting>
  <conditionalFormatting sqref="C22:C24">
    <cfRule type="duplicateValues" dxfId="52" priority="4" stopIfTrue="1"/>
    <cfRule type="expression" dxfId="51" priority="5" stopIfTrue="1">
      <formula>AND(COUNTIF($B$18:$B$65454,C22)+COUNTIF($B$1:$B$3,C22)&gt;1,NOT(ISBLANK(C22)))</formula>
    </cfRule>
    <cfRule type="expression" dxfId="50" priority="6" stopIfTrue="1">
      <formula>AND(COUNTIF($B$29:$B$65405,C22)+COUNTIF($B$1:$B$28,C22)&gt;1,NOT(ISBLANK(C22)))</formula>
    </cfRule>
    <cfRule type="expression" dxfId="49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 pane="topRight"/>
      <selection pane="bottomLeft"/>
      <selection pane="bottomRight" activeCell="AF4" sqref="AF4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9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9.906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1.453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124</v>
      </c>
      <c r="D4" s="25" t="s">
        <v>125</v>
      </c>
      <c r="E4" s="25" t="s">
        <v>126</v>
      </c>
      <c r="F4" s="26" t="str">
        <f t="shared" ref="F4:F10" si="0">IF(MOD(MID(E4,17,1),2)=1,"男","女")</f>
        <v>女</v>
      </c>
      <c r="G4" s="27">
        <v>19801207903</v>
      </c>
      <c r="H4" s="28"/>
      <c r="I4" s="28"/>
      <c r="J4" s="105"/>
      <c r="K4" s="28"/>
      <c r="L4" s="54">
        <v>9609.1954022988502</v>
      </c>
      <c r="M4" s="55">
        <v>428.8</v>
      </c>
      <c r="N4" s="55">
        <v>110.2</v>
      </c>
      <c r="O4" s="55">
        <v>26.8</v>
      </c>
      <c r="P4" s="55">
        <v>444</v>
      </c>
      <c r="Q4" s="69">
        <f t="shared" ref="Q4:Q10" si="1">ROUND(SUM(M4:P4),2)</f>
        <v>1009.8</v>
      </c>
      <c r="R4" s="54">
        <v>0</v>
      </c>
      <c r="S4" s="70">
        <f>L4+IFERROR(VLOOKUP($E:$E,'（居民）工资表-3月'!$E:$S,15,0),0)</f>
        <v>42609.19540229885</v>
      </c>
      <c r="T4" s="71">
        <f>5000+IFERROR(VLOOKUP($E:$E,'（居民）工资表-3月'!$E:$T,16,0),0)</f>
        <v>20000</v>
      </c>
      <c r="U4" s="71">
        <f>Q4+IFERROR(VLOOKUP($E:$E,'（居民）工资表-3月'!$E:$U,17,0),0)</f>
        <v>4039.2</v>
      </c>
      <c r="V4" s="54">
        <v>0</v>
      </c>
      <c r="W4" s="54">
        <v>0</v>
      </c>
      <c r="X4" s="54">
        <v>0</v>
      </c>
      <c r="Y4" s="54">
        <v>0</v>
      </c>
      <c r="Z4" s="54">
        <v>0</v>
      </c>
      <c r="AA4" s="54"/>
      <c r="AB4" s="70">
        <f t="shared" ref="AB4:AB10" si="2">ROUND(SUM(V4:AA4),2)</f>
        <v>0</v>
      </c>
      <c r="AC4" s="70">
        <f>R4+IFERROR(VLOOKUP($E:$E,'（居民）工资表-3月'!$E:$AC,25,0),0)</f>
        <v>0</v>
      </c>
      <c r="AD4" s="72">
        <f t="shared" ref="AD4:AD10" si="3">ROUND(S4-T4-U4-AB4-AC4,2)</f>
        <v>18570</v>
      </c>
      <c r="AE4" s="73">
        <f>ROUND(MAX((AD4)*{0.03;0.1;0.2;0.25;0.3;0.35;0.45}-{0;2520;16920;31920;52920;85920;181920},0),2)</f>
        <v>557.1</v>
      </c>
      <c r="AF4" s="74">
        <f>IFERROR(VLOOKUP(E:E,'（居民）工资表-3月'!E:AF,28,0)+VLOOKUP(E:E,'（居民）工资表-3月'!E:AG,29,0),0)</f>
        <v>449.12</v>
      </c>
      <c r="AG4" s="74">
        <f t="shared" ref="AG4:AG10" si="4">IF((AE4-AF4)&lt;0,0,AE4-AF4)</f>
        <v>107.98000000000002</v>
      </c>
      <c r="AH4" s="77">
        <f t="shared" ref="AH4:AH10" si="5">ROUND(IF((L4-Q4-AG4)&lt;0,0,(L4-Q4-AG4)),2)</f>
        <v>8491.42</v>
      </c>
      <c r="AI4" s="78"/>
      <c r="AJ4" s="77">
        <f t="shared" ref="AJ4:AJ10" si="6">AH4+AI4</f>
        <v>8491.42</v>
      </c>
      <c r="AK4" s="79"/>
      <c r="AL4" s="77">
        <f t="shared" ref="AL4:AL10" si="7">AJ4+AG4+AK4</f>
        <v>8599.4</v>
      </c>
      <c r="AM4" s="79"/>
      <c r="AN4" s="79"/>
      <c r="AO4" s="79"/>
      <c r="AP4" s="79"/>
      <c r="AQ4" s="79"/>
      <c r="AR4" s="84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 t="shared" ref="AS4:AS10" si="9">IF(SUMPRODUCT(N(E$1:E$18=E4))&gt;1,"重复","不")</f>
        <v>不</v>
      </c>
      <c r="AT4" s="84" t="str">
        <f t="shared" ref="AT4:AT10" si="10">IF(SUMPRODUCT(N(AO$1:AO$18=AO4))&gt;1,"重复","不")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127</v>
      </c>
      <c r="D5" s="25" t="s">
        <v>125</v>
      </c>
      <c r="E5" s="25" t="s">
        <v>128</v>
      </c>
      <c r="F5" s="26" t="str">
        <f t="shared" si="0"/>
        <v>男</v>
      </c>
      <c r="G5" s="27">
        <v>13288877699</v>
      </c>
      <c r="H5" s="28"/>
      <c r="I5" s="28"/>
      <c r="J5" s="105"/>
      <c r="K5" s="28"/>
      <c r="L5" s="54">
        <v>9609.1954022988502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si="1"/>
        <v>1009.8</v>
      </c>
      <c r="R5" s="54">
        <v>0</v>
      </c>
      <c r="S5" s="70">
        <f>L5+IFERROR(VLOOKUP($E:$E,'（居民）工资表-3月'!$E:$S,15,0),0)</f>
        <v>42639.19540229885</v>
      </c>
      <c r="T5" s="71">
        <f>5000+IFERROR(VLOOKUP($E:$E,'（居民）工资表-3月'!$E:$T,16,0),0)</f>
        <v>20000</v>
      </c>
      <c r="U5" s="71">
        <f>Q5+IFERROR(VLOOKUP($E:$E,'（居民）工资表-3月'!$E:$U,17,0),0)</f>
        <v>4039.2</v>
      </c>
      <c r="V5" s="54">
        <v>0</v>
      </c>
      <c r="W5" s="54">
        <v>0</v>
      </c>
      <c r="X5" s="54">
        <v>0</v>
      </c>
      <c r="Y5" s="54">
        <v>6000</v>
      </c>
      <c r="Z5" s="54">
        <v>0</v>
      </c>
      <c r="AA5" s="54"/>
      <c r="AB5" s="70">
        <f t="shared" si="2"/>
        <v>6000</v>
      </c>
      <c r="AC5" s="70">
        <f>R5+IFERROR(VLOOKUP($E:$E,'（居民）工资表-3月'!$E:$AC,25,0),0)</f>
        <v>0</v>
      </c>
      <c r="AD5" s="72">
        <f t="shared" si="3"/>
        <v>12600</v>
      </c>
      <c r="AE5" s="73">
        <f>ROUND(MAX((AD5)*{0.03;0.1;0.2;0.25;0.3;0.35;0.45}-{0;2520;16920;31920;52920;85920;181920},0),2)</f>
        <v>378</v>
      </c>
      <c r="AF5" s="74">
        <f>IFERROR(VLOOKUP(E:E,'（居民）工资表-3月'!E:AF,28,0)+VLOOKUP(E:E,'（居民）工资表-3月'!E:AG,29,0),0)</f>
        <v>450.02</v>
      </c>
      <c r="AG5" s="74">
        <f t="shared" si="4"/>
        <v>0</v>
      </c>
      <c r="AH5" s="77">
        <f t="shared" si="5"/>
        <v>8599.4</v>
      </c>
      <c r="AI5" s="78"/>
      <c r="AJ5" s="77">
        <f t="shared" si="6"/>
        <v>8599.4</v>
      </c>
      <c r="AK5" s="79"/>
      <c r="AL5" s="77">
        <f t="shared" si="7"/>
        <v>8599.4</v>
      </c>
      <c r="AM5" s="79"/>
      <c r="AN5" s="79"/>
      <c r="AO5" s="79"/>
      <c r="AP5" s="79"/>
      <c r="AQ5" s="79"/>
      <c r="AR5" s="84" t="str">
        <f t="shared" si="8"/>
        <v>正确</v>
      </c>
      <c r="AS5" s="84" t="str">
        <f t="shared" si="9"/>
        <v>不</v>
      </c>
      <c r="AT5" s="84" t="str">
        <f t="shared" si="10"/>
        <v>重复</v>
      </c>
    </row>
    <row r="6" spans="1:46" s="10" customFormat="1" ht="18" customHeight="1">
      <c r="A6" s="24">
        <v>3</v>
      </c>
      <c r="B6" s="25" t="s">
        <v>123</v>
      </c>
      <c r="C6" s="25" t="s">
        <v>129</v>
      </c>
      <c r="D6" s="25" t="s">
        <v>125</v>
      </c>
      <c r="E6" s="25" t="s">
        <v>130</v>
      </c>
      <c r="F6" s="26" t="str">
        <f t="shared" si="0"/>
        <v>女</v>
      </c>
      <c r="G6" s="27">
        <v>13520315667</v>
      </c>
      <c r="H6" s="28"/>
      <c r="I6" s="28"/>
      <c r="J6" s="105"/>
      <c r="K6" s="28"/>
      <c r="L6" s="54">
        <v>6620.6896551724103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1"/>
        <v>1009.8</v>
      </c>
      <c r="R6" s="54">
        <v>0</v>
      </c>
      <c r="S6" s="70">
        <f>L6+IFERROR(VLOOKUP($E:$E,'（居民）工资表-3月'!$E:$S,15,0),0)</f>
        <v>42068.965517241413</v>
      </c>
      <c r="T6" s="71">
        <f>5000+IFERROR(VLOOKUP($E:$E,'（居民）工资表-3月'!$E:$T,16,0),0)</f>
        <v>20000</v>
      </c>
      <c r="U6" s="71">
        <f>Q6+IFERROR(VLOOKUP($E:$E,'（居民）工资表-3月'!$E:$U,17,0),0)</f>
        <v>4039.2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/>
      <c r="AB6" s="70">
        <f t="shared" si="2"/>
        <v>0</v>
      </c>
      <c r="AC6" s="70">
        <f>R6+IFERROR(VLOOKUP($E:$E,'（居民）工资表-3月'!$E:$AC,25,0),0)</f>
        <v>0</v>
      </c>
      <c r="AD6" s="72">
        <f t="shared" si="3"/>
        <v>18029.77</v>
      </c>
      <c r="AE6" s="73">
        <f>ROUND(MAX((AD6)*{0.03;0.1;0.2;0.25;0.3;0.35;0.45}-{0;2520;16920;31920;52920;85920;181920},0),2)</f>
        <v>540.89</v>
      </c>
      <c r="AF6" s="74">
        <f>IFERROR(VLOOKUP(E:E,'（居民）工资表-3月'!E:AF,28,0)+VLOOKUP(E:E,'（居民）工资表-3月'!E:AG,29,0),0)</f>
        <v>522.57000000000005</v>
      </c>
      <c r="AG6" s="74">
        <f t="shared" si="4"/>
        <v>18.319999999999936</v>
      </c>
      <c r="AH6" s="77">
        <f t="shared" si="5"/>
        <v>5592.57</v>
      </c>
      <c r="AI6" s="78"/>
      <c r="AJ6" s="77">
        <f t="shared" si="6"/>
        <v>5592.57</v>
      </c>
      <c r="AK6" s="79"/>
      <c r="AL6" s="77">
        <f t="shared" si="7"/>
        <v>5610.8899999999994</v>
      </c>
      <c r="AM6" s="79"/>
      <c r="AN6" s="79"/>
      <c r="AO6" s="79"/>
      <c r="AP6" s="79"/>
      <c r="AQ6" s="79"/>
      <c r="AR6" s="84" t="str">
        <f t="shared" si="8"/>
        <v>正确</v>
      </c>
      <c r="AS6" s="84" t="str">
        <f t="shared" si="9"/>
        <v>不</v>
      </c>
      <c r="AT6" s="84" t="str">
        <f t="shared" si="10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135</v>
      </c>
      <c r="D7" s="25" t="s">
        <v>125</v>
      </c>
      <c r="E7" s="25" t="s">
        <v>136</v>
      </c>
      <c r="F7" s="26" t="str">
        <f t="shared" si="0"/>
        <v>男</v>
      </c>
      <c r="G7" s="27">
        <v>15652649555</v>
      </c>
      <c r="H7" s="28"/>
      <c r="I7" s="28"/>
      <c r="J7" s="105"/>
      <c r="K7" s="28"/>
      <c r="L7" s="54">
        <v>11500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1"/>
        <v>1009.8</v>
      </c>
      <c r="R7" s="54">
        <v>0</v>
      </c>
      <c r="S7" s="70">
        <f>L7+IFERROR(VLOOKUP($E:$E,'（居民）工资表-3月'!$E:$S,15,0),0)</f>
        <v>43005.7471264368</v>
      </c>
      <c r="T7" s="71">
        <f>5000+IFERROR(VLOOKUP($E:$E,'（居民）工资表-3月'!$E:$T,16,0),0)</f>
        <v>20000</v>
      </c>
      <c r="U7" s="71">
        <f>Q7+IFERROR(VLOOKUP($E:$E,'（居民）工资表-3月'!$E:$U,17,0),0)</f>
        <v>4039.2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/>
      <c r="AB7" s="70">
        <f t="shared" si="2"/>
        <v>0</v>
      </c>
      <c r="AC7" s="70">
        <f>R7+IFERROR(VLOOKUP($E:$E,'（居民）工资表-3月'!$E:$AC,25,0),0)</f>
        <v>0</v>
      </c>
      <c r="AD7" s="72">
        <f t="shared" si="3"/>
        <v>18966.55</v>
      </c>
      <c r="AE7" s="73">
        <f>ROUND(MAX((AD7)*{0.03;0.1;0.2;0.25;0.3;0.35;0.45}-{0;2520;16920;31920;52920;85920;181920},0),2)</f>
        <v>569</v>
      </c>
      <c r="AF7" s="74">
        <f>IFERROR(VLOOKUP(E:E,'（居民）工资表-3月'!E:AF,28,0)+VLOOKUP(E:E,'（居民）工资表-3月'!E:AG,29,0),0)</f>
        <v>404.29</v>
      </c>
      <c r="AG7" s="74">
        <f t="shared" si="4"/>
        <v>164.70999999999998</v>
      </c>
      <c r="AH7" s="77">
        <f t="shared" si="5"/>
        <v>10325.49</v>
      </c>
      <c r="AI7" s="78"/>
      <c r="AJ7" s="77">
        <f t="shared" si="6"/>
        <v>10325.49</v>
      </c>
      <c r="AK7" s="79"/>
      <c r="AL7" s="77">
        <f t="shared" si="7"/>
        <v>10490.199999999999</v>
      </c>
      <c r="AM7" s="79"/>
      <c r="AN7" s="79"/>
      <c r="AO7" s="79"/>
      <c r="AP7" s="79"/>
      <c r="AQ7" s="79"/>
      <c r="AR7" s="84" t="str">
        <f t="shared" si="8"/>
        <v>正确</v>
      </c>
      <c r="AS7" s="84" t="str">
        <f t="shared" si="9"/>
        <v>不</v>
      </c>
      <c r="AT7" s="84" t="str">
        <f t="shared" si="10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137</v>
      </c>
      <c r="D8" s="25" t="s">
        <v>125</v>
      </c>
      <c r="E8" s="219" t="s">
        <v>138</v>
      </c>
      <c r="F8" s="26" t="str">
        <f t="shared" si="0"/>
        <v>男</v>
      </c>
      <c r="G8" s="27">
        <v>17611149839</v>
      </c>
      <c r="H8" s="28"/>
      <c r="I8" s="28"/>
      <c r="J8" s="105"/>
      <c r="K8" s="28"/>
      <c r="L8" s="54">
        <v>11120</v>
      </c>
      <c r="M8" s="55">
        <v>428.8</v>
      </c>
      <c r="N8" s="55">
        <v>110.2</v>
      </c>
      <c r="O8" s="55">
        <v>26.8</v>
      </c>
      <c r="P8" s="55">
        <v>444</v>
      </c>
      <c r="Q8" s="69">
        <f t="shared" si="1"/>
        <v>1009.8</v>
      </c>
      <c r="R8" s="54">
        <v>0</v>
      </c>
      <c r="S8" s="70">
        <f>L8+IFERROR(VLOOKUP($E:$E,'（居民）工资表-3月'!$E:$S,15,0),0)</f>
        <v>39734.2528735632</v>
      </c>
      <c r="T8" s="71">
        <f>5000+IFERROR(VLOOKUP($E:$E,'（居民）工资表-3月'!$E:$T,16,0),0)</f>
        <v>20000</v>
      </c>
      <c r="U8" s="71">
        <f>Q8+IFERROR(VLOOKUP($E:$E,'（居民）工资表-3月'!$E:$U,17,0),0)</f>
        <v>4039.2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/>
      <c r="AB8" s="70">
        <f t="shared" si="2"/>
        <v>0</v>
      </c>
      <c r="AC8" s="70">
        <f>R8+IFERROR(VLOOKUP($E:$E,'（居民）工资表-3月'!$E:$AC,25,0),0)</f>
        <v>0</v>
      </c>
      <c r="AD8" s="72">
        <f t="shared" si="3"/>
        <v>15695.05</v>
      </c>
      <c r="AE8" s="73">
        <f>ROUND(MAX((AD8)*{0.03;0.1;0.2;0.25;0.3;0.35;0.45}-{0;2520;16920;31920;52920;85920;181920},0),2)</f>
        <v>470.85</v>
      </c>
      <c r="AF8" s="74">
        <f>IFERROR(VLOOKUP(E:E,'（居民）工资表-3月'!E:AF,28,0)+VLOOKUP(E:E,'（居民）工资表-3月'!E:AG,29,0),0)</f>
        <v>317.55</v>
      </c>
      <c r="AG8" s="74">
        <f t="shared" si="4"/>
        <v>153.30000000000001</v>
      </c>
      <c r="AH8" s="77">
        <f t="shared" si="5"/>
        <v>9956.9</v>
      </c>
      <c r="AI8" s="78"/>
      <c r="AJ8" s="77">
        <f t="shared" si="6"/>
        <v>9956.9</v>
      </c>
      <c r="AK8" s="79"/>
      <c r="AL8" s="77">
        <f t="shared" si="7"/>
        <v>10110.199999999999</v>
      </c>
      <c r="AM8" s="79"/>
      <c r="AN8" s="79"/>
      <c r="AO8" s="79"/>
      <c r="AP8" s="79"/>
      <c r="AQ8" s="79"/>
      <c r="AR8" s="84" t="str">
        <f t="shared" si="8"/>
        <v>正确</v>
      </c>
      <c r="AS8" s="84" t="str">
        <f t="shared" si="9"/>
        <v>不</v>
      </c>
      <c r="AT8" s="84" t="str">
        <f t="shared" si="10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139</v>
      </c>
      <c r="D9" s="25" t="s">
        <v>125</v>
      </c>
      <c r="E9" s="219" t="s">
        <v>140</v>
      </c>
      <c r="F9" s="26" t="str">
        <f t="shared" si="0"/>
        <v>男</v>
      </c>
      <c r="G9" s="27">
        <v>13596154643</v>
      </c>
      <c r="H9" s="28"/>
      <c r="I9" s="28"/>
      <c r="J9" s="105"/>
      <c r="K9" s="28"/>
      <c r="L9" s="54">
        <v>11500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1"/>
        <v>1009.8</v>
      </c>
      <c r="R9" s="54">
        <v>0</v>
      </c>
      <c r="S9" s="70">
        <f>L9+IFERROR(VLOOKUP($E:$E,'（居民）工资表-3月'!$E:$S,15,0),0)</f>
        <v>43035.7471264368</v>
      </c>
      <c r="T9" s="71">
        <f>5000+IFERROR(VLOOKUP($E:$E,'（居民）工资表-3月'!$E:$T,16,0),0)</f>
        <v>20000</v>
      </c>
      <c r="U9" s="71">
        <f>Q9+IFERROR(VLOOKUP($E:$E,'（居民）工资表-3月'!$E:$U,17,0),0)</f>
        <v>4039.2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/>
      <c r="AB9" s="70">
        <f t="shared" si="2"/>
        <v>0</v>
      </c>
      <c r="AC9" s="70">
        <f>R9+IFERROR(VLOOKUP($E:$E,'（居民）工资表-3月'!$E:$AC,25,0),0)</f>
        <v>0</v>
      </c>
      <c r="AD9" s="72">
        <f t="shared" si="3"/>
        <v>18996.55</v>
      </c>
      <c r="AE9" s="73">
        <f>ROUND(MAX((AD9)*{0.03;0.1;0.2;0.25;0.3;0.35;0.45}-{0;2520;16920;31920;52920;85920;181920},0),2)</f>
        <v>569.9</v>
      </c>
      <c r="AF9" s="74">
        <f>IFERROR(VLOOKUP(E:E,'（居民）工资表-3月'!E:AF,28,0)+VLOOKUP(E:E,'（居民）工资表-3月'!E:AG,29,0),0)</f>
        <v>405.19</v>
      </c>
      <c r="AG9" s="74">
        <f t="shared" si="4"/>
        <v>164.70999999999998</v>
      </c>
      <c r="AH9" s="77">
        <f t="shared" si="5"/>
        <v>10325.49</v>
      </c>
      <c r="AI9" s="78"/>
      <c r="AJ9" s="77">
        <f t="shared" si="6"/>
        <v>10325.49</v>
      </c>
      <c r="AK9" s="79"/>
      <c r="AL9" s="77">
        <f t="shared" si="7"/>
        <v>10490.199999999999</v>
      </c>
      <c r="AM9" s="79"/>
      <c r="AN9" s="79"/>
      <c r="AO9" s="79"/>
      <c r="AP9" s="79"/>
      <c r="AQ9" s="79"/>
      <c r="AR9" s="84" t="str">
        <f t="shared" si="8"/>
        <v>正确</v>
      </c>
      <c r="AS9" s="84" t="str">
        <f t="shared" si="9"/>
        <v>不</v>
      </c>
      <c r="AT9" s="84" t="str">
        <f t="shared" si="10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143</v>
      </c>
      <c r="D10" s="25" t="s">
        <v>125</v>
      </c>
      <c r="E10" s="219" t="s">
        <v>144</v>
      </c>
      <c r="F10" s="26" t="str">
        <f t="shared" si="0"/>
        <v>男</v>
      </c>
      <c r="G10" s="27">
        <v>13626366929</v>
      </c>
      <c r="H10" s="28"/>
      <c r="I10" s="28"/>
      <c r="J10" s="105"/>
      <c r="K10" s="28"/>
      <c r="L10" s="54">
        <v>14930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1"/>
        <v>1009.8</v>
      </c>
      <c r="R10" s="54">
        <v>0</v>
      </c>
      <c r="S10" s="70">
        <f>L10+IFERROR(VLOOKUP($E:$E,'（居民）工资表-3月'!$E:$S,15,0),0)</f>
        <v>60379.655172413797</v>
      </c>
      <c r="T10" s="71">
        <f>5000+IFERROR(VLOOKUP($E:$E,'（居民）工资表-3月'!$E:$T,16,0),0)</f>
        <v>20000</v>
      </c>
      <c r="U10" s="71">
        <f>Q10+IFERROR(VLOOKUP($E:$E,'（居民）工资表-3月'!$E:$U,17,0),0)</f>
        <v>4039.2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/>
      <c r="AB10" s="70">
        <f t="shared" si="2"/>
        <v>0</v>
      </c>
      <c r="AC10" s="70">
        <f>R10+IFERROR(VLOOKUP($E:$E,'（居民）工资表-3月'!$E:$AC,25,0),0)</f>
        <v>0</v>
      </c>
      <c r="AD10" s="72">
        <f t="shared" si="3"/>
        <v>36340.46</v>
      </c>
      <c r="AE10" s="73">
        <f>ROUND(MAX((AD10)*{0.03;0.1;0.2;0.25;0.3;0.35;0.45}-{0;2520;16920;31920;52920;85920;181920},0),2)</f>
        <v>1114.05</v>
      </c>
      <c r="AF10" s="74">
        <f>IFERROR(VLOOKUP(E:E,'（居民）工资表-3月'!E:AF,28,0)+VLOOKUP(E:E,'（居民）工资表-3月'!E:AG,29,0),0)</f>
        <v>822.61</v>
      </c>
      <c r="AG10" s="74">
        <f t="shared" si="4"/>
        <v>291.43999999999994</v>
      </c>
      <c r="AH10" s="77">
        <f t="shared" si="5"/>
        <v>13628.76</v>
      </c>
      <c r="AI10" s="78"/>
      <c r="AJ10" s="77">
        <f t="shared" si="6"/>
        <v>13628.76</v>
      </c>
      <c r="AK10" s="79"/>
      <c r="AL10" s="77">
        <f t="shared" si="7"/>
        <v>13920.2</v>
      </c>
      <c r="AM10" s="79"/>
      <c r="AN10" s="79"/>
      <c r="AO10" s="79"/>
      <c r="AP10" s="79"/>
      <c r="AQ10" s="79"/>
      <c r="AR10" s="84" t="str">
        <f t="shared" si="8"/>
        <v>正确</v>
      </c>
      <c r="AS10" s="84" t="str">
        <f t="shared" si="9"/>
        <v>不</v>
      </c>
      <c r="AT10" s="84" t="str">
        <f t="shared" si="10"/>
        <v>重复</v>
      </c>
    </row>
    <row r="11" spans="1:46" s="10" customFormat="1" ht="18" customHeight="1">
      <c r="A11" s="24">
        <v>9</v>
      </c>
      <c r="B11" s="25" t="s">
        <v>123</v>
      </c>
      <c r="C11" s="25" t="s">
        <v>147</v>
      </c>
      <c r="D11" s="25" t="s">
        <v>125</v>
      </c>
      <c r="E11" s="219" t="s">
        <v>148</v>
      </c>
      <c r="F11" s="26" t="str">
        <f t="shared" ref="F11:F20" si="11">IF(MOD(MID(E11,17,1),2)=1,"男","女")</f>
        <v>女</v>
      </c>
      <c r="G11" s="27">
        <v>18674014622</v>
      </c>
      <c r="H11" s="28"/>
      <c r="I11" s="28"/>
      <c r="J11" s="105"/>
      <c r="K11" s="28"/>
      <c r="L11" s="54">
        <v>10000</v>
      </c>
      <c r="M11" s="55">
        <v>428.8</v>
      </c>
      <c r="N11" s="55">
        <v>110.2</v>
      </c>
      <c r="O11" s="55">
        <v>26.8</v>
      </c>
      <c r="P11" s="55">
        <v>600</v>
      </c>
      <c r="Q11" s="69">
        <f t="shared" ref="Q11:Q20" si="12">ROUND(SUM(M11:P11),2)</f>
        <v>1165.8</v>
      </c>
      <c r="R11" s="54">
        <v>0</v>
      </c>
      <c r="S11" s="70">
        <f>L11+IFERROR(VLOOKUP($E:$E,'（居民）工资表-3月'!$E:$S,15,0),0)</f>
        <v>38275.862068965522</v>
      </c>
      <c r="T11" s="71">
        <f>5000+IFERROR(VLOOKUP($E:$E,'（居民）工资表-3月'!$E:$T,16,0),0)</f>
        <v>20000</v>
      </c>
      <c r="U11" s="71">
        <f>Q11+IFERROR(VLOOKUP($E:$E,'（居民）工资表-3月'!$E:$U,17,0),0)</f>
        <v>4663.2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/>
      <c r="AB11" s="70">
        <f t="shared" ref="AB11:AB20" si="13">ROUND(SUM(V11:AA11),2)</f>
        <v>0</v>
      </c>
      <c r="AC11" s="70">
        <f>R11+IFERROR(VLOOKUP($E:$E,'（居民）工资表-3月'!$E:$AC,25,0),0)</f>
        <v>0</v>
      </c>
      <c r="AD11" s="72">
        <f t="shared" ref="AD11:AD20" si="14">ROUND(S11-T11-U11-AB11-AC11,2)</f>
        <v>13612.66</v>
      </c>
      <c r="AE11" s="73">
        <f>ROUND(MAX((AD11)*{0.03;0.1;0.2;0.25;0.3;0.35;0.45}-{0;2520;16920;31920;52920;85920;181920},0),2)</f>
        <v>408.38</v>
      </c>
      <c r="AF11" s="74">
        <f>IFERROR(VLOOKUP(E:E,'（居民）工资表-3月'!E:AF,28,0)+VLOOKUP(E:E,'（居民）工资表-3月'!E:AG,29,0),0)</f>
        <v>293.35000000000002</v>
      </c>
      <c r="AG11" s="74">
        <f t="shared" ref="AG11:AG20" si="15">IF((AE11-AF11)&lt;0,0,AE11-AF11)</f>
        <v>115.02999999999997</v>
      </c>
      <c r="AH11" s="77">
        <f t="shared" ref="AH11:AH20" si="16">ROUND(IF((L11-Q11-AG11)&lt;0,0,(L11-Q11-AG11)),2)</f>
        <v>8719.17</v>
      </c>
      <c r="AI11" s="78"/>
      <c r="AJ11" s="77">
        <f t="shared" ref="AJ11:AJ20" si="17">AH11+AI11</f>
        <v>8719.17</v>
      </c>
      <c r="AK11" s="79"/>
      <c r="AL11" s="77">
        <f t="shared" ref="AL11:AL20" si="18">AJ11+AG11+AK11</f>
        <v>8834.2000000000007</v>
      </c>
      <c r="AM11" s="79"/>
      <c r="AN11" s="79"/>
      <c r="AO11" s="79"/>
      <c r="AP11" s="79"/>
      <c r="AQ11" s="79"/>
      <c r="AR11" s="84" t="str">
        <f t="shared" si="8"/>
        <v>正确</v>
      </c>
      <c r="AS11" s="84" t="str">
        <f t="shared" ref="AS11:AS18" si="19">IF(SUMPRODUCT(N(E$1:E$18=E11))&gt;1,"重复","不")</f>
        <v>不</v>
      </c>
      <c r="AT11" s="84" t="str">
        <f t="shared" ref="AT11:AT18" si="20">IF(SUMPRODUCT(N(AO$1:AO$18=AO11))&gt;1,"重复","不")</f>
        <v>重复</v>
      </c>
    </row>
    <row r="12" spans="1:46" s="10" customFormat="1" ht="18" customHeight="1">
      <c r="A12" s="24">
        <v>10</v>
      </c>
      <c r="B12" s="25" t="s">
        <v>123</v>
      </c>
      <c r="C12" s="25" t="s">
        <v>149</v>
      </c>
      <c r="D12" s="25" t="s">
        <v>125</v>
      </c>
      <c r="E12" s="219" t="s">
        <v>150</v>
      </c>
      <c r="F12" s="26" t="str">
        <f t="shared" si="11"/>
        <v>女</v>
      </c>
      <c r="G12" s="27">
        <v>15145001723</v>
      </c>
      <c r="H12" s="28"/>
      <c r="I12" s="28"/>
      <c r="J12" s="105"/>
      <c r="K12" s="28"/>
      <c r="L12" s="54">
        <v>10000</v>
      </c>
      <c r="M12" s="55">
        <v>428.8</v>
      </c>
      <c r="N12" s="55">
        <v>110.2</v>
      </c>
      <c r="O12" s="55">
        <v>26.8</v>
      </c>
      <c r="P12" s="55">
        <v>444</v>
      </c>
      <c r="Q12" s="69">
        <f t="shared" si="12"/>
        <v>1009.8</v>
      </c>
      <c r="R12" s="54">
        <v>0</v>
      </c>
      <c r="S12" s="70">
        <f>L12+IFERROR(VLOOKUP($E:$E,'（居民）工资表-3月'!$E:$S,15,0),0)</f>
        <v>32758.62068965517</v>
      </c>
      <c r="T12" s="71">
        <f>5000+IFERROR(VLOOKUP($E:$E,'（居民）工资表-3月'!$E:$T,16,0),0)</f>
        <v>20000</v>
      </c>
      <c r="U12" s="71">
        <f>Q12+IFERROR(VLOOKUP($E:$E,'（居民）工资表-3月'!$E:$U,17,0),0)</f>
        <v>3029.3999999999996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/>
      <c r="AB12" s="70">
        <f t="shared" si="13"/>
        <v>0</v>
      </c>
      <c r="AC12" s="70">
        <f>R12+IFERROR(VLOOKUP($E:$E,'（居民）工资表-3月'!$E:$AC,25,0),0)</f>
        <v>0</v>
      </c>
      <c r="AD12" s="72">
        <f t="shared" si="14"/>
        <v>9729.2199999999993</v>
      </c>
      <c r="AE12" s="73">
        <f>ROUND(MAX((AD12)*{0.03;0.1;0.2;0.25;0.3;0.35;0.45}-{0;2520;16920;31920;52920;85920;181920},0),2)</f>
        <v>291.88</v>
      </c>
      <c r="AF12" s="74">
        <f>IFERROR(VLOOKUP(E:E,'（居民）工资表-3月'!E:AF,28,0)+VLOOKUP(E:E,'（居民）工资表-3月'!E:AG,29,0),0)</f>
        <v>172.17</v>
      </c>
      <c r="AG12" s="74">
        <f t="shared" si="15"/>
        <v>119.71000000000001</v>
      </c>
      <c r="AH12" s="77">
        <f t="shared" si="16"/>
        <v>8870.49</v>
      </c>
      <c r="AI12" s="78"/>
      <c r="AJ12" s="77">
        <f t="shared" si="17"/>
        <v>8870.49</v>
      </c>
      <c r="AK12" s="79"/>
      <c r="AL12" s="77">
        <f t="shared" si="18"/>
        <v>8990.1999999999989</v>
      </c>
      <c r="AM12" s="79"/>
      <c r="AN12" s="79"/>
      <c r="AO12" s="79"/>
      <c r="AP12" s="79"/>
      <c r="AQ12" s="79"/>
      <c r="AR12" s="84" t="str">
        <f t="shared" si="8"/>
        <v>正确</v>
      </c>
      <c r="AS12" s="84" t="str">
        <f t="shared" si="19"/>
        <v>不</v>
      </c>
      <c r="AT12" s="84" t="str">
        <f t="shared" si="20"/>
        <v>重复</v>
      </c>
    </row>
    <row r="13" spans="1:46" s="10" customFormat="1" ht="18" customHeight="1">
      <c r="A13" s="24">
        <v>11</v>
      </c>
      <c r="B13" s="25" t="s">
        <v>123</v>
      </c>
      <c r="C13" s="25" t="s">
        <v>163</v>
      </c>
      <c r="D13" s="25" t="s">
        <v>125</v>
      </c>
      <c r="E13" s="219" t="s">
        <v>164</v>
      </c>
      <c r="F13" s="26" t="str">
        <f t="shared" si="11"/>
        <v>女</v>
      </c>
      <c r="G13" s="27">
        <v>15943200312</v>
      </c>
      <c r="H13" s="28"/>
      <c r="I13" s="28"/>
      <c r="J13" s="105"/>
      <c r="K13" s="28"/>
      <c r="L13" s="54">
        <v>15310.344827586199</v>
      </c>
      <c r="M13" s="55">
        <v>428.8</v>
      </c>
      <c r="N13" s="55">
        <v>110.2</v>
      </c>
      <c r="O13" s="55">
        <v>26.8</v>
      </c>
      <c r="P13" s="55">
        <v>444</v>
      </c>
      <c r="Q13" s="69">
        <f t="shared" si="12"/>
        <v>1009.8</v>
      </c>
      <c r="R13" s="54">
        <v>0</v>
      </c>
      <c r="S13" s="70">
        <f>L13+IFERROR(VLOOKUP($E:$E,'（居民）工资表-3月'!$E:$S,15,0),0)</f>
        <v>38708.620689655203</v>
      </c>
      <c r="T13" s="71">
        <f>5000+IFERROR(VLOOKUP($E:$E,'（居民）工资表-3月'!$E:$T,16,0),0)</f>
        <v>15000</v>
      </c>
      <c r="U13" s="71">
        <f>Q13+IFERROR(VLOOKUP($E:$E,'（居民）工资表-3月'!$E:$U,17,0),0)</f>
        <v>3029.3999999999996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/>
      <c r="AB13" s="70">
        <f t="shared" si="13"/>
        <v>0</v>
      </c>
      <c r="AC13" s="70">
        <f>R13+IFERROR(VLOOKUP($E:$E,'（居民）工资表-3月'!$E:$AC,25,0),0)</f>
        <v>0</v>
      </c>
      <c r="AD13" s="72">
        <f t="shared" si="14"/>
        <v>20679.22</v>
      </c>
      <c r="AE13" s="73">
        <f>ROUND(MAX((AD13)*{0.03;0.1;0.2;0.25;0.3;0.35;0.45}-{0;2520;16920;31920;52920;85920;181920},0),2)</f>
        <v>620.38</v>
      </c>
      <c r="AF13" s="74">
        <f>IFERROR(VLOOKUP(E:E,'（居民）工资表-3月'!E:AF,28,0)+VLOOKUP(E:E,'（居民）工资表-3月'!E:AG,29,0),0)</f>
        <v>341.36</v>
      </c>
      <c r="AG13" s="74">
        <f t="shared" si="15"/>
        <v>279.02</v>
      </c>
      <c r="AH13" s="77">
        <f t="shared" si="16"/>
        <v>14021.52</v>
      </c>
      <c r="AI13" s="78"/>
      <c r="AJ13" s="77">
        <f t="shared" si="17"/>
        <v>14021.52</v>
      </c>
      <c r="AK13" s="79"/>
      <c r="AL13" s="77">
        <f t="shared" si="18"/>
        <v>14300.54</v>
      </c>
      <c r="AM13" s="79"/>
      <c r="AN13" s="79"/>
      <c r="AO13" s="79"/>
      <c r="AP13" s="79"/>
      <c r="AQ13" s="79"/>
      <c r="AR13" s="84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84" t="str">
        <f t="shared" si="19"/>
        <v>不</v>
      </c>
      <c r="AT13" s="84" t="str">
        <f t="shared" si="20"/>
        <v>重复</v>
      </c>
    </row>
    <row r="14" spans="1:46" s="10" customFormat="1" ht="18" customHeight="1">
      <c r="A14" s="24">
        <v>12</v>
      </c>
      <c r="B14" s="25" t="s">
        <v>123</v>
      </c>
      <c r="C14" s="25" t="s">
        <v>165</v>
      </c>
      <c r="D14" s="25" t="s">
        <v>125</v>
      </c>
      <c r="E14" s="219" t="s">
        <v>166</v>
      </c>
      <c r="F14" s="26" t="str">
        <f t="shared" si="11"/>
        <v>女</v>
      </c>
      <c r="G14" s="27">
        <v>18745463721</v>
      </c>
      <c r="H14" s="28"/>
      <c r="I14" s="28"/>
      <c r="J14" s="105"/>
      <c r="K14" s="28"/>
      <c r="L14" s="54">
        <v>11000</v>
      </c>
      <c r="M14" s="55">
        <v>428.8</v>
      </c>
      <c r="N14" s="55">
        <v>110.2</v>
      </c>
      <c r="O14" s="55">
        <v>26.8</v>
      </c>
      <c r="P14" s="55">
        <v>444</v>
      </c>
      <c r="Q14" s="69">
        <f t="shared" si="12"/>
        <v>1009.8</v>
      </c>
      <c r="R14" s="54">
        <v>0</v>
      </c>
      <c r="S14" s="70">
        <f>L14+IFERROR(VLOOKUP($E:$E,'（居民）工资表-3月'!$E:$S,15,0),0)</f>
        <v>28574.712643678169</v>
      </c>
      <c r="T14" s="71">
        <f>5000+IFERROR(VLOOKUP($E:$E,'（居民）工资表-3月'!$E:$T,16,0),0)</f>
        <v>15000</v>
      </c>
      <c r="U14" s="71">
        <f>Q14+IFERROR(VLOOKUP($E:$E,'（居民）工资表-3月'!$E:$U,17,0),0)</f>
        <v>3029.3999999999996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/>
      <c r="AB14" s="70">
        <f t="shared" si="13"/>
        <v>0</v>
      </c>
      <c r="AC14" s="70">
        <f>R14+IFERROR(VLOOKUP($E:$E,'（居民）工资表-3月'!$E:$AC,25,0),0)</f>
        <v>0</v>
      </c>
      <c r="AD14" s="72">
        <f t="shared" si="14"/>
        <v>10545.31</v>
      </c>
      <c r="AE14" s="73">
        <f>ROUND(MAX((AD14)*{0.03;0.1;0.2;0.25;0.3;0.35;0.45}-{0;2520;16920;31920;52920;85920;181920},0),2)</f>
        <v>316.36</v>
      </c>
      <c r="AF14" s="74">
        <f>IFERROR(VLOOKUP(E:E,'（居民）工资表-3月'!E:AF,28,0)+VLOOKUP(E:E,'（居民）工资表-3月'!E:AG,29,0),0)</f>
        <v>166.65</v>
      </c>
      <c r="AG14" s="74">
        <f t="shared" si="15"/>
        <v>149.71</v>
      </c>
      <c r="AH14" s="77">
        <f t="shared" si="16"/>
        <v>9840.49</v>
      </c>
      <c r="AI14" s="78"/>
      <c r="AJ14" s="77">
        <f t="shared" si="17"/>
        <v>9840.49</v>
      </c>
      <c r="AK14" s="79"/>
      <c r="AL14" s="77">
        <f t="shared" si="18"/>
        <v>9990.1999999999989</v>
      </c>
      <c r="AM14" s="79"/>
      <c r="AN14" s="79"/>
      <c r="AO14" s="79"/>
      <c r="AP14" s="79"/>
      <c r="AQ14" s="79"/>
      <c r="AR14" s="84" t="str">
        <f t="shared" si="21"/>
        <v>正确</v>
      </c>
      <c r="AS14" s="84" t="str">
        <f t="shared" si="19"/>
        <v>不</v>
      </c>
      <c r="AT14" s="84" t="str">
        <f t="shared" si="20"/>
        <v>重复</v>
      </c>
    </row>
    <row r="15" spans="1:46" s="10" customFormat="1" ht="18" customHeight="1">
      <c r="A15" s="24">
        <v>13</v>
      </c>
      <c r="B15" s="25" t="s">
        <v>123</v>
      </c>
      <c r="C15" s="25" t="s">
        <v>167</v>
      </c>
      <c r="D15" s="25" t="s">
        <v>125</v>
      </c>
      <c r="E15" s="219" t="s">
        <v>168</v>
      </c>
      <c r="F15" s="26" t="str">
        <f t="shared" si="11"/>
        <v>女</v>
      </c>
      <c r="G15" s="27">
        <v>18935711299</v>
      </c>
      <c r="H15" s="28"/>
      <c r="I15" s="28"/>
      <c r="J15" s="105"/>
      <c r="K15" s="28"/>
      <c r="L15" s="54">
        <v>11000</v>
      </c>
      <c r="M15" s="55">
        <v>428.8</v>
      </c>
      <c r="N15" s="55">
        <v>110.2</v>
      </c>
      <c r="O15" s="55">
        <v>26.8</v>
      </c>
      <c r="P15" s="55">
        <v>444</v>
      </c>
      <c r="Q15" s="69">
        <f t="shared" si="12"/>
        <v>1009.8</v>
      </c>
      <c r="R15" s="54">
        <v>0</v>
      </c>
      <c r="S15" s="70">
        <f>L15+IFERROR(VLOOKUP($E:$E,'（居民）工资表-3月'!$E:$S,15,0),0)</f>
        <v>31867.1264367816</v>
      </c>
      <c r="T15" s="71">
        <f>5000+IFERROR(VLOOKUP($E:$E,'（居民）工资表-3月'!$E:$T,16,0),0)</f>
        <v>15000</v>
      </c>
      <c r="U15" s="71">
        <f>Q15+IFERROR(VLOOKUP($E:$E,'（居民）工资表-3月'!$E:$U,17,0),0)</f>
        <v>3029.3999999999996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/>
      <c r="AB15" s="70">
        <f t="shared" si="13"/>
        <v>0</v>
      </c>
      <c r="AC15" s="70">
        <f>R15+IFERROR(VLOOKUP($E:$E,'（居民）工资表-3月'!$E:$AC,25,0),0)</f>
        <v>0</v>
      </c>
      <c r="AD15" s="72">
        <f t="shared" si="14"/>
        <v>13837.73</v>
      </c>
      <c r="AE15" s="73">
        <f>ROUND(MAX((AD15)*{0.03;0.1;0.2;0.25;0.3;0.35;0.45}-{0;2520;16920;31920;52920;85920;181920},0),2)</f>
        <v>415.13</v>
      </c>
      <c r="AF15" s="74">
        <f>IFERROR(VLOOKUP(E:E,'（居民）工资表-3月'!E:AF,28,0)+VLOOKUP(E:E,'（居民）工资表-3月'!E:AG,29,0),0)</f>
        <v>265.43</v>
      </c>
      <c r="AG15" s="74">
        <f t="shared" si="15"/>
        <v>149.69999999999999</v>
      </c>
      <c r="AH15" s="77">
        <f t="shared" si="16"/>
        <v>9840.5</v>
      </c>
      <c r="AI15" s="78"/>
      <c r="AJ15" s="77">
        <f t="shared" si="17"/>
        <v>9840.5</v>
      </c>
      <c r="AK15" s="79"/>
      <c r="AL15" s="77">
        <f t="shared" si="18"/>
        <v>9990.2000000000007</v>
      </c>
      <c r="AM15" s="79"/>
      <c r="AN15" s="79"/>
      <c r="AO15" s="79"/>
      <c r="AP15" s="79"/>
      <c r="AQ15" s="79"/>
      <c r="AR15" s="84" t="str">
        <f t="shared" si="21"/>
        <v>正确</v>
      </c>
      <c r="AS15" s="84" t="str">
        <f t="shared" si="19"/>
        <v>不</v>
      </c>
      <c r="AT15" s="84" t="str">
        <f t="shared" si="20"/>
        <v>重复</v>
      </c>
    </row>
    <row r="16" spans="1:46" s="10" customFormat="1" ht="18" customHeight="1">
      <c r="A16" s="24">
        <v>14</v>
      </c>
      <c r="B16" s="25" t="s">
        <v>123</v>
      </c>
      <c r="C16" s="25" t="s">
        <v>169</v>
      </c>
      <c r="D16" s="25" t="s">
        <v>125</v>
      </c>
      <c r="E16" s="219" t="s">
        <v>170</v>
      </c>
      <c r="F16" s="26" t="str">
        <f t="shared" si="11"/>
        <v>女</v>
      </c>
      <c r="G16" s="27">
        <v>13301242552</v>
      </c>
      <c r="H16" s="28"/>
      <c r="I16" s="28"/>
      <c r="J16" s="105"/>
      <c r="K16" s="28"/>
      <c r="L16" s="54">
        <v>14000</v>
      </c>
      <c r="M16" s="55">
        <v>640</v>
      </c>
      <c r="N16" s="55">
        <v>163</v>
      </c>
      <c r="O16" s="55">
        <v>40</v>
      </c>
      <c r="P16" s="55">
        <v>960</v>
      </c>
      <c r="Q16" s="69">
        <f t="shared" si="12"/>
        <v>1803</v>
      </c>
      <c r="R16" s="54">
        <v>0</v>
      </c>
      <c r="S16" s="70">
        <f>L16+IFERROR(VLOOKUP($E:$E,'（居民）工资表-3月'!$E:$S,15,0),0)</f>
        <v>41000</v>
      </c>
      <c r="T16" s="71">
        <f>5000+IFERROR(VLOOKUP($E:$E,'（居民）工资表-3月'!$E:$T,16,0),0)</f>
        <v>10000</v>
      </c>
      <c r="U16" s="71">
        <f>Q16+IFERROR(VLOOKUP($E:$E,'（居民）工资表-3月'!$E:$U,17,0),0)</f>
        <v>3606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/>
      <c r="AB16" s="70">
        <f t="shared" si="13"/>
        <v>0</v>
      </c>
      <c r="AC16" s="70">
        <f>R16+IFERROR(VLOOKUP($E:$E,'（居民）工资表-3月'!$E:$AC,25,0),0)</f>
        <v>0</v>
      </c>
      <c r="AD16" s="72">
        <f t="shared" si="14"/>
        <v>27394</v>
      </c>
      <c r="AE16" s="73">
        <f>ROUND(MAX((AD16)*{0.03;0.1;0.2;0.25;0.3;0.35;0.45}-{0;2520;16920;31920;52920;85920;181920},0),2)</f>
        <v>821.82</v>
      </c>
      <c r="AF16" s="74">
        <f>IFERROR(VLOOKUP(E:E,'（居民）工资表-3月'!E:AF,28,0)+VLOOKUP(E:E,'（居民）工资表-3月'!E:AG,29,0),0)</f>
        <v>605.91</v>
      </c>
      <c r="AG16" s="74">
        <f t="shared" si="15"/>
        <v>215.91000000000008</v>
      </c>
      <c r="AH16" s="77">
        <f t="shared" si="16"/>
        <v>11981.09</v>
      </c>
      <c r="AI16" s="78"/>
      <c r="AJ16" s="77">
        <f t="shared" si="17"/>
        <v>11981.09</v>
      </c>
      <c r="AK16" s="79"/>
      <c r="AL16" s="77">
        <f t="shared" si="18"/>
        <v>12197</v>
      </c>
      <c r="AM16" s="79"/>
      <c r="AN16" s="79"/>
      <c r="AO16" s="79"/>
      <c r="AP16" s="79"/>
      <c r="AQ16" s="79"/>
      <c r="AR16" s="84" t="str">
        <f t="shared" si="21"/>
        <v>正确</v>
      </c>
      <c r="AS16" s="84" t="str">
        <f t="shared" si="19"/>
        <v>不</v>
      </c>
      <c r="AT16" s="84" t="str">
        <f t="shared" si="20"/>
        <v>重复</v>
      </c>
    </row>
    <row r="17" spans="1:46" s="10" customFormat="1" ht="18" customHeight="1">
      <c r="A17" s="24">
        <v>15</v>
      </c>
      <c r="B17" s="25" t="s">
        <v>123</v>
      </c>
      <c r="C17" s="25" t="s">
        <v>171</v>
      </c>
      <c r="D17" s="25" t="s">
        <v>125</v>
      </c>
      <c r="E17" s="219" t="s">
        <v>172</v>
      </c>
      <c r="F17" s="26" t="str">
        <f t="shared" si="11"/>
        <v>女</v>
      </c>
      <c r="G17" s="27">
        <v>13842815360</v>
      </c>
      <c r="H17" s="28"/>
      <c r="I17" s="28"/>
      <c r="J17" s="105"/>
      <c r="K17" s="28"/>
      <c r="L17" s="54">
        <v>2758.6206896551698</v>
      </c>
      <c r="M17" s="55"/>
      <c r="N17" s="55"/>
      <c r="O17" s="55"/>
      <c r="P17" s="55"/>
      <c r="Q17" s="69">
        <f t="shared" si="12"/>
        <v>0</v>
      </c>
      <c r="R17" s="54">
        <v>0</v>
      </c>
      <c r="S17" s="70">
        <f>L17+IFERROR(VLOOKUP($E:$E,'（居民）工资表-3月'!$E:$S,15,0),0)</f>
        <v>8827.5862068965507</v>
      </c>
      <c r="T17" s="71">
        <f>5000+IFERROR(VLOOKUP($E:$E,'（居民）工资表-3月'!$E:$T,16,0),0)</f>
        <v>10000</v>
      </c>
      <c r="U17" s="71">
        <f>Q17+IFERROR(VLOOKUP($E:$E,'（居民）工资表-3月'!$E:$U,17,0),0)</f>
        <v>1009.8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/>
      <c r="AB17" s="70">
        <f t="shared" si="13"/>
        <v>0</v>
      </c>
      <c r="AC17" s="70">
        <f>R17+IFERROR(VLOOKUP($E:$E,'（居民）工资表-3月'!$E:$AC,25,0),0)</f>
        <v>0</v>
      </c>
      <c r="AD17" s="72">
        <f t="shared" si="14"/>
        <v>-2182.21</v>
      </c>
      <c r="AE17" s="73">
        <f>ROUND(MAX((AD17)*{0.03;0.1;0.2;0.25;0.3;0.35;0.45}-{0;2520;16920;31920;52920;85920;181920},0),2)</f>
        <v>0</v>
      </c>
      <c r="AF17" s="74">
        <f>IFERROR(VLOOKUP(E:E,'（居民）工资表-3月'!E:AF,28,0)+VLOOKUP(E:E,'（居民）工资表-3月'!E:AG,29,0),0)</f>
        <v>1.78</v>
      </c>
      <c r="AG17" s="74">
        <f t="shared" si="15"/>
        <v>0</v>
      </c>
      <c r="AH17" s="77">
        <f t="shared" si="16"/>
        <v>2758.62</v>
      </c>
      <c r="AI17" s="78"/>
      <c r="AJ17" s="77">
        <f t="shared" si="17"/>
        <v>2758.62</v>
      </c>
      <c r="AK17" s="79"/>
      <c r="AL17" s="77">
        <f t="shared" si="18"/>
        <v>2758.62</v>
      </c>
      <c r="AM17" s="79"/>
      <c r="AN17" s="79"/>
      <c r="AO17" s="79"/>
      <c r="AP17" s="79"/>
      <c r="AQ17" s="79"/>
      <c r="AR17" s="84" t="str">
        <f t="shared" si="21"/>
        <v>正确</v>
      </c>
      <c r="AS17" s="84" t="str">
        <f t="shared" si="19"/>
        <v>不</v>
      </c>
      <c r="AT17" s="84" t="str">
        <f t="shared" si="20"/>
        <v>重复</v>
      </c>
    </row>
    <row r="18" spans="1:46" s="10" customFormat="1" ht="18" customHeight="1">
      <c r="A18" s="24">
        <v>16</v>
      </c>
      <c r="B18" s="25" t="s">
        <v>123</v>
      </c>
      <c r="C18" s="25" t="s">
        <v>173</v>
      </c>
      <c r="D18" s="25" t="s">
        <v>125</v>
      </c>
      <c r="E18" s="25" t="s">
        <v>174</v>
      </c>
      <c r="F18" s="26" t="str">
        <f t="shared" si="11"/>
        <v>女</v>
      </c>
      <c r="G18" s="27">
        <v>18733620146</v>
      </c>
      <c r="H18" s="28"/>
      <c r="I18" s="28"/>
      <c r="J18" s="105"/>
      <c r="K18" s="28"/>
      <c r="L18" s="54">
        <v>4781.6091954023004</v>
      </c>
      <c r="M18" s="55">
        <v>428.8</v>
      </c>
      <c r="N18" s="55">
        <v>110.2</v>
      </c>
      <c r="O18" s="55">
        <v>26.8</v>
      </c>
      <c r="P18" s="55">
        <v>444</v>
      </c>
      <c r="Q18" s="69">
        <f t="shared" si="12"/>
        <v>1009.8</v>
      </c>
      <c r="R18" s="54">
        <v>0</v>
      </c>
      <c r="S18" s="70">
        <f>L18+IFERROR(VLOOKUP($E:$E,'（居民）工资表-3月'!$E:$S,15,0),0)</f>
        <v>8459.7701149425302</v>
      </c>
      <c r="T18" s="71">
        <f>5000+IFERROR(VLOOKUP($E:$E,'（居民）工资表-3月'!$E:$T,16,0),0)</f>
        <v>10000</v>
      </c>
      <c r="U18" s="71">
        <f>Q18+IFERROR(VLOOKUP($E:$E,'（居民）工资表-3月'!$E:$U,17,0),0)</f>
        <v>2019.6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/>
      <c r="AB18" s="70">
        <f t="shared" si="13"/>
        <v>0</v>
      </c>
      <c r="AC18" s="70">
        <f>R18+IFERROR(VLOOKUP($E:$E,'（居民）工资表-3月'!$E:$AC,25,0),0)</f>
        <v>0</v>
      </c>
      <c r="AD18" s="72">
        <f t="shared" si="14"/>
        <v>-3559.83</v>
      </c>
      <c r="AE18" s="73">
        <f>ROUND(MAX((AD18)*{0.03;0.1;0.2;0.25;0.3;0.35;0.45}-{0;2520;16920;31920;52920;85920;181920},0),2)</f>
        <v>0</v>
      </c>
      <c r="AF18" s="74">
        <f>IFERROR(VLOOKUP(E:E,'（居民）工资表-3月'!E:AF,28,0)+VLOOKUP(E:E,'（居民）工资表-3月'!E:AG,29,0),0)</f>
        <v>0</v>
      </c>
      <c r="AG18" s="74">
        <f t="shared" si="15"/>
        <v>0</v>
      </c>
      <c r="AH18" s="77">
        <f t="shared" si="16"/>
        <v>3771.81</v>
      </c>
      <c r="AI18" s="78"/>
      <c r="AJ18" s="77">
        <f t="shared" si="17"/>
        <v>3771.81</v>
      </c>
      <c r="AK18" s="79"/>
      <c r="AL18" s="77">
        <f t="shared" si="18"/>
        <v>3771.81</v>
      </c>
      <c r="AM18" s="79"/>
      <c r="AN18" s="79"/>
      <c r="AO18" s="79"/>
      <c r="AP18" s="79"/>
      <c r="AQ18" s="79"/>
      <c r="AR18" s="84" t="str">
        <f t="shared" si="21"/>
        <v>正确</v>
      </c>
      <c r="AS18" s="84" t="str">
        <f t="shared" si="19"/>
        <v>不</v>
      </c>
      <c r="AT18" s="84" t="str">
        <f t="shared" si="20"/>
        <v>重复</v>
      </c>
    </row>
    <row r="19" spans="1:46" s="10" customFormat="1" ht="18" customHeight="1">
      <c r="A19" s="24">
        <v>17</v>
      </c>
      <c r="B19" s="25" t="s">
        <v>123</v>
      </c>
      <c r="C19" s="25" t="s">
        <v>194</v>
      </c>
      <c r="D19" s="25" t="s">
        <v>125</v>
      </c>
      <c r="E19" s="219" t="s">
        <v>195</v>
      </c>
      <c r="F19" s="26" t="str">
        <f t="shared" si="11"/>
        <v>女</v>
      </c>
      <c r="G19" s="27">
        <v>15321201469</v>
      </c>
      <c r="H19" s="28"/>
      <c r="I19" s="28"/>
      <c r="J19" s="105"/>
      <c r="K19" s="28"/>
      <c r="L19" s="54">
        <v>10359.770114942499</v>
      </c>
      <c r="M19" s="55">
        <v>560</v>
      </c>
      <c r="N19" s="55">
        <v>143</v>
      </c>
      <c r="O19" s="55">
        <v>35</v>
      </c>
      <c r="P19" s="55">
        <v>840</v>
      </c>
      <c r="Q19" s="69">
        <f t="shared" si="12"/>
        <v>1578</v>
      </c>
      <c r="R19" s="54">
        <v>0</v>
      </c>
      <c r="S19" s="70">
        <f>L19+IFERROR(VLOOKUP($E:$E,'（居民）工资表-3月'!$E:$S,15,0),0)</f>
        <v>10359.770114942499</v>
      </c>
      <c r="T19" s="71">
        <f>5000+IFERROR(VLOOKUP($E:$E,'（居民）工资表-3月'!$E:$T,16,0),0)</f>
        <v>5000</v>
      </c>
      <c r="U19" s="71">
        <f>Q19+IFERROR(VLOOKUP($E:$E,'（居民）工资表-3月'!$E:$U,17,0),0)</f>
        <v>1578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/>
      <c r="AB19" s="70">
        <f t="shared" si="13"/>
        <v>0</v>
      </c>
      <c r="AC19" s="70">
        <f>R19+IFERROR(VLOOKUP($E:$E,'（居民）工资表-3月'!$E:$AC,25,0),0)</f>
        <v>0</v>
      </c>
      <c r="AD19" s="72">
        <f t="shared" si="14"/>
        <v>3781.77</v>
      </c>
      <c r="AE19" s="73">
        <f>ROUND(MAX((AD19)*{0.03;0.1;0.2;0.25;0.3;0.35;0.45}-{0;2520;16920;31920;52920;85920;181920},0),2)</f>
        <v>113.45</v>
      </c>
      <c r="AF19" s="74">
        <f>IFERROR(VLOOKUP(E:E,'（居民）工资表-3月'!E:AF,28,0)+VLOOKUP(E:E,'（居民）工资表-3月'!E:AG,29,0),0)</f>
        <v>0</v>
      </c>
      <c r="AG19" s="74">
        <f t="shared" si="15"/>
        <v>113.45</v>
      </c>
      <c r="AH19" s="77">
        <f t="shared" si="16"/>
        <v>8668.32</v>
      </c>
      <c r="AI19" s="78"/>
      <c r="AJ19" s="77">
        <f t="shared" si="17"/>
        <v>8668.32</v>
      </c>
      <c r="AK19" s="79"/>
      <c r="AL19" s="77">
        <f t="shared" si="18"/>
        <v>8781.77</v>
      </c>
      <c r="AM19" s="79"/>
      <c r="AN19" s="79"/>
      <c r="AO19" s="79"/>
      <c r="AP19" s="79"/>
      <c r="AQ19" s="79"/>
      <c r="AR19" s="84" t="str">
        <f t="shared" si="21"/>
        <v>正确</v>
      </c>
      <c r="AS19" s="84" t="str">
        <f>IF(SUMPRODUCT(N(E$1:E$18=E19))&gt;1,"重复","不")</f>
        <v>不</v>
      </c>
      <c r="AT19" s="84" t="str">
        <f>IF(SUMPRODUCT(N(AO$1:AO$18=AO19))&gt;1,"重复","不")</f>
        <v>重复</v>
      </c>
    </row>
    <row r="20" spans="1:46" s="10" customFormat="1" ht="18" customHeight="1">
      <c r="A20" s="24">
        <v>18</v>
      </c>
      <c r="B20" s="25" t="s">
        <v>123</v>
      </c>
      <c r="C20" s="25" t="s">
        <v>196</v>
      </c>
      <c r="D20" s="25" t="s">
        <v>125</v>
      </c>
      <c r="E20" s="219" t="s">
        <v>197</v>
      </c>
      <c r="F20" s="26" t="str">
        <f t="shared" si="11"/>
        <v>女</v>
      </c>
      <c r="G20" s="27">
        <v>17611309622</v>
      </c>
      <c r="H20" s="28"/>
      <c r="I20" s="28"/>
      <c r="J20" s="105"/>
      <c r="K20" s="28"/>
      <c r="L20" s="54">
        <v>7724.1379310344801</v>
      </c>
      <c r="M20" s="55">
        <v>428.8</v>
      </c>
      <c r="N20" s="55">
        <v>110.2</v>
      </c>
      <c r="O20" s="55">
        <v>26.8</v>
      </c>
      <c r="P20" s="55">
        <v>444</v>
      </c>
      <c r="Q20" s="69">
        <f t="shared" si="12"/>
        <v>1009.8</v>
      </c>
      <c r="R20" s="54">
        <v>0</v>
      </c>
      <c r="S20" s="70">
        <f>L20+IFERROR(VLOOKUP($E:$E,'（居民）工资表-3月'!$E:$S,15,0),0)</f>
        <v>7724.1379310344801</v>
      </c>
      <c r="T20" s="71">
        <f>5000+IFERROR(VLOOKUP($E:$E,'（居民）工资表-3月'!$E:$T,16,0),0)</f>
        <v>5000</v>
      </c>
      <c r="U20" s="71">
        <f>Q20+IFERROR(VLOOKUP($E:$E,'（居民）工资表-3月'!$E:$U,17,0),0)</f>
        <v>1009.8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/>
      <c r="AB20" s="70">
        <f t="shared" si="13"/>
        <v>0</v>
      </c>
      <c r="AC20" s="70">
        <f>R20+IFERROR(VLOOKUP($E:$E,'（居民）工资表-3月'!$E:$AC,25,0),0)</f>
        <v>0</v>
      </c>
      <c r="AD20" s="72">
        <f t="shared" si="14"/>
        <v>1714.34</v>
      </c>
      <c r="AE20" s="73">
        <f>ROUND(MAX((AD20)*{0.03;0.1;0.2;0.25;0.3;0.35;0.45}-{0;2520;16920;31920;52920;85920;181920},0),2)</f>
        <v>51.43</v>
      </c>
      <c r="AF20" s="74">
        <f>IFERROR(VLOOKUP(E:E,'（居民）工资表-3月'!E:AF,28,0)+VLOOKUP(E:E,'（居民）工资表-3月'!E:AG,29,0),0)</f>
        <v>0</v>
      </c>
      <c r="AG20" s="74">
        <f t="shared" si="15"/>
        <v>51.43</v>
      </c>
      <c r="AH20" s="77">
        <f t="shared" si="16"/>
        <v>6662.91</v>
      </c>
      <c r="AI20" s="78"/>
      <c r="AJ20" s="77">
        <f t="shared" si="17"/>
        <v>6662.91</v>
      </c>
      <c r="AK20" s="79"/>
      <c r="AL20" s="77">
        <f t="shared" si="18"/>
        <v>6714.34</v>
      </c>
      <c r="AM20" s="79"/>
      <c r="AN20" s="79"/>
      <c r="AO20" s="79"/>
      <c r="AP20" s="79"/>
      <c r="AQ20" s="79"/>
      <c r="AR20" s="84" t="str">
        <f t="shared" si="21"/>
        <v>正确</v>
      </c>
      <c r="AS20" s="84" t="str">
        <f>IF(SUMPRODUCT(N(E$1:E$18=E20))&gt;1,"重复","不")</f>
        <v>不</v>
      </c>
      <c r="AT20" s="84" t="str">
        <f>IF(SUMPRODUCT(N(AO$1:AO$18=AO20))&gt;1,"重复","不")</f>
        <v>重复</v>
      </c>
    </row>
    <row r="21" spans="1:46" s="10" customFormat="1" ht="18" customHeight="1">
      <c r="A21" s="24"/>
      <c r="B21" s="25"/>
      <c r="C21" s="25"/>
      <c r="D21" s="25"/>
      <c r="E21" s="25"/>
      <c r="F21" s="26"/>
      <c r="G21" s="27"/>
      <c r="H21" s="28"/>
      <c r="I21" s="28"/>
      <c r="J21" s="86"/>
      <c r="K21" s="28"/>
      <c r="L21" s="54"/>
      <c r="M21" s="55"/>
      <c r="N21" s="55"/>
      <c r="O21" s="55"/>
      <c r="P21" s="55"/>
      <c r="Q21" s="69"/>
      <c r="R21" s="54"/>
      <c r="S21" s="70"/>
      <c r="T21" s="71"/>
      <c r="U21" s="71"/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/>
      <c r="AB21" s="70"/>
      <c r="AC21" s="70"/>
      <c r="AD21" s="72"/>
      <c r="AE21" s="73"/>
      <c r="AF21" s="74"/>
      <c r="AG21" s="74"/>
      <c r="AH21" s="77"/>
      <c r="AI21" s="78"/>
      <c r="AJ21" s="77"/>
      <c r="AK21" s="79"/>
      <c r="AL21" s="77"/>
      <c r="AM21" s="79"/>
      <c r="AN21" s="79"/>
      <c r="AO21" s="79"/>
      <c r="AP21" s="79"/>
      <c r="AQ21" s="79"/>
      <c r="AR21" s="84"/>
      <c r="AS21" s="84"/>
      <c r="AT21" s="84"/>
    </row>
    <row r="22" spans="1:46" s="11" customFormat="1" ht="18" customHeight="1">
      <c r="A22" s="31"/>
      <c r="B22" s="32" t="s">
        <v>151</v>
      </c>
      <c r="C22" s="32"/>
      <c r="D22" s="33"/>
      <c r="E22" s="34"/>
      <c r="F22" s="35"/>
      <c r="G22" s="36"/>
      <c r="H22" s="35"/>
      <c r="I22" s="56"/>
      <c r="J22" s="57"/>
      <c r="K22" s="56"/>
      <c r="L22" s="58">
        <f>SUM(L4:L21)</f>
        <v>171823.56321839077</v>
      </c>
      <c r="M22" s="58">
        <f t="shared" ref="M22:AL22" si="22">SUM(M4:M21)</f>
        <v>7203.2000000000016</v>
      </c>
      <c r="N22" s="58">
        <f t="shared" si="22"/>
        <v>1848.8000000000004</v>
      </c>
      <c r="O22" s="58">
        <f t="shared" si="22"/>
        <v>450.2000000000001</v>
      </c>
      <c r="P22" s="58">
        <f t="shared" si="22"/>
        <v>8172</v>
      </c>
      <c r="Q22" s="58">
        <f t="shared" si="22"/>
        <v>17674.199999999993</v>
      </c>
      <c r="R22" s="58">
        <f t="shared" si="22"/>
        <v>0</v>
      </c>
      <c r="S22" s="58">
        <f t="shared" si="22"/>
        <v>560028.96551724151</v>
      </c>
      <c r="T22" s="58">
        <f t="shared" si="22"/>
        <v>265000</v>
      </c>
      <c r="U22" s="58">
        <f t="shared" si="22"/>
        <v>54278.400000000009</v>
      </c>
      <c r="V22" s="58">
        <f t="shared" si="22"/>
        <v>0</v>
      </c>
      <c r="W22" s="58">
        <f t="shared" si="22"/>
        <v>0</v>
      </c>
      <c r="X22" s="58">
        <f t="shared" si="22"/>
        <v>0</v>
      </c>
      <c r="Y22" s="58">
        <f t="shared" si="22"/>
        <v>6000</v>
      </c>
      <c r="Z22" s="58">
        <f t="shared" si="22"/>
        <v>0</v>
      </c>
      <c r="AA22" s="58">
        <f t="shared" si="22"/>
        <v>0</v>
      </c>
      <c r="AB22" s="58">
        <f t="shared" si="22"/>
        <v>6000</v>
      </c>
      <c r="AC22" s="58">
        <f t="shared" si="22"/>
        <v>0</v>
      </c>
      <c r="AD22" s="58">
        <f t="shared" si="22"/>
        <v>234750.59000000003</v>
      </c>
      <c r="AE22" s="58">
        <f t="shared" si="22"/>
        <v>7238.62</v>
      </c>
      <c r="AF22" s="58">
        <f t="shared" si="22"/>
        <v>5218</v>
      </c>
      <c r="AG22" s="58">
        <f t="shared" si="22"/>
        <v>2094.42</v>
      </c>
      <c r="AH22" s="58">
        <f t="shared" si="22"/>
        <v>152054.95000000001</v>
      </c>
      <c r="AI22" s="58">
        <f t="shared" si="22"/>
        <v>0</v>
      </c>
      <c r="AJ22" s="58">
        <f t="shared" si="22"/>
        <v>152054.95000000001</v>
      </c>
      <c r="AK22" s="58">
        <f t="shared" si="22"/>
        <v>0</v>
      </c>
      <c r="AL22" s="58">
        <f t="shared" si="22"/>
        <v>154149.36999999997</v>
      </c>
      <c r="AM22" s="81"/>
      <c r="AN22" s="81"/>
      <c r="AO22" s="81"/>
      <c r="AP22" s="81"/>
      <c r="AQ22" s="81"/>
      <c r="AR22" s="35"/>
      <c r="AS22" s="35"/>
      <c r="AT22" s="85"/>
    </row>
    <row r="25" spans="1:46">
      <c r="AD25" s="75"/>
    </row>
    <row r="26" spans="1:46" ht="18.75" customHeight="1">
      <c r="B26" s="37" t="s">
        <v>104</v>
      </c>
      <c r="C26" s="37" t="s">
        <v>152</v>
      </c>
      <c r="D26" s="37" t="s">
        <v>55</v>
      </c>
      <c r="E26" s="37" t="s">
        <v>56</v>
      </c>
      <c r="AD26" s="8"/>
      <c r="AG26" s="106"/>
    </row>
    <row r="27" spans="1:46" ht="18.75" customHeight="1">
      <c r="B27" s="38">
        <f>AJ22</f>
        <v>152054.95000000001</v>
      </c>
      <c r="C27" s="38">
        <f>AG22</f>
        <v>2094.42</v>
      </c>
      <c r="D27" s="38">
        <f>AK22</f>
        <v>0</v>
      </c>
      <c r="E27" s="38">
        <f>B27+C27+D27</f>
        <v>154149.37000000002</v>
      </c>
    </row>
    <row r="28" spans="1:46">
      <c r="B28" s="39"/>
      <c r="C28" s="39"/>
      <c r="D28" s="39"/>
      <c r="E28" s="39"/>
    </row>
    <row r="29" spans="1:46" s="12" customFormat="1">
      <c r="A29" s="40" t="s">
        <v>153</v>
      </c>
      <c r="B29" s="41" t="s">
        <v>154</v>
      </c>
      <c r="C29" s="42"/>
      <c r="D29" s="42"/>
      <c r="E29" s="42"/>
      <c r="G29" s="43"/>
      <c r="J29" s="59"/>
      <c r="M29" s="60"/>
      <c r="AI29" s="82"/>
    </row>
    <row r="30" spans="1:46" s="12" customFormat="1">
      <c r="A30" s="44"/>
      <c r="B30" s="45" t="s">
        <v>155</v>
      </c>
      <c r="C30" s="42"/>
      <c r="D30" s="42"/>
      <c r="E30" s="42"/>
      <c r="G30" s="43"/>
      <c r="J30" s="59"/>
      <c r="M30" s="60"/>
      <c r="AI30" s="82"/>
    </row>
    <row r="31" spans="1:46" s="12" customFormat="1">
      <c r="A31" s="41"/>
      <c r="B31" s="45" t="s">
        <v>156</v>
      </c>
      <c r="C31" s="46"/>
      <c r="D31" s="46"/>
      <c r="E31" s="46"/>
      <c r="F31" s="46"/>
      <c r="G31" s="46"/>
      <c r="H31" s="46"/>
      <c r="I31" s="46"/>
      <c r="J31" s="61"/>
      <c r="K31" s="46"/>
      <c r="L31" s="46"/>
      <c r="M31" s="62"/>
      <c r="N31" s="46"/>
      <c r="O31" s="46"/>
      <c r="P31" s="46"/>
      <c r="AI31" s="82"/>
    </row>
    <row r="32" spans="1:46" s="12" customFormat="1" ht="13.5" customHeight="1">
      <c r="A32" s="45"/>
      <c r="B32" s="45" t="s">
        <v>157</v>
      </c>
      <c r="C32" s="47"/>
      <c r="D32" s="47"/>
      <c r="E32" s="47"/>
      <c r="F32" s="47"/>
      <c r="G32" s="47"/>
      <c r="H32" s="47"/>
      <c r="I32" s="63"/>
      <c r="J32" s="64"/>
      <c r="K32" s="63"/>
      <c r="L32" s="63"/>
      <c r="M32" s="65"/>
      <c r="N32" s="63"/>
      <c r="O32" s="63"/>
      <c r="P32" s="63"/>
      <c r="AI32" s="82"/>
    </row>
    <row r="33" spans="1:35" s="12" customFormat="1" ht="13.5" customHeight="1">
      <c r="A33" s="45"/>
      <c r="B33" s="45" t="s">
        <v>158</v>
      </c>
      <c r="C33" s="47"/>
      <c r="D33" s="47"/>
      <c r="E33" s="47"/>
      <c r="F33" s="47"/>
      <c r="G33" s="47"/>
      <c r="H33" s="47"/>
      <c r="I33" s="47"/>
      <c r="J33" s="66"/>
      <c r="K33" s="47"/>
      <c r="L33" s="63"/>
      <c r="M33" s="65"/>
      <c r="N33" s="63"/>
      <c r="O33" s="63"/>
      <c r="P33" s="63"/>
      <c r="AI33" s="82"/>
    </row>
    <row r="34" spans="1:35" s="12" customFormat="1" ht="13.5" customHeight="1">
      <c r="A34" s="45"/>
      <c r="B34" s="45" t="s">
        <v>159</v>
      </c>
      <c r="C34" s="47"/>
      <c r="D34" s="47"/>
      <c r="E34" s="47"/>
      <c r="F34" s="47"/>
      <c r="G34" s="47"/>
      <c r="H34" s="47"/>
      <c r="I34" s="63"/>
      <c r="J34" s="64"/>
      <c r="K34" s="63"/>
      <c r="L34" s="63"/>
      <c r="M34" s="65"/>
      <c r="N34" s="63"/>
      <c r="O34" s="63"/>
      <c r="P34" s="63"/>
      <c r="AI34" s="82"/>
    </row>
    <row r="36" spans="1:35" ht="11.25" customHeight="1">
      <c r="B36" s="48" t="s">
        <v>160</v>
      </c>
    </row>
    <row r="37" spans="1:35">
      <c r="B37" s="49" t="s">
        <v>161</v>
      </c>
    </row>
    <row r="38" spans="1:35">
      <c r="B38" s="49" t="s">
        <v>162</v>
      </c>
    </row>
  </sheetData>
  <autoFilter ref="A3:AT22" xr:uid="{00000000-0009-0000-0000-000007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34">
    <cfRule type="duplicateValues" dxfId="48" priority="2" stopIfTrue="1"/>
  </conditionalFormatting>
  <conditionalFormatting sqref="B29:B33">
    <cfRule type="duplicateValues" dxfId="47" priority="3" stopIfTrue="1"/>
  </conditionalFormatting>
  <conditionalFormatting sqref="B37:B38">
    <cfRule type="duplicateValues" dxfId="46" priority="1" stopIfTrue="1"/>
  </conditionalFormatting>
  <conditionalFormatting sqref="C26:C28">
    <cfRule type="duplicateValues" dxfId="45" priority="4" stopIfTrue="1"/>
    <cfRule type="expression" dxfId="44" priority="5" stopIfTrue="1">
      <formula>AND(COUNTIF($B$22:$B$65458,C26)+COUNTIF($B$1:$B$3,C26)&gt;1,NOT(ISBLANK(C26)))</formula>
    </cfRule>
    <cfRule type="expression" dxfId="43" priority="6" stopIfTrue="1">
      <formula>AND(COUNTIF($B$33:$B$65409,C26)+COUNTIF($B$1:$B$32,C26)&gt;1,NOT(ISBLANK(C26)))</formula>
    </cfRule>
    <cfRule type="expression" dxfId="42" priority="7" stopIfTrue="1">
      <formula>AND(COUNTIF($B$22:$B$65447,C26)+COUNTIF($B$1:$B$3,C26)&gt;1,NOT(ISBLANK(C26)))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 pane="topRight"/>
      <selection pane="bottomLeft"/>
      <selection pane="bottomRight" activeCell="J19" sqref="J19"/>
    </sheetView>
  </sheetViews>
  <sheetFormatPr defaultColWidth="9" defaultRowHeight="14" outlineLevelCol="1"/>
  <cols>
    <col min="1" max="1" width="4.453125" style="13" customWidth="1"/>
    <col min="2" max="2" width="12.6328125" style="13" customWidth="1"/>
    <col min="3" max="3" width="10.453125" style="13" customWidth="1"/>
    <col min="4" max="4" width="8.7265625" style="13" customWidth="1"/>
    <col min="5" max="5" width="19.453125" style="14" customWidth="1"/>
    <col min="6" max="6" width="11.453125" style="13"/>
    <col min="7" max="7" width="11.90625" style="15" customWidth="1"/>
    <col min="8" max="8" width="4.6328125" style="13" hidden="1" customWidth="1"/>
    <col min="9" max="9" width="5.26953125" style="13" hidden="1" customWidth="1"/>
    <col min="10" max="10" width="11.7265625" style="16" customWidth="1"/>
    <col min="11" max="11" width="5.26953125" style="13" customWidth="1"/>
    <col min="12" max="12" width="11.7265625" style="13" customWidth="1"/>
    <col min="13" max="13" width="12.453125" style="13" customWidth="1" outlineLevel="1"/>
    <col min="14" max="15" width="9" style="13" customWidth="1" outlineLevel="1"/>
    <col min="16" max="16" width="11.08984375" style="13" customWidth="1" outlineLevel="1"/>
    <col min="17" max="17" width="9.7265625" style="13" customWidth="1"/>
    <col min="18" max="18" width="9.453125" style="13" customWidth="1"/>
    <col min="19" max="19" width="13.36328125" style="13" customWidth="1"/>
    <col min="20" max="21" width="12.26953125" style="13" customWidth="1"/>
    <col min="22" max="27" width="9" style="13" customWidth="1" outlineLevel="1"/>
    <col min="28" max="28" width="11.26953125" style="13" customWidth="1"/>
    <col min="29" max="29" width="8.453125" style="13" customWidth="1"/>
    <col min="30" max="30" width="15.26953125" style="13" customWidth="1"/>
    <col min="31" max="31" width="14" style="13" customWidth="1"/>
    <col min="32" max="32" width="10.7265625" style="13" customWidth="1"/>
    <col min="33" max="33" width="12.26953125" style="13" customWidth="1"/>
    <col min="34" max="34" width="11.453125" style="13" customWidth="1"/>
    <col min="35" max="35" width="7.90625" style="17" customWidth="1"/>
    <col min="36" max="36" width="11.453125" style="13" customWidth="1"/>
    <col min="37" max="37" width="9" style="13"/>
    <col min="38" max="38" width="11.453125" style="13" customWidth="1"/>
    <col min="39" max="40" width="9" style="13" customWidth="1"/>
    <col min="41" max="41" width="19" style="13" customWidth="1"/>
    <col min="42" max="42" width="12.26953125" style="13" customWidth="1"/>
    <col min="43" max="43" width="9" style="13"/>
    <col min="44" max="44" width="7" style="13" customWidth="1"/>
    <col min="45" max="45" width="6.7265625" style="13" customWidth="1"/>
    <col min="46" max="46" width="6.08984375" style="13" customWidth="1"/>
    <col min="47" max="16384" width="9" style="13"/>
  </cols>
  <sheetData>
    <row r="1" spans="1:46" s="8" customFormat="1" ht="29.25" customHeight="1">
      <c r="A1" s="18" t="s">
        <v>76</v>
      </c>
      <c r="B1" s="19"/>
      <c r="C1" s="20"/>
      <c r="D1" s="21"/>
      <c r="E1" s="22"/>
      <c r="F1" s="22"/>
      <c r="G1" s="23"/>
      <c r="J1" s="50"/>
      <c r="L1" s="51"/>
      <c r="M1" s="289" t="s">
        <v>77</v>
      </c>
      <c r="N1" s="289"/>
      <c r="O1" s="289"/>
      <c r="P1" s="28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51"/>
      <c r="AE1" s="51"/>
      <c r="AF1" s="51"/>
      <c r="AG1" s="51"/>
      <c r="AH1" s="51"/>
      <c r="AI1" s="76"/>
      <c r="AJ1" s="51"/>
      <c r="AK1" s="51"/>
      <c r="AL1" s="51"/>
      <c r="AM1" s="22"/>
      <c r="AN1" s="22"/>
      <c r="AO1" s="83"/>
      <c r="AP1" s="22"/>
      <c r="AQ1" s="22"/>
      <c r="AR1" s="22"/>
      <c r="AS1" s="22"/>
    </row>
    <row r="2" spans="1:46" s="9" customFormat="1" ht="20.149999999999999" customHeight="1">
      <c r="A2" s="296" t="s">
        <v>18</v>
      </c>
      <c r="B2" s="298" t="s">
        <v>78</v>
      </c>
      <c r="C2" s="300" t="s">
        <v>79</v>
      </c>
      <c r="D2" s="300" t="s">
        <v>80</v>
      </c>
      <c r="E2" s="302" t="s">
        <v>81</v>
      </c>
      <c r="F2" s="304" t="s">
        <v>82</v>
      </c>
      <c r="G2" s="302" t="s">
        <v>83</v>
      </c>
      <c r="H2" s="302" t="s">
        <v>84</v>
      </c>
      <c r="I2" s="302" t="s">
        <v>85</v>
      </c>
      <c r="J2" s="306" t="s">
        <v>86</v>
      </c>
      <c r="K2" s="302" t="s">
        <v>87</v>
      </c>
      <c r="L2" s="302" t="s">
        <v>88</v>
      </c>
      <c r="M2" s="290" t="s">
        <v>89</v>
      </c>
      <c r="N2" s="291"/>
      <c r="O2" s="291"/>
      <c r="P2" s="292"/>
      <c r="Q2" s="304" t="s">
        <v>90</v>
      </c>
      <c r="R2" s="302" t="s">
        <v>91</v>
      </c>
      <c r="S2" s="304" t="s">
        <v>92</v>
      </c>
      <c r="T2" s="308" t="s">
        <v>93</v>
      </c>
      <c r="U2" s="304" t="s">
        <v>94</v>
      </c>
      <c r="V2" s="293" t="s">
        <v>95</v>
      </c>
      <c r="W2" s="294"/>
      <c r="X2" s="294"/>
      <c r="Y2" s="294"/>
      <c r="Z2" s="294"/>
      <c r="AA2" s="295"/>
      <c r="AB2" s="304" t="s">
        <v>96</v>
      </c>
      <c r="AC2" s="304" t="s">
        <v>97</v>
      </c>
      <c r="AD2" s="308" t="s">
        <v>98</v>
      </c>
      <c r="AE2" s="308" t="s">
        <v>99</v>
      </c>
      <c r="AF2" s="308" t="s">
        <v>100</v>
      </c>
      <c r="AG2" s="308" t="s">
        <v>101</v>
      </c>
      <c r="AH2" s="310" t="s">
        <v>102</v>
      </c>
      <c r="AI2" s="312" t="s">
        <v>103</v>
      </c>
      <c r="AJ2" s="310" t="s">
        <v>104</v>
      </c>
      <c r="AK2" s="300" t="s">
        <v>55</v>
      </c>
      <c r="AL2" s="310" t="s">
        <v>105</v>
      </c>
      <c r="AM2" s="302" t="s">
        <v>106</v>
      </c>
      <c r="AN2" s="302" t="s">
        <v>107</v>
      </c>
      <c r="AO2" s="314" t="s">
        <v>108</v>
      </c>
      <c r="AP2" s="302" t="s">
        <v>109</v>
      </c>
      <c r="AQ2" s="302" t="s">
        <v>110</v>
      </c>
      <c r="AR2" s="304" t="s">
        <v>111</v>
      </c>
      <c r="AS2" s="304" t="s">
        <v>112</v>
      </c>
      <c r="AT2" s="304" t="s">
        <v>113</v>
      </c>
    </row>
    <row r="3" spans="1:46" s="9" customFormat="1" ht="27" customHeight="1">
      <c r="A3" s="297"/>
      <c r="B3" s="299"/>
      <c r="C3" s="301"/>
      <c r="D3" s="301"/>
      <c r="E3" s="303"/>
      <c r="F3" s="305"/>
      <c r="G3" s="303"/>
      <c r="H3" s="303"/>
      <c r="I3" s="303"/>
      <c r="J3" s="307"/>
      <c r="K3" s="303"/>
      <c r="L3" s="303"/>
      <c r="M3" s="52" t="s">
        <v>114</v>
      </c>
      <c r="N3" s="52" t="s">
        <v>115</v>
      </c>
      <c r="O3" s="52" t="s">
        <v>116</v>
      </c>
      <c r="P3" s="52" t="s">
        <v>68</v>
      </c>
      <c r="Q3" s="305"/>
      <c r="R3" s="303"/>
      <c r="S3" s="305"/>
      <c r="T3" s="309"/>
      <c r="U3" s="305"/>
      <c r="V3" s="68" t="s">
        <v>117</v>
      </c>
      <c r="W3" s="68" t="s">
        <v>118</v>
      </c>
      <c r="X3" s="68" t="s">
        <v>119</v>
      </c>
      <c r="Y3" s="68" t="s">
        <v>120</v>
      </c>
      <c r="Z3" s="68" t="s">
        <v>121</v>
      </c>
      <c r="AA3" s="68" t="s">
        <v>122</v>
      </c>
      <c r="AB3" s="305"/>
      <c r="AC3" s="305"/>
      <c r="AD3" s="309"/>
      <c r="AE3" s="309"/>
      <c r="AF3" s="309"/>
      <c r="AG3" s="309"/>
      <c r="AH3" s="311"/>
      <c r="AI3" s="313"/>
      <c r="AJ3" s="311"/>
      <c r="AK3" s="301"/>
      <c r="AL3" s="311"/>
      <c r="AM3" s="303"/>
      <c r="AN3" s="303"/>
      <c r="AO3" s="315"/>
      <c r="AP3" s="303"/>
      <c r="AQ3" s="303"/>
      <c r="AR3" s="305"/>
      <c r="AS3" s="305"/>
      <c r="AT3" s="305"/>
    </row>
    <row r="4" spans="1:46" s="10" customFormat="1" ht="18" customHeight="1">
      <c r="A4" s="24">
        <v>1</v>
      </c>
      <c r="B4" s="25" t="s">
        <v>123</v>
      </c>
      <c r="C4" s="25" t="s">
        <v>135</v>
      </c>
      <c r="D4" s="25" t="s">
        <v>125</v>
      </c>
      <c r="E4" s="25" t="s">
        <v>136</v>
      </c>
      <c r="F4" s="26" t="s">
        <v>203</v>
      </c>
      <c r="G4" s="27">
        <v>15652649555</v>
      </c>
      <c r="H4" s="28"/>
      <c r="I4" s="28"/>
      <c r="J4" s="86"/>
      <c r="K4" s="28"/>
      <c r="L4" s="54">
        <v>11500</v>
      </c>
      <c r="M4" s="55">
        <v>428.8</v>
      </c>
      <c r="N4" s="55">
        <v>110.2</v>
      </c>
      <c r="O4" s="55">
        <v>26.8</v>
      </c>
      <c r="P4" s="55">
        <v>444</v>
      </c>
      <c r="Q4" s="69">
        <f>ROUND(SUM(M4:P4),2)</f>
        <v>1009.8</v>
      </c>
      <c r="R4" s="54">
        <v>0</v>
      </c>
      <c r="S4" s="70">
        <f>L4+IFERROR(VLOOKUP($E:$E,'（居民）工资表-5月'!$E:$S,15,0),0)</f>
        <v>66534.482758620696</v>
      </c>
      <c r="T4" s="71">
        <f>5000+IFERROR(VLOOKUP($E:$E,'（居民）工资表-5月'!$E:$T,16,0),0)</f>
        <v>30000</v>
      </c>
      <c r="U4" s="71">
        <f>Q4+IFERROR(VLOOKUP($E:$E,'（居民）工资表-5月'!$E:$U,17,0),0)</f>
        <v>6058.8</v>
      </c>
      <c r="V4" s="54">
        <v>0</v>
      </c>
      <c r="W4" s="54">
        <v>0</v>
      </c>
      <c r="X4" s="54">
        <v>0</v>
      </c>
      <c r="Y4" s="54">
        <v>0</v>
      </c>
      <c r="Z4" s="54">
        <v>0</v>
      </c>
      <c r="AA4" s="54"/>
      <c r="AB4" s="70">
        <f>ROUND(SUM(V4:AA4),2)</f>
        <v>0</v>
      </c>
      <c r="AC4" s="70">
        <f>R4+IFERROR(VLOOKUP($E:$E,'（居民）工资表-5月'!$E:$AC,25,0),0)</f>
        <v>0</v>
      </c>
      <c r="AD4" s="72">
        <f>ROUND(S4-T4-U4-AB4-AC4,2)</f>
        <v>30475.68</v>
      </c>
      <c r="AE4" s="73">
        <f>ROUND(MAX((AD4)*{0.03;0.1;0.2;0.25;0.3;0.35;0.45}-{0;2520;16920;31920;52920;85920;181920},0),2)</f>
        <v>914.27</v>
      </c>
      <c r="AF4" s="74">
        <f>IFERROR(VLOOKUP(E:E,'（居民）工资表-5月'!E:AF,28,0)+VLOOKUP(E:E,'（居民）工资表-5月'!E:AG,29,0),0)</f>
        <v>749.56</v>
      </c>
      <c r="AG4" s="74">
        <f>IF((AE4-AF4)&lt;0,0,AE4-AF4)</f>
        <v>164.71000000000004</v>
      </c>
      <c r="AH4" s="77">
        <f>ROUND(IF((L4-Q4-AG4)&lt;0,0,(L4-Q4-AG4)),2)</f>
        <v>10325.49</v>
      </c>
      <c r="AI4" s="78"/>
      <c r="AJ4" s="77">
        <f>AH4+AI4</f>
        <v>10325.49</v>
      </c>
      <c r="AK4" s="79"/>
      <c r="AL4" s="77">
        <f>AJ4+AG4+AK4</f>
        <v>10490.2</v>
      </c>
      <c r="AM4" s="79"/>
      <c r="AN4" s="79"/>
      <c r="AO4" s="79"/>
      <c r="AP4" s="79"/>
      <c r="AQ4" s="79"/>
      <c r="AR4" s="84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4" t="str">
        <f>IF(SUMPRODUCT(N(E$1:E$15=E4))&gt;1,"重复","不")</f>
        <v>不</v>
      </c>
      <c r="AT4" s="84" t="str">
        <f>IF(SUMPRODUCT(N(AO$1:AO$15=AO4))&gt;1,"重复","不")</f>
        <v>重复</v>
      </c>
    </row>
    <row r="5" spans="1:46" s="10" customFormat="1" ht="18" customHeight="1">
      <c r="A5" s="24">
        <v>2</v>
      </c>
      <c r="B5" s="25" t="s">
        <v>123</v>
      </c>
      <c r="C5" s="25" t="s">
        <v>137</v>
      </c>
      <c r="D5" s="25" t="s">
        <v>125</v>
      </c>
      <c r="E5" s="219" t="s">
        <v>138</v>
      </c>
      <c r="F5" s="26" t="s">
        <v>203</v>
      </c>
      <c r="G5" s="27">
        <v>17611149839</v>
      </c>
      <c r="H5" s="28"/>
      <c r="I5" s="28"/>
      <c r="J5" s="86"/>
      <c r="K5" s="28"/>
      <c r="L5" s="54">
        <v>12900</v>
      </c>
      <c r="M5" s="55">
        <v>428.8</v>
      </c>
      <c r="N5" s="55">
        <v>110.2</v>
      </c>
      <c r="O5" s="55">
        <v>26.8</v>
      </c>
      <c r="P5" s="55">
        <v>444</v>
      </c>
      <c r="Q5" s="69">
        <f t="shared" ref="Q5:Q13" si="0">ROUND(SUM(M5:P5),2)</f>
        <v>1009.8</v>
      </c>
      <c r="R5" s="54">
        <v>0</v>
      </c>
      <c r="S5" s="70">
        <f>L5+IFERROR(VLOOKUP($E:$E,'（居民）工资表-5月'!$E:$S,15,0),0)</f>
        <v>63381.379310344797</v>
      </c>
      <c r="T5" s="71">
        <f>5000+IFERROR(VLOOKUP($E:$E,'（居民）工资表-5月'!$E:$T,16,0),0)</f>
        <v>30000</v>
      </c>
      <c r="U5" s="71">
        <f>Q5+IFERROR(VLOOKUP($E:$E,'（居民）工资表-5月'!$E:$U,17,0),0)</f>
        <v>6058.8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/>
      <c r="AB5" s="70">
        <f t="shared" ref="AB5:AB13" si="1">ROUND(SUM(V5:AA5),2)</f>
        <v>0</v>
      </c>
      <c r="AC5" s="70">
        <f>R5+IFERROR(VLOOKUP($E:$E,'（居民）工资表-5月'!$E:$AC,25,0),0)</f>
        <v>0</v>
      </c>
      <c r="AD5" s="72">
        <f t="shared" ref="AD5:AD13" si="2">ROUND(S5-T5-U5-AB5-AC5,2)</f>
        <v>27322.58</v>
      </c>
      <c r="AE5" s="73">
        <f>ROUND(MAX((AD5)*{0.03;0.1;0.2;0.25;0.3;0.35;0.45}-{0;2520;16920;31920;52920;85920;181920},0),2)</f>
        <v>819.68</v>
      </c>
      <c r="AF5" s="74">
        <f>IFERROR(VLOOKUP(E:E,'（居民）工资表-5月'!E:AF,28,0)+VLOOKUP(E:E,'（居民）工资表-5月'!E:AG,29,0),0)</f>
        <v>612.97</v>
      </c>
      <c r="AG5" s="74">
        <f t="shared" ref="AG5:AG13" si="3">IF((AE5-AF5)&lt;0,0,AE5-AF5)</f>
        <v>206.70999999999992</v>
      </c>
      <c r="AH5" s="77">
        <f t="shared" ref="AH5:AH13" si="4">ROUND(IF((L5-Q5-AG5)&lt;0,0,(L5-Q5-AG5)),2)</f>
        <v>11683.49</v>
      </c>
      <c r="AI5" s="78"/>
      <c r="AJ5" s="77">
        <f t="shared" ref="AJ5:AJ13" si="5">AH5+AI5</f>
        <v>11683.49</v>
      </c>
      <c r="AK5" s="79"/>
      <c r="AL5" s="77">
        <f t="shared" ref="AL5:AL13" si="6">AJ5+AG5+AK5</f>
        <v>11890.199999999999</v>
      </c>
      <c r="AM5" s="79"/>
      <c r="AN5" s="79"/>
      <c r="AO5" s="79"/>
      <c r="AP5" s="79"/>
      <c r="AQ5" s="79"/>
      <c r="AR5" s="84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4" t="str">
        <f t="shared" ref="AS5:AS12" si="8">IF(SUMPRODUCT(N(E$1:E$15=E5))&gt;1,"重复","不")</f>
        <v>不</v>
      </c>
      <c r="AT5" s="84" t="str">
        <f t="shared" ref="AT5:AT12" si="9">IF(SUMPRODUCT(N(AO$1:AO$15=AO5))&gt;1,"重复","不")</f>
        <v>重复</v>
      </c>
    </row>
    <row r="6" spans="1:46" s="10" customFormat="1" ht="18" customHeight="1">
      <c r="A6" s="24">
        <v>3</v>
      </c>
      <c r="B6" s="25" t="s">
        <v>123</v>
      </c>
      <c r="C6" s="25" t="s">
        <v>139</v>
      </c>
      <c r="D6" s="25" t="s">
        <v>125</v>
      </c>
      <c r="E6" s="219" t="s">
        <v>140</v>
      </c>
      <c r="F6" s="26" t="s">
        <v>203</v>
      </c>
      <c r="G6" s="27">
        <v>13596154643</v>
      </c>
      <c r="H6" s="28"/>
      <c r="I6" s="28"/>
      <c r="J6" s="86"/>
      <c r="K6" s="28"/>
      <c r="L6" s="54">
        <v>10921.2643678161</v>
      </c>
      <c r="M6" s="55">
        <v>428.8</v>
      </c>
      <c r="N6" s="55">
        <v>110.2</v>
      </c>
      <c r="O6" s="55">
        <v>26.8</v>
      </c>
      <c r="P6" s="55">
        <v>444</v>
      </c>
      <c r="Q6" s="69">
        <f t="shared" si="0"/>
        <v>1009.8</v>
      </c>
      <c r="R6" s="54">
        <v>0</v>
      </c>
      <c r="S6" s="70">
        <f>L6+IFERROR(VLOOKUP($E:$E,'（居民）工资表-5月'!$E:$S,15,0),0)</f>
        <v>65985.747126436792</v>
      </c>
      <c r="T6" s="71">
        <f>5000+IFERROR(VLOOKUP($E:$E,'（居民）工资表-5月'!$E:$T,16,0),0)</f>
        <v>30000</v>
      </c>
      <c r="U6" s="71">
        <f>Q6+IFERROR(VLOOKUP($E:$E,'（居民）工资表-5月'!$E:$U,17,0),0)</f>
        <v>6058.8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/>
      <c r="AB6" s="70">
        <f t="shared" si="1"/>
        <v>0</v>
      </c>
      <c r="AC6" s="70">
        <f>R6+IFERROR(VLOOKUP($E:$E,'（居民）工资表-5月'!$E:$AC,25,0),0)</f>
        <v>0</v>
      </c>
      <c r="AD6" s="72">
        <f t="shared" si="2"/>
        <v>29926.95</v>
      </c>
      <c r="AE6" s="73">
        <f>ROUND(MAX((AD6)*{0.03;0.1;0.2;0.25;0.3;0.35;0.45}-{0;2520;16920;31920;52920;85920;181920},0),2)</f>
        <v>897.81</v>
      </c>
      <c r="AF6" s="74">
        <f>IFERROR(VLOOKUP(E:E,'（居民）工资表-5月'!E:AF,28,0)+VLOOKUP(E:E,'（居民）工资表-5月'!E:AG,29,0),0)</f>
        <v>750.46</v>
      </c>
      <c r="AG6" s="74">
        <f t="shared" si="3"/>
        <v>147.34999999999991</v>
      </c>
      <c r="AH6" s="77">
        <f t="shared" si="4"/>
        <v>9764.11</v>
      </c>
      <c r="AI6" s="78"/>
      <c r="AJ6" s="77">
        <f t="shared" si="5"/>
        <v>9764.11</v>
      </c>
      <c r="AK6" s="79"/>
      <c r="AL6" s="77">
        <f t="shared" si="6"/>
        <v>9911.4600000000009</v>
      </c>
      <c r="AM6" s="79"/>
      <c r="AN6" s="79"/>
      <c r="AO6" s="79"/>
      <c r="AP6" s="79"/>
      <c r="AQ6" s="79"/>
      <c r="AR6" s="84" t="str">
        <f t="shared" si="7"/>
        <v>正确</v>
      </c>
      <c r="AS6" s="84" t="str">
        <f t="shared" si="8"/>
        <v>不</v>
      </c>
      <c r="AT6" s="84" t="str">
        <f t="shared" si="9"/>
        <v>重复</v>
      </c>
    </row>
    <row r="7" spans="1:46" s="10" customFormat="1" ht="18" customHeight="1">
      <c r="A7" s="24">
        <v>4</v>
      </c>
      <c r="B7" s="25" t="s">
        <v>123</v>
      </c>
      <c r="C7" s="25" t="s">
        <v>143</v>
      </c>
      <c r="D7" s="25" t="s">
        <v>125</v>
      </c>
      <c r="E7" s="219" t="s">
        <v>144</v>
      </c>
      <c r="F7" s="26" t="s">
        <v>203</v>
      </c>
      <c r="G7" s="27">
        <v>13626366929</v>
      </c>
      <c r="H7" s="28"/>
      <c r="I7" s="28"/>
      <c r="J7" s="86"/>
      <c r="K7" s="28"/>
      <c r="L7" s="54">
        <v>10258.620689655199</v>
      </c>
      <c r="M7" s="55">
        <v>428.8</v>
      </c>
      <c r="N7" s="55">
        <v>110.2</v>
      </c>
      <c r="O7" s="55">
        <v>26.8</v>
      </c>
      <c r="P7" s="55">
        <v>444</v>
      </c>
      <c r="Q7" s="69">
        <f t="shared" si="0"/>
        <v>1009.8</v>
      </c>
      <c r="R7" s="54">
        <v>0</v>
      </c>
      <c r="S7" s="70">
        <f>L7+IFERROR(VLOOKUP($E:$E,'（居民）工资表-5月'!$E:$S,15,0),0)</f>
        <v>84748.620689655203</v>
      </c>
      <c r="T7" s="71">
        <f>5000+IFERROR(VLOOKUP($E:$E,'（居民）工资表-5月'!$E:$T,16,0),0)</f>
        <v>30000</v>
      </c>
      <c r="U7" s="71">
        <f>Q7+IFERROR(VLOOKUP($E:$E,'（居民）工资表-5月'!$E:$U,17,0),0)</f>
        <v>6058.8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/>
      <c r="AB7" s="70">
        <f t="shared" si="1"/>
        <v>0</v>
      </c>
      <c r="AC7" s="70">
        <f>R7+IFERROR(VLOOKUP($E:$E,'（居民）工资表-5月'!$E:$AC,25,0),0)</f>
        <v>0</v>
      </c>
      <c r="AD7" s="72">
        <f t="shared" si="2"/>
        <v>48689.82</v>
      </c>
      <c r="AE7" s="73">
        <f>ROUND(MAX((AD7)*{0.03;0.1;0.2;0.25;0.3;0.35;0.45}-{0;2520;16920;31920;52920;85920;181920},0),2)</f>
        <v>2348.98</v>
      </c>
      <c r="AF7" s="74">
        <f>IFERROR(VLOOKUP(E:E,'（居民）工资表-5月'!E:AF,28,0)+VLOOKUP(E:E,'（居民）工资表-5月'!E:AG,29,0),0)</f>
        <v>1924.1</v>
      </c>
      <c r="AG7" s="74">
        <f t="shared" si="3"/>
        <v>424.88000000000011</v>
      </c>
      <c r="AH7" s="77">
        <f t="shared" si="4"/>
        <v>8823.94</v>
      </c>
      <c r="AI7" s="78"/>
      <c r="AJ7" s="77">
        <f t="shared" si="5"/>
        <v>8823.94</v>
      </c>
      <c r="AK7" s="79"/>
      <c r="AL7" s="77">
        <f t="shared" si="6"/>
        <v>9248.82</v>
      </c>
      <c r="AM7" s="79"/>
      <c r="AN7" s="79"/>
      <c r="AO7" s="79"/>
      <c r="AP7" s="79"/>
      <c r="AQ7" s="79"/>
      <c r="AR7" s="84" t="str">
        <f t="shared" si="7"/>
        <v>正确</v>
      </c>
      <c r="AS7" s="84" t="str">
        <f t="shared" si="8"/>
        <v>不</v>
      </c>
      <c r="AT7" s="84" t="str">
        <f t="shared" si="9"/>
        <v>重复</v>
      </c>
    </row>
    <row r="8" spans="1:46" s="10" customFormat="1" ht="18" customHeight="1">
      <c r="A8" s="24">
        <v>5</v>
      </c>
      <c r="B8" s="25" t="s">
        <v>123</v>
      </c>
      <c r="C8" s="25" t="s">
        <v>147</v>
      </c>
      <c r="D8" s="25" t="s">
        <v>125</v>
      </c>
      <c r="E8" s="219" t="s">
        <v>148</v>
      </c>
      <c r="F8" s="26" t="s">
        <v>200</v>
      </c>
      <c r="G8" s="27">
        <v>18674014622</v>
      </c>
      <c r="H8" s="28"/>
      <c r="I8" s="28"/>
      <c r="J8" s="86"/>
      <c r="K8" s="28"/>
      <c r="L8" s="54">
        <v>10000</v>
      </c>
      <c r="M8" s="55">
        <v>428.8</v>
      </c>
      <c r="N8" s="55">
        <v>110.2</v>
      </c>
      <c r="O8" s="55">
        <v>26.8</v>
      </c>
      <c r="P8" s="55">
        <v>600</v>
      </c>
      <c r="Q8" s="69">
        <f t="shared" si="0"/>
        <v>1165.8</v>
      </c>
      <c r="R8" s="54">
        <v>0</v>
      </c>
      <c r="S8" s="70">
        <f>L8+IFERROR(VLOOKUP($E:$E,'（居民）工资表-5月'!$E:$S,15,0),0)</f>
        <v>58275.862068965522</v>
      </c>
      <c r="T8" s="71">
        <f>5000+IFERROR(VLOOKUP($E:$E,'（居民）工资表-5月'!$E:$T,16,0),0)</f>
        <v>30000</v>
      </c>
      <c r="U8" s="71">
        <f>Q8+IFERROR(VLOOKUP($E:$E,'（居民）工资表-5月'!$E:$U,17,0),0)</f>
        <v>6994.8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/>
      <c r="AB8" s="70">
        <f t="shared" si="1"/>
        <v>0</v>
      </c>
      <c r="AC8" s="70">
        <f>R8+IFERROR(VLOOKUP($E:$E,'（居民）工资表-5月'!$E:$AC,25,0),0)</f>
        <v>0</v>
      </c>
      <c r="AD8" s="72">
        <f t="shared" si="2"/>
        <v>21281.06</v>
      </c>
      <c r="AE8" s="73">
        <f>ROUND(MAX((AD8)*{0.03;0.1;0.2;0.25;0.3;0.35;0.45}-{0;2520;16920;31920;52920;85920;181920},0),2)</f>
        <v>638.42999999999995</v>
      </c>
      <c r="AF8" s="74">
        <f>IFERROR(VLOOKUP(E:E,'（居民）工资表-5月'!E:AF,28,0)+VLOOKUP(E:E,'（居民）工资表-5月'!E:AG,29,0),0)</f>
        <v>523.41</v>
      </c>
      <c r="AG8" s="74">
        <f t="shared" si="3"/>
        <v>115.01999999999998</v>
      </c>
      <c r="AH8" s="77">
        <f t="shared" si="4"/>
        <v>8719.18</v>
      </c>
      <c r="AI8" s="78"/>
      <c r="AJ8" s="77">
        <f t="shared" si="5"/>
        <v>8719.18</v>
      </c>
      <c r="AK8" s="79"/>
      <c r="AL8" s="77">
        <f t="shared" si="6"/>
        <v>8834.2000000000007</v>
      </c>
      <c r="AM8" s="79"/>
      <c r="AN8" s="79"/>
      <c r="AO8" s="79"/>
      <c r="AP8" s="79"/>
      <c r="AQ8" s="79"/>
      <c r="AR8" s="84" t="str">
        <f t="shared" si="7"/>
        <v>正确</v>
      </c>
      <c r="AS8" s="84" t="str">
        <f t="shared" si="8"/>
        <v>不</v>
      </c>
      <c r="AT8" s="84" t="str">
        <f t="shared" si="9"/>
        <v>重复</v>
      </c>
    </row>
    <row r="9" spans="1:46" s="10" customFormat="1" ht="18" customHeight="1">
      <c r="A9" s="24">
        <v>6</v>
      </c>
      <c r="B9" s="25" t="s">
        <v>123</v>
      </c>
      <c r="C9" s="25" t="s">
        <v>149</v>
      </c>
      <c r="D9" s="25" t="s">
        <v>125</v>
      </c>
      <c r="E9" s="219" t="s">
        <v>150</v>
      </c>
      <c r="F9" s="26" t="s">
        <v>200</v>
      </c>
      <c r="G9" s="27">
        <v>15145001723</v>
      </c>
      <c r="H9" s="28"/>
      <c r="I9" s="28"/>
      <c r="J9" s="86"/>
      <c r="K9" s="28"/>
      <c r="L9" s="54">
        <v>10000</v>
      </c>
      <c r="M9" s="55">
        <v>428.8</v>
      </c>
      <c r="N9" s="55">
        <v>110.2</v>
      </c>
      <c r="O9" s="55">
        <v>26.8</v>
      </c>
      <c r="P9" s="55">
        <v>444</v>
      </c>
      <c r="Q9" s="69">
        <f t="shared" si="0"/>
        <v>1009.8</v>
      </c>
      <c r="R9" s="54">
        <v>0</v>
      </c>
      <c r="S9" s="70">
        <f>L9+IFERROR(VLOOKUP($E:$E,'（居民）工资表-5月'!$E:$S,15,0),0)</f>
        <v>52758.620689655174</v>
      </c>
      <c r="T9" s="71">
        <f>5000+IFERROR(VLOOKUP($E:$E,'（居民）工资表-5月'!$E:$T,16,0),0)</f>
        <v>30000</v>
      </c>
      <c r="U9" s="71">
        <f>Q9+IFERROR(VLOOKUP($E:$E,'（居民）工资表-5月'!$E:$U,17,0),0)</f>
        <v>5049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/>
      <c r="AB9" s="70">
        <f t="shared" si="1"/>
        <v>0</v>
      </c>
      <c r="AC9" s="70">
        <f>R9+IFERROR(VLOOKUP($E:$E,'（居民）工资表-5月'!$E:$AC,25,0),0)</f>
        <v>0</v>
      </c>
      <c r="AD9" s="72">
        <f t="shared" si="2"/>
        <v>17709.62</v>
      </c>
      <c r="AE9" s="73">
        <f>ROUND(MAX((AD9)*{0.03;0.1;0.2;0.25;0.3;0.35;0.45}-{0;2520;16920;31920;52920;85920;181920},0),2)</f>
        <v>531.29</v>
      </c>
      <c r="AF9" s="74">
        <f>IFERROR(VLOOKUP(E:E,'（居民）工资表-5月'!E:AF,28,0)+VLOOKUP(E:E,'（居民）工资表-5月'!E:AG,29,0),0)</f>
        <v>411.58</v>
      </c>
      <c r="AG9" s="74">
        <f t="shared" si="3"/>
        <v>119.70999999999998</v>
      </c>
      <c r="AH9" s="77">
        <f t="shared" si="4"/>
        <v>8870.49</v>
      </c>
      <c r="AI9" s="78"/>
      <c r="AJ9" s="77">
        <f t="shared" si="5"/>
        <v>8870.49</v>
      </c>
      <c r="AK9" s="79"/>
      <c r="AL9" s="77">
        <f t="shared" si="6"/>
        <v>8990.1999999999989</v>
      </c>
      <c r="AM9" s="79"/>
      <c r="AN9" s="79"/>
      <c r="AO9" s="79"/>
      <c r="AP9" s="79"/>
      <c r="AQ9" s="79"/>
      <c r="AR9" s="84" t="str">
        <f t="shared" si="7"/>
        <v>正确</v>
      </c>
      <c r="AS9" s="84" t="str">
        <f t="shared" si="8"/>
        <v>不</v>
      </c>
      <c r="AT9" s="84" t="str">
        <f t="shared" si="9"/>
        <v>重复</v>
      </c>
    </row>
    <row r="10" spans="1:46" s="10" customFormat="1" ht="18" customHeight="1">
      <c r="A10" s="24">
        <v>7</v>
      </c>
      <c r="B10" s="25" t="s">
        <v>123</v>
      </c>
      <c r="C10" s="25" t="s">
        <v>165</v>
      </c>
      <c r="D10" s="25" t="s">
        <v>125</v>
      </c>
      <c r="E10" s="219" t="s">
        <v>166</v>
      </c>
      <c r="F10" s="26" t="s">
        <v>200</v>
      </c>
      <c r="G10" s="27">
        <v>18745463721</v>
      </c>
      <c r="H10" s="28"/>
      <c r="I10" s="28"/>
      <c r="J10" s="86"/>
      <c r="K10" s="28"/>
      <c r="L10" s="54">
        <v>9482.7586206896594</v>
      </c>
      <c r="M10" s="55">
        <v>428.8</v>
      </c>
      <c r="N10" s="55">
        <v>110.2</v>
      </c>
      <c r="O10" s="55">
        <v>26.8</v>
      </c>
      <c r="P10" s="55">
        <v>444</v>
      </c>
      <c r="Q10" s="69">
        <f t="shared" si="0"/>
        <v>1009.8</v>
      </c>
      <c r="R10" s="54">
        <v>0</v>
      </c>
      <c r="S10" s="70">
        <f>L10+IFERROR(VLOOKUP($E:$E,'（居民）工资表-5月'!$E:$S,15,0),0)</f>
        <v>48045.977011494273</v>
      </c>
      <c r="T10" s="71">
        <f>5000+IFERROR(VLOOKUP($E:$E,'（居民）工资表-5月'!$E:$T,16,0),0)</f>
        <v>25000</v>
      </c>
      <c r="U10" s="71">
        <f>Q10+IFERROR(VLOOKUP($E:$E,'（居民）工资表-5月'!$E:$U,17,0),0)</f>
        <v>5049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/>
      <c r="AB10" s="70">
        <f t="shared" si="1"/>
        <v>0</v>
      </c>
      <c r="AC10" s="70">
        <f>R10+IFERROR(VLOOKUP($E:$E,'（居民）工资表-5月'!$E:$AC,25,0),0)</f>
        <v>0</v>
      </c>
      <c r="AD10" s="72">
        <f t="shared" si="2"/>
        <v>17996.98</v>
      </c>
      <c r="AE10" s="73">
        <f>ROUND(MAX((AD10)*{0.03;0.1;0.2;0.25;0.3;0.35;0.45}-{0;2520;16920;31920;52920;85920;181920},0),2)</f>
        <v>539.91</v>
      </c>
      <c r="AF10" s="74">
        <f>IFERROR(VLOOKUP(E:E,'（居民）工资表-5月'!E:AF,28,0)+VLOOKUP(E:E,'（居民）工资表-5月'!E:AG,29,0),0)</f>
        <v>435.72</v>
      </c>
      <c r="AG10" s="74">
        <f t="shared" si="3"/>
        <v>104.18999999999994</v>
      </c>
      <c r="AH10" s="77">
        <f t="shared" si="4"/>
        <v>8368.77</v>
      </c>
      <c r="AI10" s="78"/>
      <c r="AJ10" s="77">
        <f t="shared" si="5"/>
        <v>8368.77</v>
      </c>
      <c r="AK10" s="79"/>
      <c r="AL10" s="77">
        <f t="shared" si="6"/>
        <v>8472.9600000000009</v>
      </c>
      <c r="AM10" s="79"/>
      <c r="AN10" s="79"/>
      <c r="AO10" s="79"/>
      <c r="AP10" s="79"/>
      <c r="AQ10" s="79"/>
      <c r="AR10" s="84" t="str">
        <f t="shared" si="7"/>
        <v>正确</v>
      </c>
      <c r="AS10" s="84" t="str">
        <f t="shared" si="8"/>
        <v>不</v>
      </c>
      <c r="AT10" s="84" t="str">
        <f t="shared" si="9"/>
        <v>重复</v>
      </c>
    </row>
    <row r="11" spans="1:46" s="10" customFormat="1" ht="18" customHeight="1">
      <c r="A11" s="24">
        <v>8</v>
      </c>
      <c r="B11" s="25" t="s">
        <v>123</v>
      </c>
      <c r="C11" s="25" t="s">
        <v>167</v>
      </c>
      <c r="D11" s="25" t="s">
        <v>125</v>
      </c>
      <c r="E11" s="219" t="s">
        <v>168</v>
      </c>
      <c r="F11" s="26" t="s">
        <v>200</v>
      </c>
      <c r="G11" s="27">
        <v>18935711299</v>
      </c>
      <c r="H11" s="28"/>
      <c r="I11" s="28"/>
      <c r="J11" s="86"/>
      <c r="K11" s="28"/>
      <c r="L11" s="54">
        <v>10747.1264367816</v>
      </c>
      <c r="M11" s="55">
        <v>428.8</v>
      </c>
      <c r="N11" s="55">
        <v>110.2</v>
      </c>
      <c r="O11" s="55">
        <v>26.8</v>
      </c>
      <c r="P11" s="55">
        <v>444</v>
      </c>
      <c r="Q11" s="69">
        <f t="shared" si="0"/>
        <v>1009.8</v>
      </c>
      <c r="R11" s="54">
        <v>0</v>
      </c>
      <c r="S11" s="70">
        <f>L11+IFERROR(VLOOKUP($E:$E,'（居民）工资表-5月'!$E:$S,15,0),0)</f>
        <v>53361.379310344797</v>
      </c>
      <c r="T11" s="71">
        <f>5000+IFERROR(VLOOKUP($E:$E,'（居民）工资表-5月'!$E:$T,16,0),0)</f>
        <v>25000</v>
      </c>
      <c r="U11" s="71">
        <f>Q11+IFERROR(VLOOKUP($E:$E,'（居民）工资表-5月'!$E:$U,17,0),0)</f>
        <v>5049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/>
      <c r="AB11" s="70">
        <f t="shared" si="1"/>
        <v>0</v>
      </c>
      <c r="AC11" s="70">
        <f>R11+IFERROR(VLOOKUP($E:$E,'（居民）工资表-5月'!$E:$AC,25,0),0)</f>
        <v>0</v>
      </c>
      <c r="AD11" s="72">
        <f t="shared" si="2"/>
        <v>23312.38</v>
      </c>
      <c r="AE11" s="73">
        <f>ROUND(MAX((AD11)*{0.03;0.1;0.2;0.25;0.3;0.35;0.45}-{0;2520;16920;31920;52920;85920;181920},0),2)</f>
        <v>699.37</v>
      </c>
      <c r="AF11" s="74">
        <f>IFERROR(VLOOKUP(E:E,'（居民）工资表-5月'!E:AF,28,0)+VLOOKUP(E:E,'（居民）工资表-5月'!E:AG,29,0),0)</f>
        <v>557.25</v>
      </c>
      <c r="AG11" s="74">
        <f t="shared" si="3"/>
        <v>142.12</v>
      </c>
      <c r="AH11" s="77">
        <f t="shared" si="4"/>
        <v>9595.2099999999991</v>
      </c>
      <c r="AI11" s="78"/>
      <c r="AJ11" s="77">
        <f t="shared" si="5"/>
        <v>9595.2099999999991</v>
      </c>
      <c r="AK11" s="79"/>
      <c r="AL11" s="77">
        <f t="shared" si="6"/>
        <v>9737.33</v>
      </c>
      <c r="AM11" s="79"/>
      <c r="AN11" s="79"/>
      <c r="AO11" s="79"/>
      <c r="AP11" s="79"/>
      <c r="AQ11" s="79"/>
      <c r="AR11" s="84" t="str">
        <f t="shared" si="7"/>
        <v>正确</v>
      </c>
      <c r="AS11" s="84" t="str">
        <f t="shared" si="8"/>
        <v>不</v>
      </c>
      <c r="AT11" s="84" t="str">
        <f t="shared" si="9"/>
        <v>重复</v>
      </c>
    </row>
    <row r="12" spans="1:46" s="10" customFormat="1" ht="18" customHeight="1">
      <c r="A12" s="24">
        <v>9</v>
      </c>
      <c r="B12" s="25" t="s">
        <v>123</v>
      </c>
      <c r="C12" s="25" t="s">
        <v>169</v>
      </c>
      <c r="D12" s="25" t="s">
        <v>125</v>
      </c>
      <c r="E12" s="219" t="s">
        <v>170</v>
      </c>
      <c r="F12" s="26" t="s">
        <v>200</v>
      </c>
      <c r="G12" s="27">
        <v>13301242552</v>
      </c>
      <c r="H12" s="28"/>
      <c r="I12" s="28"/>
      <c r="J12" s="86"/>
      <c r="K12" s="28"/>
      <c r="L12" s="54">
        <v>14000</v>
      </c>
      <c r="M12" s="55">
        <v>640</v>
      </c>
      <c r="N12" s="55">
        <v>163</v>
      </c>
      <c r="O12" s="55">
        <v>40</v>
      </c>
      <c r="P12" s="55">
        <v>960</v>
      </c>
      <c r="Q12" s="69">
        <f t="shared" si="0"/>
        <v>1803</v>
      </c>
      <c r="R12" s="54">
        <v>0</v>
      </c>
      <c r="S12" s="70">
        <f>L12+IFERROR(VLOOKUP($E:$E,'（居民）工资表-5月'!$E:$S,15,0),0)</f>
        <v>69000</v>
      </c>
      <c r="T12" s="71">
        <f>5000+IFERROR(VLOOKUP($E:$E,'（居民）工资表-5月'!$E:$T,16,0),0)</f>
        <v>20000</v>
      </c>
      <c r="U12" s="71">
        <f>Q12+IFERROR(VLOOKUP($E:$E,'（居民）工资表-5月'!$E:$U,17,0),0)</f>
        <v>7212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/>
      <c r="AB12" s="70">
        <f t="shared" si="1"/>
        <v>0</v>
      </c>
      <c r="AC12" s="70">
        <f>R12+IFERROR(VLOOKUP($E:$E,'（居民）工资表-5月'!$E:$AC,25,0),0)</f>
        <v>0</v>
      </c>
      <c r="AD12" s="72">
        <f t="shared" si="2"/>
        <v>41788</v>
      </c>
      <c r="AE12" s="73">
        <f>ROUND(MAX((AD12)*{0.03;0.1;0.2;0.25;0.3;0.35;0.45}-{0;2520;16920;31920;52920;85920;181920},0),2)</f>
        <v>1658.8</v>
      </c>
      <c r="AF12" s="74">
        <f>IFERROR(VLOOKUP(E:E,'（居民）工资表-5月'!E:AF,28,0)+VLOOKUP(E:E,'（居民）工资表-5月'!E:AG,29,0),0)</f>
        <v>1037.73</v>
      </c>
      <c r="AG12" s="74">
        <f t="shared" si="3"/>
        <v>621.06999999999994</v>
      </c>
      <c r="AH12" s="77">
        <f t="shared" si="4"/>
        <v>11575.93</v>
      </c>
      <c r="AI12" s="78"/>
      <c r="AJ12" s="77">
        <f t="shared" si="5"/>
        <v>11575.93</v>
      </c>
      <c r="AK12" s="79"/>
      <c r="AL12" s="77">
        <f t="shared" si="6"/>
        <v>12197</v>
      </c>
      <c r="AM12" s="79"/>
      <c r="AN12" s="79"/>
      <c r="AO12" s="79"/>
      <c r="AP12" s="79"/>
      <c r="AQ12" s="79"/>
      <c r="AR12" s="84" t="str">
        <f t="shared" si="7"/>
        <v>正确</v>
      </c>
      <c r="AS12" s="84" t="str">
        <f t="shared" si="8"/>
        <v>不</v>
      </c>
      <c r="AT12" s="84" t="str">
        <f t="shared" si="9"/>
        <v>重复</v>
      </c>
    </row>
    <row r="13" spans="1:46" s="10" customFormat="1" ht="18" customHeight="1">
      <c r="A13" s="24">
        <v>10</v>
      </c>
      <c r="B13" s="25" t="s">
        <v>123</v>
      </c>
      <c r="C13" s="25" t="s">
        <v>201</v>
      </c>
      <c r="D13" s="25" t="s">
        <v>125</v>
      </c>
      <c r="E13" s="25" t="s">
        <v>202</v>
      </c>
      <c r="F13" s="26" t="s">
        <v>200</v>
      </c>
      <c r="G13" s="27">
        <v>18803345711</v>
      </c>
      <c r="H13" s="28"/>
      <c r="I13" s="28"/>
      <c r="J13" s="86"/>
      <c r="K13" s="28"/>
      <c r="L13" s="54">
        <v>11839.080459770101</v>
      </c>
      <c r="M13" s="55">
        <v>428.8</v>
      </c>
      <c r="N13" s="55">
        <v>110.2</v>
      </c>
      <c r="O13" s="55">
        <v>26.8</v>
      </c>
      <c r="P13" s="55">
        <v>444</v>
      </c>
      <c r="Q13" s="69">
        <f t="shared" si="0"/>
        <v>1009.8</v>
      </c>
      <c r="R13" s="54">
        <v>0</v>
      </c>
      <c r="S13" s="70">
        <f>L13+IFERROR(VLOOKUP($E:$E,'（居民）工资表-5月'!$E:$S,15,0),0)</f>
        <v>17816.09195402297</v>
      </c>
      <c r="T13" s="71">
        <f>5000+IFERROR(VLOOKUP($E:$E,'（居民）工资表-5月'!$E:$T,16,0),0)</f>
        <v>10000</v>
      </c>
      <c r="U13" s="71">
        <f>Q13+IFERROR(VLOOKUP($E:$E,'（居民）工资表-5月'!$E:$U,17,0),0)</f>
        <v>2019.6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/>
      <c r="AB13" s="70">
        <f t="shared" si="1"/>
        <v>0</v>
      </c>
      <c r="AC13" s="70">
        <f>R13+IFERROR(VLOOKUP($E:$E,'（居民）工资表-5月'!$E:$AC,25,0),0)</f>
        <v>0</v>
      </c>
      <c r="AD13" s="72">
        <f t="shared" si="2"/>
        <v>5796.49</v>
      </c>
      <c r="AE13" s="73">
        <f>ROUND(MAX((AD13)*{0.03;0.1;0.2;0.25;0.3;0.35;0.45}-{0;2520;16920;31920;52920;85920;181920},0),2)</f>
        <v>173.89</v>
      </c>
      <c r="AF13" s="74">
        <f>IFERROR(VLOOKUP(E:E,'（居民）工资表-5月'!E:AF,28,0)+VLOOKUP(E:E,'（居民）工资表-5月'!E:AG,29,0),0)</f>
        <v>0</v>
      </c>
      <c r="AG13" s="74">
        <f t="shared" si="3"/>
        <v>173.89</v>
      </c>
      <c r="AH13" s="77">
        <f t="shared" si="4"/>
        <v>10655.39</v>
      </c>
      <c r="AI13" s="78"/>
      <c r="AJ13" s="77">
        <f t="shared" si="5"/>
        <v>10655.39</v>
      </c>
      <c r="AK13" s="79"/>
      <c r="AL13" s="77">
        <f t="shared" si="6"/>
        <v>10829.279999999999</v>
      </c>
      <c r="AM13" s="79"/>
      <c r="AN13" s="79"/>
      <c r="AO13" s="79"/>
      <c r="AP13" s="79"/>
      <c r="AQ13" s="79"/>
      <c r="AR13" s="84" t="str">
        <f t="shared" si="7"/>
        <v>正确</v>
      </c>
      <c r="AS13" s="84" t="str">
        <f>IF(SUMPRODUCT(N(E$1:E$15=E13))&gt;1,"重复","不")</f>
        <v>不</v>
      </c>
      <c r="AT13" s="84" t="str">
        <f>IF(SUMPRODUCT(N(AO$1:AO$15=AO13))&gt;1,"重复","不")</f>
        <v>重复</v>
      </c>
    </row>
    <row r="14" spans="1:46" s="10" customFormat="1" ht="18" customHeight="1">
      <c r="A14" s="24"/>
      <c r="B14" s="25"/>
      <c r="C14" s="25"/>
      <c r="D14" s="25"/>
      <c r="E14" s="25"/>
      <c r="F14" s="26"/>
      <c r="G14" s="27"/>
      <c r="H14" s="28"/>
      <c r="I14" s="28"/>
      <c r="J14" s="86"/>
      <c r="K14" s="28"/>
      <c r="L14" s="54"/>
      <c r="M14" s="55"/>
      <c r="N14" s="55"/>
      <c r="O14" s="55"/>
      <c r="P14" s="55"/>
      <c r="Q14" s="69"/>
      <c r="R14" s="54"/>
      <c r="S14" s="70"/>
      <c r="T14" s="71"/>
      <c r="U14" s="71"/>
      <c r="V14" s="54"/>
      <c r="W14" s="54"/>
      <c r="X14" s="54"/>
      <c r="Y14" s="54"/>
      <c r="Z14" s="54"/>
      <c r="AA14" s="54"/>
      <c r="AB14" s="70"/>
      <c r="AC14" s="70"/>
      <c r="AD14" s="72"/>
      <c r="AE14" s="73"/>
      <c r="AF14" s="74"/>
      <c r="AG14" s="74"/>
      <c r="AH14" s="77"/>
      <c r="AI14" s="78"/>
      <c r="AJ14" s="77"/>
      <c r="AK14" s="79"/>
      <c r="AL14" s="77"/>
      <c r="AM14" s="79"/>
      <c r="AN14" s="79"/>
      <c r="AO14" s="79"/>
      <c r="AP14" s="79"/>
      <c r="AQ14" s="79"/>
      <c r="AR14" s="84"/>
      <c r="AS14" s="84"/>
      <c r="AT14" s="84"/>
    </row>
    <row r="15" spans="1:46" s="10" customFormat="1" ht="18" customHeight="1">
      <c r="A15" s="24"/>
      <c r="B15" s="25"/>
      <c r="C15" s="25"/>
      <c r="D15" s="25"/>
      <c r="E15" s="25"/>
      <c r="F15" s="26"/>
      <c r="G15" s="27"/>
      <c r="H15" s="28"/>
      <c r="I15" s="28"/>
      <c r="J15" s="86"/>
      <c r="K15" s="28"/>
      <c r="L15" s="54"/>
      <c r="M15" s="55"/>
      <c r="N15" s="55"/>
      <c r="O15" s="55"/>
      <c r="P15" s="55"/>
      <c r="Q15" s="69"/>
      <c r="R15" s="54"/>
      <c r="S15" s="70"/>
      <c r="T15" s="71"/>
      <c r="U15" s="71"/>
      <c r="V15" s="54"/>
      <c r="W15" s="54"/>
      <c r="X15" s="54"/>
      <c r="Y15" s="54"/>
      <c r="Z15" s="54"/>
      <c r="AA15" s="54"/>
      <c r="AB15" s="70"/>
      <c r="AC15" s="70"/>
      <c r="AD15" s="72"/>
      <c r="AE15" s="73"/>
      <c r="AF15" s="74"/>
      <c r="AG15" s="74"/>
      <c r="AH15" s="77"/>
      <c r="AI15" s="78"/>
      <c r="AJ15" s="77"/>
      <c r="AK15" s="79"/>
      <c r="AL15" s="77"/>
      <c r="AM15" s="79"/>
      <c r="AN15" s="79"/>
      <c r="AO15" s="79"/>
      <c r="AP15" s="79"/>
      <c r="AQ15" s="79"/>
      <c r="AR15" s="84"/>
      <c r="AS15" s="84"/>
      <c r="AT15" s="84"/>
    </row>
    <row r="16" spans="1:46" s="11" customFormat="1" ht="18" customHeight="1">
      <c r="A16" s="31"/>
      <c r="B16" s="32" t="s">
        <v>151</v>
      </c>
      <c r="C16" s="32"/>
      <c r="D16" s="33"/>
      <c r="E16" s="34"/>
      <c r="F16" s="35"/>
      <c r="G16" s="36"/>
      <c r="H16" s="35"/>
      <c r="I16" s="56"/>
      <c r="J16" s="57"/>
      <c r="K16" s="56"/>
      <c r="L16" s="58">
        <f t="shared" ref="L16:AL16" si="10">SUM(L4:L15)</f>
        <v>111648.85057471268</v>
      </c>
      <c r="M16" s="58">
        <f t="shared" si="10"/>
        <v>4499.2000000000007</v>
      </c>
      <c r="N16" s="58">
        <f t="shared" si="10"/>
        <v>1154.8000000000002</v>
      </c>
      <c r="O16" s="58">
        <f t="shared" si="10"/>
        <v>281.20000000000005</v>
      </c>
      <c r="P16" s="58">
        <f t="shared" si="10"/>
        <v>5112</v>
      </c>
      <c r="Q16" s="58">
        <f t="shared" si="10"/>
        <v>11047.199999999999</v>
      </c>
      <c r="R16" s="58">
        <f t="shared" si="10"/>
        <v>0</v>
      </c>
      <c r="S16" s="58">
        <f t="shared" si="10"/>
        <v>579908.16091954021</v>
      </c>
      <c r="T16" s="58">
        <f t="shared" si="10"/>
        <v>260000</v>
      </c>
      <c r="U16" s="58">
        <f t="shared" si="10"/>
        <v>55608.6</v>
      </c>
      <c r="V16" s="58">
        <f t="shared" si="10"/>
        <v>0</v>
      </c>
      <c r="W16" s="58">
        <f t="shared" si="10"/>
        <v>0</v>
      </c>
      <c r="X16" s="58">
        <f t="shared" si="10"/>
        <v>0</v>
      </c>
      <c r="Y16" s="58">
        <f t="shared" si="10"/>
        <v>0</v>
      </c>
      <c r="Z16" s="58">
        <f t="shared" si="10"/>
        <v>0</v>
      </c>
      <c r="AA16" s="58">
        <f t="shared" si="10"/>
        <v>0</v>
      </c>
      <c r="AB16" s="58">
        <f t="shared" si="10"/>
        <v>0</v>
      </c>
      <c r="AC16" s="58">
        <f t="shared" si="10"/>
        <v>0</v>
      </c>
      <c r="AD16" s="58">
        <f t="shared" si="10"/>
        <v>264299.56</v>
      </c>
      <c r="AE16" s="58">
        <f t="shared" si="10"/>
        <v>9222.4299999999985</v>
      </c>
      <c r="AF16" s="58">
        <f t="shared" si="10"/>
        <v>7002.7800000000007</v>
      </c>
      <c r="AG16" s="58">
        <f t="shared" si="10"/>
        <v>2219.65</v>
      </c>
      <c r="AH16" s="58">
        <f t="shared" si="10"/>
        <v>98381.999999999985</v>
      </c>
      <c r="AI16" s="80">
        <f t="shared" si="10"/>
        <v>0</v>
      </c>
      <c r="AJ16" s="58">
        <f t="shared" si="10"/>
        <v>98381.999999999985</v>
      </c>
      <c r="AK16" s="58">
        <f t="shared" si="10"/>
        <v>0</v>
      </c>
      <c r="AL16" s="58">
        <f t="shared" si="10"/>
        <v>100601.65000000001</v>
      </c>
      <c r="AM16" s="81"/>
      <c r="AN16" s="81"/>
      <c r="AO16" s="81"/>
      <c r="AP16" s="81"/>
      <c r="AQ16" s="81"/>
      <c r="AR16" s="35"/>
      <c r="AS16" s="35"/>
      <c r="AT16" s="85"/>
    </row>
    <row r="19" spans="1:35">
      <c r="AD19" s="75"/>
    </row>
    <row r="20" spans="1:35" ht="18.75" customHeight="1">
      <c r="B20" s="37" t="s">
        <v>104</v>
      </c>
      <c r="C20" s="37" t="s">
        <v>152</v>
      </c>
      <c r="D20" s="37" t="s">
        <v>55</v>
      </c>
      <c r="E20" s="37" t="s">
        <v>56</v>
      </c>
      <c r="AD20" s="8"/>
    </row>
    <row r="21" spans="1:35" ht="18.75" customHeight="1">
      <c r="B21" s="38">
        <f>AJ16</f>
        <v>98381.999999999985</v>
      </c>
      <c r="C21" s="38">
        <f>AG16</f>
        <v>2219.65</v>
      </c>
      <c r="D21" s="38">
        <f>AK16</f>
        <v>0</v>
      </c>
      <c r="E21" s="38">
        <f>B21+C21+D21</f>
        <v>100601.64999999998</v>
      </c>
      <c r="F21" s="13">
        <f>E21*6.78%</f>
        <v>6820.7918699999982</v>
      </c>
    </row>
    <row r="22" spans="1:35">
      <c r="B22" s="39"/>
      <c r="C22" s="39"/>
      <c r="D22" s="39"/>
      <c r="E22" s="39"/>
      <c r="F22" s="14">
        <v>683.36704799999995</v>
      </c>
    </row>
    <row r="23" spans="1:35" s="12" customFormat="1">
      <c r="A23" s="40" t="s">
        <v>153</v>
      </c>
      <c r="B23" s="41" t="s">
        <v>154</v>
      </c>
      <c r="C23" s="42"/>
      <c r="D23" s="42"/>
      <c r="E23" s="42"/>
      <c r="G23" s="43"/>
      <c r="J23" s="59"/>
      <c r="M23" s="60"/>
      <c r="AI23" s="82"/>
    </row>
    <row r="24" spans="1:35" s="12" customFormat="1">
      <c r="A24" s="44"/>
      <c r="B24" s="45" t="s">
        <v>155</v>
      </c>
      <c r="C24" s="42"/>
      <c r="D24" s="42"/>
      <c r="E24" s="42"/>
      <c r="G24" s="43"/>
      <c r="J24" s="59"/>
      <c r="M24" s="60"/>
      <c r="AI24" s="82"/>
    </row>
    <row r="25" spans="1:35" s="12" customFormat="1">
      <c r="A25" s="41"/>
      <c r="B25" s="45" t="s">
        <v>156</v>
      </c>
      <c r="C25" s="46"/>
      <c r="D25" s="46"/>
      <c r="E25" s="46"/>
      <c r="F25" s="46"/>
      <c r="G25" s="46"/>
      <c r="H25" s="46"/>
      <c r="I25" s="46"/>
      <c r="J25" s="61"/>
      <c r="K25" s="46"/>
      <c r="L25" s="46"/>
      <c r="M25" s="62"/>
      <c r="N25" s="46"/>
      <c r="O25" s="46"/>
      <c r="P25" s="46"/>
      <c r="AI25" s="82"/>
    </row>
    <row r="26" spans="1:35" s="12" customFormat="1" ht="13.5" customHeight="1">
      <c r="A26" s="45"/>
      <c r="B26" s="45" t="s">
        <v>157</v>
      </c>
      <c r="C26" s="47"/>
      <c r="D26" s="47"/>
      <c r="E26" s="47"/>
      <c r="F26" s="47"/>
      <c r="G26" s="47"/>
      <c r="H26" s="47"/>
      <c r="I26" s="63"/>
      <c r="J26" s="64"/>
      <c r="K26" s="63"/>
      <c r="L26" s="63"/>
      <c r="M26" s="65"/>
      <c r="N26" s="63"/>
      <c r="O26" s="63"/>
      <c r="P26" s="63"/>
      <c r="AI26" s="82"/>
    </row>
    <row r="27" spans="1:35" s="12" customFormat="1" ht="13.5" customHeight="1">
      <c r="A27" s="45"/>
      <c r="B27" s="45" t="s">
        <v>158</v>
      </c>
      <c r="C27" s="47"/>
      <c r="D27" s="47"/>
      <c r="E27" s="47"/>
      <c r="F27" s="47"/>
      <c r="G27" s="47"/>
      <c r="H27" s="47"/>
      <c r="I27" s="47"/>
      <c r="J27" s="66"/>
      <c r="K27" s="47"/>
      <c r="L27" s="63"/>
      <c r="M27" s="65"/>
      <c r="N27" s="63"/>
      <c r="O27" s="63"/>
      <c r="P27" s="63"/>
      <c r="AI27" s="82"/>
    </row>
    <row r="28" spans="1:35" s="12" customFormat="1" ht="13.5" customHeight="1">
      <c r="A28" s="45"/>
      <c r="B28" s="45" t="s">
        <v>159</v>
      </c>
      <c r="C28" s="47"/>
      <c r="D28" s="47"/>
      <c r="E28" s="47"/>
      <c r="F28" s="47"/>
      <c r="G28" s="47"/>
      <c r="H28" s="47"/>
      <c r="I28" s="63"/>
      <c r="J28" s="64"/>
      <c r="K28" s="63"/>
      <c r="L28" s="63"/>
      <c r="M28" s="65"/>
      <c r="N28" s="63"/>
      <c r="O28" s="63"/>
      <c r="P28" s="63"/>
      <c r="AI28" s="82"/>
    </row>
    <row r="30" spans="1:35" ht="11.25" customHeight="1">
      <c r="B30" s="48" t="s">
        <v>160</v>
      </c>
    </row>
    <row r="31" spans="1:35">
      <c r="B31" s="49" t="s">
        <v>161</v>
      </c>
    </row>
    <row r="32" spans="1:35">
      <c r="B32" s="49" t="s">
        <v>162</v>
      </c>
    </row>
  </sheetData>
  <autoFilter ref="A3:AT16" xr:uid="{00000000-0009-0000-0000-000008000000}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87" type="noConversion"/>
  <conditionalFormatting sqref="B28">
    <cfRule type="duplicateValues" dxfId="41" priority="2" stopIfTrue="1"/>
  </conditionalFormatting>
  <conditionalFormatting sqref="B23:B27">
    <cfRule type="duplicateValues" dxfId="40" priority="3" stopIfTrue="1"/>
  </conditionalFormatting>
  <conditionalFormatting sqref="B31:B32">
    <cfRule type="duplicateValues" dxfId="39" priority="1" stopIfTrue="1"/>
  </conditionalFormatting>
  <conditionalFormatting sqref="C20:C22">
    <cfRule type="duplicateValues" dxfId="38" priority="4" stopIfTrue="1"/>
    <cfRule type="expression" dxfId="37" priority="5" stopIfTrue="1">
      <formula>AND(COUNTIF($B$16:$B$65452,C20)+COUNTIF($B$1:$B$3,C20)&gt;1,NOT(ISBLANK(C20)))</formula>
    </cfRule>
    <cfRule type="expression" dxfId="36" priority="6" stopIfTrue="1">
      <formula>AND(COUNTIF($B$27:$B$65403,C20)+COUNTIF($B$1:$B$26,C20)&gt;1,NOT(ISBLANK(C20)))</formula>
    </cfRule>
    <cfRule type="expression" dxfId="35" priority="7" stopIfTrue="1">
      <formula>AND(COUNTIF($B$16:$B$65441,C20)+COUNTIF($B$1:$B$3,C20)&gt;1,NOT(ISBLANK(C20)))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9">
    <comment s:ref="E1" rgbClr="4FC8AC"/>
    <comment s:ref="F1" rgbClr="4FC8AC"/>
    <comment s:ref="G1" rgbClr="4FC8AC"/>
    <comment s:ref="H1" rgbClr="4FC8AC"/>
    <comment s:ref="O1" rgbClr="4FC8AC"/>
    <comment s:ref="P1" rgbClr="4FC8AC"/>
    <comment s:ref="S1" rgbClr="4FC8AC"/>
    <comment s:ref="Z1" rgbClr="4FC8AC"/>
    <comment s:ref="AL1" rgbClr="4FC8AC"/>
    <comment s:ref="AM1" rgbClr="4FC8AC"/>
    <comment s:ref="AN1" rgbClr="4FC8AC"/>
    <comment s:ref="AO1" rgbClr="4FC8AC"/>
    <comment s:ref="T2" rgbClr="4FC8AC"/>
    <comment s:ref="AA2" rgbClr="4FC8AC"/>
    <comment s:ref="E7" rgbClr="4FC8AC"/>
    <comment s:ref="F7" rgbClr="4FC8AC"/>
    <comment s:ref="G7" rgbClr="4FC8AC"/>
    <comment s:ref="H7" rgbClr="4FC8AC"/>
    <comment s:ref="O7" rgbClr="4FC8AC"/>
    <comment s:ref="P7" rgbClr="4FC8AC"/>
    <comment s:ref="Q7" rgbClr="4FC8AC"/>
    <comment s:ref="T7" rgbClr="4FC8AC"/>
    <comment s:ref="X7" rgbClr="4FC8AC"/>
  </commentList>
  <commentList sheetStid="28"/>
  <commentList sheetStid="23"/>
  <commentList sheetStid="25"/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12</vt:i4>
      </vt:variant>
    </vt:vector>
  </HeadingPairs>
  <TitlesOfParts>
    <vt:vector size="28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乔乔</cp:lastModifiedBy>
  <cp:lastPrinted>2019-02-03T09:30:00Z</cp:lastPrinted>
  <dcterms:created xsi:type="dcterms:W3CDTF">2018-08-02T08:19:00Z</dcterms:created>
  <dcterms:modified xsi:type="dcterms:W3CDTF">2022-12-02T06:44:05Z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2052-11.1.0.12598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