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540"/>
  </bookViews>
  <sheets>
    <sheet name="付款通知" sheetId="26" r:id="rId1"/>
    <sheet name="（居民）工资表-2月" sheetId="15" state="hidden" r:id="rId2"/>
    <sheet name="社保" sheetId="27" state="hidden" r:id="rId3"/>
    <sheet name="（居民）工资表-3月" sheetId="16" state="hidden" r:id="rId4"/>
    <sheet name="（居民）工资表-4月" sheetId="17" state="hidden" r:id="rId5"/>
    <sheet name="（居民）工资表-5月" sheetId="18" state="hidden" r:id="rId6"/>
    <sheet name="社保1" sheetId="28" r:id="rId7"/>
    <sheet name="（居民）工资表-6月" sheetId="19" state="hidden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月" sheetId="1" r:id="rId14"/>
    <sheet name="（居民）工资表-12月" sheetId="25" state="hidden" r:id="rId15"/>
    <sheet name="Sheet1" sheetId="14" state="hidden" r:id="rId16"/>
  </sheets>
  <definedNames>
    <definedName name="_xlnm._FilterDatabase" localSheetId="1" hidden="1">'（居民）工资表-2月'!$A$3:$AT$5</definedName>
    <definedName name="_xlnm._FilterDatabase" localSheetId="3" hidden="1">'（居民）工资表-3月'!$A$3:$AT$5</definedName>
    <definedName name="_xlnm._FilterDatabase" localSheetId="4" hidden="1">'（居民）工资表-4月'!$A$3:$AT$5</definedName>
    <definedName name="_xlnm._FilterDatabase" localSheetId="5" hidden="1">'（居民）工资表-5月'!$A$3:$AT$5</definedName>
    <definedName name="_xlnm._FilterDatabase" localSheetId="7" hidden="1">'（居民）工资表-6月'!$A$3:$AT$5</definedName>
    <definedName name="_xlnm._FilterDatabase" localSheetId="8" hidden="1">'（居民）工资表-7月'!$A$3:$AT$5</definedName>
    <definedName name="_xlnm._FilterDatabase" localSheetId="9" hidden="1">'（居民）工资表-8月'!$A$3:$AT$5</definedName>
    <definedName name="_xlnm._FilterDatabase" localSheetId="10" hidden="1">'（居民）工资表-9月'!$A$3:$AT$5</definedName>
    <definedName name="_xlnm._FilterDatabase" localSheetId="11" hidden="1">'（居民）工资表-10月'!$A$3:$AT$5</definedName>
    <definedName name="_xlnm._FilterDatabase" localSheetId="12" hidden="1">'（居民）工资表-11月'!$A$3:$AT$5</definedName>
    <definedName name="_xlnm._FilterDatabase" localSheetId="13" hidden="1">'（居民）工资表-1月'!$A$3:$AT$5</definedName>
    <definedName name="_xlnm._FilterDatabase" localSheetId="14" hidden="1">'（居民）工资表-12月'!$A$3:$AT$5</definedName>
    <definedName name="_xlnm.Print_Area" localSheetId="11">'（居民）工资表-10月'!$A$1:$AT$11</definedName>
    <definedName name="_xlnm.Print_Area" localSheetId="12">'（居民）工资表-11月'!$A$1:$AT$11</definedName>
    <definedName name="_xlnm.Print_Area" localSheetId="14">'（居民）工资表-12月'!$A$1:$AT$11</definedName>
    <definedName name="_xlnm.Print_Area" localSheetId="13">'（居民）工资表-1月'!$A$1:$AT$11</definedName>
    <definedName name="_xlnm.Print_Area" localSheetId="1">'（居民）工资表-2月'!$A$1:$AT$11</definedName>
    <definedName name="_xlnm.Print_Area" localSheetId="3">'（居民）工资表-3月'!$A$1:$AT$11</definedName>
    <definedName name="_xlnm.Print_Area" localSheetId="4">'（居民）工资表-4月'!$A$1:$AT$11</definedName>
    <definedName name="_xlnm.Print_Area" localSheetId="5">'（居民）工资表-5月'!$A$1:$AT$11</definedName>
    <definedName name="_xlnm.Print_Area" localSheetId="7">'（居民）工资表-6月'!$A$1:$AT$11</definedName>
    <definedName name="_xlnm.Print_Area" localSheetId="8">'（居民）工资表-7月'!$A$1:$AT$11</definedName>
    <definedName name="_xlnm.Print_Area" localSheetId="9">'（居民）工资表-8月'!$A$1:$AT$11</definedName>
    <definedName name="_xlnm.Print_Area" localSheetId="10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<sst xmlns="http://schemas.openxmlformats.org/spreadsheetml/2006/main" count="1185" uniqueCount="168">
  <si>
    <t>付款通知书</t>
  </si>
  <si>
    <t>尊敬的客户：</t>
  </si>
  <si>
    <t>服务周期：</t>
  </si>
  <si>
    <r>
      <t>根据贵公司与我公司所签订的服务协议，请贵公司在</t>
    </r>
    <r>
      <rPr>
        <b/>
        <sz val="11"/>
        <color rgb="FFFF0000"/>
        <rFont val="宋体"/>
        <charset val="134"/>
      </rPr>
      <t>2022年1月14日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</si>
  <si>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</si>
  <si>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</si>
  <si>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</si>
  <si>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</si>
  <si>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</si>
  <si>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</si>
  <si>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</si>
  <si>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</si>
  <si>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</si>
  <si>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</si>
  <si>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</si>
  <si>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</si>
  <si>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</si>
  <si>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</si>
  <si>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</si>
  <si>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</si>
  <si>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</si>
  <si>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</si>
  <si>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</si>
  <si>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</si>
  <si>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</si>
  <si>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</si>
  <si>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</si>
  <si>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</si>
  <si>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</si>
  <si>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</si>
  <si>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</si>
  <si>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</si>
  <si>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</si>
  <si>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</si>
  <si>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</si>
  <si>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</si>
  <si>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</si>
  <si>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</si>
  <si>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</si>
  <si>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</si>
  <si>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</si>
  <si>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</si>
  <si>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</si>
  <si>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</si>
  <si>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</si>
  <si>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</si>
  <si>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</si>
  <si>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</si>
  <si>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</si>
  <si>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</si>
  <si>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</si>
  <si>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</si>
  <si>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</si>
  <si>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</si>
  <si>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</si>
  <si>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</si>
  <si>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</si>
  <si>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</si>
  <si>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</si>
  <si>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</si>
  <si>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</si>
  <si>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</si>
  <si>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</si>
  <si>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</si>
  <si>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</si>
  <si>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</si>
  <si>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</si>
  <si>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</si>
  <si>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</si>
  <si>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</si>
  <si>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</si>
  <si>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</si>
  <si>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</si>
  <si>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</si>
  <si>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</si>
  <si>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</si>
  <si>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</si>
  <si>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</si>
  <si>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</si>
  <si>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</si>
  <si>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</si>
  <si>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</si>
  <si>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</si>
  <si>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</si>
  <si>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</si>
  <si>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菲利华</t>
  </si>
  <si>
    <t>谭江月</t>
  </si>
  <si>
    <t>身份证</t>
  </si>
  <si>
    <t>500228199607193387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</si>
  <si>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</si>
  <si>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</si>
  <si>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</si>
  <si>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</si>
  <si>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</si>
  <si>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</si>
  <si>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</si>
  <si>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</si>
  <si>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</si>
  <si>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</si>
  <si>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</si>
  <si>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</si>
  <si>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</si>
  <si>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</si>
  <si>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</si>
  <si>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</si>
  <si>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</si>
  <si>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</si>
  <si>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</si>
  <si>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</si>
  <si>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</si>
  <si>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</si>
  <si>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</si>
  <si>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</si>
  <si>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</si>
  <si>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</si>
  <si>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</si>
  <si>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</si>
  <si>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</si>
  <si>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</si>
  <si>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</si>
  <si>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</si>
  <si>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</si>
  <si>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</si>
  <si>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</si>
  <si>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</si>
  <si>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</si>
  <si>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</si>
  <si>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</si>
  <si>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</si>
  <si>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</si>
  <si>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</si>
  <si>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</si>
  <si>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</si>
  <si>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</si>
  <si>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</si>
  <si>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补收</t>
  </si>
  <si>
    <t>重庆社保下限调整，补收基数差</t>
  </si>
  <si>
    <t>女</t>
  </si>
  <si>
    <t>菲利华（上月工资上月社保账单费用）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</si>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</sst>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&quot;$&quot;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178" formatCode="#,##0.00_);[Red]\(#,##0.00\)"/>
    <numFmt numFmtId="179" formatCode="0.00_ "/>
    <numFmt numFmtId="180" formatCode="0.00_);[Red]\(0.00\)"/>
    <numFmt numFmtId="181" formatCode="[DBNum2][$-804]General"/>
    <numFmt numFmtId="44" formatCode="_ &quot;￥&quot;* #,##0.00_ ;_ &quot;￥&quot;* \-#,##0.00_ ;_ &quot;￥&quot;* &quot;-&quot;??_ ;_ @_ "/>
    <numFmt numFmtId="182" formatCode="#,##0_);[Red]\(#,##0\)"/>
    <numFmt numFmtId="183" formatCode="&quot;$&quot;#,##0_ ;[Red]\-&quot;$&quot;#,##0_ "/>
    <numFmt numFmtId="184" formatCode="General\ &quot;年&quot;"/>
    <numFmt numFmtId="185" formatCode="0.00_);\(0.00\)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10"/>
      <name val="宋体"/>
      <charset val="134"/>
    </font>
    <font>
      <sz val="12"/>
      <color indexed="8"/>
      <name val="Verdana"/>
      <charset val="134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indexed="52"/>
      <name val="宋体"/>
      <charset val="134"/>
    </font>
    <font>
      <u/>
      <sz val="10"/>
      <color indexed="12"/>
      <name val="新細明體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4" fillId="13" borderId="37" applyNumberFormat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78" fillId="0" borderId="0">
      <alignment vertical="center"/>
    </xf>
    <xf numFmtId="0" fontId="65" fillId="0" borderId="3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0" borderId="0"/>
    <xf numFmtId="0" fontId="68" fillId="39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5" borderId="40" applyNumberFormat="0" applyFont="0" applyAlignment="0" applyProtection="0">
      <alignment vertical="center"/>
    </xf>
    <xf numFmtId="0" fontId="6" fillId="0" borderId="0">
      <alignment vertical="center"/>
    </xf>
    <xf numFmtId="0" fontId="71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4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1" fillId="0" borderId="48" applyNumberFormat="0" applyFill="0" applyAlignment="0" applyProtection="0">
      <alignment vertical="center"/>
    </xf>
    <xf numFmtId="0" fontId="89" fillId="0" borderId="0"/>
    <xf numFmtId="0" fontId="84" fillId="0" borderId="48" applyNumberFormat="0" applyFill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0" borderId="47" applyNumberFormat="0" applyFill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77" fillId="34" borderId="46" applyNumberFormat="0" applyAlignment="0" applyProtection="0">
      <alignment vertical="center"/>
    </xf>
    <xf numFmtId="0" fontId="86" fillId="34" borderId="3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72" fillId="21" borderId="44" applyNumberFormat="0" applyAlignment="0" applyProtection="0">
      <alignment vertical="center"/>
    </xf>
    <xf numFmtId="0" fontId="74" fillId="0" borderId="0">
      <alignment vertical="center"/>
    </xf>
    <xf numFmtId="0" fontId="68" fillId="22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70" fillId="0" borderId="4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7" fillId="0" borderId="41" applyNumberFormat="0" applyFill="0" applyAlignment="0" applyProtection="0">
      <alignment vertical="center"/>
    </xf>
    <xf numFmtId="0" fontId="90" fillId="4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74" fillId="0" borderId="0">
      <alignment vertical="center"/>
    </xf>
    <xf numFmtId="0" fontId="69" fillId="19" borderId="42" applyNumberFormat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74" fillId="0" borderId="0"/>
    <xf numFmtId="0" fontId="66" fillId="14" borderId="39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78" fillId="0" borderId="0"/>
    <xf numFmtId="0" fontId="6" fillId="16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78" fillId="0" borderId="0"/>
    <xf numFmtId="0" fontId="94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8" fillId="0" borderId="0"/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4" fillId="0" borderId="0">
      <alignment vertical="center"/>
    </xf>
    <xf numFmtId="0" fontId="96" fillId="55" borderId="0" applyNumberFormat="0" applyBorder="0" applyAlignment="0" applyProtection="0">
      <alignment vertical="center"/>
    </xf>
    <xf numFmtId="0" fontId="78" fillId="0" borderId="0"/>
    <xf numFmtId="0" fontId="6" fillId="32" borderId="0" applyNumberFormat="0" applyBorder="0" applyAlignment="0" applyProtection="0">
      <alignment vertical="center"/>
    </xf>
    <xf numFmtId="0" fontId="74" fillId="0" borderId="0"/>
    <xf numFmtId="0" fontId="71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/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19" borderId="4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19" borderId="4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11" borderId="3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19" borderId="4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0" fillId="0" borderId="0"/>
    <xf numFmtId="0" fontId="6" fillId="61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4" fillId="0" borderId="0"/>
    <xf numFmtId="0" fontId="69" fillId="19" borderId="42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9" fillId="19" borderId="35" applyNumberFormat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45" applyNumberFormat="0" applyFont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33" borderId="0" applyNumberFormat="0" applyBorder="0" applyAlignment="0" applyProtection="0">
      <alignment vertical="center"/>
    </xf>
    <xf numFmtId="0" fontId="7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4" fillId="0" borderId="0">
      <alignment vertical="center"/>
    </xf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1" fillId="40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179" fontId="6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6" fillId="55" borderId="0" applyNumberFormat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6" fillId="0" borderId="0">
      <alignment vertical="center"/>
    </xf>
    <xf numFmtId="0" fontId="92" fillId="0" borderId="50" applyNumberFormat="0" applyFill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100" fillId="0" borderId="0"/>
    <xf numFmtId="0" fontId="94" fillId="0" borderId="51" applyNumberFormat="0" applyFill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43" fontId="74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96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74" fillId="0" borderId="0">
      <alignment vertical="center"/>
    </xf>
    <xf numFmtId="0" fontId="6" fillId="0" borderId="0">
      <alignment vertical="center"/>
    </xf>
    <xf numFmtId="0" fontId="71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76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59" fillId="11" borderId="35" applyNumberFormat="0" applyAlignment="0" applyProtection="0">
      <alignment vertical="center"/>
    </xf>
    <xf numFmtId="0" fontId="74" fillId="0" borderId="0">
      <alignment vertical="center"/>
    </xf>
    <xf numFmtId="0" fontId="59" fillId="11" borderId="35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59" fillId="11" borderId="35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71" fillId="27" borderId="0" applyNumberFormat="0" applyBorder="0" applyAlignment="0" applyProtection="0">
      <alignment vertical="center"/>
    </xf>
    <xf numFmtId="0" fontId="6" fillId="0" borderId="0"/>
    <xf numFmtId="0" fontId="71" fillId="27" borderId="0" applyNumberFormat="0" applyBorder="0" applyAlignment="0" applyProtection="0">
      <alignment vertical="center"/>
    </xf>
    <xf numFmtId="0" fontId="74" fillId="0" borderId="0"/>
    <xf numFmtId="0" fontId="71" fillId="27" borderId="0" applyNumberFormat="0" applyBorder="0" applyAlignment="0" applyProtection="0">
      <alignment vertical="center"/>
    </xf>
    <xf numFmtId="0" fontId="74" fillId="0" borderId="0"/>
    <xf numFmtId="0" fontId="71" fillId="27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6" fillId="0" borderId="0">
      <alignment vertical="center"/>
    </xf>
    <xf numFmtId="0" fontId="93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4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6" fillId="0" borderId="0">
      <alignment vertical="center"/>
    </xf>
    <xf numFmtId="0" fontId="59" fillId="11" borderId="35" applyNumberFormat="0" applyAlignment="0" applyProtection="0">
      <alignment vertical="center"/>
    </xf>
    <xf numFmtId="0" fontId="74" fillId="0" borderId="0"/>
    <xf numFmtId="0" fontId="78" fillId="0" borderId="0">
      <alignment vertical="center"/>
    </xf>
    <xf numFmtId="0" fontId="71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0" borderId="0"/>
    <xf numFmtId="0" fontId="75" fillId="0" borderId="0" applyNumberFormat="0" applyFill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66" fillId="14" borderId="3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181" fontId="74" fillId="0" borderId="0"/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181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69" fillId="19" borderId="42" applyNumberFormat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89" fillId="0" borderId="0"/>
    <xf numFmtId="0" fontId="59" fillId="11" borderId="35" applyNumberFormat="0" applyAlignment="0" applyProtection="0">
      <alignment vertical="center"/>
    </xf>
    <xf numFmtId="0" fontId="89" fillId="0" borderId="0"/>
    <xf numFmtId="0" fontId="59" fillId="11" borderId="35" applyNumberFormat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97" fillId="0" borderId="0"/>
    <xf numFmtId="0" fontId="78" fillId="0" borderId="0"/>
    <xf numFmtId="0" fontId="89" fillId="0" borderId="0"/>
    <xf numFmtId="0" fontId="89" fillId="0" borderId="0"/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0" fontId="6" fillId="29" borderId="45" applyNumberFormat="0" applyFont="0" applyAlignment="0" applyProtection="0">
      <alignment vertical="center"/>
    </xf>
    <xf numFmtId="181" fontId="0" fillId="0" borderId="0">
      <alignment vertical="center"/>
    </xf>
    <xf numFmtId="181" fontId="74" fillId="0" borderId="0" applyBorder="0"/>
    <xf numFmtId="181" fontId="80" fillId="0" borderId="0" applyNumberFormat="0" applyFill="0" applyBorder="0" applyAlignment="0" applyProtection="0">
      <alignment vertical="center"/>
    </xf>
    <xf numFmtId="181" fontId="74" fillId="0" borderId="0"/>
    <xf numFmtId="38" fontId="74" fillId="0" borderId="0" applyFont="0" applyFill="0" applyBorder="0" applyAlignment="0" applyProtection="0">
      <alignment vertical="center"/>
    </xf>
    <xf numFmtId="181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0" fontId="6" fillId="0" borderId="0" xfId="309" applyNumberFormat="1">
      <alignment vertical="center"/>
    </xf>
    <xf numFmtId="182" fontId="8" fillId="0" borderId="0" xfId="110" applyNumberFormat="1" applyFont="1" applyFill="1" applyBorder="1" applyAlignment="1" applyProtection="1">
      <alignment vertical="center"/>
    </xf>
    <xf numFmtId="182" fontId="9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2" fontId="11" fillId="3" borderId="5" xfId="110" applyNumberFormat="1" applyFont="1" applyFill="1" applyBorder="1" applyAlignment="1" applyProtection="1">
      <alignment horizontal="center" vertical="center"/>
    </xf>
    <xf numFmtId="182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82" fontId="11" fillId="3" borderId="6" xfId="110" applyNumberFormat="1" applyFont="1" applyFill="1" applyBorder="1" applyAlignment="1" applyProtection="1">
      <alignment horizontal="center" vertical="center"/>
    </xf>
    <xf numFmtId="182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82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2" fontId="14" fillId="4" borderId="6" xfId="309" applyNumberFormat="1" applyFont="1" applyFill="1" applyBorder="1" applyAlignment="1" applyProtection="1">
      <alignment horizontal="center" vertical="center" shrinkToFit="1"/>
    </xf>
    <xf numFmtId="182" fontId="17" fillId="4" borderId="7" xfId="309" applyNumberFormat="1" applyFont="1" applyFill="1" applyBorder="1" applyAlignment="1" applyProtection="1">
      <alignment horizontal="center" vertical="center" shrinkToFit="1"/>
    </xf>
    <xf numFmtId="182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0" fontId="6" fillId="4" borderId="7" xfId="309" applyNumberFormat="1" applyFont="1" applyFill="1" applyBorder="1" applyAlignment="1">
      <alignment horizontal="center" vertical="center"/>
    </xf>
    <xf numFmtId="178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2" fontId="10" fillId="0" borderId="0" xfId="110" applyNumberFormat="1" applyFont="1" applyFill="1" applyBorder="1" applyAlignment="1" applyProtection="1">
      <alignment horizontal="center" vertical="center"/>
    </xf>
    <xf numFmtId="179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9" fontId="14" fillId="0" borderId="7" xfId="309" applyNumberFormat="1" applyFont="1" applyFill="1" applyBorder="1">
      <alignment vertical="center"/>
    </xf>
    <xf numFmtId="179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78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9" fontId="0" fillId="0" borderId="0" xfId="309" applyNumberFormat="1" applyFont="1" applyFill="1" applyBorder="1" applyAlignment="1">
      <alignment horizontal="left" vertical="center"/>
    </xf>
    <xf numFmtId="180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80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79" fontId="14" fillId="4" borderId="7" xfId="309" applyNumberFormat="1" applyFont="1" applyFill="1" applyBorder="1">
      <alignment vertical="center"/>
    </xf>
    <xf numFmtId="179" fontId="14" fillId="4" borderId="10" xfId="309" applyNumberFormat="1" applyFont="1" applyFill="1" applyBorder="1" applyAlignment="1">
      <alignment horizontal="center" vertical="center"/>
    </xf>
    <xf numFmtId="179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78" fontId="14" fillId="4" borderId="10" xfId="309" applyNumberFormat="1" applyFont="1" applyFill="1" applyBorder="1" applyAlignment="1" applyProtection="1">
      <alignment horizontal="center" vertical="center"/>
    </xf>
    <xf numFmtId="180" fontId="20" fillId="4" borderId="7" xfId="290" applyNumberFormat="1" applyFont="1" applyFill="1" applyBorder="1" applyAlignment="1" applyProtection="1">
      <alignment horizontal="center" vertical="center"/>
    </xf>
    <xf numFmtId="180" fontId="25" fillId="4" borderId="7" xfId="398" applyNumberFormat="1" applyFont="1" applyFill="1" applyBorder="1" applyAlignment="1" applyProtection="1">
      <alignment horizontal="center" vertical="center"/>
    </xf>
    <xf numFmtId="178" fontId="14" fillId="0" borderId="0" xfId="309" applyNumberFormat="1" applyFont="1" applyFill="1" applyBorder="1" applyAlignment="1" applyProtection="1">
      <alignment horizontal="center" vertical="center"/>
    </xf>
    <xf numFmtId="180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0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0" fontId="8" fillId="3" borderId="6" xfId="110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 applyAlignment="1" applyProtection="1">
      <alignment horizontal="center" vertical="center"/>
    </xf>
    <xf numFmtId="180" fontId="16" fillId="0" borderId="7" xfId="309" applyNumberFormat="1" applyFont="1" applyFill="1" applyBorder="1" applyAlignment="1">
      <alignment horizontal="center" vertical="center" wrapText="1"/>
    </xf>
    <xf numFmtId="178" fontId="14" fillId="0" borderId="7" xfId="309" applyNumberFormat="1" applyFont="1" applyFill="1" applyBorder="1" applyAlignment="1" applyProtection="1">
      <alignment horizontal="center" vertical="center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78" fontId="14" fillId="4" borderId="7" xfId="309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0" fontId="15" fillId="0" borderId="7" xfId="309" applyFont="1" applyFill="1" applyBorder="1" applyAlignment="1">
      <alignment horizontal="left" vertical="center"/>
    </xf>
    <xf numFmtId="181" fontId="26" fillId="0" borderId="0" xfId="486" applyFont="1" applyFill="1" applyBorder="1" applyAlignment="1">
      <alignment horizontal="center" vertical="center" wrapText="1"/>
    </xf>
    <xf numFmtId="181" fontId="26" fillId="3" borderId="0" xfId="486" applyFont="1" applyFill="1" applyBorder="1" applyAlignment="1">
      <alignment horizontal="center" vertical="center" wrapText="1"/>
    </xf>
    <xf numFmtId="181" fontId="27" fillId="0" borderId="0" xfId="486" applyFont="1" applyFill="1" applyBorder="1" applyAlignment="1">
      <alignment horizontal="center" vertical="center" wrapText="1"/>
    </xf>
    <xf numFmtId="181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8" fillId="6" borderId="7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49" fontId="29" fillId="7" borderId="7" xfId="397" applyNumberFormat="1" applyFont="1" applyFill="1" applyBorder="1" applyAlignment="1" applyProtection="1">
      <alignment horizontal="center" vertical="center"/>
    </xf>
    <xf numFmtId="49" fontId="29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0" fontId="26" fillId="3" borderId="7" xfId="486" applyNumberFormat="1" applyFont="1" applyFill="1" applyBorder="1" applyAlignment="1">
      <alignment horizontal="center" vertical="center" wrapText="1"/>
    </xf>
    <xf numFmtId="0" fontId="29" fillId="3" borderId="7" xfId="486" applyNumberFormat="1" applyFont="1" applyFill="1" applyBorder="1" applyAlignment="1">
      <alignment horizontal="center" vertical="center" wrapText="1"/>
    </xf>
    <xf numFmtId="49" fontId="29" fillId="3" borderId="7" xfId="397" applyNumberFormat="1" applyFont="1" applyFill="1" applyBorder="1" applyAlignment="1" applyProtection="1">
      <alignment horizontal="center" vertical="center"/>
    </xf>
    <xf numFmtId="49" fontId="29" fillId="3" borderId="7" xfId="397" applyNumberFormat="1" applyFont="1" applyFill="1" applyBorder="1" applyAlignment="1" applyProtection="1">
      <alignment horizontal="center" vertical="center" wrapText="1"/>
    </xf>
    <xf numFmtId="181" fontId="27" fillId="0" borderId="8" xfId="486" applyFont="1" applyFill="1" applyBorder="1" applyAlignment="1">
      <alignment horizontal="center" vertical="center" wrapText="1"/>
    </xf>
    <xf numFmtId="181" fontId="27" fillId="0" borderId="9" xfId="486" applyFont="1" applyFill="1" applyBorder="1" applyAlignment="1">
      <alignment horizontal="center" vertical="center" wrapText="1"/>
    </xf>
    <xf numFmtId="180" fontId="28" fillId="6" borderId="7" xfId="486" applyNumberFormat="1" applyFont="1" applyFill="1" applyBorder="1" applyAlignment="1">
      <alignment horizontal="center" vertical="center" wrapText="1"/>
    </xf>
    <xf numFmtId="10" fontId="28" fillId="6" borderId="7" xfId="492" applyNumberFormat="1" applyFont="1" applyFill="1" applyBorder="1" applyAlignment="1">
      <alignment horizontal="center" vertical="center" wrapText="1"/>
    </xf>
    <xf numFmtId="180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80" fontId="29" fillId="0" borderId="7" xfId="486" applyNumberFormat="1" applyFont="1" applyFill="1" applyBorder="1" applyAlignment="1">
      <alignment horizontal="center" vertical="center" wrapText="1"/>
    </xf>
    <xf numFmtId="180" fontId="26" fillId="3" borderId="7" xfId="486" applyNumberFormat="1" applyFont="1" applyFill="1" applyBorder="1" applyAlignment="1">
      <alignment horizontal="center" vertical="center" wrapText="1"/>
    </xf>
    <xf numFmtId="10" fontId="26" fillId="3" borderId="7" xfId="492" applyNumberFormat="1" applyFont="1" applyFill="1" applyBorder="1" applyAlignment="1">
      <alignment horizontal="center" vertical="center" wrapText="1"/>
    </xf>
    <xf numFmtId="180" fontId="29" fillId="3" borderId="7" xfId="486" applyNumberFormat="1" applyFont="1" applyFill="1" applyBorder="1" applyAlignment="1">
      <alignment horizontal="center" vertical="center" wrapText="1"/>
    </xf>
    <xf numFmtId="180" fontId="28" fillId="0" borderId="7" xfId="486" applyNumberFormat="1" applyFont="1" applyFill="1" applyBorder="1" applyAlignment="1">
      <alignment horizontal="center" vertical="center" wrapText="1"/>
    </xf>
    <xf numFmtId="180" fontId="27" fillId="0" borderId="7" xfId="486" applyNumberFormat="1" applyFont="1" applyFill="1" applyBorder="1" applyAlignment="1">
      <alignment horizontal="center" vertical="center" wrapText="1"/>
    </xf>
    <xf numFmtId="180" fontId="28" fillId="6" borderId="7" xfId="49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/>
    </xf>
    <xf numFmtId="0" fontId="30" fillId="3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80" fontId="26" fillId="0" borderId="0" xfId="486" applyNumberFormat="1" applyFont="1" applyFill="1" applyBorder="1" applyAlignment="1">
      <alignment horizontal="center" vertical="center" wrapText="1"/>
    </xf>
    <xf numFmtId="0" fontId="26" fillId="3" borderId="0" xfId="486" applyNumberFormat="1" applyFont="1" applyFill="1" applyBorder="1" applyAlignment="1">
      <alignment horizontal="center" vertical="center" wrapText="1"/>
    </xf>
    <xf numFmtId="180" fontId="26" fillId="3" borderId="0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80" fontId="0" fillId="0" borderId="0" xfId="486" applyNumberFormat="1" applyFill="1" applyBorder="1" applyAlignment="1">
      <alignment vertical="center" wrapText="1"/>
    </xf>
    <xf numFmtId="178" fontId="6" fillId="0" borderId="0" xfId="309" applyNumberFormat="1">
      <alignment vertical="center"/>
    </xf>
    <xf numFmtId="181" fontId="31" fillId="0" borderId="0" xfId="486" applyFont="1" applyFill="1" applyBorder="1" applyAlignment="1">
      <alignment horizontal="center" vertical="center" wrapText="1"/>
    </xf>
    <xf numFmtId="0" fontId="31" fillId="0" borderId="7" xfId="486" applyNumberFormat="1" applyFont="1" applyFill="1" applyBorder="1" applyAlignment="1">
      <alignment horizontal="center" vertical="center" wrapText="1"/>
    </xf>
    <xf numFmtId="49" fontId="31" fillId="7" borderId="7" xfId="397" applyNumberFormat="1" applyFont="1" applyFill="1" applyBorder="1" applyAlignment="1" applyProtection="1">
      <alignment horizontal="center" vertical="center"/>
    </xf>
    <xf numFmtId="49" fontId="31" fillId="7" borderId="7" xfId="397" applyNumberFormat="1" applyFont="1" applyFill="1" applyBorder="1" applyAlignment="1" applyProtection="1">
      <alignment horizontal="center" vertical="center" wrapText="1"/>
    </xf>
    <xf numFmtId="0" fontId="31" fillId="8" borderId="7" xfId="486" applyNumberFormat="1" applyFont="1" applyFill="1" applyBorder="1" applyAlignment="1">
      <alignment horizontal="center" vertical="center" wrapText="1"/>
    </xf>
    <xf numFmtId="180" fontId="31" fillId="0" borderId="7" xfId="486" applyNumberFormat="1" applyFont="1" applyFill="1" applyBorder="1" applyAlignment="1">
      <alignment horizontal="center" vertical="center" wrapText="1"/>
    </xf>
    <xf numFmtId="10" fontId="31" fillId="0" borderId="7" xfId="492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/>
    </xf>
    <xf numFmtId="0" fontId="31" fillId="0" borderId="0" xfId="486" applyNumberFormat="1" applyFont="1" applyFill="1" applyBorder="1" applyAlignment="1">
      <alignment horizontal="center" vertical="center" wrapText="1"/>
    </xf>
    <xf numFmtId="180" fontId="31" fillId="0" borderId="0" xfId="486" applyNumberFormat="1" applyFont="1" applyFill="1" applyBorder="1" applyAlignment="1">
      <alignment horizontal="center" vertical="center" wrapText="1"/>
    </xf>
    <xf numFmtId="181" fontId="0" fillId="7" borderId="0" xfId="447" applyFill="1">
      <alignment vertical="center"/>
    </xf>
    <xf numFmtId="181" fontId="0" fillId="7" borderId="0" xfId="447" applyFill="1" applyAlignment="1">
      <alignment horizontal="center" vertical="center"/>
    </xf>
    <xf numFmtId="181" fontId="33" fillId="7" borderId="0" xfId="491" applyFont="1" applyFill="1" applyAlignment="1">
      <alignment horizontal="center" vertical="center"/>
    </xf>
    <xf numFmtId="181" fontId="34" fillId="7" borderId="0" xfId="491" applyFont="1" applyFill="1" applyAlignment="1" applyProtection="1">
      <alignment horizontal="center" vertical="center"/>
      <protection locked="0"/>
    </xf>
    <xf numFmtId="181" fontId="34" fillId="7" borderId="0" xfId="491" applyFont="1" applyFill="1" applyAlignment="1" applyProtection="1">
      <alignment horizontal="left" vertical="center"/>
      <protection locked="0"/>
    </xf>
    <xf numFmtId="181" fontId="35" fillId="7" borderId="0" xfId="491" applyFont="1" applyFill="1" applyAlignment="1" applyProtection="1">
      <alignment horizontal="center" vertical="center"/>
      <protection locked="0"/>
    </xf>
    <xf numFmtId="181" fontId="36" fillId="7" borderId="0" xfId="491" applyFont="1" applyFill="1" applyAlignment="1" applyProtection="1">
      <alignment horizontal="left" vertical="center"/>
      <protection locked="0"/>
    </xf>
    <xf numFmtId="181" fontId="37" fillId="7" borderId="0" xfId="447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81" fontId="39" fillId="7" borderId="0" xfId="447" applyFont="1" applyFill="1" applyAlignment="1" applyProtection="1">
      <alignment horizontal="left" vertical="center"/>
      <protection locked="0"/>
    </xf>
    <xf numFmtId="181" fontId="40" fillId="7" borderId="0" xfId="491" applyFont="1" applyFill="1" applyAlignment="1">
      <alignment horizontal="right" vertical="center"/>
    </xf>
    <xf numFmtId="14" fontId="41" fillId="7" borderId="0" xfId="447" applyNumberFormat="1" applyFont="1" applyFill="1" applyAlignment="1" applyProtection="1">
      <alignment horizontal="left" vertical="center"/>
      <protection locked="0"/>
    </xf>
    <xf numFmtId="181" fontId="41" fillId="7" borderId="0" xfId="447" applyFont="1" applyFill="1" applyAlignment="1" applyProtection="1">
      <alignment horizontal="right" vertical="center"/>
      <protection locked="0"/>
    </xf>
    <xf numFmtId="181" fontId="42" fillId="7" borderId="0" xfId="447" applyFont="1" applyFill="1" applyAlignment="1">
      <alignment horizontal="left" vertical="center"/>
    </xf>
    <xf numFmtId="181" fontId="36" fillId="7" borderId="0" xfId="491" applyFont="1" applyFill="1" applyAlignment="1" applyProtection="1">
      <alignment horizontal="center" vertical="center"/>
      <protection locked="0"/>
    </xf>
    <xf numFmtId="181" fontId="42" fillId="7" borderId="0" xfId="447" applyFont="1" applyFill="1" applyAlignment="1" applyProtection="1">
      <alignment horizontal="left" vertical="center"/>
      <protection locked="0"/>
    </xf>
    <xf numFmtId="181" fontId="43" fillId="7" borderId="0" xfId="491" applyFont="1" applyFill="1" applyAlignment="1" applyProtection="1">
      <alignment horizontal="center" vertical="center"/>
      <protection locked="0"/>
    </xf>
    <xf numFmtId="176" fontId="41" fillId="7" borderId="0" xfId="490" applyNumberFormat="1" applyFont="1" applyFill="1" applyAlignment="1" applyProtection="1">
      <alignment horizontal="left" vertical="center"/>
      <protection locked="0"/>
    </xf>
    <xf numFmtId="181" fontId="44" fillId="7" borderId="11" xfId="447" applyFont="1" applyFill="1" applyBorder="1" applyAlignment="1" applyProtection="1">
      <alignment horizontal="center" vertical="center"/>
      <protection locked="0"/>
    </xf>
    <xf numFmtId="181" fontId="44" fillId="7" borderId="12" xfId="447" applyFont="1" applyFill="1" applyBorder="1" applyAlignment="1" applyProtection="1">
      <alignment horizontal="center" vertical="center"/>
      <protection locked="0"/>
    </xf>
    <xf numFmtId="181" fontId="13" fillId="7" borderId="13" xfId="488" applyFont="1" applyFill="1" applyBorder="1" applyAlignment="1" applyProtection="1">
      <alignment horizontal="left" vertical="center"/>
      <protection locked="0"/>
    </xf>
    <xf numFmtId="181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7" applyNumberFormat="1" applyFont="1" applyFill="1" applyBorder="1" applyAlignment="1">
      <alignment horizontal="left" vertical="center" shrinkToFit="1"/>
    </xf>
    <xf numFmtId="43" fontId="45" fillId="7" borderId="9" xfId="447" applyNumberFormat="1" applyFont="1" applyFill="1" applyBorder="1" applyAlignment="1">
      <alignment horizontal="left" vertical="center" shrinkToFit="1"/>
    </xf>
    <xf numFmtId="43" fontId="45" fillId="7" borderId="14" xfId="447" applyNumberFormat="1" applyFont="1" applyFill="1" applyBorder="1" applyAlignment="1">
      <alignment horizontal="left" vertical="center" shrinkToFit="1"/>
    </xf>
    <xf numFmtId="181" fontId="13" fillId="7" borderId="15" xfId="488" applyFont="1" applyFill="1" applyBorder="1" applyAlignment="1" applyProtection="1">
      <alignment horizontal="left" vertical="center"/>
      <protection locked="0"/>
    </xf>
    <xf numFmtId="181" fontId="13" fillId="7" borderId="16" xfId="488" applyFont="1" applyFill="1" applyBorder="1" applyAlignment="1" applyProtection="1">
      <alignment horizontal="left" vertical="center"/>
      <protection locked="0"/>
    </xf>
    <xf numFmtId="181" fontId="45" fillId="7" borderId="17" xfId="447" applyNumberFormat="1" applyFont="1" applyFill="1" applyBorder="1" applyAlignment="1">
      <alignment horizontal="right" vertical="center" shrinkToFit="1"/>
    </xf>
    <xf numFmtId="181" fontId="45" fillId="7" borderId="18" xfId="447" applyNumberFormat="1" applyFont="1" applyFill="1" applyBorder="1" applyAlignment="1">
      <alignment horizontal="right" vertical="center" shrinkToFit="1"/>
    </xf>
    <xf numFmtId="181" fontId="45" fillId="7" borderId="19" xfId="447" applyNumberFormat="1" applyFont="1" applyFill="1" applyBorder="1" applyAlignment="1">
      <alignment horizontal="right" vertical="center" shrinkToFit="1"/>
    </xf>
    <xf numFmtId="181" fontId="25" fillId="7" borderId="13" xfId="490" applyNumberFormat="1" applyFont="1" applyFill="1" applyBorder="1" applyAlignment="1" applyProtection="1">
      <alignment horizontal="left" vertical="center"/>
      <protection locked="0"/>
    </xf>
    <xf numFmtId="181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7" applyNumberFormat="1" applyFont="1" applyFill="1" applyBorder="1" applyAlignment="1">
      <alignment horizontal="left" vertical="center" shrinkToFit="1"/>
    </xf>
    <xf numFmtId="181" fontId="25" fillId="7" borderId="20" xfId="490" applyNumberFormat="1" applyFont="1" applyFill="1" applyBorder="1" applyAlignment="1" applyProtection="1">
      <alignment horizontal="left" vertical="center"/>
      <protection locked="0"/>
    </xf>
    <xf numFmtId="181" fontId="25" fillId="7" borderId="21" xfId="490" applyNumberFormat="1" applyFont="1" applyFill="1" applyBorder="1" applyAlignment="1" applyProtection="1">
      <alignment horizontal="left" vertical="center"/>
      <protection locked="0"/>
    </xf>
    <xf numFmtId="181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7" applyNumberFormat="1" applyFont="1" applyFill="1" applyBorder="1" applyAlignment="1" applyProtection="1">
      <alignment horizontal="left" vertical="center" shrinkToFit="1"/>
      <protection locked="0"/>
    </xf>
    <xf numFmtId="181" fontId="14" fillId="7" borderId="24" xfId="487" applyFont="1" applyFill="1" applyBorder="1" applyAlignment="1">
      <alignment vertical="center"/>
    </xf>
    <xf numFmtId="181" fontId="14" fillId="7" borderId="7" xfId="487" applyFont="1" applyFill="1" applyBorder="1" applyAlignment="1">
      <alignment vertical="center"/>
    </xf>
    <xf numFmtId="43" fontId="46" fillId="7" borderId="7" xfId="447" applyNumberFormat="1" applyFont="1" applyFill="1" applyBorder="1" applyAlignment="1" applyProtection="1">
      <alignment horizontal="left" vertical="center" shrinkToFit="1"/>
      <protection locked="0"/>
    </xf>
    <xf numFmtId="181" fontId="14" fillId="7" borderId="8" xfId="487" applyFont="1" applyFill="1" applyBorder="1" applyAlignment="1">
      <alignment horizontal="left" vertical="center"/>
    </xf>
    <xf numFmtId="181" fontId="14" fillId="7" borderId="9" xfId="487" applyFont="1" applyFill="1" applyBorder="1" applyAlignment="1">
      <alignment horizontal="left" vertical="center"/>
    </xf>
    <xf numFmtId="181" fontId="14" fillId="7" borderId="10" xfId="487" applyFont="1" applyFill="1" applyBorder="1" applyAlignment="1">
      <alignment horizontal="left" vertical="center"/>
    </xf>
    <xf numFmtId="43" fontId="46" fillId="7" borderId="25" xfId="447" applyNumberFormat="1" applyFont="1" applyFill="1" applyBorder="1" applyAlignment="1" applyProtection="1">
      <alignment horizontal="left" vertical="center" shrinkToFit="1"/>
      <protection locked="0"/>
    </xf>
    <xf numFmtId="181" fontId="14" fillId="7" borderId="26" xfId="487" applyFont="1" applyFill="1" applyBorder="1" applyAlignment="1">
      <alignment vertical="center"/>
    </xf>
    <xf numFmtId="181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90" applyNumberFormat="1" applyFont="1" applyFill="1" applyBorder="1" applyAlignment="1" applyProtection="1">
      <alignment horizontal="left" vertical="center"/>
      <protection locked="0"/>
    </xf>
    <xf numFmtId="183" fontId="25" fillId="7" borderId="29" xfId="490" applyNumberFormat="1" applyFont="1" applyFill="1" applyBorder="1" applyAlignment="1" applyProtection="1">
      <alignment horizontal="left" vertical="center"/>
      <protection locked="0"/>
    </xf>
    <xf numFmtId="183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4" fontId="47" fillId="7" borderId="0" xfId="490" applyNumberFormat="1" applyFont="1" applyFill="1" applyAlignment="1" applyProtection="1">
      <alignment horizontal="left" vertical="center"/>
      <protection locked="0"/>
    </xf>
    <xf numFmtId="181" fontId="48" fillId="0" borderId="11" xfId="489" applyFont="1" applyBorder="1" applyAlignment="1">
      <alignment horizontal="center" vertical="center" wrapText="1"/>
    </xf>
    <xf numFmtId="181" fontId="48" fillId="0" borderId="32" xfId="489" applyFont="1" applyBorder="1" applyAlignment="1">
      <alignment horizontal="center" vertical="center" wrapText="1"/>
    </xf>
    <xf numFmtId="177" fontId="48" fillId="0" borderId="32" xfId="489" applyNumberFormat="1" applyFont="1" applyBorder="1" applyAlignment="1">
      <alignment horizontal="center" vertical="center" wrapText="1"/>
    </xf>
    <xf numFmtId="185" fontId="48" fillId="0" borderId="32" xfId="489" applyNumberFormat="1" applyFont="1" applyBorder="1" applyAlignment="1">
      <alignment horizontal="center" vertical="center" wrapText="1"/>
    </xf>
    <xf numFmtId="181" fontId="48" fillId="0" borderId="33" xfId="489" applyFont="1" applyBorder="1" applyAlignment="1">
      <alignment horizontal="center" vertical="center" wrapText="1"/>
    </xf>
    <xf numFmtId="181" fontId="29" fillId="0" borderId="24" xfId="489" applyFont="1" applyBorder="1" applyAlignment="1">
      <alignment horizontal="center" vertical="center"/>
    </xf>
    <xf numFmtId="181" fontId="29" fillId="0" borderId="7" xfId="489" applyFont="1" applyBorder="1" applyAlignment="1">
      <alignment horizontal="center" vertical="center"/>
    </xf>
    <xf numFmtId="43" fontId="29" fillId="0" borderId="7" xfId="489" applyNumberFormat="1" applyFont="1" applyBorder="1" applyAlignment="1">
      <alignment horizontal="center" vertical="center"/>
    </xf>
    <xf numFmtId="177" fontId="29" fillId="0" borderId="7" xfId="489" applyNumberFormat="1" applyFont="1" applyBorder="1" applyAlignment="1">
      <alignment horizontal="center" vertical="center"/>
    </xf>
    <xf numFmtId="185" fontId="29" fillId="0" borderId="7" xfId="489" applyNumberFormat="1" applyFont="1" applyBorder="1" applyAlignment="1">
      <alignment horizontal="center" vertical="center" wrapText="1"/>
    </xf>
    <xf numFmtId="181" fontId="29" fillId="0" borderId="25" xfId="489" applyFont="1" applyBorder="1" applyAlignment="1">
      <alignment horizontal="center" vertical="center"/>
    </xf>
    <xf numFmtId="181" fontId="29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77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 wrapText="1"/>
    </xf>
    <xf numFmtId="181" fontId="29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/>
    </xf>
    <xf numFmtId="181" fontId="28" fillId="9" borderId="24" xfId="489" applyFont="1" applyFill="1" applyBorder="1" applyAlignment="1">
      <alignment horizontal="center" vertical="center"/>
    </xf>
    <xf numFmtId="181" fontId="28" fillId="9" borderId="7" xfId="489" applyFont="1" applyFill="1" applyBorder="1" applyAlignment="1">
      <alignment horizontal="center" vertical="center"/>
    </xf>
    <xf numFmtId="185" fontId="28" fillId="9" borderId="7" xfId="489" applyNumberFormat="1" applyFont="1" applyFill="1" applyBorder="1" applyAlignment="1">
      <alignment horizontal="center" vertical="center" wrapText="1"/>
    </xf>
    <xf numFmtId="181" fontId="29" fillId="9" borderId="25" xfId="489" applyFont="1" applyFill="1" applyBorder="1" applyAlignment="1">
      <alignment horizontal="left" vertical="center"/>
    </xf>
    <xf numFmtId="181" fontId="28" fillId="9" borderId="26" xfId="489" applyFont="1" applyFill="1" applyBorder="1" applyAlignment="1">
      <alignment horizontal="center" vertical="center"/>
    </xf>
    <xf numFmtId="181" fontId="28" fillId="9" borderId="27" xfId="489" applyFont="1" applyFill="1" applyBorder="1" applyAlignment="1">
      <alignment horizontal="center" vertical="center"/>
    </xf>
    <xf numFmtId="185" fontId="28" fillId="9" borderId="27" xfId="489" applyNumberFormat="1" applyFont="1" applyFill="1" applyBorder="1" applyAlignment="1">
      <alignment horizontal="center" vertical="center" wrapText="1"/>
    </xf>
    <xf numFmtId="181" fontId="29" fillId="9" borderId="31" xfId="489" applyFont="1" applyFill="1" applyBorder="1" applyAlignment="1">
      <alignment horizontal="left" vertical="center"/>
    </xf>
    <xf numFmtId="176" fontId="41" fillId="7" borderId="0" xfId="490" applyNumberFormat="1" applyFont="1" applyFill="1" applyAlignment="1" applyProtection="1">
      <alignment horizontal="right" vertical="center"/>
      <protection locked="0"/>
    </xf>
    <xf numFmtId="181" fontId="20" fillId="7" borderId="0" xfId="491" applyFont="1" applyFill="1" applyAlignment="1">
      <alignment horizontal="right" vertical="center"/>
    </xf>
    <xf numFmtId="14" fontId="38" fillId="7" borderId="0" xfId="447" applyNumberFormat="1" applyFont="1" applyFill="1" applyAlignment="1" applyProtection="1">
      <alignment horizontal="left" vertical="center"/>
      <protection locked="0"/>
    </xf>
    <xf numFmtId="181" fontId="50" fillId="7" borderId="0" xfId="491" applyFont="1" applyFill="1" applyAlignment="1" applyProtection="1">
      <alignment horizontal="right" vertical="center"/>
      <protection locked="0"/>
    </xf>
    <xf numFmtId="181" fontId="51" fillId="7" borderId="0" xfId="491" applyFont="1" applyFill="1" applyAlignment="1" applyProtection="1">
      <alignment horizontal="left" vertical="center"/>
      <protection locked="0"/>
    </xf>
    <xf numFmtId="181" fontId="42" fillId="10" borderId="34" xfId="491" applyFont="1" applyFill="1" applyBorder="1" applyProtection="1">
      <alignment vertical="center"/>
      <protection locked="0"/>
    </xf>
    <xf numFmtId="181" fontId="42" fillId="10" borderId="0" xfId="491" applyFont="1" applyFill="1" applyProtection="1">
      <alignment vertical="center"/>
      <protection locked="0"/>
    </xf>
    <xf numFmtId="181" fontId="52" fillId="10" borderId="0" xfId="491" applyFont="1" applyFill="1" applyAlignment="1" applyProtection="1">
      <alignment horizontal="left" vertical="center"/>
      <protection locked="0"/>
    </xf>
    <xf numFmtId="181" fontId="53" fillId="10" borderId="0" xfId="491" applyFont="1" applyFill="1" applyAlignment="1" applyProtection="1">
      <alignment horizontal="left" vertical="center"/>
      <protection locked="0"/>
    </xf>
    <xf numFmtId="181" fontId="54" fillId="10" borderId="0" xfId="491" applyFont="1" applyFill="1" applyAlignment="1" applyProtection="1">
      <alignment horizontal="left" vertical="center"/>
      <protection locked="0"/>
    </xf>
    <xf numFmtId="181" fontId="55" fillId="10" borderId="0" xfId="491" applyFont="1" applyFill="1" applyProtection="1">
      <alignment vertical="center"/>
      <protection locked="0"/>
    </xf>
    <xf numFmtId="181" fontId="55" fillId="10" borderId="0" xfId="491" applyFont="1" applyFill="1" applyAlignment="1" applyProtection="1">
      <alignment horizontal="left" vertical="center"/>
      <protection locked="0"/>
    </xf>
    <xf numFmtId="181" fontId="42" fillId="10" borderId="0" xfId="443" applyFont="1" applyFill="1" applyAlignment="1">
      <alignment vertical="center"/>
    </xf>
    <xf numFmtId="181" fontId="54" fillId="10" borderId="0" xfId="491" applyFont="1" applyFill="1" applyAlignment="1" applyProtection="1">
      <alignment horizontal="right" vertical="center"/>
      <protection locked="0"/>
    </xf>
    <xf numFmtId="181" fontId="42" fillId="10" borderId="0" xfId="443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81" fontId="57" fillId="7" borderId="0" xfId="447" applyFont="1" applyFill="1" applyAlignment="1">
      <alignment horizontal="left" vertical="center"/>
    </xf>
    <xf numFmtId="181" fontId="58" fillId="7" borderId="0" xfId="447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81" fontId="30" fillId="7" borderId="0" xfId="447" applyFont="1" applyFill="1" applyAlignment="1">
      <alignment horizontal="left" vertical="center" wrapText="1"/>
    </xf>
    <xf numFmtId="185" fontId="0" fillId="7" borderId="0" xfId="447" applyNumberFormat="1" applyFill="1">
      <alignment vertical="center"/>
    </xf>
    <xf numFmtId="179" fontId="0" fillId="0" borderId="0" xfId="486" applyNumberFormat="1">
      <alignment vertical="center"/>
    </xf>
    <xf numFmtId="179" fontId="0" fillId="7" borderId="0" xfId="447" applyNumberFormat="1" applyFill="1">
      <alignment vertical="center"/>
    </xf>
    <xf numFmtId="181" fontId="0" fillId="0" borderId="0" xfId="486">
      <alignment vertical="center"/>
    </xf>
  </cellXfs>
  <cellStyles count="493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G24" sqref="G24"/>
    </sheetView>
  </sheetViews>
  <sheetFormatPr defaultColWidth="9" defaultRowHeight="13.5"/>
  <cols>
    <col min="1" max="2" width="9" style="163"/>
    <col min="3" max="3" width="10.75" style="163" customWidth="1"/>
    <col min="4" max="4" width="16.75" style="163" customWidth="1"/>
    <col min="5" max="5" width="11.75" style="163" customWidth="1"/>
    <col min="6" max="7" width="13.375" style="163" customWidth="1"/>
    <col min="8" max="8" width="9" style="163"/>
    <col min="9" max="9" width="13.875" style="163" customWidth="1"/>
    <col min="10" max="10" width="12.75" style="163" customWidth="1"/>
    <col min="11" max="11" width="14.5" style="163" customWidth="1"/>
    <col min="12" max="12" width="9" style="163"/>
    <col min="13" max="13" width="9.25" style="163" customWidth="1"/>
    <col min="14" max="16384" width="9" style="163"/>
  </cols>
  <sheetData>
    <row r="1" s="163" customFormat="1" ht="25.5" spans="1:14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="163" customFormat="1" ht="14.25" spans="1:14">
      <c r="A2" s="166"/>
      <c r="B2" s="167"/>
      <c r="C2" s="167"/>
      <c r="D2" s="168"/>
      <c r="E2" s="168"/>
      <c r="F2" s="168"/>
      <c r="G2" s="166"/>
      <c r="H2" s="166"/>
      <c r="I2" s="166"/>
      <c r="J2" s="168"/>
      <c r="K2" s="168"/>
      <c r="L2" s="168"/>
      <c r="M2" s="168"/>
      <c r="N2" s="168"/>
    </row>
    <row r="3" s="163" customFormat="1" spans="1:14">
      <c r="A3" s="169"/>
      <c r="B3" s="170"/>
      <c r="C3" s="171"/>
      <c r="D3" s="172"/>
      <c r="E3" s="173"/>
      <c r="F3" s="173"/>
      <c r="G3" s="174"/>
      <c r="H3" s="175"/>
      <c r="I3" s="170"/>
      <c r="J3" s="171"/>
      <c r="K3" s="172"/>
      <c r="L3" s="241"/>
      <c r="M3" s="168"/>
      <c r="N3" s="168"/>
    </row>
    <row r="4" s="163" customFormat="1" spans="1:14">
      <c r="A4" s="169"/>
      <c r="B4" s="176" t="s">
        <v>1</v>
      </c>
      <c r="C4" s="176"/>
      <c r="D4" s="176"/>
      <c r="E4" s="176"/>
      <c r="F4" s="176"/>
      <c r="G4" s="176"/>
      <c r="H4" s="175"/>
      <c r="K4" s="168"/>
      <c r="L4" s="242" t="s">
        <v>2</v>
      </c>
      <c r="M4" s="243">
        <f ca="1">NOW()</f>
        <v>44567.7424884259</v>
      </c>
      <c r="N4" s="168"/>
    </row>
    <row r="5" s="163" customFormat="1" spans="1:14">
      <c r="A5" s="177"/>
      <c r="B5" s="178" t="s">
        <v>3</v>
      </c>
      <c r="C5" s="172"/>
      <c r="D5" s="172"/>
      <c r="E5" s="172"/>
      <c r="F5" s="172"/>
      <c r="G5" s="172"/>
      <c r="H5" s="179"/>
      <c r="I5" s="175"/>
      <c r="J5" s="170"/>
      <c r="K5" s="171"/>
      <c r="L5" s="241"/>
      <c r="M5" s="168"/>
      <c r="N5" s="168"/>
    </row>
    <row r="6" s="163" customFormat="1" ht="9.75" customHeight="1" spans="1:14">
      <c r="A6" s="180"/>
      <c r="B6" s="180"/>
      <c r="C6" s="180"/>
      <c r="D6" s="180"/>
      <c r="E6" s="180"/>
      <c r="F6" s="180"/>
      <c r="G6" s="180"/>
      <c r="H6" s="180"/>
      <c r="I6" s="244"/>
      <c r="J6" s="244"/>
      <c r="K6" s="245"/>
      <c r="L6" s="245"/>
      <c r="M6" s="245"/>
      <c r="N6" s="245"/>
    </row>
    <row r="7" s="163" customFormat="1" ht="15" spans="1:14">
      <c r="A7" s="180"/>
      <c r="B7" s="181" t="s">
        <v>4</v>
      </c>
      <c r="C7" s="182"/>
      <c r="D7" s="182"/>
      <c r="E7" s="182"/>
      <c r="F7" s="182"/>
      <c r="G7" s="182"/>
      <c r="H7" s="182"/>
      <c r="I7" s="246"/>
      <c r="J7" s="247" t="s">
        <v>5</v>
      </c>
      <c r="K7" s="248"/>
      <c r="L7" s="167"/>
      <c r="M7" s="167"/>
      <c r="N7" s="249"/>
    </row>
    <row r="8" s="163" customFormat="1" ht="14.25" spans="1:14">
      <c r="A8" s="180"/>
      <c r="B8" s="183" t="s">
        <v>6</v>
      </c>
      <c r="C8" s="184"/>
      <c r="D8" s="184"/>
      <c r="E8" s="185">
        <f>G25</f>
        <v>10738.77</v>
      </c>
      <c r="F8" s="186"/>
      <c r="G8" s="186"/>
      <c r="H8" s="187"/>
      <c r="I8" s="250"/>
      <c r="J8" s="251" t="s">
        <v>7</v>
      </c>
      <c r="K8" s="251"/>
      <c r="L8" s="251"/>
      <c r="M8" s="251"/>
      <c r="N8" s="251"/>
    </row>
    <row r="9" s="163" customFormat="1" ht="14.25" spans="1:14">
      <c r="A9" s="180"/>
      <c r="B9" s="188" t="s">
        <v>8</v>
      </c>
      <c r="C9" s="189"/>
      <c r="D9" s="189"/>
      <c r="E9" s="190">
        <f>G24</f>
        <v>10738.77</v>
      </c>
      <c r="F9" s="191"/>
      <c r="G9" s="191"/>
      <c r="H9" s="192"/>
      <c r="I9" s="252"/>
      <c r="J9" s="253" t="s">
        <v>9</v>
      </c>
      <c r="K9" s="253"/>
      <c r="L9" s="253"/>
      <c r="M9" s="253"/>
      <c r="N9" s="253"/>
    </row>
    <row r="10" s="163" customFormat="1" ht="15" customHeight="1" spans="1:14">
      <c r="A10" s="180"/>
      <c r="B10" s="193" t="s">
        <v>10</v>
      </c>
      <c r="C10" s="194"/>
      <c r="D10" s="195">
        <f>G24</f>
        <v>10738.77</v>
      </c>
      <c r="E10" s="196" t="s">
        <v>11</v>
      </c>
      <c r="F10" s="197"/>
      <c r="G10" s="198"/>
      <c r="H10" s="199">
        <v>0</v>
      </c>
      <c r="I10" s="254"/>
      <c r="J10" s="253" t="s">
        <v>12</v>
      </c>
      <c r="K10" s="255"/>
      <c r="L10" s="255"/>
      <c r="M10" s="255"/>
      <c r="N10" s="255"/>
    </row>
    <row r="11" s="163" customFormat="1" ht="14.25" spans="1:14">
      <c r="A11" s="180"/>
      <c r="B11" s="200" t="s">
        <v>13</v>
      </c>
      <c r="C11" s="201"/>
      <c r="D11" s="202"/>
      <c r="E11" s="203" t="s">
        <v>14</v>
      </c>
      <c r="F11" s="204"/>
      <c r="G11" s="205"/>
      <c r="H11" s="206"/>
      <c r="I11" s="256"/>
      <c r="J11" s="257"/>
      <c r="K11" s="256"/>
      <c r="L11" s="256"/>
      <c r="M11" s="256"/>
      <c r="N11" s="258"/>
    </row>
    <row r="12" s="163" customFormat="1" spans="1:14">
      <c r="A12" s="177"/>
      <c r="B12" s="200" t="s">
        <v>15</v>
      </c>
      <c r="C12" s="201"/>
      <c r="D12" s="202">
        <v>0</v>
      </c>
      <c r="E12" s="203" t="s">
        <v>16</v>
      </c>
      <c r="F12" s="204"/>
      <c r="G12" s="205"/>
      <c r="H12" s="206"/>
      <c r="I12" s="259"/>
      <c r="J12" s="260"/>
      <c r="K12" s="261"/>
      <c r="L12" s="261"/>
      <c r="M12" s="261"/>
      <c r="N12" s="261"/>
    </row>
    <row r="13" s="163" customFormat="1" ht="14.25" spans="1:14">
      <c r="A13" s="168"/>
      <c r="B13" s="207" t="s">
        <v>17</v>
      </c>
      <c r="C13" s="208"/>
      <c r="D13" s="209">
        <v>0</v>
      </c>
      <c r="E13" s="210"/>
      <c r="F13" s="211"/>
      <c r="G13" s="212"/>
      <c r="H13" s="213"/>
      <c r="I13" s="180"/>
      <c r="J13" s="262"/>
      <c r="K13" s="263"/>
      <c r="L13" s="263"/>
      <c r="M13" s="263"/>
      <c r="N13" s="263"/>
    </row>
    <row r="14" s="163" customFormat="1" ht="5.25" customHeight="1" spans="1:14">
      <c r="A14" s="214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</row>
    <row r="15" s="163" customFormat="1" spans="1:14">
      <c r="A15" s="168" t="s">
        <v>18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s="163" customFormat="1" ht="3" customHeight="1" spans="1:14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="163" customFormat="1" ht="18.75" spans="2:13">
      <c r="B17" s="215" t="s">
        <v>19</v>
      </c>
      <c r="C17" s="216" t="s">
        <v>20</v>
      </c>
      <c r="D17" s="216" t="s">
        <v>21</v>
      </c>
      <c r="E17" s="216"/>
      <c r="F17" s="217" t="s">
        <v>22</v>
      </c>
      <c r="G17" s="218" t="s">
        <v>23</v>
      </c>
      <c r="H17" s="219" t="s">
        <v>24</v>
      </c>
      <c r="J17" s="264" t="s">
        <v>25</v>
      </c>
      <c r="K17" s="264"/>
      <c r="L17" s="264"/>
      <c r="M17" s="264"/>
    </row>
    <row r="18" s="164" customFormat="1" ht="16.5" spans="2:13">
      <c r="B18" s="220">
        <v>1</v>
      </c>
      <c r="C18" s="221" t="s">
        <v>26</v>
      </c>
      <c r="D18" s="222" t="s">
        <v>27</v>
      </c>
      <c r="E18" s="222"/>
      <c r="F18" s="223"/>
      <c r="G18" s="224">
        <f>'（居民）工资表-1月'!E10</f>
        <v>4754.52</v>
      </c>
      <c r="H18" s="225"/>
      <c r="J18" s="264"/>
      <c r="K18" s="264"/>
      <c r="L18" s="264"/>
      <c r="M18" s="264"/>
    </row>
    <row r="19" s="164" customFormat="1" ht="16.5" spans="2:13">
      <c r="B19" s="220">
        <v>2</v>
      </c>
      <c r="C19" s="221"/>
      <c r="D19" s="222" t="s">
        <v>28</v>
      </c>
      <c r="E19" s="222" t="s">
        <v>29</v>
      </c>
      <c r="F19" s="223"/>
      <c r="G19" s="224">
        <f>社保1!AU19</f>
        <v>5204.25</v>
      </c>
      <c r="H19" s="226"/>
      <c r="J19" s="264"/>
      <c r="K19" s="264"/>
      <c r="L19" s="264"/>
      <c r="M19" s="264"/>
    </row>
    <row r="20" s="164" customFormat="1" ht="16.5" spans="2:13">
      <c r="B20" s="220">
        <v>3</v>
      </c>
      <c r="C20" s="221"/>
      <c r="D20" s="222" t="s">
        <v>30</v>
      </c>
      <c r="E20" s="222" t="s">
        <v>29</v>
      </c>
      <c r="F20" s="223"/>
      <c r="G20" s="224">
        <f>社保1!AV19</f>
        <v>540</v>
      </c>
      <c r="H20" s="226"/>
      <c r="J20" s="264"/>
      <c r="K20" s="264"/>
      <c r="L20" s="264"/>
      <c r="M20" s="264"/>
    </row>
    <row r="21" s="164" customFormat="1" ht="16.5" spans="2:13">
      <c r="B21" s="220">
        <v>4</v>
      </c>
      <c r="C21" s="221"/>
      <c r="D21" s="227" t="s">
        <v>31</v>
      </c>
      <c r="E21" s="227"/>
      <c r="F21" s="228"/>
      <c r="G21" s="229">
        <f>SUM(G18:G20)</f>
        <v>10498.77</v>
      </c>
      <c r="H21" s="225"/>
      <c r="J21" s="264"/>
      <c r="K21" s="264"/>
      <c r="L21" s="264"/>
      <c r="M21" s="264"/>
    </row>
    <row r="22" s="164" customFormat="1" ht="16.5" spans="2:13">
      <c r="B22" s="220">
        <v>5</v>
      </c>
      <c r="C22" s="221" t="s">
        <v>32</v>
      </c>
      <c r="D22" s="227" t="s">
        <v>33</v>
      </c>
      <c r="E22" s="227"/>
      <c r="F22" s="228"/>
      <c r="G22" s="229">
        <f>社保1!AW19</f>
        <v>240</v>
      </c>
      <c r="H22" s="225"/>
      <c r="J22" s="264"/>
      <c r="K22" s="264"/>
      <c r="L22" s="264"/>
      <c r="M22" s="264"/>
    </row>
    <row r="23" s="164" customFormat="1" ht="16.5" spans="2:13">
      <c r="B23" s="220">
        <v>6</v>
      </c>
      <c r="C23" s="230"/>
      <c r="D23" s="231"/>
      <c r="E23" s="231"/>
      <c r="F23" s="231"/>
      <c r="G23" s="232"/>
      <c r="H23" s="225"/>
      <c r="J23" s="264"/>
      <c r="K23" s="264"/>
      <c r="L23" s="264"/>
      <c r="M23" s="264"/>
    </row>
    <row r="24" s="163" customFormat="1" ht="16.5" spans="2:8">
      <c r="B24" s="233" t="s">
        <v>34</v>
      </c>
      <c r="C24" s="234"/>
      <c r="D24" s="234"/>
      <c r="E24" s="234"/>
      <c r="F24" s="234"/>
      <c r="G24" s="235">
        <f>G23+G22+G21</f>
        <v>10738.77</v>
      </c>
      <c r="H24" s="236"/>
    </row>
    <row r="25" s="163" customFormat="1" ht="17.25" spans="2:9">
      <c r="B25" s="237" t="s">
        <v>35</v>
      </c>
      <c r="C25" s="238"/>
      <c r="D25" s="238"/>
      <c r="E25" s="238"/>
      <c r="F25" s="238"/>
      <c r="G25" s="239">
        <f>G24</f>
        <v>10738.77</v>
      </c>
      <c r="H25" s="240"/>
      <c r="I25" s="265"/>
    </row>
    <row r="26" s="163" customFormat="1" ht="14.25"/>
    <row r="27" s="163" customFormat="1" spans="2:15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30" s="163" customFormat="1" spans="10:10">
      <c r="J30" s="266"/>
    </row>
    <row r="32" s="163" customFormat="1" spans="10:10">
      <c r="J32" s="267"/>
    </row>
    <row r="35" s="163" customFormat="1" spans="9:9">
      <c r="I35" s="268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conditionalFormatting sqref="F20:H20 F19 E19:E20 C21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L4+IFERROR(VLOOKUP($E:$E,'（居民）工资表-7月'!$E:$S,15,0),0)</f>
        <v>41200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4385.91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-3185.91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41200</v>
      </c>
      <c r="T5" s="74">
        <f t="shared" si="0"/>
        <v>40000</v>
      </c>
      <c r="U5" s="74">
        <f t="shared" si="0"/>
        <v>4385.91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-3185.91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L4+IFERROR(VLOOKUP($E:$E,'（居民）工资表-8月'!$E:$S,15,0),0)</f>
        <v>46700</v>
      </c>
      <c r="T4" s="91">
        <f>5000+IFERROR(VLOOKUP($E:$E,'（居民）工资表-8月'!$E:$T,16,0),0)</f>
        <v>45000</v>
      </c>
      <c r="U4" s="91">
        <f>Q4+IFERROR(VLOOKUP($E:$E,'（居民）工资表-8月'!$E:$U,17,0),0)</f>
        <v>4847.47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-3147.47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46700</v>
      </c>
      <c r="T5" s="74">
        <f t="shared" si="0"/>
        <v>45000</v>
      </c>
      <c r="U5" s="74">
        <f t="shared" si="0"/>
        <v>4847.47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-3147.47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L4+IFERROR(VLOOKUP($E:$E,'（居民）工资表-9月'!$E:$S,15,0),0)</f>
        <v>52200</v>
      </c>
      <c r="T4" s="91">
        <f>5000+IFERROR(VLOOKUP($E:$E,'（居民）工资表-9月'!$E:$T,16,0),0)</f>
        <v>50000</v>
      </c>
      <c r="U4" s="91">
        <f>Q4+IFERROR(VLOOKUP($E:$E,'（居民）工资表-9月'!$E:$U,17,0),0)</f>
        <v>5309.03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-3109.03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52200</v>
      </c>
      <c r="T5" s="74">
        <f t="shared" si="0"/>
        <v>50000</v>
      </c>
      <c r="U5" s="74">
        <f t="shared" si="0"/>
        <v>5309.03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-3109.03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27" sqref="G2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L4+IFERROR(VLOOKUP($E:$E,'（居民）工资表-10月'!$E:$S,15,0),0)</f>
        <v>57700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5770.59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-3070.59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57700</v>
      </c>
      <c r="T5" s="74">
        <f t="shared" si="0"/>
        <v>55000</v>
      </c>
      <c r="U5" s="74">
        <f t="shared" si="0"/>
        <v>5770.59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-3070.59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K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30" customHeight="1" spans="1:46">
      <c r="A4" s="36">
        <v>1</v>
      </c>
      <c r="B4" s="113" t="s">
        <v>138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f>279.28+216.32</f>
        <v>495.6</v>
      </c>
      <c r="N4" s="71">
        <f>54.08+74.82</f>
        <v>128.9</v>
      </c>
      <c r="O4" s="71">
        <f>17.46+13.52</f>
        <v>30.98</v>
      </c>
      <c r="P4" s="71">
        <v>90</v>
      </c>
      <c r="Q4" s="89">
        <f>ROUND(SUM(M4:P4),2)</f>
        <v>745.48</v>
      </c>
      <c r="R4" s="70">
        <v>0</v>
      </c>
      <c r="S4" s="90">
        <f>L4</f>
        <v>5500</v>
      </c>
      <c r="T4" s="91">
        <v>5000</v>
      </c>
      <c r="U4" s="91">
        <f>Q4</f>
        <v>745.48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-245.48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4754.52</v>
      </c>
      <c r="AI4" s="103"/>
      <c r="AJ4" s="102">
        <f>AH4+AI4</f>
        <v>4754.52</v>
      </c>
      <c r="AK4" s="104"/>
      <c r="AL4" s="102">
        <f>AJ4+AG4+AK4</f>
        <v>4754.52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495.6</v>
      </c>
      <c r="N5" s="74">
        <f t="shared" si="0"/>
        <v>128.9</v>
      </c>
      <c r="O5" s="74">
        <f t="shared" si="0"/>
        <v>30.98</v>
      </c>
      <c r="P5" s="74">
        <f t="shared" si="0"/>
        <v>90</v>
      </c>
      <c r="Q5" s="74">
        <f t="shared" si="0"/>
        <v>745.48</v>
      </c>
      <c r="R5" s="74">
        <f t="shared" si="0"/>
        <v>0</v>
      </c>
      <c r="S5" s="74">
        <f t="shared" si="0"/>
        <v>5500</v>
      </c>
      <c r="T5" s="74">
        <f t="shared" si="0"/>
        <v>5000</v>
      </c>
      <c r="U5" s="74">
        <f t="shared" si="0"/>
        <v>745.48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-245.48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4754.52</v>
      </c>
      <c r="AI5" s="105">
        <f t="shared" si="0"/>
        <v>0</v>
      </c>
      <c r="AJ5" s="74">
        <f t="shared" si="0"/>
        <v>4754.52</v>
      </c>
      <c r="AK5" s="74">
        <f t="shared" si="0"/>
        <v>0</v>
      </c>
      <c r="AL5" s="74">
        <f t="shared" si="0"/>
        <v>4754.52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4754.52</v>
      </c>
      <c r="C10" s="48">
        <f>AG5</f>
        <v>0</v>
      </c>
      <c r="D10" s="48">
        <f>AK5</f>
        <v>0</v>
      </c>
      <c r="E10" s="48">
        <f>B10+C10+D10</f>
        <v>4754.52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10" stopIfTrue="1"/>
  </conditionalFormatting>
  <conditionalFormatting sqref="B12:B16">
    <cfRule type="duplicateValues" dxfId="2" priority="1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17" stopIfTrue="1"/>
    <cfRule type="expression" dxfId="3" priority="19" stopIfTrue="1">
      <formula>AND(COUNTIF($B$5:$B$65441,C9)+COUNTIF($B$1:$B$3,C9)&gt;1,NOT(ISBLANK(C9)))</formula>
    </cfRule>
    <cfRule type="expression" dxfId="3" priority="21" stopIfTrue="1">
      <formula>AND(COUNTIF($B$16:$B$65392,C9)+COUNTIF($B$1:$B$15,C9)&gt;1,NOT(ISBLANK(C9)))</formula>
    </cfRule>
    <cfRule type="expression" dxfId="3" priority="23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L4+IFERROR(VLOOKUP($E:$E,'（居民）工资表-11月'!$E:$S,15,0),0)</f>
        <v>63200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6232.15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-3032.15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63200</v>
      </c>
      <c r="T5" s="74">
        <f t="shared" si="0"/>
        <v>60000</v>
      </c>
      <c r="U5" s="74">
        <f t="shared" si="0"/>
        <v>6232.15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-3032.15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139</v>
      </c>
      <c r="C1" s="1"/>
      <c r="D1" s="1"/>
      <c r="E1" s="1"/>
    </row>
    <row r="2" ht="21" spans="2:2">
      <c r="B2" s="2"/>
    </row>
    <row r="3" ht="27.75" customHeight="1" spans="2:5">
      <c r="B3" s="3" t="s">
        <v>140</v>
      </c>
      <c r="C3" s="4" t="s">
        <v>141</v>
      </c>
      <c r="D3" s="4" t="s">
        <v>142</v>
      </c>
      <c r="E3" s="4" t="s">
        <v>143</v>
      </c>
    </row>
    <row r="4" ht="29.25" customHeight="1" spans="2:5">
      <c r="B4" s="5">
        <v>1</v>
      </c>
      <c r="C4" s="6" t="s">
        <v>144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145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146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147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148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149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150</v>
      </c>
      <c r="D10" s="7">
        <v>0.45</v>
      </c>
      <c r="E10" s="8">
        <v>181920</v>
      </c>
    </row>
    <row r="13" ht="57" customHeight="1" spans="2:5">
      <c r="B13" s="1" t="s">
        <v>151</v>
      </c>
      <c r="C13" s="1"/>
      <c r="D13" s="1"/>
      <c r="E13" s="1"/>
    </row>
    <row r="14" ht="21" spans="2:2">
      <c r="B14" s="2"/>
    </row>
    <row r="15" ht="27.75" customHeight="1" spans="2:5">
      <c r="B15" s="3" t="s">
        <v>140</v>
      </c>
      <c r="C15" s="4" t="s">
        <v>152</v>
      </c>
      <c r="D15" s="4" t="s">
        <v>142</v>
      </c>
      <c r="E15" s="4" t="s">
        <v>143</v>
      </c>
    </row>
    <row r="16" ht="29.25" customHeight="1" spans="2:5">
      <c r="B16" s="5">
        <v>1</v>
      </c>
      <c r="C16" s="6" t="s">
        <v>153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154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155</v>
      </c>
      <c r="D18" s="7">
        <v>0.4</v>
      </c>
      <c r="E18" s="8">
        <v>7000</v>
      </c>
    </row>
    <row r="21" ht="47.25" customHeight="1" spans="2:5">
      <c r="B21" s="1" t="s">
        <v>156</v>
      </c>
      <c r="C21" s="1"/>
      <c r="D21" s="1"/>
      <c r="E21" s="1"/>
    </row>
    <row r="22" ht="21" spans="2:2">
      <c r="B22" s="2"/>
    </row>
    <row r="23" ht="27.75" customHeight="1" spans="2:5">
      <c r="B23" s="3" t="s">
        <v>140</v>
      </c>
      <c r="C23" s="4" t="s">
        <v>157</v>
      </c>
      <c r="D23" s="4" t="s">
        <v>142</v>
      </c>
      <c r="E23" s="4" t="s">
        <v>143</v>
      </c>
    </row>
    <row r="24" ht="29.25" customHeight="1" spans="2:5">
      <c r="B24" s="5">
        <v>1</v>
      </c>
      <c r="C24" s="6" t="s">
        <v>158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159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160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161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162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163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164</v>
      </c>
      <c r="D30" s="7">
        <v>0.45</v>
      </c>
      <c r="E30" s="8">
        <v>15160</v>
      </c>
    </row>
    <row r="35" ht="57" customHeight="1" spans="2:5">
      <c r="B35" s="9" t="s">
        <v>165</v>
      </c>
      <c r="C35" s="9"/>
      <c r="D35" s="9"/>
      <c r="E35" s="9"/>
    </row>
    <row r="36" ht="14.25"/>
    <row r="37" ht="21.75" customHeight="1" spans="2:5">
      <c r="B37" s="3" t="s">
        <v>140</v>
      </c>
      <c r="C37" s="4" t="s">
        <v>166</v>
      </c>
      <c r="D37" s="4" t="s">
        <v>167</v>
      </c>
      <c r="E37" s="4" t="s">
        <v>143</v>
      </c>
    </row>
    <row r="38" ht="21.75" customHeight="1" spans="2:5">
      <c r="B38" s="5">
        <v>1</v>
      </c>
      <c r="C38" s="6" t="s">
        <v>158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159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160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161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162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163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164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>
        <f>U4/2</f>
        <v>776.62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9900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1553.24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-1653.24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9900</v>
      </c>
      <c r="T5" s="74">
        <f t="shared" si="0"/>
        <v>10000</v>
      </c>
      <c r="U5" s="74">
        <f t="shared" si="0"/>
        <v>1553.24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-1653.24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workbookViewId="0">
      <selection activeCell="H1" sqref="H1:H5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4" customFormat="1" ht="18.95" customHeight="1" spans="1:52">
      <c r="A1" s="119" t="s">
        <v>19</v>
      </c>
      <c r="B1" s="119" t="s">
        <v>102</v>
      </c>
      <c r="C1" s="119" t="s">
        <v>103</v>
      </c>
      <c r="D1" s="119" t="s">
        <v>104</v>
      </c>
      <c r="E1" s="119" t="s">
        <v>105</v>
      </c>
      <c r="F1" s="119" t="s">
        <v>106</v>
      </c>
      <c r="G1" s="119" t="s">
        <v>107</v>
      </c>
      <c r="H1" s="119" t="s">
        <v>108</v>
      </c>
      <c r="I1" s="132" t="s">
        <v>109</v>
      </c>
      <c r="J1" s="132"/>
      <c r="K1" s="132"/>
      <c r="L1" s="132"/>
      <c r="M1" s="132"/>
      <c r="N1" s="132" t="s">
        <v>110</v>
      </c>
      <c r="O1" s="132"/>
      <c r="P1" s="132"/>
      <c r="Q1" s="132"/>
      <c r="R1" s="132"/>
      <c r="S1" s="132" t="s">
        <v>111</v>
      </c>
      <c r="T1" s="132"/>
      <c r="U1" s="132"/>
      <c r="V1" s="132"/>
      <c r="W1" s="132"/>
      <c r="X1" s="132" t="s">
        <v>112</v>
      </c>
      <c r="Y1" s="132"/>
      <c r="Z1" s="132"/>
      <c r="AA1" s="132" t="s">
        <v>113</v>
      </c>
      <c r="AB1" s="132"/>
      <c r="AC1" s="132"/>
      <c r="AD1" s="132" t="s">
        <v>114</v>
      </c>
      <c r="AE1" s="142"/>
      <c r="AF1" s="132"/>
      <c r="AG1" s="142"/>
      <c r="AH1" s="132"/>
      <c r="AI1" s="132" t="s">
        <v>115</v>
      </c>
      <c r="AJ1" s="132"/>
      <c r="AK1" s="132"/>
      <c r="AL1" s="132"/>
      <c r="AM1" s="132"/>
      <c r="AN1" s="132" t="s">
        <v>116</v>
      </c>
      <c r="AO1" s="132"/>
      <c r="AP1" s="132" t="s">
        <v>117</v>
      </c>
      <c r="AQ1" s="132"/>
      <c r="AR1" s="132"/>
      <c r="AS1" s="132"/>
      <c r="AT1" s="132"/>
      <c r="AU1" s="132" t="s">
        <v>118</v>
      </c>
      <c r="AV1" s="132" t="s">
        <v>119</v>
      </c>
      <c r="AW1" s="132" t="s">
        <v>65</v>
      </c>
      <c r="AX1" s="132" t="s">
        <v>91</v>
      </c>
      <c r="AY1" s="119" t="s">
        <v>24</v>
      </c>
      <c r="AZ1" s="145"/>
    </row>
    <row r="2" s="114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32" t="s">
        <v>120</v>
      </c>
      <c r="J2" s="133" t="s">
        <v>121</v>
      </c>
      <c r="K2" s="132" t="s">
        <v>122</v>
      </c>
      <c r="L2" s="133" t="s">
        <v>123</v>
      </c>
      <c r="M2" s="132" t="s">
        <v>124</v>
      </c>
      <c r="N2" s="132" t="s">
        <v>120</v>
      </c>
      <c r="O2" s="133" t="s">
        <v>121</v>
      </c>
      <c r="P2" s="132" t="s">
        <v>122</v>
      </c>
      <c r="Q2" s="133" t="s">
        <v>123</v>
      </c>
      <c r="R2" s="132" t="s">
        <v>124</v>
      </c>
      <c r="S2" s="132" t="s">
        <v>120</v>
      </c>
      <c r="T2" s="133" t="s">
        <v>121</v>
      </c>
      <c r="U2" s="132" t="s">
        <v>122</v>
      </c>
      <c r="V2" s="133" t="s">
        <v>123</v>
      </c>
      <c r="W2" s="132" t="s">
        <v>124</v>
      </c>
      <c r="X2" s="132" t="s">
        <v>120</v>
      </c>
      <c r="Y2" s="133" t="s">
        <v>125</v>
      </c>
      <c r="Z2" s="132" t="s">
        <v>23</v>
      </c>
      <c r="AA2" s="132" t="s">
        <v>120</v>
      </c>
      <c r="AB2" s="133" t="s">
        <v>125</v>
      </c>
      <c r="AC2" s="132" t="s">
        <v>23</v>
      </c>
      <c r="AD2" s="132" t="s">
        <v>120</v>
      </c>
      <c r="AE2" s="133" t="s">
        <v>121</v>
      </c>
      <c r="AF2" s="132" t="s">
        <v>122</v>
      </c>
      <c r="AG2" s="133" t="s">
        <v>123</v>
      </c>
      <c r="AH2" s="132" t="s">
        <v>124</v>
      </c>
      <c r="AI2" s="132" t="s">
        <v>120</v>
      </c>
      <c r="AJ2" s="132" t="s">
        <v>121</v>
      </c>
      <c r="AK2" s="132" t="s">
        <v>122</v>
      </c>
      <c r="AL2" s="132" t="s">
        <v>123</v>
      </c>
      <c r="AM2" s="132" t="s">
        <v>124</v>
      </c>
      <c r="AN2" s="132" t="s">
        <v>126</v>
      </c>
      <c r="AO2" s="132" t="s">
        <v>127</v>
      </c>
      <c r="AP2" s="132" t="s">
        <v>128</v>
      </c>
      <c r="AQ2" s="132" t="s">
        <v>129</v>
      </c>
      <c r="AR2" s="132" t="s">
        <v>130</v>
      </c>
      <c r="AS2" s="132" t="s">
        <v>78</v>
      </c>
      <c r="AT2" s="132" t="s">
        <v>31</v>
      </c>
      <c r="AU2" s="132"/>
      <c r="AV2" s="132"/>
      <c r="AW2" s="132"/>
      <c r="AX2" s="132"/>
      <c r="AY2" s="119"/>
      <c r="AZ2" s="145"/>
    </row>
    <row r="3" s="114" customFormat="1" ht="18.95" customHeight="1" spans="1:55">
      <c r="A3" s="121">
        <v>1</v>
      </c>
      <c r="B3" s="121" t="s">
        <v>131</v>
      </c>
      <c r="C3" s="121" t="s">
        <v>132</v>
      </c>
      <c r="D3" s="122"/>
      <c r="E3" s="123" t="s">
        <v>86</v>
      </c>
      <c r="F3" s="124" t="s">
        <v>88</v>
      </c>
      <c r="G3" s="121">
        <v>202101</v>
      </c>
      <c r="H3" s="125">
        <v>202105</v>
      </c>
      <c r="I3" s="134">
        <v>3491</v>
      </c>
      <c r="J3" s="135">
        <v>0.16</v>
      </c>
      <c r="K3" s="134">
        <f t="shared" ref="K3:K9" si="0">ROUND(I3*J3,2)</f>
        <v>558.56</v>
      </c>
      <c r="L3" s="135">
        <v>0.08</v>
      </c>
      <c r="M3" s="134">
        <f t="shared" ref="M3:M9" si="1">ROUND(I3*L3,2)</f>
        <v>279.28</v>
      </c>
      <c r="N3" s="134">
        <v>3491</v>
      </c>
      <c r="O3" s="135">
        <v>0.085</v>
      </c>
      <c r="P3" s="136">
        <f>ROUND(N3*O3,2)</f>
        <v>296.74</v>
      </c>
      <c r="Q3" s="135">
        <v>0.02</v>
      </c>
      <c r="R3" s="134">
        <f>ROUND(N3*Q3,2)</f>
        <v>69.82</v>
      </c>
      <c r="S3" s="134">
        <v>3491</v>
      </c>
      <c r="T3" s="135">
        <v>0.005</v>
      </c>
      <c r="U3" s="134">
        <f t="shared" ref="U3:U9" si="2">ROUND(S3*T3,2)</f>
        <v>17.46</v>
      </c>
      <c r="V3" s="135">
        <v>0.005</v>
      </c>
      <c r="W3" s="134">
        <f t="shared" ref="W3:W9" si="3">ROUND(S3*V3,2)</f>
        <v>17.46</v>
      </c>
      <c r="X3" s="134"/>
      <c r="Y3" s="135"/>
      <c r="Z3" s="134"/>
      <c r="AA3" s="134">
        <v>3491</v>
      </c>
      <c r="AB3" s="143">
        <v>0.006</v>
      </c>
      <c r="AC3" s="134">
        <f t="shared" ref="AC3:AC9" si="4">ROUND(AA3*AB3,2)</f>
        <v>20.95</v>
      </c>
      <c r="AD3" s="134" t="s">
        <v>133</v>
      </c>
      <c r="AE3" s="135">
        <v>0.05</v>
      </c>
      <c r="AF3" s="134">
        <f t="shared" ref="AF3:AF8" si="5">ROUND(AD3*AE3,2)</f>
        <v>90</v>
      </c>
      <c r="AG3" s="135">
        <v>0.05</v>
      </c>
      <c r="AH3" s="134">
        <f t="shared" ref="AH3:AH8" si="6">ROUND(AD3*AG3,2)</f>
        <v>90</v>
      </c>
      <c r="AI3" s="134"/>
      <c r="AJ3" s="134"/>
      <c r="AK3" s="134"/>
      <c r="AL3" s="134"/>
      <c r="AM3" s="134"/>
      <c r="AN3" s="134">
        <f t="shared" ref="AN3:AN8" si="7">3491*0.015</f>
        <v>52.365</v>
      </c>
      <c r="AO3" s="134">
        <v>5</v>
      </c>
      <c r="AP3" s="136">
        <f t="shared" ref="AP3:AP9" si="8">ROUND(SUM(K3,P3,U3,Z3,AC3,AK3,AN3),2)</f>
        <v>946.08</v>
      </c>
      <c r="AQ3" s="136">
        <f t="shared" ref="AQ3:AQ9" si="9">ROUND(SUM(M3,R3,W3,AM3,AO3),2)</f>
        <v>371.56</v>
      </c>
      <c r="AR3" s="136">
        <f t="shared" ref="AR3:AR9" si="10">AF3</f>
        <v>90</v>
      </c>
      <c r="AS3" s="136">
        <f t="shared" ref="AS3:AS9" si="11">AH3</f>
        <v>90</v>
      </c>
      <c r="AT3" s="136">
        <f t="shared" ref="AT3:AT9" si="12">ROUND(AP3+AQ3+AR3+AS3,2)</f>
        <v>1497.64</v>
      </c>
      <c r="AU3" s="136">
        <f t="shared" ref="AU3:AU9" si="13">ROUND(AP3+AQ3,2)</f>
        <v>1317.64</v>
      </c>
      <c r="AV3" s="136">
        <f t="shared" ref="AV3:AV9" si="14">ROUND(AS3+AR3,2)</f>
        <v>180</v>
      </c>
      <c r="AW3" s="136">
        <v>80</v>
      </c>
      <c r="AX3" s="136">
        <f t="shared" ref="AX3:AX9" si="15">ROUND(SUM(AU3:AW3),2)</f>
        <v>1577.64</v>
      </c>
      <c r="AY3" s="122"/>
      <c r="AZ3" s="145"/>
      <c r="BA3" s="146"/>
      <c r="BB3" s="114" t="s">
        <v>134</v>
      </c>
      <c r="BC3" s="146"/>
    </row>
    <row r="4" s="114" customFormat="1" ht="18.95" customHeight="1" spans="1:55">
      <c r="A4" s="121"/>
      <c r="B4" s="121" t="s">
        <v>131</v>
      </c>
      <c r="C4" s="121" t="s">
        <v>132</v>
      </c>
      <c r="D4" s="122"/>
      <c r="E4" s="123" t="s">
        <v>86</v>
      </c>
      <c r="F4" s="124" t="s">
        <v>88</v>
      </c>
      <c r="G4" s="121">
        <v>202101</v>
      </c>
      <c r="H4" s="125">
        <v>202106</v>
      </c>
      <c r="I4" s="134">
        <v>3491</v>
      </c>
      <c r="J4" s="135">
        <v>0.16</v>
      </c>
      <c r="K4" s="134">
        <f t="shared" si="0"/>
        <v>558.56</v>
      </c>
      <c r="L4" s="135">
        <v>0.08</v>
      </c>
      <c r="M4" s="134">
        <f t="shared" si="1"/>
        <v>279.28</v>
      </c>
      <c r="N4" s="134">
        <v>3491</v>
      </c>
      <c r="O4" s="135">
        <v>0.085</v>
      </c>
      <c r="P4" s="136">
        <f>ROUND(N4*O4,2)</f>
        <v>296.74</v>
      </c>
      <c r="Q4" s="135">
        <v>0.02</v>
      </c>
      <c r="R4" s="134">
        <f>ROUND(N4*Q4,2)</f>
        <v>69.82</v>
      </c>
      <c r="S4" s="134">
        <v>3491</v>
      </c>
      <c r="T4" s="135">
        <v>0.005</v>
      </c>
      <c r="U4" s="134">
        <f t="shared" si="2"/>
        <v>17.46</v>
      </c>
      <c r="V4" s="135">
        <v>0.005</v>
      </c>
      <c r="W4" s="134">
        <f t="shared" si="3"/>
        <v>17.46</v>
      </c>
      <c r="X4" s="134"/>
      <c r="Y4" s="135"/>
      <c r="Z4" s="134"/>
      <c r="AA4" s="134">
        <v>3491</v>
      </c>
      <c r="AB4" s="143">
        <v>0.006</v>
      </c>
      <c r="AC4" s="134">
        <f t="shared" si="4"/>
        <v>20.95</v>
      </c>
      <c r="AD4" s="134" t="s">
        <v>133</v>
      </c>
      <c r="AE4" s="135">
        <v>0.05</v>
      </c>
      <c r="AF4" s="134">
        <f t="shared" si="5"/>
        <v>90</v>
      </c>
      <c r="AG4" s="135">
        <v>0.05</v>
      </c>
      <c r="AH4" s="134">
        <f t="shared" si="6"/>
        <v>90</v>
      </c>
      <c r="AI4" s="134"/>
      <c r="AJ4" s="134"/>
      <c r="AK4" s="134"/>
      <c r="AL4" s="134"/>
      <c r="AM4" s="134"/>
      <c r="AN4" s="134">
        <f t="shared" si="7"/>
        <v>52.365</v>
      </c>
      <c r="AO4" s="134">
        <v>5</v>
      </c>
      <c r="AP4" s="136">
        <f t="shared" si="8"/>
        <v>946.08</v>
      </c>
      <c r="AQ4" s="136">
        <f t="shared" si="9"/>
        <v>371.56</v>
      </c>
      <c r="AR4" s="136">
        <f t="shared" si="10"/>
        <v>90</v>
      </c>
      <c r="AS4" s="136">
        <f t="shared" si="11"/>
        <v>90</v>
      </c>
      <c r="AT4" s="136">
        <f t="shared" si="12"/>
        <v>1497.64</v>
      </c>
      <c r="AU4" s="136">
        <f t="shared" si="13"/>
        <v>1317.64</v>
      </c>
      <c r="AV4" s="136">
        <f t="shared" si="14"/>
        <v>180</v>
      </c>
      <c r="AW4" s="136">
        <v>80</v>
      </c>
      <c r="AX4" s="136">
        <f t="shared" si="15"/>
        <v>1577.64</v>
      </c>
      <c r="AY4" s="122"/>
      <c r="AZ4" s="145"/>
      <c r="BA4" s="146"/>
      <c r="BB4" s="114" t="s">
        <v>134</v>
      </c>
      <c r="BC4" s="146"/>
    </row>
    <row r="5" s="114" customFormat="1" ht="18.95" customHeight="1" spans="1:55">
      <c r="A5" s="121"/>
      <c r="B5" s="121" t="s">
        <v>131</v>
      </c>
      <c r="C5" s="121" t="s">
        <v>132</v>
      </c>
      <c r="D5" s="122"/>
      <c r="E5" s="123" t="s">
        <v>86</v>
      </c>
      <c r="F5" s="124" t="s">
        <v>88</v>
      </c>
      <c r="G5" s="121">
        <v>202101</v>
      </c>
      <c r="H5" s="125">
        <v>202107</v>
      </c>
      <c r="I5" s="134">
        <v>3491</v>
      </c>
      <c r="J5" s="135">
        <v>0.16</v>
      </c>
      <c r="K5" s="134">
        <f t="shared" si="0"/>
        <v>558.56</v>
      </c>
      <c r="L5" s="135">
        <v>0.08</v>
      </c>
      <c r="M5" s="134">
        <f t="shared" si="1"/>
        <v>279.28</v>
      </c>
      <c r="N5" s="134">
        <v>3491</v>
      </c>
      <c r="O5" s="135">
        <v>0.085</v>
      </c>
      <c r="P5" s="136">
        <f>ROUND(N5*O5,2)</f>
        <v>296.74</v>
      </c>
      <c r="Q5" s="135">
        <v>0.02</v>
      </c>
      <c r="R5" s="134">
        <f>ROUND(N5*Q5,2)</f>
        <v>69.82</v>
      </c>
      <c r="S5" s="134">
        <v>3491</v>
      </c>
      <c r="T5" s="135">
        <v>0.005</v>
      </c>
      <c r="U5" s="134">
        <f t="shared" si="2"/>
        <v>17.46</v>
      </c>
      <c r="V5" s="135">
        <v>0.005</v>
      </c>
      <c r="W5" s="134">
        <f t="shared" si="3"/>
        <v>17.46</v>
      </c>
      <c r="X5" s="134"/>
      <c r="Y5" s="135"/>
      <c r="Z5" s="134"/>
      <c r="AA5" s="134">
        <v>3491</v>
      </c>
      <c r="AB5" s="143">
        <v>0.006</v>
      </c>
      <c r="AC5" s="134">
        <f t="shared" si="4"/>
        <v>20.95</v>
      </c>
      <c r="AD5" s="134" t="s">
        <v>133</v>
      </c>
      <c r="AE5" s="135">
        <v>0.05</v>
      </c>
      <c r="AF5" s="134">
        <f t="shared" si="5"/>
        <v>90</v>
      </c>
      <c r="AG5" s="135">
        <v>0.05</v>
      </c>
      <c r="AH5" s="134">
        <f t="shared" si="6"/>
        <v>90</v>
      </c>
      <c r="AI5" s="134"/>
      <c r="AJ5" s="134"/>
      <c r="AK5" s="134"/>
      <c r="AL5" s="134"/>
      <c r="AM5" s="134"/>
      <c r="AN5" s="134">
        <f t="shared" si="7"/>
        <v>52.365</v>
      </c>
      <c r="AO5" s="134">
        <v>5</v>
      </c>
      <c r="AP5" s="136">
        <f t="shared" si="8"/>
        <v>946.08</v>
      </c>
      <c r="AQ5" s="136">
        <f t="shared" si="9"/>
        <v>371.56</v>
      </c>
      <c r="AR5" s="136">
        <f t="shared" si="10"/>
        <v>90</v>
      </c>
      <c r="AS5" s="136">
        <f t="shared" si="11"/>
        <v>90</v>
      </c>
      <c r="AT5" s="136">
        <f t="shared" si="12"/>
        <v>1497.64</v>
      </c>
      <c r="AU5" s="136">
        <f t="shared" si="13"/>
        <v>1317.64</v>
      </c>
      <c r="AV5" s="136">
        <f t="shared" si="14"/>
        <v>180</v>
      </c>
      <c r="AW5" s="136">
        <v>80</v>
      </c>
      <c r="AX5" s="136">
        <f t="shared" si="15"/>
        <v>1577.64</v>
      </c>
      <c r="AY5" s="122"/>
      <c r="AZ5" s="145"/>
      <c r="BA5" s="146"/>
      <c r="BB5" s="114" t="s">
        <v>134</v>
      </c>
      <c r="BC5" s="146"/>
    </row>
    <row r="6" s="153" customFormat="1" ht="18.95" customHeight="1" spans="1:55">
      <c r="A6" s="154"/>
      <c r="B6" s="154" t="s">
        <v>131</v>
      </c>
      <c r="C6" s="154" t="s">
        <v>132</v>
      </c>
      <c r="D6" s="154"/>
      <c r="E6" s="155" t="s">
        <v>86</v>
      </c>
      <c r="F6" s="156" t="s">
        <v>88</v>
      </c>
      <c r="G6" s="154">
        <v>202101</v>
      </c>
      <c r="H6" s="157">
        <v>202101</v>
      </c>
      <c r="I6" s="158">
        <f>3491-3282</f>
        <v>209</v>
      </c>
      <c r="J6" s="159">
        <v>0.16</v>
      </c>
      <c r="K6" s="158">
        <f t="shared" si="0"/>
        <v>33.44</v>
      </c>
      <c r="L6" s="159">
        <v>0.08</v>
      </c>
      <c r="M6" s="158">
        <f t="shared" si="1"/>
        <v>16.72</v>
      </c>
      <c r="N6" s="158"/>
      <c r="O6" s="159"/>
      <c r="P6" s="158"/>
      <c r="Q6" s="159"/>
      <c r="R6" s="158"/>
      <c r="S6" s="158">
        <f>3491-3282</f>
        <v>209</v>
      </c>
      <c r="T6" s="159">
        <v>0.005</v>
      </c>
      <c r="U6" s="158">
        <f t="shared" si="2"/>
        <v>1.05</v>
      </c>
      <c r="V6" s="159">
        <v>0.005</v>
      </c>
      <c r="W6" s="158">
        <f t="shared" si="3"/>
        <v>1.05</v>
      </c>
      <c r="X6" s="158"/>
      <c r="Y6" s="159"/>
      <c r="Z6" s="158"/>
      <c r="AA6" s="158">
        <f t="shared" ref="AA6:AA9" si="16">3491-3282</f>
        <v>209</v>
      </c>
      <c r="AB6" s="160">
        <v>0.006</v>
      </c>
      <c r="AC6" s="158">
        <f t="shared" si="4"/>
        <v>1.25</v>
      </c>
      <c r="AD6" s="158"/>
      <c r="AE6" s="159"/>
      <c r="AF6" s="158"/>
      <c r="AG6" s="159"/>
      <c r="AH6" s="158"/>
      <c r="AI6" s="158"/>
      <c r="AJ6" s="158"/>
      <c r="AK6" s="158"/>
      <c r="AL6" s="158"/>
      <c r="AM6" s="158"/>
      <c r="AN6" s="158"/>
      <c r="AO6" s="158"/>
      <c r="AP6" s="158">
        <f t="shared" si="8"/>
        <v>35.74</v>
      </c>
      <c r="AQ6" s="158">
        <f t="shared" si="9"/>
        <v>17.77</v>
      </c>
      <c r="AR6" s="158">
        <f t="shared" si="10"/>
        <v>0</v>
      </c>
      <c r="AS6" s="158">
        <f t="shared" si="11"/>
        <v>0</v>
      </c>
      <c r="AT6" s="158">
        <f t="shared" si="12"/>
        <v>53.51</v>
      </c>
      <c r="AU6" s="158">
        <f t="shared" si="13"/>
        <v>53.51</v>
      </c>
      <c r="AV6" s="158">
        <f t="shared" si="14"/>
        <v>0</v>
      </c>
      <c r="AW6" s="158"/>
      <c r="AX6" s="158">
        <f t="shared" si="15"/>
        <v>53.51</v>
      </c>
      <c r="AY6" s="154"/>
      <c r="AZ6" s="161"/>
      <c r="BA6" s="162"/>
      <c r="BB6" s="153" t="s">
        <v>134</v>
      </c>
      <c r="BC6" s="162"/>
    </row>
    <row r="7" s="153" customFormat="1" ht="18.95" customHeight="1" spans="1:55">
      <c r="A7" s="154"/>
      <c r="B7" s="154" t="s">
        <v>131</v>
      </c>
      <c r="C7" s="154" t="s">
        <v>132</v>
      </c>
      <c r="D7" s="154"/>
      <c r="E7" s="155" t="s">
        <v>86</v>
      </c>
      <c r="F7" s="156" t="s">
        <v>88</v>
      </c>
      <c r="G7" s="154">
        <v>202101</v>
      </c>
      <c r="H7" s="157">
        <v>202102</v>
      </c>
      <c r="I7" s="158">
        <f>3491-3282</f>
        <v>209</v>
      </c>
      <c r="J7" s="159">
        <v>0.16</v>
      </c>
      <c r="K7" s="158">
        <f t="shared" si="0"/>
        <v>33.44</v>
      </c>
      <c r="L7" s="159">
        <v>0.08</v>
      </c>
      <c r="M7" s="158">
        <f t="shared" si="1"/>
        <v>16.72</v>
      </c>
      <c r="N7" s="158"/>
      <c r="O7" s="159"/>
      <c r="P7" s="158"/>
      <c r="Q7" s="159"/>
      <c r="R7" s="158"/>
      <c r="S7" s="158">
        <f t="shared" ref="S7:S9" si="17">3491-3282</f>
        <v>209</v>
      </c>
      <c r="T7" s="159">
        <v>0.005</v>
      </c>
      <c r="U7" s="158">
        <f t="shared" si="2"/>
        <v>1.05</v>
      </c>
      <c r="V7" s="159">
        <v>0.005</v>
      </c>
      <c r="W7" s="158">
        <f t="shared" si="3"/>
        <v>1.05</v>
      </c>
      <c r="X7" s="158"/>
      <c r="Y7" s="159"/>
      <c r="Z7" s="158"/>
      <c r="AA7" s="158">
        <f t="shared" si="16"/>
        <v>209</v>
      </c>
      <c r="AB7" s="160">
        <v>0.006</v>
      </c>
      <c r="AC7" s="158">
        <f t="shared" si="4"/>
        <v>1.25</v>
      </c>
      <c r="AD7" s="158"/>
      <c r="AE7" s="159"/>
      <c r="AF7" s="158"/>
      <c r="AG7" s="159"/>
      <c r="AH7" s="158"/>
      <c r="AI7" s="158"/>
      <c r="AJ7" s="158"/>
      <c r="AK7" s="158"/>
      <c r="AL7" s="158"/>
      <c r="AM7" s="158"/>
      <c r="AN7" s="158"/>
      <c r="AO7" s="158"/>
      <c r="AP7" s="158">
        <f t="shared" si="8"/>
        <v>35.74</v>
      </c>
      <c r="AQ7" s="158">
        <f t="shared" si="9"/>
        <v>17.77</v>
      </c>
      <c r="AR7" s="158">
        <f t="shared" si="10"/>
        <v>0</v>
      </c>
      <c r="AS7" s="158">
        <f t="shared" si="11"/>
        <v>0</v>
      </c>
      <c r="AT7" s="158">
        <f t="shared" si="12"/>
        <v>53.51</v>
      </c>
      <c r="AU7" s="158">
        <f t="shared" si="13"/>
        <v>53.51</v>
      </c>
      <c r="AV7" s="158">
        <f t="shared" si="14"/>
        <v>0</v>
      </c>
      <c r="AW7" s="158"/>
      <c r="AX7" s="158">
        <f t="shared" si="15"/>
        <v>53.51</v>
      </c>
      <c r="AY7" s="154"/>
      <c r="AZ7" s="161"/>
      <c r="BA7" s="162"/>
      <c r="BB7" s="153" t="s">
        <v>134</v>
      </c>
      <c r="BC7" s="162"/>
    </row>
    <row r="8" s="153" customFormat="1" ht="18.95" customHeight="1" spans="1:55">
      <c r="A8" s="154"/>
      <c r="B8" s="154" t="s">
        <v>131</v>
      </c>
      <c r="C8" s="154" t="s">
        <v>132</v>
      </c>
      <c r="D8" s="154"/>
      <c r="E8" s="155" t="s">
        <v>86</v>
      </c>
      <c r="F8" s="156" t="s">
        <v>88</v>
      </c>
      <c r="G8" s="154">
        <v>202101</v>
      </c>
      <c r="H8" s="157">
        <v>202103</v>
      </c>
      <c r="I8" s="158">
        <f>3491-3282</f>
        <v>209</v>
      </c>
      <c r="J8" s="159">
        <v>0.16</v>
      </c>
      <c r="K8" s="158">
        <f t="shared" si="0"/>
        <v>33.44</v>
      </c>
      <c r="L8" s="159">
        <v>0.08</v>
      </c>
      <c r="M8" s="158">
        <f t="shared" si="1"/>
        <v>16.72</v>
      </c>
      <c r="N8" s="158"/>
      <c r="O8" s="159"/>
      <c r="P8" s="158"/>
      <c r="Q8" s="159"/>
      <c r="R8" s="158"/>
      <c r="S8" s="158">
        <f t="shared" si="17"/>
        <v>209</v>
      </c>
      <c r="T8" s="159">
        <v>0.005</v>
      </c>
      <c r="U8" s="158">
        <f t="shared" si="2"/>
        <v>1.05</v>
      </c>
      <c r="V8" s="159">
        <v>0.005</v>
      </c>
      <c r="W8" s="158">
        <f t="shared" si="3"/>
        <v>1.05</v>
      </c>
      <c r="X8" s="158"/>
      <c r="Y8" s="159"/>
      <c r="Z8" s="158"/>
      <c r="AA8" s="158">
        <f t="shared" si="16"/>
        <v>209</v>
      </c>
      <c r="AB8" s="160">
        <v>0.006</v>
      </c>
      <c r="AC8" s="158">
        <f t="shared" si="4"/>
        <v>1.25</v>
      </c>
      <c r="AD8" s="158"/>
      <c r="AE8" s="159"/>
      <c r="AF8" s="158"/>
      <c r="AG8" s="159"/>
      <c r="AH8" s="158"/>
      <c r="AI8" s="158"/>
      <c r="AJ8" s="158"/>
      <c r="AK8" s="158"/>
      <c r="AL8" s="158"/>
      <c r="AM8" s="158"/>
      <c r="AN8" s="158"/>
      <c r="AO8" s="158"/>
      <c r="AP8" s="158">
        <f t="shared" si="8"/>
        <v>35.74</v>
      </c>
      <c r="AQ8" s="158">
        <f t="shared" si="9"/>
        <v>17.77</v>
      </c>
      <c r="AR8" s="158">
        <f t="shared" si="10"/>
        <v>0</v>
      </c>
      <c r="AS8" s="158">
        <f t="shared" si="11"/>
        <v>0</v>
      </c>
      <c r="AT8" s="158">
        <f t="shared" si="12"/>
        <v>53.51</v>
      </c>
      <c r="AU8" s="158">
        <f t="shared" si="13"/>
        <v>53.51</v>
      </c>
      <c r="AV8" s="158">
        <f t="shared" si="14"/>
        <v>0</v>
      </c>
      <c r="AW8" s="158"/>
      <c r="AX8" s="158">
        <f t="shared" si="15"/>
        <v>53.51</v>
      </c>
      <c r="AY8" s="154"/>
      <c r="AZ8" s="161"/>
      <c r="BA8" s="162"/>
      <c r="BB8" s="153" t="s">
        <v>134</v>
      </c>
      <c r="BC8" s="162"/>
    </row>
    <row r="9" s="153" customFormat="1" ht="18.95" customHeight="1" spans="1:55">
      <c r="A9" s="154"/>
      <c r="B9" s="154" t="s">
        <v>131</v>
      </c>
      <c r="C9" s="154" t="s">
        <v>132</v>
      </c>
      <c r="D9" s="154"/>
      <c r="E9" s="155" t="s">
        <v>86</v>
      </c>
      <c r="F9" s="156" t="s">
        <v>88</v>
      </c>
      <c r="G9" s="154">
        <v>202101</v>
      </c>
      <c r="H9" s="157">
        <v>202104</v>
      </c>
      <c r="I9" s="158">
        <f>3491-3282</f>
        <v>209</v>
      </c>
      <c r="J9" s="159">
        <v>0.16</v>
      </c>
      <c r="K9" s="158">
        <f t="shared" si="0"/>
        <v>33.44</v>
      </c>
      <c r="L9" s="159">
        <v>0.08</v>
      </c>
      <c r="M9" s="158">
        <f t="shared" si="1"/>
        <v>16.72</v>
      </c>
      <c r="N9" s="158"/>
      <c r="O9" s="159"/>
      <c r="P9" s="158"/>
      <c r="Q9" s="159"/>
      <c r="R9" s="158"/>
      <c r="S9" s="158">
        <f t="shared" si="17"/>
        <v>209</v>
      </c>
      <c r="T9" s="159">
        <v>0.005</v>
      </c>
      <c r="U9" s="158">
        <f t="shared" si="2"/>
        <v>1.05</v>
      </c>
      <c r="V9" s="159">
        <v>0.005</v>
      </c>
      <c r="W9" s="158">
        <f t="shared" si="3"/>
        <v>1.05</v>
      </c>
      <c r="X9" s="158"/>
      <c r="Y9" s="159"/>
      <c r="Z9" s="158"/>
      <c r="AA9" s="158">
        <f t="shared" si="16"/>
        <v>209</v>
      </c>
      <c r="AB9" s="160">
        <v>0.006</v>
      </c>
      <c r="AC9" s="158">
        <f t="shared" si="4"/>
        <v>1.25</v>
      </c>
      <c r="AD9" s="158"/>
      <c r="AE9" s="159"/>
      <c r="AF9" s="158"/>
      <c r="AG9" s="159"/>
      <c r="AH9" s="158"/>
      <c r="AI9" s="158"/>
      <c r="AJ9" s="158"/>
      <c r="AK9" s="158"/>
      <c r="AL9" s="158"/>
      <c r="AM9" s="158"/>
      <c r="AN9" s="158"/>
      <c r="AO9" s="158"/>
      <c r="AP9" s="158">
        <f t="shared" si="8"/>
        <v>35.74</v>
      </c>
      <c r="AQ9" s="158">
        <f t="shared" si="9"/>
        <v>17.77</v>
      </c>
      <c r="AR9" s="158">
        <f t="shared" si="10"/>
        <v>0</v>
      </c>
      <c r="AS9" s="158">
        <f t="shared" si="11"/>
        <v>0</v>
      </c>
      <c r="AT9" s="158">
        <f t="shared" si="12"/>
        <v>53.51</v>
      </c>
      <c r="AU9" s="158">
        <f t="shared" si="13"/>
        <v>53.51</v>
      </c>
      <c r="AV9" s="158">
        <f t="shared" si="14"/>
        <v>0</v>
      </c>
      <c r="AW9" s="158"/>
      <c r="AX9" s="158">
        <f t="shared" si="15"/>
        <v>53.51</v>
      </c>
      <c r="AY9" s="154"/>
      <c r="AZ9" s="161"/>
      <c r="BA9" s="162"/>
      <c r="BB9" s="153" t="s">
        <v>134</v>
      </c>
      <c r="BC9" s="162"/>
    </row>
    <row r="10" s="116" customFormat="1" ht="18.95" customHeight="1" spans="1:52">
      <c r="A10" s="130" t="s">
        <v>89</v>
      </c>
      <c r="B10" s="131"/>
      <c r="C10" s="131"/>
      <c r="D10" s="131"/>
      <c r="E10" s="131"/>
      <c r="F10" s="131"/>
      <c r="G10" s="131"/>
      <c r="H10" s="131"/>
      <c r="I10" s="140">
        <f t="shared" ref="I10:AX10" si="18">SUM(I3:I9)</f>
        <v>11309</v>
      </c>
      <c r="J10" s="140">
        <f t="shared" si="18"/>
        <v>1.12</v>
      </c>
      <c r="K10" s="140">
        <f t="shared" si="18"/>
        <v>1809.44</v>
      </c>
      <c r="L10" s="140">
        <f t="shared" si="18"/>
        <v>0.56</v>
      </c>
      <c r="M10" s="140">
        <f t="shared" si="18"/>
        <v>904.72</v>
      </c>
      <c r="N10" s="140">
        <f t="shared" si="18"/>
        <v>10473</v>
      </c>
      <c r="O10" s="140">
        <f t="shared" si="18"/>
        <v>0.255</v>
      </c>
      <c r="P10" s="140">
        <f t="shared" si="18"/>
        <v>890.22</v>
      </c>
      <c r="Q10" s="140">
        <f t="shared" si="18"/>
        <v>0.06</v>
      </c>
      <c r="R10" s="140">
        <f t="shared" si="18"/>
        <v>209.46</v>
      </c>
      <c r="S10" s="140">
        <f t="shared" si="18"/>
        <v>11309</v>
      </c>
      <c r="T10" s="140">
        <f t="shared" si="18"/>
        <v>0.035</v>
      </c>
      <c r="U10" s="140">
        <f t="shared" si="18"/>
        <v>56.58</v>
      </c>
      <c r="V10" s="140">
        <f t="shared" si="18"/>
        <v>0.035</v>
      </c>
      <c r="W10" s="140">
        <f t="shared" si="18"/>
        <v>56.58</v>
      </c>
      <c r="X10" s="140">
        <f t="shared" si="18"/>
        <v>0</v>
      </c>
      <c r="Y10" s="140">
        <f t="shared" si="18"/>
        <v>0</v>
      </c>
      <c r="Z10" s="140">
        <f t="shared" si="18"/>
        <v>0</v>
      </c>
      <c r="AA10" s="140">
        <f t="shared" si="18"/>
        <v>11309</v>
      </c>
      <c r="AB10" s="140">
        <f t="shared" si="18"/>
        <v>0.042</v>
      </c>
      <c r="AC10" s="140">
        <f t="shared" si="18"/>
        <v>67.85</v>
      </c>
      <c r="AD10" s="140">
        <f t="shared" si="18"/>
        <v>0</v>
      </c>
      <c r="AE10" s="140">
        <f t="shared" si="18"/>
        <v>0.15</v>
      </c>
      <c r="AF10" s="140">
        <f t="shared" si="18"/>
        <v>270</v>
      </c>
      <c r="AG10" s="140">
        <f t="shared" si="18"/>
        <v>0.15</v>
      </c>
      <c r="AH10" s="140">
        <f t="shared" si="18"/>
        <v>270</v>
      </c>
      <c r="AI10" s="140">
        <f t="shared" si="18"/>
        <v>0</v>
      </c>
      <c r="AJ10" s="140">
        <f t="shared" si="18"/>
        <v>0</v>
      </c>
      <c r="AK10" s="140">
        <f t="shared" si="18"/>
        <v>0</v>
      </c>
      <c r="AL10" s="140">
        <f t="shared" si="18"/>
        <v>0</v>
      </c>
      <c r="AM10" s="140">
        <f t="shared" si="18"/>
        <v>0</v>
      </c>
      <c r="AN10" s="140">
        <f t="shared" si="18"/>
        <v>157.095</v>
      </c>
      <c r="AO10" s="140">
        <f t="shared" si="18"/>
        <v>15</v>
      </c>
      <c r="AP10" s="140">
        <f t="shared" si="18"/>
        <v>2981.2</v>
      </c>
      <c r="AQ10" s="140">
        <f t="shared" si="18"/>
        <v>1185.76</v>
      </c>
      <c r="AR10" s="140">
        <f t="shared" si="18"/>
        <v>270</v>
      </c>
      <c r="AS10" s="140">
        <f t="shared" si="18"/>
        <v>270</v>
      </c>
      <c r="AT10" s="140">
        <f t="shared" si="18"/>
        <v>4706.96</v>
      </c>
      <c r="AU10" s="140">
        <f t="shared" si="18"/>
        <v>4166.96</v>
      </c>
      <c r="AV10" s="140">
        <f t="shared" si="18"/>
        <v>540</v>
      </c>
      <c r="AW10" s="140">
        <f t="shared" si="18"/>
        <v>240</v>
      </c>
      <c r="AX10" s="140">
        <f t="shared" si="18"/>
        <v>4946.96</v>
      </c>
      <c r="AY10" s="149"/>
      <c r="AZ10" s="150"/>
    </row>
    <row r="11" s="117" customFormat="1" ht="16.5" spans="1:52">
      <c r="A11" s="118"/>
      <c r="B11" s="118"/>
      <c r="C11" s="118"/>
      <c r="D11" s="118"/>
      <c r="E11" s="118"/>
      <c r="F11" s="118"/>
      <c r="G11" s="118"/>
      <c r="H11" s="118"/>
      <c r="I11" s="141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Y12" s="118"/>
      <c r="AZ12" s="118"/>
    </row>
    <row r="13" s="117" customFormat="1" spans="1:52">
      <c r="A13" s="118"/>
      <c r="B13" s="118"/>
      <c r="C13" s="118"/>
      <c r="D13" s="118"/>
      <c r="E13" s="118"/>
      <c r="F13" s="118"/>
      <c r="G13" s="118"/>
      <c r="H13" s="118"/>
      <c r="AY13" s="118"/>
      <c r="AZ13" s="118"/>
    </row>
    <row r="14" s="117" customFormat="1" spans="1:52">
      <c r="A14" s="118"/>
      <c r="B14" s="118"/>
      <c r="C14" s="118"/>
      <c r="D14" s="118"/>
      <c r="E14" s="118"/>
      <c r="F14" s="118"/>
      <c r="G14" s="118"/>
      <c r="H14" s="118"/>
      <c r="R14" s="117">
        <v>5</v>
      </c>
      <c r="AX14" s="151"/>
      <c r="AY14" s="118"/>
      <c r="AZ14" s="118"/>
    </row>
    <row r="15" s="117" customFormat="1" spans="1:52">
      <c r="A15" s="118"/>
      <c r="B15" s="118"/>
      <c r="C15" s="118"/>
      <c r="D15" s="118"/>
      <c r="E15" s="118"/>
      <c r="F15" s="118"/>
      <c r="G15" s="118"/>
      <c r="H15" s="118"/>
      <c r="AX15" s="151"/>
      <c r="AY15" s="118"/>
      <c r="AZ15" s="118"/>
    </row>
    <row r="16" s="117" customFormat="1" spans="1:52">
      <c r="A16" s="118"/>
      <c r="B16" s="118"/>
      <c r="C16" s="118"/>
      <c r="D16" s="118"/>
      <c r="E16" s="118"/>
      <c r="F16" s="118"/>
      <c r="G16" s="118"/>
      <c r="H16" s="118"/>
      <c r="AX16" s="151"/>
      <c r="AY16" s="118"/>
      <c r="AZ16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14300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1992.03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-2692.03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14300</v>
      </c>
      <c r="T5" s="74">
        <f t="shared" si="0"/>
        <v>15000</v>
      </c>
      <c r="U5" s="74">
        <f t="shared" si="0"/>
        <v>1992.03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-2692.03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18700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2539.67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-3839.67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18700</v>
      </c>
      <c r="T5" s="74">
        <f t="shared" si="0"/>
        <v>20000</v>
      </c>
      <c r="U5" s="74">
        <f t="shared" si="0"/>
        <v>2539.67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-3839.67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64</v>
      </c>
      <c r="C9" s="47" t="s">
        <v>90</v>
      </c>
      <c r="D9" s="47" t="s">
        <v>65</v>
      </c>
      <c r="E9" s="47" t="s">
        <v>91</v>
      </c>
      <c r="AD9" s="10"/>
      <c r="AG9" s="152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24700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3001.23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-3301.23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5538.44</v>
      </c>
      <c r="AI4" s="103"/>
      <c r="AJ4" s="102">
        <f>AH4+AI4</f>
        <v>5538.44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24700</v>
      </c>
      <c r="T5" s="74">
        <f t="shared" si="0"/>
        <v>25000</v>
      </c>
      <c r="U5" s="74">
        <f t="shared" si="0"/>
        <v>3001.23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-3301.23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5538.44</v>
      </c>
      <c r="AI5" s="105">
        <f t="shared" si="0"/>
        <v>0</v>
      </c>
      <c r="AJ5" s="74">
        <f t="shared" si="0"/>
        <v>5538.44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64</v>
      </c>
      <c r="C9" s="47" t="s">
        <v>90</v>
      </c>
      <c r="D9" s="47" t="s">
        <v>65</v>
      </c>
      <c r="E9" s="47" t="s">
        <v>91</v>
      </c>
      <c r="AD9" s="10"/>
      <c r="AG9" s="19"/>
    </row>
    <row r="10" ht="18.75" customHeight="1" spans="2:5">
      <c r="B10" s="48">
        <f>AJ5</f>
        <v>5538.44</v>
      </c>
      <c r="C10" s="48">
        <f>AG5</f>
        <v>0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5"/>
  <sheetViews>
    <sheetView topLeftCell="AN1" workbookViewId="0">
      <selection activeCell="AX20" sqref="AX19:AX20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4" customFormat="1" ht="18.95" customHeight="1" spans="1:52">
      <c r="A1" s="119" t="s">
        <v>19</v>
      </c>
      <c r="B1" s="119" t="s">
        <v>102</v>
      </c>
      <c r="C1" s="119" t="s">
        <v>103</v>
      </c>
      <c r="D1" s="119" t="s">
        <v>104</v>
      </c>
      <c r="E1" s="119" t="s">
        <v>105</v>
      </c>
      <c r="F1" s="119" t="s">
        <v>106</v>
      </c>
      <c r="G1" s="119" t="s">
        <v>107</v>
      </c>
      <c r="H1" s="119" t="s">
        <v>108</v>
      </c>
      <c r="I1" s="132" t="s">
        <v>109</v>
      </c>
      <c r="J1" s="132"/>
      <c r="K1" s="132"/>
      <c r="L1" s="132"/>
      <c r="M1" s="132"/>
      <c r="N1" s="132" t="s">
        <v>110</v>
      </c>
      <c r="O1" s="132"/>
      <c r="P1" s="132"/>
      <c r="Q1" s="132"/>
      <c r="R1" s="132"/>
      <c r="S1" s="132" t="s">
        <v>111</v>
      </c>
      <c r="T1" s="132"/>
      <c r="U1" s="132"/>
      <c r="V1" s="132"/>
      <c r="W1" s="132"/>
      <c r="X1" s="132" t="s">
        <v>112</v>
      </c>
      <c r="Y1" s="132"/>
      <c r="Z1" s="132"/>
      <c r="AA1" s="132" t="s">
        <v>113</v>
      </c>
      <c r="AB1" s="132"/>
      <c r="AC1" s="132"/>
      <c r="AD1" s="132" t="s">
        <v>114</v>
      </c>
      <c r="AE1" s="142"/>
      <c r="AF1" s="132"/>
      <c r="AG1" s="142"/>
      <c r="AH1" s="132"/>
      <c r="AI1" s="132" t="s">
        <v>115</v>
      </c>
      <c r="AJ1" s="132"/>
      <c r="AK1" s="132"/>
      <c r="AL1" s="132"/>
      <c r="AM1" s="132"/>
      <c r="AN1" s="132" t="s">
        <v>116</v>
      </c>
      <c r="AO1" s="132"/>
      <c r="AP1" s="132" t="s">
        <v>117</v>
      </c>
      <c r="AQ1" s="132"/>
      <c r="AR1" s="132"/>
      <c r="AS1" s="132"/>
      <c r="AT1" s="132"/>
      <c r="AU1" s="132" t="s">
        <v>118</v>
      </c>
      <c r="AV1" s="132" t="s">
        <v>119</v>
      </c>
      <c r="AW1" s="132" t="s">
        <v>65</v>
      </c>
      <c r="AX1" s="132" t="s">
        <v>91</v>
      </c>
      <c r="AY1" s="119" t="s">
        <v>24</v>
      </c>
      <c r="AZ1" s="145"/>
    </row>
    <row r="2" s="114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32" t="s">
        <v>120</v>
      </c>
      <c r="J2" s="133" t="s">
        <v>121</v>
      </c>
      <c r="K2" s="132" t="s">
        <v>122</v>
      </c>
      <c r="L2" s="133" t="s">
        <v>123</v>
      </c>
      <c r="M2" s="132" t="s">
        <v>124</v>
      </c>
      <c r="N2" s="132" t="s">
        <v>120</v>
      </c>
      <c r="O2" s="133" t="s">
        <v>121</v>
      </c>
      <c r="P2" s="132" t="s">
        <v>122</v>
      </c>
      <c r="Q2" s="133" t="s">
        <v>123</v>
      </c>
      <c r="R2" s="132" t="s">
        <v>124</v>
      </c>
      <c r="S2" s="132" t="s">
        <v>120</v>
      </c>
      <c r="T2" s="133" t="s">
        <v>121</v>
      </c>
      <c r="U2" s="132" t="s">
        <v>122</v>
      </c>
      <c r="V2" s="133" t="s">
        <v>123</v>
      </c>
      <c r="W2" s="132" t="s">
        <v>124</v>
      </c>
      <c r="X2" s="132" t="s">
        <v>120</v>
      </c>
      <c r="Y2" s="133" t="s">
        <v>125</v>
      </c>
      <c r="Z2" s="132" t="s">
        <v>23</v>
      </c>
      <c r="AA2" s="132" t="s">
        <v>120</v>
      </c>
      <c r="AB2" s="133" t="s">
        <v>125</v>
      </c>
      <c r="AC2" s="132" t="s">
        <v>23</v>
      </c>
      <c r="AD2" s="132" t="s">
        <v>120</v>
      </c>
      <c r="AE2" s="133" t="s">
        <v>121</v>
      </c>
      <c r="AF2" s="132" t="s">
        <v>122</v>
      </c>
      <c r="AG2" s="133" t="s">
        <v>123</v>
      </c>
      <c r="AH2" s="132" t="s">
        <v>124</v>
      </c>
      <c r="AI2" s="132" t="s">
        <v>120</v>
      </c>
      <c r="AJ2" s="132" t="s">
        <v>121</v>
      </c>
      <c r="AK2" s="132" t="s">
        <v>122</v>
      </c>
      <c r="AL2" s="132" t="s">
        <v>123</v>
      </c>
      <c r="AM2" s="132" t="s">
        <v>124</v>
      </c>
      <c r="AN2" s="132" t="s">
        <v>126</v>
      </c>
      <c r="AO2" s="132" t="s">
        <v>127</v>
      </c>
      <c r="AP2" s="132" t="s">
        <v>128</v>
      </c>
      <c r="AQ2" s="132" t="s">
        <v>129</v>
      </c>
      <c r="AR2" s="132" t="s">
        <v>130</v>
      </c>
      <c r="AS2" s="132" t="s">
        <v>78</v>
      </c>
      <c r="AT2" s="132" t="s">
        <v>31</v>
      </c>
      <c r="AU2" s="132"/>
      <c r="AV2" s="132"/>
      <c r="AW2" s="132"/>
      <c r="AX2" s="132"/>
      <c r="AY2" s="119"/>
      <c r="AZ2" s="145"/>
    </row>
    <row r="3" s="114" customFormat="1" ht="18.95" customHeight="1" spans="1:55">
      <c r="A3" s="121">
        <v>1</v>
      </c>
      <c r="B3" s="121" t="s">
        <v>131</v>
      </c>
      <c r="C3" s="121" t="s">
        <v>132</v>
      </c>
      <c r="D3" s="122"/>
      <c r="E3" s="123" t="s">
        <v>86</v>
      </c>
      <c r="F3" s="124" t="s">
        <v>88</v>
      </c>
      <c r="G3" s="121">
        <v>202101</v>
      </c>
      <c r="H3" s="125">
        <v>202202</v>
      </c>
      <c r="I3" s="134">
        <v>3699</v>
      </c>
      <c r="J3" s="135">
        <v>0.16</v>
      </c>
      <c r="K3" s="134">
        <f>ROUND(I3*J3,2)</f>
        <v>591.84</v>
      </c>
      <c r="L3" s="135">
        <v>0.08</v>
      </c>
      <c r="M3" s="134">
        <f>ROUND(I3*L3,2)</f>
        <v>295.92</v>
      </c>
      <c r="N3" s="134">
        <v>3699</v>
      </c>
      <c r="O3" s="135">
        <v>0.085</v>
      </c>
      <c r="P3" s="136">
        <f>ROUND(N3*O3,2)</f>
        <v>314.42</v>
      </c>
      <c r="Q3" s="135">
        <v>0.02</v>
      </c>
      <c r="R3" s="134">
        <f>ROUND(N3*Q3,2)</f>
        <v>73.98</v>
      </c>
      <c r="S3" s="134">
        <v>3699</v>
      </c>
      <c r="T3" s="135">
        <v>0.005</v>
      </c>
      <c r="U3" s="134">
        <f>ROUND(S3*T3,2)</f>
        <v>18.5</v>
      </c>
      <c r="V3" s="135">
        <v>0.005</v>
      </c>
      <c r="W3" s="134">
        <f>ROUND(S3*V3,2)</f>
        <v>18.5</v>
      </c>
      <c r="X3" s="134"/>
      <c r="Y3" s="135"/>
      <c r="Z3" s="134"/>
      <c r="AA3" s="134">
        <v>3699</v>
      </c>
      <c r="AB3" s="143">
        <v>0.006</v>
      </c>
      <c r="AC3" s="134">
        <f>ROUND(AA3*AB3,2)</f>
        <v>22.19</v>
      </c>
      <c r="AD3" s="134" t="s">
        <v>133</v>
      </c>
      <c r="AE3" s="135">
        <v>0.05</v>
      </c>
      <c r="AF3" s="134">
        <f>ROUND(AD3*AE3,2)</f>
        <v>90</v>
      </c>
      <c r="AG3" s="135">
        <v>0.05</v>
      </c>
      <c r="AH3" s="134">
        <f>ROUND(AD3*AG3,2)</f>
        <v>90</v>
      </c>
      <c r="AI3" s="134"/>
      <c r="AJ3" s="134"/>
      <c r="AK3" s="134"/>
      <c r="AL3" s="134"/>
      <c r="AM3" s="134"/>
      <c r="AN3" s="134">
        <f>3699*0.015</f>
        <v>55.485</v>
      </c>
      <c r="AO3" s="134">
        <v>5</v>
      </c>
      <c r="AP3" s="136">
        <f>ROUND(SUM(K3,P3,U3,Z3,AC3,AK3,AN3),2)</f>
        <v>1002.44</v>
      </c>
      <c r="AQ3" s="136">
        <f>ROUND(SUM(M3,R3,W3,AM3,AO3),2)</f>
        <v>393.4</v>
      </c>
      <c r="AR3" s="136">
        <f>AF3</f>
        <v>90</v>
      </c>
      <c r="AS3" s="136">
        <f>AH3</f>
        <v>90</v>
      </c>
      <c r="AT3" s="136">
        <f>ROUND(AP3+AQ3+AR3+AS3,2)</f>
        <v>1575.84</v>
      </c>
      <c r="AU3" s="136">
        <f>ROUND(AP3+AQ3,2)</f>
        <v>1395.84</v>
      </c>
      <c r="AV3" s="136">
        <f>ROUND(AS3+AR3,2)</f>
        <v>180</v>
      </c>
      <c r="AW3" s="136">
        <v>80</v>
      </c>
      <c r="AX3" s="136">
        <f>ROUND(SUM(AU3:AW3),2)</f>
        <v>1655.84</v>
      </c>
      <c r="AY3" s="122"/>
      <c r="AZ3" s="145"/>
      <c r="BA3" s="146"/>
      <c r="BB3" s="114" t="s">
        <v>134</v>
      </c>
      <c r="BC3" s="146"/>
    </row>
    <row r="4" s="114" customFormat="1" ht="18.95" customHeight="1" spans="1:55">
      <c r="A4" s="121"/>
      <c r="B4" s="121" t="s">
        <v>131</v>
      </c>
      <c r="C4" s="121" t="s">
        <v>132</v>
      </c>
      <c r="D4" s="122"/>
      <c r="E4" s="123" t="s">
        <v>86</v>
      </c>
      <c r="F4" s="124" t="s">
        <v>88</v>
      </c>
      <c r="G4" s="121">
        <v>202101</v>
      </c>
      <c r="H4" s="125">
        <v>202203</v>
      </c>
      <c r="I4" s="134">
        <v>3699</v>
      </c>
      <c r="J4" s="135">
        <v>0.16</v>
      </c>
      <c r="K4" s="134">
        <f>ROUND(I4*J4,2)</f>
        <v>591.84</v>
      </c>
      <c r="L4" s="135">
        <v>0.08</v>
      </c>
      <c r="M4" s="134">
        <f>ROUND(I4*L4,2)</f>
        <v>295.92</v>
      </c>
      <c r="N4" s="134">
        <v>3699</v>
      </c>
      <c r="O4" s="135">
        <v>0.085</v>
      </c>
      <c r="P4" s="136">
        <f>ROUND(N4*O4,2)</f>
        <v>314.42</v>
      </c>
      <c r="Q4" s="135">
        <v>0.02</v>
      </c>
      <c r="R4" s="134">
        <f>ROUND(N4*Q4,2)</f>
        <v>73.98</v>
      </c>
      <c r="S4" s="134">
        <v>3699</v>
      </c>
      <c r="T4" s="135">
        <v>0.005</v>
      </c>
      <c r="U4" s="134">
        <f>ROUND(S4*T4,2)</f>
        <v>18.5</v>
      </c>
      <c r="V4" s="135">
        <v>0.005</v>
      </c>
      <c r="W4" s="134">
        <f>ROUND(S4*V4,2)</f>
        <v>18.5</v>
      </c>
      <c r="X4" s="134"/>
      <c r="Y4" s="135"/>
      <c r="Z4" s="134"/>
      <c r="AA4" s="134">
        <v>3699</v>
      </c>
      <c r="AB4" s="143">
        <v>0.006</v>
      </c>
      <c r="AC4" s="134">
        <f>ROUND(AA4*AB4,2)</f>
        <v>22.19</v>
      </c>
      <c r="AD4" s="134" t="s">
        <v>133</v>
      </c>
      <c r="AE4" s="135">
        <v>0.05</v>
      </c>
      <c r="AF4" s="134">
        <f>ROUND(AD4*AE4,2)</f>
        <v>90</v>
      </c>
      <c r="AG4" s="135">
        <v>0.05</v>
      </c>
      <c r="AH4" s="134">
        <f>ROUND(AD4*AG4,2)</f>
        <v>90</v>
      </c>
      <c r="AI4" s="134"/>
      <c r="AJ4" s="134"/>
      <c r="AK4" s="134"/>
      <c r="AL4" s="134"/>
      <c r="AM4" s="134"/>
      <c r="AN4" s="134">
        <f>3699*0.015</f>
        <v>55.485</v>
      </c>
      <c r="AO4" s="134">
        <v>5</v>
      </c>
      <c r="AP4" s="136">
        <f>ROUND(SUM(K4,P4,U4,Z4,AC4,AK4,AN4),2)</f>
        <v>1002.44</v>
      </c>
      <c r="AQ4" s="136">
        <f>ROUND(SUM(M4,R4,W4,AM4,AO4),2)</f>
        <v>393.4</v>
      </c>
      <c r="AR4" s="136">
        <f>AF4</f>
        <v>90</v>
      </c>
      <c r="AS4" s="136">
        <f>AH4</f>
        <v>90</v>
      </c>
      <c r="AT4" s="136">
        <f>ROUND(AP4+AQ4+AR4+AS4,2)</f>
        <v>1575.84</v>
      </c>
      <c r="AU4" s="136">
        <f>ROUND(AP4+AQ4,2)</f>
        <v>1395.84</v>
      </c>
      <c r="AV4" s="136">
        <f>ROUND(AS4+AR4,2)</f>
        <v>180</v>
      </c>
      <c r="AW4" s="136">
        <v>80</v>
      </c>
      <c r="AX4" s="136">
        <f>ROUND(SUM(AU4:AW4),2)</f>
        <v>1655.84</v>
      </c>
      <c r="AY4" s="122"/>
      <c r="AZ4" s="145"/>
      <c r="BA4" s="146"/>
      <c r="BB4" s="114" t="s">
        <v>134</v>
      </c>
      <c r="BC4" s="146"/>
    </row>
    <row r="5" s="114" customFormat="1" ht="18.95" customHeight="1" spans="1:55">
      <c r="A5" s="121"/>
      <c r="B5" s="121" t="s">
        <v>131</v>
      </c>
      <c r="C5" s="121" t="s">
        <v>132</v>
      </c>
      <c r="D5" s="122"/>
      <c r="E5" s="123" t="s">
        <v>86</v>
      </c>
      <c r="F5" s="124" t="s">
        <v>88</v>
      </c>
      <c r="G5" s="121">
        <v>202101</v>
      </c>
      <c r="H5" s="125">
        <v>202204</v>
      </c>
      <c r="I5" s="134">
        <v>3699</v>
      </c>
      <c r="J5" s="135">
        <v>0.16</v>
      </c>
      <c r="K5" s="134">
        <f>ROUND(I5*J5,2)</f>
        <v>591.84</v>
      </c>
      <c r="L5" s="135">
        <v>0.08</v>
      </c>
      <c r="M5" s="134">
        <f>ROUND(I5*L5,2)</f>
        <v>295.92</v>
      </c>
      <c r="N5" s="134">
        <v>3699</v>
      </c>
      <c r="O5" s="135">
        <v>0.085</v>
      </c>
      <c r="P5" s="136">
        <f>ROUND(N5*O5,2)</f>
        <v>314.42</v>
      </c>
      <c r="Q5" s="135">
        <v>0.02</v>
      </c>
      <c r="R5" s="134">
        <f>ROUND(N5*Q5,2)</f>
        <v>73.98</v>
      </c>
      <c r="S5" s="134">
        <v>3699</v>
      </c>
      <c r="T5" s="135">
        <v>0.005</v>
      </c>
      <c r="U5" s="134">
        <f>ROUND(S5*T5,2)</f>
        <v>18.5</v>
      </c>
      <c r="V5" s="135">
        <v>0.005</v>
      </c>
      <c r="W5" s="134">
        <f>ROUND(S5*V5,2)</f>
        <v>18.5</v>
      </c>
      <c r="X5" s="134"/>
      <c r="Y5" s="135"/>
      <c r="Z5" s="134"/>
      <c r="AA5" s="134">
        <v>3699</v>
      </c>
      <c r="AB5" s="143">
        <v>0.006</v>
      </c>
      <c r="AC5" s="134">
        <f>ROUND(AA5*AB5,2)</f>
        <v>22.19</v>
      </c>
      <c r="AD5" s="134" t="s">
        <v>133</v>
      </c>
      <c r="AE5" s="135">
        <v>0.05</v>
      </c>
      <c r="AF5" s="134">
        <f>ROUND(AD5*AE5,2)</f>
        <v>90</v>
      </c>
      <c r="AG5" s="135">
        <v>0.05</v>
      </c>
      <c r="AH5" s="134">
        <f>ROUND(AD5*AG5,2)</f>
        <v>90</v>
      </c>
      <c r="AI5" s="134"/>
      <c r="AJ5" s="134"/>
      <c r="AK5" s="134"/>
      <c r="AL5" s="134"/>
      <c r="AM5" s="134"/>
      <c r="AN5" s="134">
        <f>3699*0.015</f>
        <v>55.485</v>
      </c>
      <c r="AO5" s="134">
        <v>5</v>
      </c>
      <c r="AP5" s="136">
        <f>ROUND(SUM(K5,P5,U5,Z5,AC5,AK5,AN5),2)</f>
        <v>1002.44</v>
      </c>
      <c r="AQ5" s="136">
        <f>ROUND(SUM(M5,R5,W5,AM5,AO5),2)</f>
        <v>393.4</v>
      </c>
      <c r="AR5" s="136">
        <f>AF5</f>
        <v>90</v>
      </c>
      <c r="AS5" s="136">
        <f>AH5</f>
        <v>90</v>
      </c>
      <c r="AT5" s="136">
        <f>ROUND(AP5+AQ5+AR5+AS5,2)</f>
        <v>1575.84</v>
      </c>
      <c r="AU5" s="136">
        <f>ROUND(AP5+AQ5,2)</f>
        <v>1395.84</v>
      </c>
      <c r="AV5" s="136">
        <f>ROUND(AS5+AR5,2)</f>
        <v>180</v>
      </c>
      <c r="AW5" s="136">
        <v>80</v>
      </c>
      <c r="AX5" s="136">
        <f>ROUND(SUM(AU5:AW5),2)</f>
        <v>1655.84</v>
      </c>
      <c r="AY5" s="122"/>
      <c r="AZ5" s="145"/>
      <c r="BA5" s="146"/>
      <c r="BB5" s="114" t="s">
        <v>134</v>
      </c>
      <c r="BC5" s="146"/>
    </row>
    <row r="6" s="115" customFormat="1" ht="18.95" customHeight="1" spans="1:55">
      <c r="A6" s="126" t="s">
        <v>135</v>
      </c>
      <c r="B6" s="126" t="s">
        <v>131</v>
      </c>
      <c r="C6" s="126" t="s">
        <v>132</v>
      </c>
      <c r="D6" s="127"/>
      <c r="E6" s="128" t="s">
        <v>86</v>
      </c>
      <c r="F6" s="129" t="s">
        <v>88</v>
      </c>
      <c r="G6" s="126">
        <v>202101</v>
      </c>
      <c r="H6" s="126">
        <v>202101</v>
      </c>
      <c r="I6" s="137">
        <f t="shared" ref="I5:I18" si="0">3699-3491</f>
        <v>208</v>
      </c>
      <c r="J6" s="138">
        <v>0.16</v>
      </c>
      <c r="K6" s="137">
        <f t="shared" ref="K6:K17" si="1">ROUND(I6*J6,2)</f>
        <v>33.28</v>
      </c>
      <c r="L6" s="138">
        <v>0.08</v>
      </c>
      <c r="M6" s="137">
        <f t="shared" ref="M6:M17" si="2">ROUND(I6*L6,2)</f>
        <v>16.64</v>
      </c>
      <c r="N6" s="137">
        <f t="shared" ref="N6:N18" si="3">3699-3491</f>
        <v>208</v>
      </c>
      <c r="O6" s="138">
        <v>0.085</v>
      </c>
      <c r="P6" s="139">
        <f t="shared" ref="P6:P17" si="4">ROUND(N6*O6,2)</f>
        <v>17.68</v>
      </c>
      <c r="Q6" s="138">
        <v>0.02</v>
      </c>
      <c r="R6" s="137">
        <f t="shared" ref="R6:R17" si="5">ROUND(N6*Q6,2)</f>
        <v>4.16</v>
      </c>
      <c r="S6" s="137">
        <f t="shared" ref="S6:S18" si="6">3699-3491</f>
        <v>208</v>
      </c>
      <c r="T6" s="138">
        <v>0.005</v>
      </c>
      <c r="U6" s="137">
        <f t="shared" ref="U6:U17" si="7">ROUND(S6*T6,2)</f>
        <v>1.04</v>
      </c>
      <c r="V6" s="138">
        <v>0.005</v>
      </c>
      <c r="W6" s="137">
        <f t="shared" ref="W6:W17" si="8">ROUND(S6*V6,2)</f>
        <v>1.04</v>
      </c>
      <c r="X6" s="137"/>
      <c r="Y6" s="138"/>
      <c r="Z6" s="137"/>
      <c r="AA6" s="137">
        <f t="shared" ref="AA6:AA18" si="9">3699-3491</f>
        <v>208</v>
      </c>
      <c r="AB6" s="144">
        <v>0.006</v>
      </c>
      <c r="AC6" s="137">
        <f t="shared" ref="AC6:AC17" si="10">ROUND(AA6*AB6,2)</f>
        <v>1.25</v>
      </c>
      <c r="AD6" s="137"/>
      <c r="AE6" s="138"/>
      <c r="AF6" s="137"/>
      <c r="AG6" s="138"/>
      <c r="AH6" s="137"/>
      <c r="AI6" s="137"/>
      <c r="AJ6" s="137"/>
      <c r="AK6" s="137"/>
      <c r="AL6" s="137"/>
      <c r="AM6" s="137"/>
      <c r="AN6" s="137">
        <f>55.49-52.37</f>
        <v>3.12</v>
      </c>
      <c r="AO6" s="137"/>
      <c r="AP6" s="139">
        <f t="shared" ref="AP6:AP17" si="11">ROUND(SUM(K6,P6,U6,Z6,AC6,AK6,AN6),2)</f>
        <v>56.37</v>
      </c>
      <c r="AQ6" s="139">
        <f t="shared" ref="AQ6:AQ17" si="12">ROUND(SUM(M6,R6,W6,AM6,AO6),2)</f>
        <v>21.84</v>
      </c>
      <c r="AR6" s="139">
        <f t="shared" ref="AR6:AR17" si="13">AF6</f>
        <v>0</v>
      </c>
      <c r="AS6" s="139">
        <f t="shared" ref="AS6:AS17" si="14">AH6</f>
        <v>0</v>
      </c>
      <c r="AT6" s="139">
        <f t="shared" ref="AT6:AT17" si="15">ROUND(AP6+AQ6+AR6+AS6,2)</f>
        <v>78.21</v>
      </c>
      <c r="AU6" s="139">
        <f t="shared" ref="AU6:AU17" si="16">ROUND(AP6+AQ6,2)</f>
        <v>78.21</v>
      </c>
      <c r="AV6" s="139">
        <f t="shared" ref="AV6:AV17" si="17">ROUND(AS6+AR6,2)</f>
        <v>0</v>
      </c>
      <c r="AW6" s="139"/>
      <c r="AX6" s="139">
        <f t="shared" ref="AX6:AX17" si="18">ROUND(SUM(AU6:AW6),2)</f>
        <v>78.21</v>
      </c>
      <c r="AY6" s="127" t="s">
        <v>136</v>
      </c>
      <c r="AZ6" s="147"/>
      <c r="BA6" s="148"/>
      <c r="BB6" s="115" t="s">
        <v>134</v>
      </c>
      <c r="BC6" s="148"/>
    </row>
    <row r="7" s="115" customFormat="1" ht="18.95" customHeight="1" spans="1:55">
      <c r="A7" s="126" t="s">
        <v>135</v>
      </c>
      <c r="B7" s="126" t="s">
        <v>131</v>
      </c>
      <c r="C7" s="126" t="s">
        <v>132</v>
      </c>
      <c r="D7" s="127"/>
      <c r="E7" s="128" t="s">
        <v>86</v>
      </c>
      <c r="F7" s="129" t="s">
        <v>88</v>
      </c>
      <c r="G7" s="126">
        <v>202101</v>
      </c>
      <c r="H7" s="126">
        <v>202102</v>
      </c>
      <c r="I7" s="137">
        <f t="shared" si="0"/>
        <v>208</v>
      </c>
      <c r="J7" s="138">
        <v>0.16</v>
      </c>
      <c r="K7" s="137">
        <f t="shared" si="1"/>
        <v>33.28</v>
      </c>
      <c r="L7" s="138">
        <v>0.08</v>
      </c>
      <c r="M7" s="137">
        <f t="shared" si="2"/>
        <v>16.64</v>
      </c>
      <c r="N7" s="137">
        <f t="shared" si="3"/>
        <v>208</v>
      </c>
      <c r="O7" s="138">
        <v>0.085</v>
      </c>
      <c r="P7" s="139">
        <f t="shared" si="4"/>
        <v>17.68</v>
      </c>
      <c r="Q7" s="138">
        <v>0.02</v>
      </c>
      <c r="R7" s="137">
        <f t="shared" si="5"/>
        <v>4.16</v>
      </c>
      <c r="S7" s="137">
        <f t="shared" si="6"/>
        <v>208</v>
      </c>
      <c r="T7" s="138">
        <v>0.005</v>
      </c>
      <c r="U7" s="137">
        <f t="shared" si="7"/>
        <v>1.04</v>
      </c>
      <c r="V7" s="138">
        <v>0.005</v>
      </c>
      <c r="W7" s="137">
        <f t="shared" si="8"/>
        <v>1.04</v>
      </c>
      <c r="X7" s="137"/>
      <c r="Y7" s="138"/>
      <c r="Z7" s="137"/>
      <c r="AA7" s="137">
        <f t="shared" si="9"/>
        <v>208</v>
      </c>
      <c r="AB7" s="144">
        <v>0.006</v>
      </c>
      <c r="AC7" s="137">
        <f t="shared" si="10"/>
        <v>1.25</v>
      </c>
      <c r="AD7" s="137"/>
      <c r="AE7" s="138"/>
      <c r="AF7" s="137"/>
      <c r="AG7" s="138"/>
      <c r="AH7" s="137"/>
      <c r="AI7" s="137"/>
      <c r="AJ7" s="137"/>
      <c r="AK7" s="137"/>
      <c r="AL7" s="137"/>
      <c r="AM7" s="137"/>
      <c r="AN7" s="137">
        <f t="shared" ref="AN7:AN18" si="19">55.49-52.37</f>
        <v>3.12</v>
      </c>
      <c r="AO7" s="137"/>
      <c r="AP7" s="139">
        <f t="shared" si="11"/>
        <v>56.37</v>
      </c>
      <c r="AQ7" s="139">
        <f t="shared" si="12"/>
        <v>21.84</v>
      </c>
      <c r="AR7" s="139">
        <f t="shared" si="13"/>
        <v>0</v>
      </c>
      <c r="AS7" s="139">
        <f t="shared" si="14"/>
        <v>0</v>
      </c>
      <c r="AT7" s="139">
        <f t="shared" si="15"/>
        <v>78.21</v>
      </c>
      <c r="AU7" s="139">
        <f t="shared" si="16"/>
        <v>78.21</v>
      </c>
      <c r="AV7" s="139">
        <f t="shared" si="17"/>
        <v>0</v>
      </c>
      <c r="AW7" s="139"/>
      <c r="AX7" s="139">
        <f t="shared" si="18"/>
        <v>78.21</v>
      </c>
      <c r="AY7" s="127" t="s">
        <v>136</v>
      </c>
      <c r="AZ7" s="147"/>
      <c r="BA7" s="148"/>
      <c r="BB7" s="115" t="s">
        <v>134</v>
      </c>
      <c r="BC7" s="148"/>
    </row>
    <row r="8" s="115" customFormat="1" ht="18.95" customHeight="1" spans="1:55">
      <c r="A8" s="126" t="s">
        <v>135</v>
      </c>
      <c r="B8" s="126" t="s">
        <v>131</v>
      </c>
      <c r="C8" s="126" t="s">
        <v>132</v>
      </c>
      <c r="D8" s="127"/>
      <c r="E8" s="128" t="s">
        <v>86</v>
      </c>
      <c r="F8" s="129" t="s">
        <v>88</v>
      </c>
      <c r="G8" s="126">
        <v>202101</v>
      </c>
      <c r="H8" s="126">
        <v>202103</v>
      </c>
      <c r="I8" s="137">
        <f t="shared" si="0"/>
        <v>208</v>
      </c>
      <c r="J8" s="138">
        <v>0.16</v>
      </c>
      <c r="K8" s="137">
        <f t="shared" si="1"/>
        <v>33.28</v>
      </c>
      <c r="L8" s="138">
        <v>0.08</v>
      </c>
      <c r="M8" s="137">
        <f t="shared" si="2"/>
        <v>16.64</v>
      </c>
      <c r="N8" s="137">
        <f t="shared" si="3"/>
        <v>208</v>
      </c>
      <c r="O8" s="138">
        <v>0.085</v>
      </c>
      <c r="P8" s="139">
        <f t="shared" si="4"/>
        <v>17.68</v>
      </c>
      <c r="Q8" s="138">
        <v>0.02</v>
      </c>
      <c r="R8" s="137">
        <f t="shared" si="5"/>
        <v>4.16</v>
      </c>
      <c r="S8" s="137">
        <f t="shared" si="6"/>
        <v>208</v>
      </c>
      <c r="T8" s="138">
        <v>0.005</v>
      </c>
      <c r="U8" s="137">
        <f t="shared" si="7"/>
        <v>1.04</v>
      </c>
      <c r="V8" s="138">
        <v>0.005</v>
      </c>
      <c r="W8" s="137">
        <f t="shared" si="8"/>
        <v>1.04</v>
      </c>
      <c r="X8" s="137"/>
      <c r="Y8" s="138"/>
      <c r="Z8" s="137"/>
      <c r="AA8" s="137">
        <f t="shared" si="9"/>
        <v>208</v>
      </c>
      <c r="AB8" s="144">
        <v>0.006</v>
      </c>
      <c r="AC8" s="137">
        <f t="shared" si="10"/>
        <v>1.25</v>
      </c>
      <c r="AD8" s="137"/>
      <c r="AE8" s="138"/>
      <c r="AF8" s="137"/>
      <c r="AG8" s="138"/>
      <c r="AH8" s="137"/>
      <c r="AI8" s="137"/>
      <c r="AJ8" s="137"/>
      <c r="AK8" s="137"/>
      <c r="AL8" s="137"/>
      <c r="AM8" s="137"/>
      <c r="AN8" s="137">
        <f t="shared" si="19"/>
        <v>3.12</v>
      </c>
      <c r="AO8" s="137"/>
      <c r="AP8" s="139">
        <f t="shared" si="11"/>
        <v>56.37</v>
      </c>
      <c r="AQ8" s="139">
        <f t="shared" si="12"/>
        <v>21.84</v>
      </c>
      <c r="AR8" s="139">
        <f t="shared" si="13"/>
        <v>0</v>
      </c>
      <c r="AS8" s="139">
        <f t="shared" si="14"/>
        <v>0</v>
      </c>
      <c r="AT8" s="139">
        <f t="shared" si="15"/>
        <v>78.21</v>
      </c>
      <c r="AU8" s="139">
        <f t="shared" si="16"/>
        <v>78.21</v>
      </c>
      <c r="AV8" s="139">
        <f t="shared" si="17"/>
        <v>0</v>
      </c>
      <c r="AW8" s="139"/>
      <c r="AX8" s="139">
        <f t="shared" si="18"/>
        <v>78.21</v>
      </c>
      <c r="AY8" s="127" t="s">
        <v>136</v>
      </c>
      <c r="AZ8" s="147"/>
      <c r="BA8" s="148"/>
      <c r="BB8" s="115" t="s">
        <v>134</v>
      </c>
      <c r="BC8" s="148"/>
    </row>
    <row r="9" s="115" customFormat="1" ht="18.95" customHeight="1" spans="1:55">
      <c r="A9" s="126" t="s">
        <v>135</v>
      </c>
      <c r="B9" s="126" t="s">
        <v>131</v>
      </c>
      <c r="C9" s="126" t="s">
        <v>132</v>
      </c>
      <c r="D9" s="127"/>
      <c r="E9" s="128" t="s">
        <v>86</v>
      </c>
      <c r="F9" s="129" t="s">
        <v>88</v>
      </c>
      <c r="G9" s="126">
        <v>202101</v>
      </c>
      <c r="H9" s="126">
        <v>202104</v>
      </c>
      <c r="I9" s="137">
        <f t="shared" si="0"/>
        <v>208</v>
      </c>
      <c r="J9" s="138">
        <v>0.16</v>
      </c>
      <c r="K9" s="137">
        <f t="shared" si="1"/>
        <v>33.28</v>
      </c>
      <c r="L9" s="138">
        <v>0.08</v>
      </c>
      <c r="M9" s="137">
        <f t="shared" si="2"/>
        <v>16.64</v>
      </c>
      <c r="N9" s="137">
        <f t="shared" si="3"/>
        <v>208</v>
      </c>
      <c r="O9" s="138">
        <v>0.085</v>
      </c>
      <c r="P9" s="139">
        <f t="shared" si="4"/>
        <v>17.68</v>
      </c>
      <c r="Q9" s="138">
        <v>0.02</v>
      </c>
      <c r="R9" s="137">
        <f t="shared" si="5"/>
        <v>4.16</v>
      </c>
      <c r="S9" s="137">
        <f t="shared" si="6"/>
        <v>208</v>
      </c>
      <c r="T9" s="138">
        <v>0.005</v>
      </c>
      <c r="U9" s="137">
        <f t="shared" si="7"/>
        <v>1.04</v>
      </c>
      <c r="V9" s="138">
        <v>0.005</v>
      </c>
      <c r="W9" s="137">
        <f t="shared" si="8"/>
        <v>1.04</v>
      </c>
      <c r="X9" s="137"/>
      <c r="Y9" s="138"/>
      <c r="Z9" s="137"/>
      <c r="AA9" s="137">
        <f t="shared" si="9"/>
        <v>208</v>
      </c>
      <c r="AB9" s="144">
        <v>0.006</v>
      </c>
      <c r="AC9" s="137">
        <f t="shared" si="10"/>
        <v>1.25</v>
      </c>
      <c r="AD9" s="137"/>
      <c r="AE9" s="138"/>
      <c r="AF9" s="137"/>
      <c r="AG9" s="138"/>
      <c r="AH9" s="137"/>
      <c r="AI9" s="137"/>
      <c r="AJ9" s="137"/>
      <c r="AK9" s="137"/>
      <c r="AL9" s="137"/>
      <c r="AM9" s="137"/>
      <c r="AN9" s="137">
        <f t="shared" si="19"/>
        <v>3.12</v>
      </c>
      <c r="AO9" s="137"/>
      <c r="AP9" s="139">
        <f t="shared" si="11"/>
        <v>56.37</v>
      </c>
      <c r="AQ9" s="139">
        <f t="shared" si="12"/>
        <v>21.84</v>
      </c>
      <c r="AR9" s="139">
        <f t="shared" si="13"/>
        <v>0</v>
      </c>
      <c r="AS9" s="139">
        <f t="shared" si="14"/>
        <v>0</v>
      </c>
      <c r="AT9" s="139">
        <f t="shared" si="15"/>
        <v>78.21</v>
      </c>
      <c r="AU9" s="139">
        <f t="shared" si="16"/>
        <v>78.21</v>
      </c>
      <c r="AV9" s="139">
        <f t="shared" si="17"/>
        <v>0</v>
      </c>
      <c r="AW9" s="139"/>
      <c r="AX9" s="139">
        <f t="shared" si="18"/>
        <v>78.21</v>
      </c>
      <c r="AY9" s="127" t="s">
        <v>136</v>
      </c>
      <c r="AZ9" s="147"/>
      <c r="BA9" s="148"/>
      <c r="BB9" s="115" t="s">
        <v>134</v>
      </c>
      <c r="BC9" s="148"/>
    </row>
    <row r="10" s="115" customFormat="1" ht="18.95" customHeight="1" spans="1:55">
      <c r="A10" s="126" t="s">
        <v>135</v>
      </c>
      <c r="B10" s="126" t="s">
        <v>131</v>
      </c>
      <c r="C10" s="126" t="s">
        <v>132</v>
      </c>
      <c r="D10" s="127"/>
      <c r="E10" s="128" t="s">
        <v>86</v>
      </c>
      <c r="F10" s="129" t="s">
        <v>88</v>
      </c>
      <c r="G10" s="126">
        <v>202101</v>
      </c>
      <c r="H10" s="126">
        <v>202105</v>
      </c>
      <c r="I10" s="137">
        <f t="shared" si="0"/>
        <v>208</v>
      </c>
      <c r="J10" s="138">
        <v>0.16</v>
      </c>
      <c r="K10" s="137">
        <f t="shared" si="1"/>
        <v>33.28</v>
      </c>
      <c r="L10" s="138">
        <v>0.08</v>
      </c>
      <c r="M10" s="137">
        <f t="shared" si="2"/>
        <v>16.64</v>
      </c>
      <c r="N10" s="137">
        <f t="shared" si="3"/>
        <v>208</v>
      </c>
      <c r="O10" s="138">
        <v>0.085</v>
      </c>
      <c r="P10" s="139">
        <f t="shared" si="4"/>
        <v>17.68</v>
      </c>
      <c r="Q10" s="138">
        <v>0.02</v>
      </c>
      <c r="R10" s="137">
        <f t="shared" si="5"/>
        <v>4.16</v>
      </c>
      <c r="S10" s="137">
        <f t="shared" si="6"/>
        <v>208</v>
      </c>
      <c r="T10" s="138">
        <v>0.005</v>
      </c>
      <c r="U10" s="137">
        <f t="shared" si="7"/>
        <v>1.04</v>
      </c>
      <c r="V10" s="138">
        <v>0.005</v>
      </c>
      <c r="W10" s="137">
        <f t="shared" si="8"/>
        <v>1.04</v>
      </c>
      <c r="X10" s="137"/>
      <c r="Y10" s="138"/>
      <c r="Z10" s="137"/>
      <c r="AA10" s="137">
        <f t="shared" si="9"/>
        <v>208</v>
      </c>
      <c r="AB10" s="144">
        <v>0.006</v>
      </c>
      <c r="AC10" s="137">
        <f t="shared" si="10"/>
        <v>1.25</v>
      </c>
      <c r="AD10" s="137"/>
      <c r="AE10" s="138"/>
      <c r="AF10" s="137"/>
      <c r="AG10" s="138"/>
      <c r="AH10" s="137"/>
      <c r="AI10" s="137"/>
      <c r="AJ10" s="137"/>
      <c r="AK10" s="137"/>
      <c r="AL10" s="137"/>
      <c r="AM10" s="137"/>
      <c r="AN10" s="137">
        <f t="shared" si="19"/>
        <v>3.12</v>
      </c>
      <c r="AO10" s="137"/>
      <c r="AP10" s="139">
        <f t="shared" si="11"/>
        <v>56.37</v>
      </c>
      <c r="AQ10" s="139">
        <f t="shared" si="12"/>
        <v>21.84</v>
      </c>
      <c r="AR10" s="139">
        <f t="shared" si="13"/>
        <v>0</v>
      </c>
      <c r="AS10" s="139">
        <f t="shared" si="14"/>
        <v>0</v>
      </c>
      <c r="AT10" s="139">
        <f t="shared" si="15"/>
        <v>78.21</v>
      </c>
      <c r="AU10" s="139">
        <f t="shared" si="16"/>
        <v>78.21</v>
      </c>
      <c r="AV10" s="139">
        <f t="shared" si="17"/>
        <v>0</v>
      </c>
      <c r="AW10" s="139"/>
      <c r="AX10" s="139">
        <f t="shared" si="18"/>
        <v>78.21</v>
      </c>
      <c r="AY10" s="127" t="s">
        <v>136</v>
      </c>
      <c r="AZ10" s="147"/>
      <c r="BA10" s="148"/>
      <c r="BB10" s="115" t="s">
        <v>134</v>
      </c>
      <c r="BC10" s="148"/>
    </row>
    <row r="11" s="115" customFormat="1" ht="18.95" customHeight="1" spans="1:55">
      <c r="A11" s="126" t="s">
        <v>135</v>
      </c>
      <c r="B11" s="126" t="s">
        <v>131</v>
      </c>
      <c r="C11" s="126" t="s">
        <v>132</v>
      </c>
      <c r="D11" s="127"/>
      <c r="E11" s="128" t="s">
        <v>86</v>
      </c>
      <c r="F11" s="129" t="s">
        <v>88</v>
      </c>
      <c r="G11" s="126">
        <v>202101</v>
      </c>
      <c r="H11" s="126">
        <v>202106</v>
      </c>
      <c r="I11" s="137">
        <f t="shared" si="0"/>
        <v>208</v>
      </c>
      <c r="J11" s="138">
        <v>0.16</v>
      </c>
      <c r="K11" s="137">
        <f t="shared" si="1"/>
        <v>33.28</v>
      </c>
      <c r="L11" s="138">
        <v>0.08</v>
      </c>
      <c r="M11" s="137">
        <f t="shared" si="2"/>
        <v>16.64</v>
      </c>
      <c r="N11" s="137">
        <f t="shared" si="3"/>
        <v>208</v>
      </c>
      <c r="O11" s="138">
        <v>0.085</v>
      </c>
      <c r="P11" s="139">
        <f t="shared" si="4"/>
        <v>17.68</v>
      </c>
      <c r="Q11" s="138">
        <v>0.02</v>
      </c>
      <c r="R11" s="137">
        <f t="shared" si="5"/>
        <v>4.16</v>
      </c>
      <c r="S11" s="137">
        <f t="shared" si="6"/>
        <v>208</v>
      </c>
      <c r="T11" s="138">
        <v>0.005</v>
      </c>
      <c r="U11" s="137">
        <f t="shared" si="7"/>
        <v>1.04</v>
      </c>
      <c r="V11" s="138">
        <v>0.005</v>
      </c>
      <c r="W11" s="137">
        <f t="shared" si="8"/>
        <v>1.04</v>
      </c>
      <c r="X11" s="137"/>
      <c r="Y11" s="138"/>
      <c r="Z11" s="137"/>
      <c r="AA11" s="137">
        <f t="shared" si="9"/>
        <v>208</v>
      </c>
      <c r="AB11" s="144">
        <v>0.006</v>
      </c>
      <c r="AC11" s="137">
        <f t="shared" si="10"/>
        <v>1.25</v>
      </c>
      <c r="AD11" s="137"/>
      <c r="AE11" s="138"/>
      <c r="AF11" s="137"/>
      <c r="AG11" s="138"/>
      <c r="AH11" s="137"/>
      <c r="AI11" s="137"/>
      <c r="AJ11" s="137"/>
      <c r="AK11" s="137"/>
      <c r="AL11" s="137"/>
      <c r="AM11" s="137"/>
      <c r="AN11" s="137">
        <f t="shared" si="19"/>
        <v>3.12</v>
      </c>
      <c r="AO11" s="137"/>
      <c r="AP11" s="139">
        <f t="shared" si="11"/>
        <v>56.37</v>
      </c>
      <c r="AQ11" s="139">
        <f t="shared" si="12"/>
        <v>21.84</v>
      </c>
      <c r="AR11" s="139">
        <f t="shared" si="13"/>
        <v>0</v>
      </c>
      <c r="AS11" s="139">
        <f t="shared" si="14"/>
        <v>0</v>
      </c>
      <c r="AT11" s="139">
        <f t="shared" si="15"/>
        <v>78.21</v>
      </c>
      <c r="AU11" s="139">
        <f t="shared" si="16"/>
        <v>78.21</v>
      </c>
      <c r="AV11" s="139">
        <f t="shared" si="17"/>
        <v>0</v>
      </c>
      <c r="AW11" s="139"/>
      <c r="AX11" s="139">
        <f t="shared" si="18"/>
        <v>78.21</v>
      </c>
      <c r="AY11" s="127" t="s">
        <v>136</v>
      </c>
      <c r="AZ11" s="147"/>
      <c r="BA11" s="148"/>
      <c r="BB11" s="115" t="s">
        <v>134</v>
      </c>
      <c r="BC11" s="148"/>
    </row>
    <row r="12" s="115" customFormat="1" ht="18.95" customHeight="1" spans="1:55">
      <c r="A12" s="126" t="s">
        <v>135</v>
      </c>
      <c r="B12" s="126" t="s">
        <v>131</v>
      </c>
      <c r="C12" s="126" t="s">
        <v>132</v>
      </c>
      <c r="D12" s="127"/>
      <c r="E12" s="128" t="s">
        <v>86</v>
      </c>
      <c r="F12" s="129" t="s">
        <v>88</v>
      </c>
      <c r="G12" s="126">
        <v>202101</v>
      </c>
      <c r="H12" s="126">
        <v>202107</v>
      </c>
      <c r="I12" s="137">
        <f t="shared" si="0"/>
        <v>208</v>
      </c>
      <c r="J12" s="138">
        <v>0.16</v>
      </c>
      <c r="K12" s="137">
        <f t="shared" si="1"/>
        <v>33.28</v>
      </c>
      <c r="L12" s="138">
        <v>0.08</v>
      </c>
      <c r="M12" s="137">
        <f t="shared" si="2"/>
        <v>16.64</v>
      </c>
      <c r="N12" s="137">
        <f t="shared" si="3"/>
        <v>208</v>
      </c>
      <c r="O12" s="138">
        <v>0.085</v>
      </c>
      <c r="P12" s="139">
        <f t="shared" si="4"/>
        <v>17.68</v>
      </c>
      <c r="Q12" s="138">
        <v>0.02</v>
      </c>
      <c r="R12" s="137">
        <f t="shared" si="5"/>
        <v>4.16</v>
      </c>
      <c r="S12" s="137">
        <f t="shared" si="6"/>
        <v>208</v>
      </c>
      <c r="T12" s="138">
        <v>0.005</v>
      </c>
      <c r="U12" s="137">
        <f t="shared" si="7"/>
        <v>1.04</v>
      </c>
      <c r="V12" s="138">
        <v>0.005</v>
      </c>
      <c r="W12" s="137">
        <f t="shared" si="8"/>
        <v>1.04</v>
      </c>
      <c r="X12" s="137"/>
      <c r="Y12" s="138"/>
      <c r="Z12" s="137"/>
      <c r="AA12" s="137">
        <f t="shared" si="9"/>
        <v>208</v>
      </c>
      <c r="AB12" s="144">
        <v>0.006</v>
      </c>
      <c r="AC12" s="137">
        <f t="shared" si="10"/>
        <v>1.25</v>
      </c>
      <c r="AD12" s="137"/>
      <c r="AE12" s="138"/>
      <c r="AF12" s="137"/>
      <c r="AG12" s="138"/>
      <c r="AH12" s="137"/>
      <c r="AI12" s="137"/>
      <c r="AJ12" s="137"/>
      <c r="AK12" s="137"/>
      <c r="AL12" s="137"/>
      <c r="AM12" s="137"/>
      <c r="AN12" s="137">
        <f t="shared" si="19"/>
        <v>3.12</v>
      </c>
      <c r="AO12" s="137"/>
      <c r="AP12" s="139">
        <f t="shared" si="11"/>
        <v>56.37</v>
      </c>
      <c r="AQ12" s="139">
        <f t="shared" si="12"/>
        <v>21.84</v>
      </c>
      <c r="AR12" s="139">
        <f t="shared" si="13"/>
        <v>0</v>
      </c>
      <c r="AS12" s="139">
        <f t="shared" si="14"/>
        <v>0</v>
      </c>
      <c r="AT12" s="139">
        <f t="shared" si="15"/>
        <v>78.21</v>
      </c>
      <c r="AU12" s="139">
        <f t="shared" si="16"/>
        <v>78.21</v>
      </c>
      <c r="AV12" s="139">
        <f t="shared" si="17"/>
        <v>0</v>
      </c>
      <c r="AW12" s="139"/>
      <c r="AX12" s="139">
        <f t="shared" si="18"/>
        <v>78.21</v>
      </c>
      <c r="AY12" s="127" t="s">
        <v>136</v>
      </c>
      <c r="AZ12" s="147"/>
      <c r="BA12" s="148"/>
      <c r="BB12" s="115" t="s">
        <v>134</v>
      </c>
      <c r="BC12" s="148"/>
    </row>
    <row r="13" s="115" customFormat="1" ht="18.95" customHeight="1" spans="1:55">
      <c r="A13" s="126" t="s">
        <v>135</v>
      </c>
      <c r="B13" s="126" t="s">
        <v>131</v>
      </c>
      <c r="C13" s="126" t="s">
        <v>132</v>
      </c>
      <c r="D13" s="127"/>
      <c r="E13" s="128" t="s">
        <v>86</v>
      </c>
      <c r="F13" s="129" t="s">
        <v>88</v>
      </c>
      <c r="G13" s="126">
        <v>202101</v>
      </c>
      <c r="H13" s="126">
        <v>202108</v>
      </c>
      <c r="I13" s="137">
        <f t="shared" si="0"/>
        <v>208</v>
      </c>
      <c r="J13" s="138">
        <v>0.16</v>
      </c>
      <c r="K13" s="137">
        <f t="shared" si="1"/>
        <v>33.28</v>
      </c>
      <c r="L13" s="138">
        <v>0.08</v>
      </c>
      <c r="M13" s="137">
        <f t="shared" si="2"/>
        <v>16.64</v>
      </c>
      <c r="N13" s="137">
        <f t="shared" si="3"/>
        <v>208</v>
      </c>
      <c r="O13" s="138">
        <v>0.085</v>
      </c>
      <c r="P13" s="139">
        <f t="shared" si="4"/>
        <v>17.68</v>
      </c>
      <c r="Q13" s="138">
        <v>0.02</v>
      </c>
      <c r="R13" s="137">
        <f t="shared" si="5"/>
        <v>4.16</v>
      </c>
      <c r="S13" s="137">
        <f t="shared" si="6"/>
        <v>208</v>
      </c>
      <c r="T13" s="138">
        <v>0.005</v>
      </c>
      <c r="U13" s="137">
        <f t="shared" si="7"/>
        <v>1.04</v>
      </c>
      <c r="V13" s="138">
        <v>0.005</v>
      </c>
      <c r="W13" s="137">
        <f t="shared" si="8"/>
        <v>1.04</v>
      </c>
      <c r="X13" s="137"/>
      <c r="Y13" s="138"/>
      <c r="Z13" s="137"/>
      <c r="AA13" s="137">
        <f t="shared" si="9"/>
        <v>208</v>
      </c>
      <c r="AB13" s="144">
        <v>0.006</v>
      </c>
      <c r="AC13" s="137">
        <f t="shared" si="10"/>
        <v>1.25</v>
      </c>
      <c r="AD13" s="137"/>
      <c r="AE13" s="138"/>
      <c r="AF13" s="137"/>
      <c r="AG13" s="138"/>
      <c r="AH13" s="137"/>
      <c r="AI13" s="137"/>
      <c r="AJ13" s="137"/>
      <c r="AK13" s="137"/>
      <c r="AL13" s="137"/>
      <c r="AM13" s="137"/>
      <c r="AN13" s="137">
        <f t="shared" si="19"/>
        <v>3.12</v>
      </c>
      <c r="AO13" s="137"/>
      <c r="AP13" s="139">
        <f t="shared" si="11"/>
        <v>56.37</v>
      </c>
      <c r="AQ13" s="139">
        <f t="shared" si="12"/>
        <v>21.84</v>
      </c>
      <c r="AR13" s="139">
        <f t="shared" si="13"/>
        <v>0</v>
      </c>
      <c r="AS13" s="139">
        <f t="shared" si="14"/>
        <v>0</v>
      </c>
      <c r="AT13" s="139">
        <f t="shared" si="15"/>
        <v>78.21</v>
      </c>
      <c r="AU13" s="139">
        <f t="shared" si="16"/>
        <v>78.21</v>
      </c>
      <c r="AV13" s="139">
        <f t="shared" si="17"/>
        <v>0</v>
      </c>
      <c r="AW13" s="139"/>
      <c r="AX13" s="139">
        <f t="shared" si="18"/>
        <v>78.21</v>
      </c>
      <c r="AY13" s="127" t="s">
        <v>136</v>
      </c>
      <c r="AZ13" s="147"/>
      <c r="BA13" s="148"/>
      <c r="BB13" s="115" t="s">
        <v>134</v>
      </c>
      <c r="BC13" s="148"/>
    </row>
    <row r="14" s="115" customFormat="1" ht="18.95" customHeight="1" spans="1:55">
      <c r="A14" s="126" t="s">
        <v>135</v>
      </c>
      <c r="B14" s="126" t="s">
        <v>131</v>
      </c>
      <c r="C14" s="126" t="s">
        <v>132</v>
      </c>
      <c r="D14" s="127"/>
      <c r="E14" s="128" t="s">
        <v>86</v>
      </c>
      <c r="F14" s="129" t="s">
        <v>88</v>
      </c>
      <c r="G14" s="126">
        <v>202101</v>
      </c>
      <c r="H14" s="126">
        <v>202109</v>
      </c>
      <c r="I14" s="137">
        <f t="shared" si="0"/>
        <v>208</v>
      </c>
      <c r="J14" s="138">
        <v>0.16</v>
      </c>
      <c r="K14" s="137">
        <f t="shared" si="1"/>
        <v>33.28</v>
      </c>
      <c r="L14" s="138">
        <v>0.08</v>
      </c>
      <c r="M14" s="137">
        <f t="shared" si="2"/>
        <v>16.64</v>
      </c>
      <c r="N14" s="137">
        <f t="shared" si="3"/>
        <v>208</v>
      </c>
      <c r="O14" s="138">
        <v>0.085</v>
      </c>
      <c r="P14" s="139">
        <f t="shared" si="4"/>
        <v>17.68</v>
      </c>
      <c r="Q14" s="138">
        <v>0.02</v>
      </c>
      <c r="R14" s="137">
        <f t="shared" si="5"/>
        <v>4.16</v>
      </c>
      <c r="S14" s="137">
        <f t="shared" si="6"/>
        <v>208</v>
      </c>
      <c r="T14" s="138">
        <v>0.005</v>
      </c>
      <c r="U14" s="137">
        <f t="shared" si="7"/>
        <v>1.04</v>
      </c>
      <c r="V14" s="138">
        <v>0.005</v>
      </c>
      <c r="W14" s="137">
        <f t="shared" si="8"/>
        <v>1.04</v>
      </c>
      <c r="X14" s="137"/>
      <c r="Y14" s="138"/>
      <c r="Z14" s="137"/>
      <c r="AA14" s="137">
        <f t="shared" si="9"/>
        <v>208</v>
      </c>
      <c r="AB14" s="144">
        <v>0.006</v>
      </c>
      <c r="AC14" s="137">
        <f t="shared" si="10"/>
        <v>1.25</v>
      </c>
      <c r="AD14" s="137"/>
      <c r="AE14" s="138"/>
      <c r="AF14" s="137"/>
      <c r="AG14" s="138"/>
      <c r="AH14" s="137"/>
      <c r="AI14" s="137"/>
      <c r="AJ14" s="137"/>
      <c r="AK14" s="137"/>
      <c r="AL14" s="137"/>
      <c r="AM14" s="137"/>
      <c r="AN14" s="137">
        <f t="shared" si="19"/>
        <v>3.12</v>
      </c>
      <c r="AO14" s="137"/>
      <c r="AP14" s="139">
        <f t="shared" si="11"/>
        <v>56.37</v>
      </c>
      <c r="AQ14" s="139">
        <f t="shared" si="12"/>
        <v>21.84</v>
      </c>
      <c r="AR14" s="139">
        <f t="shared" si="13"/>
        <v>0</v>
      </c>
      <c r="AS14" s="139">
        <f t="shared" si="14"/>
        <v>0</v>
      </c>
      <c r="AT14" s="139">
        <f t="shared" si="15"/>
        <v>78.21</v>
      </c>
      <c r="AU14" s="139">
        <f t="shared" si="16"/>
        <v>78.21</v>
      </c>
      <c r="AV14" s="139">
        <f t="shared" si="17"/>
        <v>0</v>
      </c>
      <c r="AW14" s="139"/>
      <c r="AX14" s="139">
        <f t="shared" si="18"/>
        <v>78.21</v>
      </c>
      <c r="AY14" s="127" t="s">
        <v>136</v>
      </c>
      <c r="AZ14" s="147"/>
      <c r="BA14" s="148"/>
      <c r="BB14" s="115" t="s">
        <v>134</v>
      </c>
      <c r="BC14" s="148"/>
    </row>
    <row r="15" s="115" customFormat="1" ht="18.95" customHeight="1" spans="1:55">
      <c r="A15" s="126" t="s">
        <v>135</v>
      </c>
      <c r="B15" s="126" t="s">
        <v>131</v>
      </c>
      <c r="C15" s="126" t="s">
        <v>132</v>
      </c>
      <c r="D15" s="127"/>
      <c r="E15" s="128" t="s">
        <v>86</v>
      </c>
      <c r="F15" s="129" t="s">
        <v>88</v>
      </c>
      <c r="G15" s="126">
        <v>202101</v>
      </c>
      <c r="H15" s="126">
        <v>202110</v>
      </c>
      <c r="I15" s="137">
        <f t="shared" si="0"/>
        <v>208</v>
      </c>
      <c r="J15" s="138">
        <v>0.16</v>
      </c>
      <c r="K15" s="137">
        <f t="shared" si="1"/>
        <v>33.28</v>
      </c>
      <c r="L15" s="138">
        <v>0.08</v>
      </c>
      <c r="M15" s="137">
        <f t="shared" si="2"/>
        <v>16.64</v>
      </c>
      <c r="N15" s="137">
        <f t="shared" si="3"/>
        <v>208</v>
      </c>
      <c r="O15" s="138">
        <v>0.085</v>
      </c>
      <c r="P15" s="139">
        <f t="shared" si="4"/>
        <v>17.68</v>
      </c>
      <c r="Q15" s="138">
        <v>0.02</v>
      </c>
      <c r="R15" s="137">
        <f t="shared" si="5"/>
        <v>4.16</v>
      </c>
      <c r="S15" s="137">
        <f t="shared" si="6"/>
        <v>208</v>
      </c>
      <c r="T15" s="138">
        <v>0.005</v>
      </c>
      <c r="U15" s="137">
        <f t="shared" si="7"/>
        <v>1.04</v>
      </c>
      <c r="V15" s="138">
        <v>0.005</v>
      </c>
      <c r="W15" s="137">
        <f t="shared" si="8"/>
        <v>1.04</v>
      </c>
      <c r="X15" s="137"/>
      <c r="Y15" s="138"/>
      <c r="Z15" s="137"/>
      <c r="AA15" s="137">
        <f t="shared" si="9"/>
        <v>208</v>
      </c>
      <c r="AB15" s="144">
        <v>0.006</v>
      </c>
      <c r="AC15" s="137">
        <f t="shared" si="10"/>
        <v>1.25</v>
      </c>
      <c r="AD15" s="137"/>
      <c r="AE15" s="138"/>
      <c r="AF15" s="137"/>
      <c r="AG15" s="138"/>
      <c r="AH15" s="137"/>
      <c r="AI15" s="137"/>
      <c r="AJ15" s="137"/>
      <c r="AK15" s="137"/>
      <c r="AL15" s="137"/>
      <c r="AM15" s="137"/>
      <c r="AN15" s="137">
        <f t="shared" si="19"/>
        <v>3.12</v>
      </c>
      <c r="AO15" s="137"/>
      <c r="AP15" s="139">
        <f t="shared" si="11"/>
        <v>56.37</v>
      </c>
      <c r="AQ15" s="139">
        <f t="shared" si="12"/>
        <v>21.84</v>
      </c>
      <c r="AR15" s="139">
        <f t="shared" si="13"/>
        <v>0</v>
      </c>
      <c r="AS15" s="139">
        <f t="shared" si="14"/>
        <v>0</v>
      </c>
      <c r="AT15" s="139">
        <f t="shared" si="15"/>
        <v>78.21</v>
      </c>
      <c r="AU15" s="139">
        <f t="shared" si="16"/>
        <v>78.21</v>
      </c>
      <c r="AV15" s="139">
        <f t="shared" si="17"/>
        <v>0</v>
      </c>
      <c r="AW15" s="139"/>
      <c r="AX15" s="139">
        <f t="shared" si="18"/>
        <v>78.21</v>
      </c>
      <c r="AY15" s="127" t="s">
        <v>136</v>
      </c>
      <c r="AZ15" s="147"/>
      <c r="BA15" s="148"/>
      <c r="BB15" s="115" t="s">
        <v>134</v>
      </c>
      <c r="BC15" s="148"/>
    </row>
    <row r="16" s="115" customFormat="1" ht="18.95" customHeight="1" spans="1:55">
      <c r="A16" s="126" t="s">
        <v>135</v>
      </c>
      <c r="B16" s="126" t="s">
        <v>131</v>
      </c>
      <c r="C16" s="126" t="s">
        <v>132</v>
      </c>
      <c r="D16" s="127"/>
      <c r="E16" s="128" t="s">
        <v>86</v>
      </c>
      <c r="F16" s="129" t="s">
        <v>88</v>
      </c>
      <c r="G16" s="126">
        <v>202101</v>
      </c>
      <c r="H16" s="126">
        <v>202111</v>
      </c>
      <c r="I16" s="137">
        <f t="shared" si="0"/>
        <v>208</v>
      </c>
      <c r="J16" s="138">
        <v>0.16</v>
      </c>
      <c r="K16" s="137">
        <f t="shared" si="1"/>
        <v>33.28</v>
      </c>
      <c r="L16" s="138">
        <v>0.08</v>
      </c>
      <c r="M16" s="137">
        <f t="shared" si="2"/>
        <v>16.64</v>
      </c>
      <c r="N16" s="137">
        <f t="shared" si="3"/>
        <v>208</v>
      </c>
      <c r="O16" s="138">
        <v>0.085</v>
      </c>
      <c r="P16" s="139">
        <f t="shared" si="4"/>
        <v>17.68</v>
      </c>
      <c r="Q16" s="138">
        <v>0.02</v>
      </c>
      <c r="R16" s="137">
        <f t="shared" si="5"/>
        <v>4.16</v>
      </c>
      <c r="S16" s="137">
        <f t="shared" si="6"/>
        <v>208</v>
      </c>
      <c r="T16" s="138">
        <v>0.005</v>
      </c>
      <c r="U16" s="137">
        <f t="shared" si="7"/>
        <v>1.04</v>
      </c>
      <c r="V16" s="138">
        <v>0.005</v>
      </c>
      <c r="W16" s="137">
        <f t="shared" si="8"/>
        <v>1.04</v>
      </c>
      <c r="X16" s="137"/>
      <c r="Y16" s="138"/>
      <c r="Z16" s="137"/>
      <c r="AA16" s="137">
        <f t="shared" si="9"/>
        <v>208</v>
      </c>
      <c r="AB16" s="144">
        <v>0.006</v>
      </c>
      <c r="AC16" s="137">
        <f t="shared" si="10"/>
        <v>1.25</v>
      </c>
      <c r="AD16" s="137"/>
      <c r="AE16" s="138"/>
      <c r="AF16" s="137"/>
      <c r="AG16" s="138"/>
      <c r="AH16" s="137"/>
      <c r="AI16" s="137"/>
      <c r="AJ16" s="137"/>
      <c r="AK16" s="137"/>
      <c r="AL16" s="137"/>
      <c r="AM16" s="137"/>
      <c r="AN16" s="137">
        <f t="shared" si="19"/>
        <v>3.12</v>
      </c>
      <c r="AO16" s="137"/>
      <c r="AP16" s="139">
        <f t="shared" si="11"/>
        <v>56.37</v>
      </c>
      <c r="AQ16" s="139">
        <f t="shared" si="12"/>
        <v>21.84</v>
      </c>
      <c r="AR16" s="139">
        <f t="shared" si="13"/>
        <v>0</v>
      </c>
      <c r="AS16" s="139">
        <f t="shared" si="14"/>
        <v>0</v>
      </c>
      <c r="AT16" s="139">
        <f t="shared" si="15"/>
        <v>78.21</v>
      </c>
      <c r="AU16" s="139">
        <f t="shared" si="16"/>
        <v>78.21</v>
      </c>
      <c r="AV16" s="139">
        <f t="shared" si="17"/>
        <v>0</v>
      </c>
      <c r="AW16" s="139"/>
      <c r="AX16" s="139">
        <f t="shared" si="18"/>
        <v>78.21</v>
      </c>
      <c r="AY16" s="127" t="s">
        <v>136</v>
      </c>
      <c r="AZ16" s="147"/>
      <c r="BA16" s="148"/>
      <c r="BB16" s="115" t="s">
        <v>134</v>
      </c>
      <c r="BC16" s="148"/>
    </row>
    <row r="17" s="115" customFormat="1" ht="20" customHeight="1" spans="1:55">
      <c r="A17" s="126" t="s">
        <v>135</v>
      </c>
      <c r="B17" s="126" t="s">
        <v>131</v>
      </c>
      <c r="C17" s="126" t="s">
        <v>132</v>
      </c>
      <c r="D17" s="127"/>
      <c r="E17" s="128" t="s">
        <v>86</v>
      </c>
      <c r="F17" s="129" t="s">
        <v>88</v>
      </c>
      <c r="G17" s="126">
        <v>202101</v>
      </c>
      <c r="H17" s="126">
        <v>202112</v>
      </c>
      <c r="I17" s="137">
        <f t="shared" si="0"/>
        <v>208</v>
      </c>
      <c r="J17" s="138">
        <v>0.16</v>
      </c>
      <c r="K17" s="137">
        <f t="shared" si="1"/>
        <v>33.28</v>
      </c>
      <c r="L17" s="138">
        <v>0.08</v>
      </c>
      <c r="M17" s="137">
        <f t="shared" si="2"/>
        <v>16.64</v>
      </c>
      <c r="N17" s="137">
        <f t="shared" si="3"/>
        <v>208</v>
      </c>
      <c r="O17" s="138">
        <v>0.085</v>
      </c>
      <c r="P17" s="139">
        <f t="shared" si="4"/>
        <v>17.68</v>
      </c>
      <c r="Q17" s="138">
        <v>0.02</v>
      </c>
      <c r="R17" s="137">
        <f t="shared" si="5"/>
        <v>4.16</v>
      </c>
      <c r="S17" s="137">
        <f t="shared" si="6"/>
        <v>208</v>
      </c>
      <c r="T17" s="138">
        <v>0.005</v>
      </c>
      <c r="U17" s="137">
        <f t="shared" si="7"/>
        <v>1.04</v>
      </c>
      <c r="V17" s="138">
        <v>0.005</v>
      </c>
      <c r="W17" s="137">
        <f t="shared" si="8"/>
        <v>1.04</v>
      </c>
      <c r="X17" s="137"/>
      <c r="Y17" s="138"/>
      <c r="Z17" s="137"/>
      <c r="AA17" s="137">
        <f t="shared" si="9"/>
        <v>208</v>
      </c>
      <c r="AB17" s="144">
        <v>0.006</v>
      </c>
      <c r="AC17" s="137">
        <f t="shared" si="10"/>
        <v>1.25</v>
      </c>
      <c r="AD17" s="137"/>
      <c r="AE17" s="138"/>
      <c r="AF17" s="137"/>
      <c r="AG17" s="138"/>
      <c r="AH17" s="137"/>
      <c r="AI17" s="137"/>
      <c r="AJ17" s="137"/>
      <c r="AK17" s="137"/>
      <c r="AL17" s="137"/>
      <c r="AM17" s="137"/>
      <c r="AN17" s="137">
        <f t="shared" si="19"/>
        <v>3.12</v>
      </c>
      <c r="AO17" s="137"/>
      <c r="AP17" s="139">
        <f t="shared" si="11"/>
        <v>56.37</v>
      </c>
      <c r="AQ17" s="139">
        <f t="shared" si="12"/>
        <v>21.84</v>
      </c>
      <c r="AR17" s="139">
        <f t="shared" si="13"/>
        <v>0</v>
      </c>
      <c r="AS17" s="139">
        <f t="shared" si="14"/>
        <v>0</v>
      </c>
      <c r="AT17" s="139">
        <f t="shared" si="15"/>
        <v>78.21</v>
      </c>
      <c r="AU17" s="139">
        <f t="shared" si="16"/>
        <v>78.21</v>
      </c>
      <c r="AV17" s="139">
        <f t="shared" si="17"/>
        <v>0</v>
      </c>
      <c r="AW17" s="139"/>
      <c r="AX17" s="139">
        <f t="shared" si="18"/>
        <v>78.21</v>
      </c>
      <c r="AY17" s="127" t="s">
        <v>136</v>
      </c>
      <c r="AZ17" s="147"/>
      <c r="BA17" s="148"/>
      <c r="BB17" s="115" t="s">
        <v>134</v>
      </c>
      <c r="BC17" s="148"/>
    </row>
    <row r="18" s="115" customFormat="1" ht="20" customHeight="1" spans="1:55">
      <c r="A18" s="126" t="s">
        <v>135</v>
      </c>
      <c r="B18" s="126" t="s">
        <v>131</v>
      </c>
      <c r="C18" s="126" t="s">
        <v>132</v>
      </c>
      <c r="D18" s="127"/>
      <c r="E18" s="128" t="s">
        <v>86</v>
      </c>
      <c r="F18" s="129" t="s">
        <v>88</v>
      </c>
      <c r="G18" s="126">
        <v>202101</v>
      </c>
      <c r="H18" s="126">
        <v>202201</v>
      </c>
      <c r="I18" s="137">
        <f t="shared" si="0"/>
        <v>208</v>
      </c>
      <c r="J18" s="138">
        <v>0.16</v>
      </c>
      <c r="K18" s="137">
        <f>ROUND(I18*J18,2)</f>
        <v>33.28</v>
      </c>
      <c r="L18" s="138">
        <v>0.08</v>
      </c>
      <c r="M18" s="137">
        <f>ROUND(I18*L18,2)</f>
        <v>16.64</v>
      </c>
      <c r="N18" s="137">
        <f t="shared" si="3"/>
        <v>208</v>
      </c>
      <c r="O18" s="138">
        <v>0.085</v>
      </c>
      <c r="P18" s="139">
        <f>ROUND(N18*O18,2)</f>
        <v>17.68</v>
      </c>
      <c r="Q18" s="138">
        <v>0.02</v>
      </c>
      <c r="R18" s="137">
        <f>ROUND(N18*Q18,2)</f>
        <v>4.16</v>
      </c>
      <c r="S18" s="137">
        <f t="shared" si="6"/>
        <v>208</v>
      </c>
      <c r="T18" s="138">
        <v>0.005</v>
      </c>
      <c r="U18" s="137">
        <f>ROUND(S18*T18,2)</f>
        <v>1.04</v>
      </c>
      <c r="V18" s="138">
        <v>0.005</v>
      </c>
      <c r="W18" s="137">
        <f>ROUND(S18*V18,2)</f>
        <v>1.04</v>
      </c>
      <c r="X18" s="137"/>
      <c r="Y18" s="138"/>
      <c r="Z18" s="137"/>
      <c r="AA18" s="137">
        <f t="shared" si="9"/>
        <v>208</v>
      </c>
      <c r="AB18" s="144">
        <v>0.006</v>
      </c>
      <c r="AC18" s="137">
        <f>ROUND(AA18*AB18,2)</f>
        <v>1.25</v>
      </c>
      <c r="AD18" s="137"/>
      <c r="AE18" s="138"/>
      <c r="AF18" s="137"/>
      <c r="AG18" s="138"/>
      <c r="AH18" s="137"/>
      <c r="AI18" s="137"/>
      <c r="AJ18" s="137"/>
      <c r="AK18" s="137"/>
      <c r="AL18" s="137"/>
      <c r="AM18" s="137"/>
      <c r="AN18" s="137">
        <f t="shared" si="19"/>
        <v>3.12</v>
      </c>
      <c r="AO18" s="137"/>
      <c r="AP18" s="139">
        <f>ROUND(SUM(K18,P18,U18,Z18,AC18,AK18,AN18),2)</f>
        <v>56.37</v>
      </c>
      <c r="AQ18" s="139">
        <f>ROUND(SUM(M18,R18,W18,AM18,AO18),2)</f>
        <v>21.84</v>
      </c>
      <c r="AR18" s="139">
        <f>AF18</f>
        <v>0</v>
      </c>
      <c r="AS18" s="139">
        <f>AH18</f>
        <v>0</v>
      </c>
      <c r="AT18" s="139">
        <f>ROUND(AP18+AQ18+AR18+AS18,2)</f>
        <v>78.21</v>
      </c>
      <c r="AU18" s="139">
        <f>ROUND(AP18+AQ18,2)</f>
        <v>78.21</v>
      </c>
      <c r="AV18" s="139">
        <f>ROUND(AS18+AR18,2)</f>
        <v>0</v>
      </c>
      <c r="AW18" s="139"/>
      <c r="AX18" s="139">
        <f>ROUND(SUM(AU18:AW18),2)</f>
        <v>78.21</v>
      </c>
      <c r="AY18" s="127" t="s">
        <v>136</v>
      </c>
      <c r="AZ18" s="147"/>
      <c r="BA18" s="148"/>
      <c r="BB18" s="115" t="s">
        <v>134</v>
      </c>
      <c r="BC18" s="148"/>
    </row>
    <row r="19" s="116" customFormat="1" ht="18.95" customHeight="1" spans="1:52">
      <c r="A19" s="130" t="s">
        <v>89</v>
      </c>
      <c r="B19" s="131"/>
      <c r="C19" s="131"/>
      <c r="D19" s="131"/>
      <c r="E19" s="131"/>
      <c r="F19" s="131"/>
      <c r="G19" s="131"/>
      <c r="H19" s="131"/>
      <c r="I19" s="140">
        <f t="shared" ref="I19:AW19" si="20">SUM(I3:I18)</f>
        <v>13801</v>
      </c>
      <c r="J19" s="140">
        <f t="shared" si="20"/>
        <v>2.56</v>
      </c>
      <c r="K19" s="140">
        <f t="shared" si="20"/>
        <v>2208.16</v>
      </c>
      <c r="L19" s="140">
        <f t="shared" si="20"/>
        <v>1.28</v>
      </c>
      <c r="M19" s="140">
        <f t="shared" si="20"/>
        <v>1104.08</v>
      </c>
      <c r="N19" s="140">
        <f t="shared" si="20"/>
        <v>13801</v>
      </c>
      <c r="O19" s="140">
        <f t="shared" si="20"/>
        <v>1.36</v>
      </c>
      <c r="P19" s="140">
        <f t="shared" si="20"/>
        <v>1173.1</v>
      </c>
      <c r="Q19" s="140">
        <f t="shared" si="20"/>
        <v>0.32</v>
      </c>
      <c r="R19" s="140">
        <f t="shared" si="20"/>
        <v>276.02</v>
      </c>
      <c r="S19" s="140">
        <f t="shared" si="20"/>
        <v>13801</v>
      </c>
      <c r="T19" s="140">
        <f t="shared" si="20"/>
        <v>0.08</v>
      </c>
      <c r="U19" s="140">
        <f t="shared" si="20"/>
        <v>69.02</v>
      </c>
      <c r="V19" s="140">
        <f t="shared" si="20"/>
        <v>0.08</v>
      </c>
      <c r="W19" s="140">
        <f t="shared" si="20"/>
        <v>69.02</v>
      </c>
      <c r="X19" s="140">
        <f t="shared" si="20"/>
        <v>0</v>
      </c>
      <c r="Y19" s="140">
        <f t="shared" si="20"/>
        <v>0</v>
      </c>
      <c r="Z19" s="140">
        <f t="shared" si="20"/>
        <v>0</v>
      </c>
      <c r="AA19" s="140">
        <f t="shared" si="20"/>
        <v>13801</v>
      </c>
      <c r="AB19" s="140">
        <f t="shared" si="20"/>
        <v>0.096</v>
      </c>
      <c r="AC19" s="140">
        <f t="shared" si="20"/>
        <v>82.82</v>
      </c>
      <c r="AD19" s="140">
        <f t="shared" si="20"/>
        <v>0</v>
      </c>
      <c r="AE19" s="140">
        <f t="shared" si="20"/>
        <v>0.15</v>
      </c>
      <c r="AF19" s="140">
        <f t="shared" si="20"/>
        <v>270</v>
      </c>
      <c r="AG19" s="140">
        <f t="shared" si="20"/>
        <v>0.15</v>
      </c>
      <c r="AH19" s="140">
        <f t="shared" si="20"/>
        <v>270</v>
      </c>
      <c r="AI19" s="140">
        <f t="shared" si="20"/>
        <v>0</v>
      </c>
      <c r="AJ19" s="140">
        <f t="shared" si="20"/>
        <v>0</v>
      </c>
      <c r="AK19" s="140">
        <f t="shared" si="20"/>
        <v>0</v>
      </c>
      <c r="AL19" s="140">
        <f t="shared" si="20"/>
        <v>0</v>
      </c>
      <c r="AM19" s="140">
        <f t="shared" si="20"/>
        <v>0</v>
      </c>
      <c r="AN19" s="140">
        <f t="shared" si="20"/>
        <v>207.015</v>
      </c>
      <c r="AO19" s="140">
        <f t="shared" si="20"/>
        <v>15</v>
      </c>
      <c r="AP19" s="140">
        <f t="shared" si="20"/>
        <v>3740.13</v>
      </c>
      <c r="AQ19" s="140">
        <f t="shared" si="20"/>
        <v>1464.12</v>
      </c>
      <c r="AR19" s="140">
        <f t="shared" si="20"/>
        <v>270</v>
      </c>
      <c r="AS19" s="140">
        <f t="shared" si="20"/>
        <v>270</v>
      </c>
      <c r="AT19" s="140">
        <f t="shared" si="20"/>
        <v>5744.25</v>
      </c>
      <c r="AU19" s="140">
        <f t="shared" si="20"/>
        <v>5204.25</v>
      </c>
      <c r="AV19" s="140">
        <f t="shared" si="20"/>
        <v>540</v>
      </c>
      <c r="AW19" s="140">
        <f t="shared" si="20"/>
        <v>240</v>
      </c>
      <c r="AX19" s="140">
        <f>SUM(AX3:AX18)</f>
        <v>5984.25</v>
      </c>
      <c r="AY19" s="149"/>
      <c r="AZ19" s="150"/>
    </row>
    <row r="20" s="117" customFormat="1" ht="16.5" spans="1:52">
      <c r="A20" s="118"/>
      <c r="B20" s="118"/>
      <c r="C20" s="118"/>
      <c r="D20" s="118"/>
      <c r="E20" s="118"/>
      <c r="F20" s="118"/>
      <c r="G20" s="118"/>
      <c r="H20" s="118"/>
      <c r="I20" s="141"/>
      <c r="AX20" s="118">
        <f>'（居民）工资表-1月'!E10</f>
        <v>4754.52</v>
      </c>
      <c r="AY20" s="118"/>
      <c r="AZ20" s="118"/>
    </row>
    <row r="21" s="117" customFormat="1" spans="1:52">
      <c r="A21" s="118"/>
      <c r="B21" s="118"/>
      <c r="C21" s="118"/>
      <c r="D21" s="118"/>
      <c r="E21" s="118"/>
      <c r="F21" s="118"/>
      <c r="G21" s="118"/>
      <c r="H21" s="118"/>
      <c r="AY21" s="118"/>
      <c r="AZ21" s="118"/>
    </row>
    <row r="22" s="117" customFormat="1" spans="1:52">
      <c r="A22" s="118"/>
      <c r="B22" s="118"/>
      <c r="C22" s="118"/>
      <c r="D22" s="118"/>
      <c r="E22" s="118"/>
      <c r="F22" s="118"/>
      <c r="G22" s="118"/>
      <c r="H22" s="118"/>
      <c r="AY22" s="118"/>
      <c r="AZ22" s="118"/>
    </row>
    <row r="23" s="117" customFormat="1" spans="1:52">
      <c r="A23" s="118"/>
      <c r="B23" s="118"/>
      <c r="C23" s="118"/>
      <c r="D23" s="118"/>
      <c r="E23" s="118"/>
      <c r="F23" s="118"/>
      <c r="G23" s="118"/>
      <c r="H23" s="118"/>
      <c r="AX23" s="151"/>
      <c r="AY23" s="118"/>
      <c r="AZ23" s="118"/>
    </row>
    <row r="24" s="117" customFormat="1" spans="1:52">
      <c r="A24" s="118"/>
      <c r="B24" s="118"/>
      <c r="C24" s="118"/>
      <c r="D24" s="118"/>
      <c r="E24" s="118"/>
      <c r="F24" s="118"/>
      <c r="G24" s="118"/>
      <c r="H24" s="118"/>
      <c r="AX24" s="151"/>
      <c r="AY24" s="118"/>
      <c r="AZ24" s="118"/>
    </row>
    <row r="25" s="117" customFormat="1" spans="1:52">
      <c r="A25" s="118"/>
      <c r="B25" s="118"/>
      <c r="C25" s="118"/>
      <c r="D25" s="118"/>
      <c r="E25" s="118"/>
      <c r="F25" s="118"/>
      <c r="G25" s="118"/>
      <c r="H25" s="118"/>
      <c r="AX25" s="151"/>
      <c r="AY25" s="118"/>
      <c r="AZ25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9:H19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I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L4+IFERROR(VLOOKUP($E:$E,'（居民）工资表-5月'!$E:$S,15,0),0)</f>
        <v>30200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3462.79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-3262.79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30200</v>
      </c>
      <c r="T5" s="74">
        <f t="shared" si="0"/>
        <v>30000</v>
      </c>
      <c r="U5" s="74">
        <f t="shared" si="0"/>
        <v>3462.79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-3262.79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137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L4+IFERROR(VLOOKUP($E:$E,'（居民）工资表-6月'!$E:$S,15,0),0)</f>
        <v>35700</v>
      </c>
      <c r="T4" s="91">
        <f>5000+IFERROR(VLOOKUP($E:$E,'（居民）工资表-6月'!$E:$T,16,0),0)</f>
        <v>35000</v>
      </c>
      <c r="U4" s="91">
        <f>Q4+IFERROR(VLOOKUP($E:$E,'（居民）工资表-6月'!$E:$U,17,0),0)</f>
        <v>3924.35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-3224.35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5038.44</v>
      </c>
      <c r="AI4" s="103"/>
      <c r="AJ4" s="102">
        <f>AH4+AI4</f>
        <v>5038.44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89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35700</v>
      </c>
      <c r="T5" s="74">
        <f t="shared" si="0"/>
        <v>35000</v>
      </c>
      <c r="U5" s="74">
        <f t="shared" si="0"/>
        <v>3924.35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-3224.35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5038.44</v>
      </c>
      <c r="AI5" s="105">
        <f t="shared" si="0"/>
        <v>0</v>
      </c>
      <c r="AJ5" s="74">
        <f t="shared" si="0"/>
        <v>5038.44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64</v>
      </c>
      <c r="C9" s="47" t="s">
        <v>90</v>
      </c>
      <c r="D9" s="47" t="s">
        <v>65</v>
      </c>
      <c r="E9" s="47" t="s">
        <v>91</v>
      </c>
      <c r="AD9" s="10"/>
    </row>
    <row r="10" ht="18.75" customHeight="1" spans="2:5">
      <c r="B10" s="48">
        <f>AJ5</f>
        <v>5038.44</v>
      </c>
      <c r="C10" s="48">
        <f>AG5</f>
        <v>0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92</v>
      </c>
      <c r="B12" s="51" t="s">
        <v>93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94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95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96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97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99</v>
      </c>
    </row>
    <row r="20" spans="2:2">
      <c r="B20" s="59" t="s">
        <v>100</v>
      </c>
    </row>
    <row r="21" spans="2:2">
      <c r="B21" s="59" t="s">
        <v>101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社保1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2022-01-06T09:49:16Z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2052-11.1.0.11115</vt:lpwstr>
  </property>
  <property fmtid="{D5CDD505-2E9C-101B-9397-08002B2CF9AE}" pid="4" name="ICV">
    <vt:lpwstr>0CA31BD6F5CE44B3B50BCFC656237C74</vt:lpwstr>
  </property>
</Properties>
</file>