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09"/>
  </bookViews>
  <sheets>
    <sheet name="付款通知" sheetId="26" r:id="rId1"/>
    <sheet name="（居民）工资表-3月" sheetId="16" state="hidden" r:id="rId2"/>
    <sheet name="社保" sheetId="27" state="hidden" r:id="rId3"/>
    <sheet name="（居民）工资表-4月" sheetId="17" state="hidden" r:id="rId4"/>
    <sheet name="（居民）工资表-5月" sheetId="18" state="hidden" r:id="rId5"/>
    <sheet name="社保1" sheetId="28" r:id="rId6"/>
    <sheet name="（居民）工资表-6月" sheetId="19" state="hidden" r:id="rId7"/>
    <sheet name="（居民）工资表-7月" sheetId="20" state="hidden" r:id="rId8"/>
    <sheet name="增减" sheetId="29" state="hidden" r:id="rId9"/>
    <sheet name="（居民）工资表-8月" sheetId="21" state="hidden" r:id="rId10"/>
    <sheet name="（居民）工资表-9月" sheetId="22" state="hidden" r:id="rId11"/>
    <sheet name="（居民）工资表-10月" sheetId="23" state="hidden" r:id="rId12"/>
    <sheet name="（居民）工资表-11月" sheetId="24" state="hidden" r:id="rId13"/>
    <sheet name="（居民）工资表-1月" sheetId="1" state="hidden" r:id="rId14"/>
    <sheet name="（居民）工资表-12月" sheetId="25" state="hidden" r:id="rId15"/>
    <sheet name="（居民）工资表-2月" sheetId="15" state="hidden" r:id="rId16"/>
    <sheet name="增" sheetId="30" r:id="rId17"/>
    <sheet name="Sheet1" sheetId="14" state="hidden" r:id="rId18"/>
  </sheets>
  <definedNames>
    <definedName name="_xlnm._FilterDatabase" localSheetId="1" hidden="1">'（居民）工资表-3月'!$A$3:$AT$6</definedName>
    <definedName name="_xlnm._FilterDatabase" localSheetId="3" hidden="1">'（居民）工资表-4月'!$A$3:$AT$7</definedName>
    <definedName name="_xlnm._FilterDatabase" localSheetId="4" hidden="1">'（居民）工资表-5月'!$A$3:$AT$8</definedName>
    <definedName name="_xlnm._FilterDatabase" localSheetId="6" hidden="1">'（居民）工资表-6月'!$A$3:$AT$8</definedName>
    <definedName name="_xlnm._FilterDatabase" localSheetId="7" hidden="1">'（居民）工资表-7月'!$A$3:$AT$9</definedName>
    <definedName name="_xlnm._FilterDatabase" localSheetId="9" hidden="1">'（居民）工资表-8月'!$A$3:$AT$8</definedName>
    <definedName name="_xlnm._FilterDatabase" localSheetId="10" hidden="1">'（居民）工资表-9月'!$A$3:$AT$8</definedName>
    <definedName name="_xlnm._FilterDatabase" localSheetId="11" hidden="1">'（居民）工资表-10月'!$A$3:$AT$8</definedName>
    <definedName name="_xlnm._FilterDatabase" localSheetId="12" hidden="1">'（居民）工资表-11月'!$A$3:$AT$9</definedName>
    <definedName name="_xlnm._FilterDatabase" localSheetId="13" hidden="1">'（居民）工资表-1月'!$A$3:$AT$9</definedName>
    <definedName name="_xlnm._FilterDatabase" localSheetId="14" hidden="1">'（居民）工资表-12月'!$A$3:$AT$9</definedName>
    <definedName name="_xlnm._FilterDatabase" localSheetId="15" hidden="1">'（居民）工资表-2月'!$A$3:$AT$9</definedName>
    <definedName name="_xlnm.Print_Area" localSheetId="11">'（居民）工资表-10月'!$A$1:$AT$14</definedName>
    <definedName name="_xlnm.Print_Area" localSheetId="12">'（居民）工资表-11月'!$A$1:$AT$15</definedName>
    <definedName name="_xlnm.Print_Area" localSheetId="14">'（居民）工资表-12月'!$A$1:$AT$15</definedName>
    <definedName name="_xlnm.Print_Area" localSheetId="13">'（居民）工资表-1月'!$A$1:$AT$15</definedName>
    <definedName name="_xlnm.Print_Area" localSheetId="15">'（居民）工资表-2月'!$A$1:$AT$15</definedName>
    <definedName name="_xlnm.Print_Area" localSheetId="1">'（居民）工资表-3月'!$A$1:$AT$12</definedName>
    <definedName name="_xlnm.Print_Area" localSheetId="3">'（居民）工资表-4月'!$A$1:$AT$13</definedName>
    <definedName name="_xlnm.Print_Area" localSheetId="4">'（居民）工资表-5月'!$A$1:$AT$14</definedName>
    <definedName name="_xlnm.Print_Area" localSheetId="6">'（居民）工资表-6月'!$A$1:$AT$14</definedName>
    <definedName name="_xlnm.Print_Area" localSheetId="7">'（居民）工资表-7月'!$A$1:$AT$15</definedName>
    <definedName name="_xlnm.Print_Area" localSheetId="9">'（居民）工资表-8月'!$A$1:$AT$14</definedName>
    <definedName name="_xlnm.Print_Area" localSheetId="10">'（居民）工资表-9月'!$A$1:$AT$14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  <comment ref="M5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个人费用调整，且补扣个人费用</t>
        </r>
      </text>
    </comment>
    <comment ref="O5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个人费用调整，且补扣个人费用
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7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3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</commentList>
</comments>
</file>

<file path=xl/sharedStrings.xml><?xml version="1.0" encoding="utf-8"?>
<sst xmlns="http://schemas.openxmlformats.org/spreadsheetml/2006/main" count="1684" uniqueCount="277">
  <si>
    <t>付款通知书</t>
  </si>
  <si>
    <t>尊敬的客户：北京创联致信科技有限公司海淀分公司</t>
  </si>
  <si>
    <t>根据贵公司与我公司所签订的服务协议，请贵公司在2022年2月15日之前按照下列表格内容支付相关款项.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</si>
  <si>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</si>
  <si>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</si>
  <si>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</si>
  <si>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</si>
  <si>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</si>
  <si>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</si>
  <si>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</si>
  <si>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</si>
  <si>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</si>
  <si>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</si>
  <si>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</si>
  <si>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</si>
  <si>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</si>
  <si>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</si>
  <si>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</si>
  <si>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</si>
  <si>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</si>
  <si>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</si>
  <si>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</si>
  <si>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</si>
  <si>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</si>
  <si>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</si>
  <si>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</si>
  <si>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</si>
  <si>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</si>
  <si>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</si>
  <si>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</si>
  <si>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</si>
  <si>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</si>
  <si>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</si>
  <si>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</si>
  <si>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合计:</t>
  </si>
  <si>
    <t>开票金额: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</si>
  <si>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</si>
  <si>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</si>
  <si>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</si>
  <si>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</si>
  <si>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</si>
  <si>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</si>
  <si>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</si>
  <si>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</si>
  <si>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</si>
  <si>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</si>
  <si>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</si>
  <si>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</si>
  <si>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</si>
  <si>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</si>
  <si>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</si>
  <si>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</si>
  <si>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</si>
  <si>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</si>
  <si>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</si>
  <si>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</si>
  <si>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</si>
  <si>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</si>
  <si>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</si>
  <si>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</si>
  <si>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</si>
  <si>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</si>
  <si>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</si>
  <si>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</si>
  <si>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</si>
  <si>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</si>
  <si>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</si>
  <si>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</si>
  <si>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</si>
  <si>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</si>
  <si>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</si>
  <si>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</si>
  <si>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</si>
  <si>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</si>
  <si>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</si>
  <si>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</si>
  <si>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</si>
  <si>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</si>
  <si>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</si>
  <si>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</si>
  <si>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</si>
  <si>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</si>
  <si>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</si>
  <si>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</si>
  <si>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</si>
  <si>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</t>
  </si>
  <si>
    <t>赵强</t>
  </si>
  <si>
    <t>身份证</t>
  </si>
  <si>
    <t>142732199004126819</t>
  </si>
  <si>
    <t>冯月燕</t>
  </si>
  <si>
    <t>440602197506030928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</si>
  <si>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</si>
  <si>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</si>
  <si>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</si>
  <si>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</si>
  <si>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</si>
  <si>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</si>
  <si>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</si>
  <si>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</si>
  <si>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</si>
  <si>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</si>
  <si>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</si>
  <si>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</si>
  <si>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</si>
  <si>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</si>
  <si>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</si>
  <si>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</si>
  <si>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</si>
  <si>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</si>
  <si>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</si>
  <si>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</si>
  <si>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</si>
  <si>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</si>
  <si>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</si>
  <si>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</si>
  <si>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</si>
  <si>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</si>
  <si>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</si>
  <si>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</si>
  <si>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</si>
  <si>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</si>
  <si>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</si>
  <si>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</si>
  <si>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</si>
  <si>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</si>
  <si>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</si>
  <si>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</si>
  <si>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</si>
  <si>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</si>
  <si>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</si>
  <si>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</si>
  <si>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</si>
  <si>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</si>
  <si>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</si>
  <si>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</si>
  <si>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</si>
  <si>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北京创联致信科技有限公司</t>
  </si>
  <si>
    <t>太原</t>
  </si>
  <si>
    <t>代理</t>
  </si>
  <si>
    <t>山西鼎诺</t>
  </si>
  <si>
    <t>202010</t>
  </si>
  <si>
    <t>202004</t>
  </si>
  <si>
    <t xml:space="preserve"> </t>
  </si>
  <si>
    <t>202005</t>
  </si>
  <si>
    <t>202006</t>
  </si>
  <si>
    <t>广州</t>
  </si>
  <si>
    <t>易才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</si>
  <si>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</si>
  <si>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</si>
  <si>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</si>
  <si>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</si>
  <si>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</si>
  <si>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</si>
  <si>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</si>
  <si>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</si>
  <si>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</si>
  <si>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</si>
  <si>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</si>
  <si>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</si>
  <si>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</si>
  <si>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莫文太</t>
  </si>
  <si>
    <t>430822198211098211</t>
  </si>
  <si>
    <t>北京创联致信科技有限公司海淀分公司</t>
  </si>
  <si>
    <t>福州</t>
  </si>
  <si>
    <t>周江</t>
  </si>
  <si>
    <t>421222200004074811</t>
  </si>
  <si>
    <t>202203</t>
  </si>
  <si>
    <t>合肥</t>
  </si>
  <si>
    <t>李成飞</t>
  </si>
  <si>
    <t>340323198606126974</t>
  </si>
  <si>
    <t>李凯</t>
  </si>
  <si>
    <t>340621199101107530</t>
  </si>
  <si>
    <t>王诗武</t>
  </si>
  <si>
    <t>340828198701242518</t>
  </si>
  <si>
    <t>张健康</t>
  </si>
  <si>
    <t>342401199308125299</t>
  </si>
  <si>
    <t>操汪炎</t>
  </si>
  <si>
    <t>340824199310111413</t>
  </si>
  <si>
    <t>秦松</t>
  </si>
  <si>
    <t>340826199507318912</t>
  </si>
  <si>
    <t>王笑飞</t>
  </si>
  <si>
    <t>341224199206198211</t>
  </si>
  <si>
    <t>吴胜</t>
  </si>
  <si>
    <t>340881199006102632</t>
  </si>
  <si>
    <t>于森</t>
  </si>
  <si>
    <t>342221199307075538</t>
  </si>
  <si>
    <t>男</t>
  </si>
  <si>
    <t>女</t>
  </si>
  <si>
    <t>梁敏霞</t>
  </si>
  <si>
    <t>440883199611084547</t>
  </si>
  <si>
    <t>报送时间</t>
  </si>
  <si>
    <t>所属公司</t>
  </si>
  <si>
    <t>使用供应商</t>
  </si>
  <si>
    <t>项目编号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</si>
  <si>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</si>
  <si>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</si>
  <si>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</si>
  <si>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</si>
  <si>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</si>
  <si>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</si>
  <si>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</si>
  <si>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</si>
  <si>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</si>
  <si>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</si>
  <si>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</si>
  <si>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</si>
  <si>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</si>
  <si>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</si>
  <si>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</si>
  <si>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</si>
  <si>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</si>
  <si>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</si>
  <si>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合同工资</t>
  </si>
  <si>
    <t>身份证校验</t>
  </si>
  <si>
    <t>户籍详细地址（仅大连地区填写）</t>
  </si>
  <si>
    <t>首次参加工作时间（仅大连地区填写）</t>
  </si>
  <si>
    <t>采暖统筹
是否缴纳（仅大连地区填写）</t>
  </si>
  <si>
    <t>福利开始时间
（与起缴月一致）（仅大连地区填写）</t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</si>
  <si>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</si>
  <si>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</si>
  <si>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</si>
  <si>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</si>
  <si>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</si>
  <si>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</si>
  <si>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</si>
  <si>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</si>
  <si>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</si>
  <si>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北京易才博普奥</t>
  </si>
  <si>
    <t>湖南长沙</t>
  </si>
  <si>
    <t>长沙</t>
  </si>
  <si>
    <t>本地农村</t>
  </si>
  <si>
    <t>长春</t>
  </si>
  <si>
    <t>调入</t>
  </si>
  <si>
    <t>2021.05</t>
  </si>
  <si>
    <t>5%</t>
  </si>
  <si>
    <t>4000</t>
  </si>
  <si>
    <t>是</t>
  </si>
  <si>
    <t>减</t>
  </si>
  <si>
    <t>谢锋明</t>
  </si>
  <si>
    <t>43022319780815051X</t>
  </si>
  <si>
    <t>创联致信（上月工资上月社保账单费用）</t>
  </si>
  <si>
    <t>622848 0018992539579</t>
  </si>
  <si>
    <t>中国农业银行北京永丰路支行</t>
  </si>
  <si>
    <t>农行</t>
  </si>
  <si>
    <t>福建</t>
  </si>
  <si>
    <t>农村</t>
  </si>
  <si>
    <t>城镇</t>
  </si>
  <si>
    <t>此人申请贷款中，目前公积金不能动。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</si>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</sst>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6">
    <numFmt numFmtId="176" formatCode="[DBNum2][$-804]General"/>
    <numFmt numFmtId="177" formatCode="[$-10432]yyyy/mm/dd;@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0.00_ "/>
    <numFmt numFmtId="180" formatCode="0.00_);[Red]\(0.00\)"/>
    <numFmt numFmtId="181" formatCode="#,##0_);[Red]\(#,##0\)"/>
    <numFmt numFmtId="182" formatCode="#,##0.00_);[Red]\(#,##0.00\)"/>
    <numFmt numFmtId="183" formatCode="0.00_);\(0.00\)"/>
    <numFmt numFmtId="184" formatCode="0.00;[Red]0.00"/>
    <numFmt numFmtId="185" formatCode="&quot;$&quot;0_ "/>
    <numFmt numFmtId="186" formatCode="&quot;$&quot;#,##0_ ;[Red]\-&quot;$&quot;#,##0_ "/>
    <numFmt numFmtId="187" formatCode="General\ &quot;年&quot;"/>
  </numFmts>
  <fonts count="13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0"/>
      <color theme="1"/>
      <name val="微软雅黑"/>
      <charset val="134"/>
    </font>
    <font>
      <sz val="10"/>
      <color indexed="8"/>
      <name val="宋体"/>
      <charset val="134"/>
    </font>
    <font>
      <b/>
      <sz val="10"/>
      <color theme="1"/>
      <name val="微软雅黑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微软雅黑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.5"/>
      <color rgb="FF191F25"/>
      <name val="宋体"/>
      <charset val="134"/>
    </font>
    <font>
      <sz val="10"/>
      <color rgb="FF171A1D"/>
      <name val="Segoe UI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theme="1"/>
      <name val="宋体"/>
      <charset val="134"/>
      <scheme val="minor"/>
    </font>
    <font>
      <b/>
      <sz val="10"/>
      <color indexed="10"/>
      <name val="宋体"/>
      <charset val="134"/>
      <scheme val="minor"/>
    </font>
    <font>
      <b/>
      <sz val="10"/>
      <name val="微软雅黑"/>
      <charset val="134"/>
    </font>
    <font>
      <sz val="6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name val="宋体"/>
      <charset val="134"/>
    </font>
    <font>
      <sz val="10"/>
      <name val="微软雅黑"/>
      <charset val="134"/>
    </font>
    <font>
      <sz val="11"/>
      <name val="宋体"/>
      <charset val="134"/>
    </font>
    <font>
      <sz val="6"/>
      <color rgb="FFFF0000"/>
      <name val="Arial"/>
      <charset val="134"/>
    </font>
    <font>
      <sz val="10"/>
      <color rgb="FFFF0000"/>
      <name val="SimSun"/>
      <charset val="134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rgb="FFFF0000"/>
      <name val="宋体"/>
      <charset val="134"/>
      <scheme val="major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1"/>
      <color rgb="FFFF0000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indexed="8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sz val="11"/>
      <color indexed="60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56"/>
      <name val="宋体"/>
      <charset val="134"/>
    </font>
    <font>
      <sz val="10"/>
      <name val="Geneva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0"/>
      <name val="Helv"/>
      <charset val="134"/>
    </font>
    <font>
      <u/>
      <sz val="10"/>
      <color indexed="12"/>
      <name val="新細明體"/>
      <charset val="134"/>
    </font>
    <font>
      <sz val="10"/>
      <color indexed="8"/>
      <name val="Arial"/>
      <charset val="134"/>
    </font>
    <font>
      <sz val="12"/>
      <color indexed="8"/>
      <name val="Verdana"/>
      <charset val="134"/>
    </font>
    <font>
      <sz val="12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9"/>
      <name val="Tahoma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</borders>
  <cellStyleXfs count="4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5" fillId="21" borderId="0" applyNumberFormat="0" applyBorder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74" fillId="0" borderId="0">
      <alignment vertical="center"/>
    </xf>
    <xf numFmtId="0" fontId="89" fillId="17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105" fillId="41" borderId="49" applyNumberFormat="0" applyAlignment="0" applyProtection="0">
      <alignment vertical="center"/>
    </xf>
    <xf numFmtId="0" fontId="95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9" fillId="46" borderId="0" applyNumberFormat="0" applyBorder="0" applyAlignment="0" applyProtection="0">
      <alignment vertical="center"/>
    </xf>
    <xf numFmtId="0" fontId="104" fillId="19" borderId="5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2" fillId="0" borderId="0"/>
    <xf numFmtId="0" fontId="108" fillId="44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5" fillId="30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0" fillId="15" borderId="48" applyNumberFormat="0" applyFont="0" applyAlignment="0" applyProtection="0">
      <alignment vertical="center"/>
    </xf>
    <xf numFmtId="0" fontId="9" fillId="0" borderId="0">
      <alignment vertical="center"/>
    </xf>
    <xf numFmtId="0" fontId="95" fillId="4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7" fillId="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9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5" fillId="47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2" fillId="0" borderId="57" applyNumberFormat="0" applyFill="0" applyAlignment="0" applyProtection="0">
      <alignment vertical="center"/>
    </xf>
    <xf numFmtId="0" fontId="115" fillId="0" borderId="0"/>
    <xf numFmtId="0" fontId="102" fillId="0" borderId="57" applyNumberFormat="0" applyFill="0" applyAlignment="0" applyProtection="0">
      <alignment vertical="center"/>
    </xf>
    <xf numFmtId="0" fontId="97" fillId="31" borderId="0" applyNumberFormat="0" applyBorder="0" applyAlignment="0" applyProtection="0">
      <alignment vertical="center"/>
    </xf>
    <xf numFmtId="0" fontId="96" fillId="0" borderId="51" applyNumberFormat="0" applyFill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7" fillId="45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100" fillId="18" borderId="55" applyNumberFormat="0" applyAlignment="0" applyProtection="0">
      <alignment vertical="center"/>
    </xf>
    <xf numFmtId="0" fontId="93" fillId="18" borderId="49" applyNumberFormat="0" applyAlignment="0" applyProtection="0">
      <alignment vertical="center"/>
    </xf>
    <xf numFmtId="0" fontId="104" fillId="19" borderId="5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9" fillId="48" borderId="60" applyNumberFormat="0" applyAlignment="0" applyProtection="0">
      <alignment vertical="center"/>
    </xf>
    <xf numFmtId="0" fontId="92" fillId="0" borderId="0">
      <alignment vertical="center"/>
    </xf>
    <xf numFmtId="0" fontId="89" fillId="1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107" fillId="0" borderId="59" applyNumberFormat="0" applyFill="0" applyAlignment="0" applyProtection="0">
      <alignment vertical="center"/>
    </xf>
    <xf numFmtId="0" fontId="95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6" fillId="0" borderId="62" applyNumberFormat="0" applyFill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17" fillId="52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2" fillId="0" borderId="0">
      <alignment vertical="center"/>
    </xf>
    <xf numFmtId="0" fontId="89" fillId="53" borderId="0" applyNumberFormat="0" applyBorder="0" applyAlignment="0" applyProtection="0">
      <alignment vertical="center"/>
    </xf>
    <xf numFmtId="0" fontId="101" fillId="4" borderId="56" applyNumberFormat="0" applyAlignment="0" applyProtection="0">
      <alignment vertical="center"/>
    </xf>
    <xf numFmtId="0" fontId="92" fillId="0" borderId="0"/>
    <xf numFmtId="0" fontId="97" fillId="40" borderId="0" applyNumberFormat="0" applyBorder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89" fillId="38" borderId="0" applyNumberFormat="0" applyBorder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4" fillId="0" borderId="0"/>
    <xf numFmtId="0" fontId="89" fillId="43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89" fillId="54" borderId="0" applyNumberFormat="0" applyBorder="0" applyAlignment="0" applyProtection="0">
      <alignment vertical="center"/>
    </xf>
    <xf numFmtId="0" fontId="89" fillId="56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97" fillId="57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89" fillId="39" borderId="0" applyNumberFormat="0" applyBorder="0" applyAlignment="0" applyProtection="0">
      <alignment vertical="center"/>
    </xf>
    <xf numFmtId="0" fontId="104" fillId="19" borderId="58" applyNumberFormat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97" fillId="58" borderId="0" applyNumberFormat="0" applyBorder="0" applyAlignment="0" applyProtection="0">
      <alignment vertical="center"/>
    </xf>
    <xf numFmtId="0" fontId="104" fillId="19" borderId="58" applyNumberFormat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7" fillId="49" borderId="0" applyNumberFormat="0" applyBorder="0" applyAlignment="0" applyProtection="0">
      <alignment vertical="center"/>
    </xf>
    <xf numFmtId="0" fontId="97" fillId="28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106" fillId="42" borderId="0" applyNumberFormat="0" applyBorder="0" applyAlignment="0" applyProtection="0">
      <alignment vertical="center"/>
    </xf>
    <xf numFmtId="0" fontId="104" fillId="19" borderId="58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9" fillId="59" borderId="0" applyNumberFormat="0" applyBorder="0" applyAlignment="0" applyProtection="0">
      <alignment vertical="center"/>
    </xf>
    <xf numFmtId="0" fontId="97" fillId="60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74" fillId="0" borderId="0"/>
    <xf numFmtId="0" fontId="118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74" fillId="0" borderId="0"/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0" fillId="50" borderId="0" applyNumberFormat="0" applyBorder="0" applyAlignment="0" applyProtection="0">
      <alignment vertical="center"/>
    </xf>
    <xf numFmtId="0" fontId="92" fillId="0" borderId="0">
      <alignment vertical="center"/>
    </xf>
    <xf numFmtId="0" fontId="74" fillId="0" borderId="0"/>
    <xf numFmtId="0" fontId="9" fillId="37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92" fillId="0" borderId="0"/>
    <xf numFmtId="0" fontId="9" fillId="0" borderId="0"/>
    <xf numFmtId="0" fontId="9" fillId="37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19" fillId="55" borderId="58" applyNumberFormat="0" applyAlignment="0" applyProtection="0">
      <alignment vertical="center"/>
    </xf>
    <xf numFmtId="0" fontId="9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/>
    <xf numFmtId="0" fontId="95" fillId="4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2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0" fillId="50" borderId="0" applyNumberFormat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5" fillId="3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5" fillId="3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5" fillId="22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5" fillId="22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04" fillId="19" borderId="58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4" fillId="19" borderId="58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4" fillId="19" borderId="58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4" fillId="19" borderId="58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176" fontId="92" fillId="0" borderId="0"/>
    <xf numFmtId="0" fontId="104" fillId="19" borderId="58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1" fillId="4" borderId="56" applyNumberFormat="0" applyAlignment="0" applyProtection="0">
      <alignment vertical="center"/>
    </xf>
    <xf numFmtId="0" fontId="104" fillId="19" borderId="58" applyNumberFormat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1" fillId="4" borderId="56" applyNumberFormat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9" fillId="55" borderId="58" applyNumberFormat="0" applyAlignment="0" applyProtection="0">
      <alignment vertical="center"/>
    </xf>
    <xf numFmtId="0" fontId="104" fillId="19" borderId="5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4" fillId="19" borderId="58" applyNumberFormat="0" applyAlignment="0" applyProtection="0">
      <alignment vertical="center"/>
    </xf>
    <xf numFmtId="0" fontId="118" fillId="36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5" fillId="22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119" fillId="55" borderId="58" applyNumberFormat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106" fillId="42" borderId="0" applyNumberFormat="0" applyBorder="0" applyAlignment="0" applyProtection="0">
      <alignment vertical="center"/>
    </xf>
    <xf numFmtId="0" fontId="104" fillId="19" borderId="58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6" fillId="42" borderId="0" applyNumberFormat="0" applyBorder="0" applyAlignment="0" applyProtection="0">
      <alignment vertical="center"/>
    </xf>
    <xf numFmtId="0" fontId="9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5" fillId="32" borderId="0" applyNumberFormat="0" applyBorder="0" applyAlignment="0" applyProtection="0">
      <alignment vertical="center"/>
    </xf>
    <xf numFmtId="0" fontId="95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47" borderId="0" applyNumberFormat="0" applyBorder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0" borderId="0">
      <alignment vertical="center"/>
    </xf>
    <xf numFmtId="0" fontId="95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95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2" fillId="0" borderId="0">
      <alignment vertical="center"/>
    </xf>
    <xf numFmtId="0" fontId="95" fillId="47" borderId="0" applyNumberFormat="0" applyBorder="0" applyAlignment="0" applyProtection="0">
      <alignment vertical="center"/>
    </xf>
    <xf numFmtId="0" fontId="95" fillId="21" borderId="0" applyNumberFormat="0" applyBorder="0" applyAlignment="0" applyProtection="0">
      <alignment vertical="center"/>
    </xf>
    <xf numFmtId="0" fontId="95" fillId="34" borderId="0" applyNumberFormat="0" applyBorder="0" applyAlignment="0" applyProtection="0">
      <alignment vertical="center"/>
    </xf>
    <xf numFmtId="0" fontId="95" fillId="34" borderId="0" applyNumberFormat="0" applyBorder="0" applyAlignment="0" applyProtection="0">
      <alignment vertical="center"/>
    </xf>
    <xf numFmtId="0" fontId="95" fillId="34" borderId="0" applyNumberFormat="0" applyBorder="0" applyAlignment="0" applyProtection="0">
      <alignment vertical="center"/>
    </xf>
    <xf numFmtId="0" fontId="95" fillId="34" borderId="0" applyNumberFormat="0" applyBorder="0" applyAlignment="0" applyProtection="0">
      <alignment vertical="center"/>
    </xf>
    <xf numFmtId="0" fontId="95" fillId="34" borderId="0" applyNumberFormat="0" applyBorder="0" applyAlignment="0" applyProtection="0">
      <alignment vertical="center"/>
    </xf>
    <xf numFmtId="0" fontId="95" fillId="22" borderId="0" applyNumberFormat="0" applyBorder="0" applyAlignment="0" applyProtection="0">
      <alignment vertical="center"/>
    </xf>
    <xf numFmtId="0" fontId="92" fillId="0" borderId="0">
      <alignment vertical="center"/>
    </xf>
    <xf numFmtId="0" fontId="95" fillId="22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95" fillId="22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95" fillId="30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5" fillId="30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95" fillId="30" borderId="0" applyNumberFormat="0" applyBorder="0" applyAlignment="0" applyProtection="0">
      <alignment vertical="center"/>
    </xf>
    <xf numFmtId="0" fontId="95" fillId="30" borderId="0" applyNumberFormat="0" applyBorder="0" applyAlignment="0" applyProtection="0">
      <alignment vertical="center"/>
    </xf>
    <xf numFmtId="0" fontId="95" fillId="30" borderId="0" applyNumberFormat="0" applyBorder="0" applyAlignment="0" applyProtection="0">
      <alignment vertical="center"/>
    </xf>
    <xf numFmtId="0" fontId="95" fillId="3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9" fontId="9" fillId="0" borderId="0">
      <alignment vertical="center"/>
    </xf>
    <xf numFmtId="0" fontId="120" fillId="50" borderId="0" applyNumberFormat="0" applyBorder="0" applyAlignment="0" applyProtection="0">
      <alignment vertical="center"/>
    </xf>
    <xf numFmtId="9" fontId="9" fillId="0" borderId="0">
      <alignment vertical="center"/>
    </xf>
    <xf numFmtId="9" fontId="92" fillId="0" borderId="0" applyFont="0" applyFill="0" applyBorder="0" applyAlignment="0" applyProtection="0">
      <alignment vertical="center"/>
    </xf>
    <xf numFmtId="0" fontId="122" fillId="0" borderId="64" applyNumberFormat="0" applyFill="0" applyAlignment="0" applyProtection="0">
      <alignment vertical="center"/>
    </xf>
    <xf numFmtId="0" fontId="122" fillId="0" borderId="64" applyNumberFormat="0" applyFill="0" applyAlignment="0" applyProtection="0">
      <alignment vertical="center"/>
    </xf>
    <xf numFmtId="0" fontId="122" fillId="0" borderId="64" applyNumberFormat="0" applyFill="0" applyAlignment="0" applyProtection="0">
      <alignment vertical="center"/>
    </xf>
    <xf numFmtId="0" fontId="122" fillId="0" borderId="64" applyNumberFormat="0" applyFill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122" fillId="0" borderId="64" applyNumberFormat="0" applyFill="0" applyAlignment="0" applyProtection="0">
      <alignment vertical="center"/>
    </xf>
    <xf numFmtId="0" fontId="122" fillId="0" borderId="64" applyNumberFormat="0" applyFill="0" applyAlignment="0" applyProtection="0">
      <alignment vertical="center"/>
    </xf>
    <xf numFmtId="0" fontId="122" fillId="0" borderId="64" applyNumberFormat="0" applyFill="0" applyAlignment="0" applyProtection="0">
      <alignment vertical="center"/>
    </xf>
    <xf numFmtId="0" fontId="111" fillId="0" borderId="61" applyNumberFormat="0" applyFill="0" applyAlignment="0" applyProtection="0">
      <alignment vertical="center"/>
    </xf>
    <xf numFmtId="0" fontId="111" fillId="0" borderId="61" applyNumberFormat="0" applyFill="0" applyAlignment="0" applyProtection="0">
      <alignment vertical="center"/>
    </xf>
    <xf numFmtId="0" fontId="118" fillId="36" borderId="0" applyNumberFormat="0" applyBorder="0" applyAlignment="0" applyProtection="0">
      <alignment vertical="center"/>
    </xf>
    <xf numFmtId="0" fontId="111" fillId="0" borderId="61" applyNumberFormat="0" applyFill="0" applyAlignment="0" applyProtection="0">
      <alignment vertical="center"/>
    </xf>
    <xf numFmtId="0" fontId="111" fillId="0" borderId="61" applyNumberFormat="0" applyFill="0" applyAlignment="0" applyProtection="0">
      <alignment vertical="center"/>
    </xf>
    <xf numFmtId="0" fontId="9" fillId="0" borderId="0">
      <alignment vertical="center"/>
    </xf>
    <xf numFmtId="0" fontId="111" fillId="0" borderId="61" applyNumberFormat="0" applyFill="0" applyAlignment="0" applyProtection="0">
      <alignment vertical="center"/>
    </xf>
    <xf numFmtId="0" fontId="111" fillId="0" borderId="61" applyNumberFormat="0" applyFill="0" applyAlignment="0" applyProtection="0">
      <alignment vertical="center"/>
    </xf>
    <xf numFmtId="0" fontId="111" fillId="0" borderId="61" applyNumberFormat="0" applyFill="0" applyAlignment="0" applyProtection="0">
      <alignment vertical="center"/>
    </xf>
    <xf numFmtId="0" fontId="114" fillId="0" borderId="63" applyNumberFormat="0" applyFill="0" applyAlignment="0" applyProtection="0">
      <alignment vertical="center"/>
    </xf>
    <xf numFmtId="0" fontId="118" fillId="36" borderId="0" applyNumberFormat="0" applyBorder="0" applyAlignment="0" applyProtection="0">
      <alignment vertical="center"/>
    </xf>
    <xf numFmtId="0" fontId="114" fillId="0" borderId="63" applyNumberFormat="0" applyFill="0" applyAlignment="0" applyProtection="0">
      <alignment vertical="center"/>
    </xf>
    <xf numFmtId="0" fontId="114" fillId="0" borderId="63" applyNumberFormat="0" applyFill="0" applyAlignment="0" applyProtection="0">
      <alignment vertical="center"/>
    </xf>
    <xf numFmtId="0" fontId="114" fillId="0" borderId="63" applyNumberFormat="0" applyFill="0" applyAlignment="0" applyProtection="0">
      <alignment vertical="center"/>
    </xf>
    <xf numFmtId="0" fontId="123" fillId="0" borderId="0"/>
    <xf numFmtId="0" fontId="114" fillId="0" borderId="63" applyNumberFormat="0" applyFill="0" applyAlignment="0" applyProtection="0">
      <alignment vertical="center"/>
    </xf>
    <xf numFmtId="0" fontId="114" fillId="0" borderId="63" applyNumberFormat="0" applyFill="0" applyAlignment="0" applyProtection="0">
      <alignment vertical="center"/>
    </xf>
    <xf numFmtId="0" fontId="114" fillId="0" borderId="63" applyNumberFormat="0" applyFill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95" fillId="27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95" fillId="27" borderId="0" applyNumberFormat="0" applyBorder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95" fillId="21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20" fillId="50" borderId="0" applyNumberFormat="0" applyBorder="0" applyAlignment="0" applyProtection="0">
      <alignment vertical="center"/>
    </xf>
    <xf numFmtId="0" fontId="120" fillId="50" borderId="0" applyNumberFormat="0" applyBorder="0" applyAlignment="0" applyProtection="0">
      <alignment vertical="center"/>
    </xf>
    <xf numFmtId="0" fontId="120" fillId="50" borderId="0" applyNumberFormat="0" applyBorder="0" applyAlignment="0" applyProtection="0">
      <alignment vertical="center"/>
    </xf>
    <xf numFmtId="0" fontId="120" fillId="50" borderId="0" applyNumberFormat="0" applyBorder="0" applyAlignment="0" applyProtection="0">
      <alignment vertical="center"/>
    </xf>
    <xf numFmtId="0" fontId="9" fillId="0" borderId="0">
      <alignment vertical="center"/>
    </xf>
    <xf numFmtId="0" fontId="92" fillId="0" borderId="0">
      <alignment vertical="center"/>
    </xf>
    <xf numFmtId="0" fontId="9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5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26" fillId="0" borderId="0" applyNumberFormat="0" applyFill="0" applyBorder="0" applyProtection="0">
      <alignment vertical="top" wrapText="1"/>
    </xf>
    <xf numFmtId="0" fontId="7" fillId="0" borderId="0">
      <alignment vertical="center"/>
    </xf>
    <xf numFmtId="0" fontId="9" fillId="0" borderId="0"/>
    <xf numFmtId="0" fontId="9" fillId="0" borderId="0"/>
    <xf numFmtId="0" fontId="119" fillId="55" borderId="58" applyNumberFormat="0" applyAlignment="0" applyProtection="0">
      <alignment vertical="center"/>
    </xf>
    <xf numFmtId="0" fontId="7" fillId="0" borderId="0">
      <alignment vertical="center"/>
    </xf>
    <xf numFmtId="0" fontId="123" fillId="0" borderId="0"/>
    <xf numFmtId="0" fontId="119" fillId="55" borderId="58" applyNumberFormat="0" applyAlignment="0" applyProtection="0">
      <alignment vertical="center"/>
    </xf>
    <xf numFmtId="0" fontId="92" fillId="0" borderId="0">
      <alignment vertical="center"/>
    </xf>
    <xf numFmtId="0" fontId="17" fillId="0" borderId="0">
      <alignment vertical="center"/>
    </xf>
    <xf numFmtId="0" fontId="9" fillId="0" borderId="0"/>
    <xf numFmtId="0" fontId="119" fillId="55" borderId="58" applyNumberFormat="0" applyAlignment="0" applyProtection="0">
      <alignment vertical="center"/>
    </xf>
    <xf numFmtId="0" fontId="7" fillId="0" borderId="0">
      <alignment vertical="center"/>
    </xf>
    <xf numFmtId="0" fontId="9" fillId="0" borderId="0"/>
    <xf numFmtId="0" fontId="95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95" fillId="22" borderId="0" applyNumberFormat="0" applyBorder="0" applyAlignment="0" applyProtection="0">
      <alignment vertical="center"/>
    </xf>
    <xf numFmtId="0" fontId="9" fillId="0" borderId="0"/>
    <xf numFmtId="0" fontId="95" fillId="22" borderId="0" applyNumberFormat="0" applyBorder="0" applyAlignment="0" applyProtection="0">
      <alignment vertical="center"/>
    </xf>
    <xf numFmtId="0" fontId="92" fillId="0" borderId="0"/>
    <xf numFmtId="0" fontId="95" fillId="22" borderId="0" applyNumberFormat="0" applyBorder="0" applyAlignment="0" applyProtection="0">
      <alignment vertical="center"/>
    </xf>
    <xf numFmtId="0" fontId="92" fillId="0" borderId="0"/>
    <xf numFmtId="0" fontId="92" fillId="0" borderId="0"/>
    <xf numFmtId="0" fontId="9" fillId="0" borderId="0">
      <alignment vertical="center"/>
    </xf>
    <xf numFmtId="0" fontId="106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9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92" fillId="0" borderId="0"/>
    <xf numFmtId="0" fontId="92" fillId="0" borderId="0"/>
    <xf numFmtId="0" fontId="119" fillId="55" borderId="58" applyNumberFormat="0" applyAlignment="0" applyProtection="0">
      <alignment vertical="center"/>
    </xf>
    <xf numFmtId="0" fontId="9" fillId="0" borderId="0">
      <alignment vertical="center"/>
    </xf>
    <xf numFmtId="0" fontId="92" fillId="0" borderId="0"/>
    <xf numFmtId="0" fontId="95" fillId="20" borderId="0" applyNumberFormat="0" applyBorder="0" applyAlignment="0" applyProtection="0">
      <alignment vertical="center"/>
    </xf>
    <xf numFmtId="0" fontId="74" fillId="0" borderId="0">
      <alignment vertical="center"/>
    </xf>
    <xf numFmtId="0" fontId="0" fillId="0" borderId="0">
      <alignment vertical="center"/>
    </xf>
    <xf numFmtId="0" fontId="9" fillId="23" borderId="52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3" fillId="0" borderId="0"/>
    <xf numFmtId="0" fontId="118" fillId="36" borderId="0" applyNumberFormat="0" applyBorder="0" applyAlignment="0" applyProtection="0">
      <alignment vertical="center"/>
    </xf>
    <xf numFmtId="0" fontId="118" fillId="36" borderId="0" applyNumberFormat="0" applyBorder="0" applyAlignment="0" applyProtection="0">
      <alignment vertical="center"/>
    </xf>
    <xf numFmtId="0" fontId="118" fillId="36" borderId="0" applyNumberFormat="0" applyBorder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101" fillId="4" borderId="56" applyNumberFormat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74" fillId="0" borderId="0"/>
    <xf numFmtId="0" fontId="95" fillId="32" borderId="0" applyNumberFormat="0" applyBorder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101" fillId="4" borderId="56" applyNumberFormat="0" applyAlignment="0" applyProtection="0">
      <alignment vertical="center"/>
    </xf>
    <xf numFmtId="0" fontId="101" fillId="4" borderId="56" applyNumberFormat="0" applyAlignment="0" applyProtection="0">
      <alignment vertical="center"/>
    </xf>
    <xf numFmtId="0" fontId="101" fillId="4" borderId="56" applyNumberFormat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5" fillId="27" borderId="0" applyNumberFormat="0" applyBorder="0" applyAlignment="0" applyProtection="0">
      <alignment vertical="center"/>
    </xf>
    <xf numFmtId="0" fontId="95" fillId="27" borderId="0" applyNumberFormat="0" applyBorder="0" applyAlignment="0" applyProtection="0">
      <alignment vertical="center"/>
    </xf>
    <xf numFmtId="0" fontId="95" fillId="27" borderId="0" applyNumberFormat="0" applyBorder="0" applyAlignment="0" applyProtection="0">
      <alignment vertical="center"/>
    </xf>
    <xf numFmtId="0" fontId="95" fillId="27" borderId="0" applyNumberFormat="0" applyBorder="0" applyAlignment="0" applyProtection="0">
      <alignment vertical="center"/>
    </xf>
    <xf numFmtId="0" fontId="95" fillId="21" borderId="0" applyNumberFormat="0" applyBorder="0" applyAlignment="0" applyProtection="0">
      <alignment vertical="center"/>
    </xf>
    <xf numFmtId="0" fontId="95" fillId="21" borderId="0" applyNumberFormat="0" applyBorder="0" applyAlignment="0" applyProtection="0">
      <alignment vertical="center"/>
    </xf>
    <xf numFmtId="0" fontId="95" fillId="21" borderId="0" applyNumberFormat="0" applyBorder="0" applyAlignment="0" applyProtection="0">
      <alignment vertical="center"/>
    </xf>
    <xf numFmtId="0" fontId="119" fillId="55" borderId="58" applyNumberFormat="0" applyAlignment="0" applyProtection="0">
      <alignment vertical="center"/>
    </xf>
    <xf numFmtId="0" fontId="95" fillId="32" borderId="0" applyNumberFormat="0" applyBorder="0" applyAlignment="0" applyProtection="0">
      <alignment vertical="center"/>
    </xf>
    <xf numFmtId="0" fontId="95" fillId="32" borderId="0" applyNumberFormat="0" applyBorder="0" applyAlignment="0" applyProtection="0">
      <alignment vertical="center"/>
    </xf>
    <xf numFmtId="0" fontId="95" fillId="32" borderId="0" applyNumberFormat="0" applyBorder="0" applyAlignment="0" applyProtection="0">
      <alignment vertical="center"/>
    </xf>
    <xf numFmtId="0" fontId="95" fillId="22" borderId="0" applyNumberFormat="0" applyBorder="0" applyAlignment="0" applyProtection="0">
      <alignment vertical="center"/>
    </xf>
    <xf numFmtId="0" fontId="119" fillId="55" borderId="58" applyNumberFormat="0" applyAlignment="0" applyProtection="0">
      <alignment vertical="center"/>
    </xf>
    <xf numFmtId="0" fontId="95" fillId="22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95" fillId="20" borderId="0" applyNumberFormat="0" applyBorder="0" applyAlignment="0" applyProtection="0">
      <alignment vertical="center"/>
    </xf>
    <xf numFmtId="0" fontId="95" fillId="20" borderId="0" applyNumberFormat="0" applyBorder="0" applyAlignment="0" applyProtection="0">
      <alignment vertical="center"/>
    </xf>
    <xf numFmtId="0" fontId="95" fillId="20" borderId="0" applyNumberFormat="0" applyBorder="0" applyAlignment="0" applyProtection="0">
      <alignment vertical="center"/>
    </xf>
    <xf numFmtId="0" fontId="95" fillId="20" borderId="0" applyNumberFormat="0" applyBorder="0" applyAlignment="0" applyProtection="0">
      <alignment vertical="center"/>
    </xf>
    <xf numFmtId="0" fontId="95" fillId="20" borderId="0" applyNumberFormat="0" applyBorder="0" applyAlignment="0" applyProtection="0">
      <alignment vertical="center"/>
    </xf>
    <xf numFmtId="0" fontId="95" fillId="20" borderId="0" applyNumberFormat="0" applyBorder="0" applyAlignment="0" applyProtection="0">
      <alignment vertical="center"/>
    </xf>
    <xf numFmtId="0" fontId="106" fillId="42" borderId="0" applyNumberFormat="0" applyBorder="0" applyAlignment="0" applyProtection="0">
      <alignment vertical="center"/>
    </xf>
    <xf numFmtId="0" fontId="106" fillId="42" borderId="0" applyNumberFormat="0" applyBorder="0" applyAlignment="0" applyProtection="0">
      <alignment vertical="center"/>
    </xf>
    <xf numFmtId="0" fontId="106" fillId="42" borderId="0" applyNumberFormat="0" applyBorder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94" fillId="19" borderId="50" applyNumberFormat="0" applyAlignment="0" applyProtection="0">
      <alignment vertical="center"/>
    </xf>
    <xf numFmtId="0" fontId="115" fillId="0" borderId="0"/>
    <xf numFmtId="0" fontId="119" fillId="55" borderId="58" applyNumberFormat="0" applyAlignment="0" applyProtection="0">
      <alignment vertical="center"/>
    </xf>
    <xf numFmtId="0" fontId="115" fillId="0" borderId="0"/>
    <xf numFmtId="0" fontId="119" fillId="55" borderId="58" applyNumberFormat="0" applyAlignment="0" applyProtection="0">
      <alignment vertical="center"/>
    </xf>
    <xf numFmtId="0" fontId="119" fillId="55" borderId="58" applyNumberFormat="0" applyAlignment="0" applyProtection="0">
      <alignment vertical="center"/>
    </xf>
    <xf numFmtId="0" fontId="119" fillId="55" borderId="58" applyNumberFormat="0" applyAlignment="0" applyProtection="0">
      <alignment vertical="center"/>
    </xf>
    <xf numFmtId="0" fontId="119" fillId="55" borderId="58" applyNumberFormat="0" applyAlignment="0" applyProtection="0">
      <alignment vertical="center"/>
    </xf>
    <xf numFmtId="0" fontId="127" fillId="0" borderId="0"/>
    <xf numFmtId="0" fontId="74" fillId="0" borderId="0"/>
    <xf numFmtId="0" fontId="115" fillId="0" borderId="0"/>
    <xf numFmtId="0" fontId="115" fillId="0" borderId="0"/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2" fillId="0" borderId="0"/>
    <xf numFmtId="0" fontId="124" fillId="0" borderId="0" applyNumberFormat="0" applyFill="0" applyBorder="0" applyAlignment="0" applyProtection="0">
      <alignment vertical="center"/>
    </xf>
    <xf numFmtId="38" fontId="92" fillId="0" borderId="0" applyFont="0" applyFill="0" applyBorder="0" applyAlignment="0" applyProtection="0">
      <alignment vertical="center"/>
    </xf>
    <xf numFmtId="0" fontId="52" fillId="0" borderId="0">
      <alignment vertical="center"/>
    </xf>
  </cellStyleXfs>
  <cellXfs count="37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Fill="1" applyBorder="1" applyAlignment="1" applyProtection="1">
      <alignment horizontal="left" vertical="center"/>
      <protection locked="0"/>
    </xf>
    <xf numFmtId="0" fontId="7" fillId="3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5" xfId="411" applyNumberFormat="1" applyFont="1" applyFill="1" applyBorder="1" applyAlignment="1" applyProtection="1">
      <alignment horizontal="center" vertical="center" wrapText="1"/>
    </xf>
    <xf numFmtId="49" fontId="8" fillId="4" borderId="6" xfId="411" applyNumberFormat="1" applyFont="1" applyFill="1" applyBorder="1" applyAlignment="1" applyProtection="1">
      <alignment horizontal="center" vertical="center" wrapText="1"/>
    </xf>
    <xf numFmtId="49" fontId="8" fillId="5" borderId="5" xfId="411" applyNumberFormat="1" applyFont="1" applyFill="1" applyBorder="1" applyAlignment="1" applyProtection="1">
      <alignment horizontal="center" vertical="center" wrapText="1"/>
    </xf>
    <xf numFmtId="178" fontId="8" fillId="4" borderId="6" xfId="411" applyNumberFormat="1" applyFont="1" applyFill="1" applyBorder="1" applyAlignment="1" applyProtection="1">
      <alignment horizontal="center" vertical="center" wrapText="1"/>
    </xf>
    <xf numFmtId="49" fontId="8" fillId="4" borderId="7" xfId="411" applyNumberFormat="1" applyFont="1" applyFill="1" applyBorder="1" applyAlignment="1" applyProtection="1">
      <alignment horizontal="center" vertical="center" wrapText="1"/>
    </xf>
    <xf numFmtId="49" fontId="8" fillId="5" borderId="7" xfId="411" applyNumberFormat="1" applyFont="1" applyFill="1" applyBorder="1" applyAlignment="1" applyProtection="1">
      <alignment horizontal="center" vertical="center" wrapText="1"/>
    </xf>
    <xf numFmtId="49" fontId="8" fillId="5" borderId="6" xfId="411" applyNumberFormat="1" applyFont="1" applyFill="1" applyBorder="1" applyAlignment="1" applyProtection="1">
      <alignment horizontal="center" vertical="center" wrapText="1"/>
    </xf>
    <xf numFmtId="177" fontId="8" fillId="5" borderId="6" xfId="411" applyNumberFormat="1" applyFont="1" applyFill="1" applyBorder="1" applyAlignment="1" applyProtection="1">
      <alignment horizontal="center" vertical="center" wrapText="1"/>
    </xf>
    <xf numFmtId="49" fontId="8" fillId="5" borderId="6" xfId="364" applyNumberFormat="1" applyFont="1" applyFill="1" applyBorder="1" applyAlignment="1" applyProtection="1">
      <alignment horizontal="center" vertical="center" wrapText="1"/>
    </xf>
    <xf numFmtId="49" fontId="8" fillId="4" borderId="8" xfId="411" applyNumberFormat="1" applyFont="1" applyFill="1" applyBorder="1" applyAlignment="1" applyProtection="1">
      <alignment horizontal="center" vertical="center" wrapText="1"/>
    </xf>
    <xf numFmtId="49" fontId="8" fillId="4" borderId="9" xfId="411" applyNumberFormat="1" applyFont="1" applyFill="1" applyBorder="1" applyAlignment="1" applyProtection="1">
      <alignment horizontal="center" vertical="center" wrapText="1"/>
    </xf>
    <xf numFmtId="49" fontId="8" fillId="6" borderId="6" xfId="364" applyNumberFormat="1" applyFont="1" applyFill="1" applyBorder="1" applyAlignment="1" applyProtection="1">
      <alignment horizontal="center" vertical="center" wrapText="1"/>
    </xf>
    <xf numFmtId="0" fontId="8" fillId="3" borderId="6" xfId="364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/>
    </xf>
    <xf numFmtId="0" fontId="9" fillId="0" borderId="0" xfId="309" applyBorder="1">
      <alignment vertical="center"/>
    </xf>
    <xf numFmtId="0" fontId="10" fillId="0" borderId="0" xfId="309" applyNumberFormat="1" applyFont="1" applyFill="1" applyBorder="1" applyAlignment="1" applyProtection="1">
      <alignment horizontal="center" vertical="center"/>
    </xf>
    <xf numFmtId="0" fontId="9" fillId="0" borderId="0" xfId="309" applyFill="1">
      <alignment vertical="center"/>
    </xf>
    <xf numFmtId="0" fontId="9" fillId="0" borderId="0" xfId="309" applyNumberFormat="1" applyFont="1" applyFill="1" applyBorder="1" applyAlignment="1" applyProtection="1">
      <alignment horizontal="center" vertical="center" shrinkToFit="1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309">
      <alignment vertical="center"/>
    </xf>
    <xf numFmtId="0" fontId="9" fillId="0" borderId="0" xfId="309" applyNumberFormat="1">
      <alignment vertical="center"/>
    </xf>
    <xf numFmtId="0" fontId="9" fillId="0" borderId="0" xfId="309" applyNumberFormat="1" applyAlignment="1">
      <alignment horizontal="center" vertical="center"/>
    </xf>
    <xf numFmtId="14" fontId="9" fillId="0" borderId="0" xfId="309" applyNumberFormat="1">
      <alignment vertical="center"/>
    </xf>
    <xf numFmtId="180" fontId="9" fillId="0" borderId="0" xfId="309" applyNumberFormat="1">
      <alignment vertical="center"/>
    </xf>
    <xf numFmtId="181" fontId="11" fillId="0" borderId="0" xfId="111" applyNumberFormat="1" applyFont="1" applyFill="1" applyBorder="1" applyAlignment="1" applyProtection="1">
      <alignment vertical="center"/>
    </xf>
    <xf numFmtId="181" fontId="12" fillId="0" borderId="0" xfId="111" applyNumberFormat="1" applyFont="1" applyFill="1" applyBorder="1" applyAlignment="1" applyProtection="1">
      <alignment vertical="center"/>
    </xf>
    <xf numFmtId="181" fontId="13" fillId="0" borderId="0" xfId="111" applyNumberFormat="1" applyFont="1" applyFill="1" applyBorder="1" applyAlignment="1" applyProtection="1">
      <alignment vertical="center"/>
    </xf>
    <xf numFmtId="181" fontId="13" fillId="0" borderId="0" xfId="111" applyNumberFormat="1" applyFont="1" applyFill="1" applyBorder="1" applyAlignment="1" applyProtection="1">
      <alignment horizontal="center" vertical="top"/>
    </xf>
    <xf numFmtId="0" fontId="9" fillId="0" borderId="0" xfId="309" applyNumberFormat="1" applyFont="1" applyFill="1" applyBorder="1" applyAlignment="1" applyProtection="1">
      <alignment horizontal="center" vertical="center"/>
    </xf>
    <xf numFmtId="0" fontId="9" fillId="0" borderId="0" xfId="309" applyNumberFormat="1" applyBorder="1" applyAlignment="1">
      <alignment horizontal="center" vertical="center"/>
    </xf>
    <xf numFmtId="181" fontId="14" fillId="3" borderId="5" xfId="111" applyNumberFormat="1" applyFont="1" applyFill="1" applyBorder="1" applyAlignment="1" applyProtection="1">
      <alignment horizontal="center" vertical="center"/>
    </xf>
    <xf numFmtId="181" fontId="11" fillId="3" borderId="5" xfId="111" applyNumberFormat="1" applyFont="1" applyFill="1" applyBorder="1" applyAlignment="1" applyProtection="1">
      <alignment horizontal="center" vertical="center"/>
    </xf>
    <xf numFmtId="0" fontId="11" fillId="3" borderId="5" xfId="111" applyNumberFormat="1" applyFont="1" applyFill="1" applyBorder="1" applyAlignment="1" applyProtection="1">
      <alignment horizontal="center" vertical="center" wrapText="1"/>
    </xf>
    <xf numFmtId="0" fontId="15" fillId="3" borderId="5" xfId="402" applyNumberFormat="1" applyFont="1" applyFill="1" applyBorder="1" applyAlignment="1" applyProtection="1">
      <alignment horizontal="center" vertical="center" wrapText="1"/>
    </xf>
    <xf numFmtId="0" fontId="16" fillId="3" borderId="5" xfId="402" applyNumberFormat="1" applyFont="1" applyFill="1" applyBorder="1" applyAlignment="1" applyProtection="1">
      <alignment horizontal="center" vertical="center" wrapText="1"/>
    </xf>
    <xf numFmtId="181" fontId="14" fillId="3" borderId="10" xfId="111" applyNumberFormat="1" applyFont="1" applyFill="1" applyBorder="1" applyAlignment="1" applyProtection="1">
      <alignment horizontal="center" vertical="center"/>
    </xf>
    <xf numFmtId="181" fontId="11" fillId="3" borderId="10" xfId="111" applyNumberFormat="1" applyFont="1" applyFill="1" applyBorder="1" applyAlignment="1" applyProtection="1">
      <alignment horizontal="center" vertical="center"/>
    </xf>
    <xf numFmtId="0" fontId="11" fillId="3" borderId="10" xfId="111" applyNumberFormat="1" applyFont="1" applyFill="1" applyBorder="1" applyAlignment="1" applyProtection="1">
      <alignment horizontal="center" vertical="center" wrapText="1"/>
    </xf>
    <xf numFmtId="0" fontId="15" fillId="3" borderId="10" xfId="402" applyNumberFormat="1" applyFont="1" applyFill="1" applyBorder="1" applyAlignment="1" applyProtection="1">
      <alignment horizontal="center" vertical="center" wrapText="1"/>
    </xf>
    <xf numFmtId="0" fontId="16" fillId="3" borderId="10" xfId="402" applyNumberFormat="1" applyFont="1" applyFill="1" applyBorder="1" applyAlignment="1" applyProtection="1">
      <alignment horizontal="center" vertical="center" wrapText="1"/>
    </xf>
    <xf numFmtId="181" fontId="7" fillId="0" borderId="10" xfId="309" applyNumberFormat="1" applyFont="1" applyFill="1" applyBorder="1" applyAlignment="1" applyProtection="1">
      <alignment horizontal="center" vertical="center"/>
    </xf>
    <xf numFmtId="0" fontId="17" fillId="0" borderId="6" xfId="309" applyFont="1" applyFill="1" applyBorder="1" applyAlignment="1">
      <alignment horizontal="center" vertical="center" wrapText="1"/>
    </xf>
    <xf numFmtId="49" fontId="18" fillId="7" borderId="11" xfId="309" applyNumberFormat="1" applyFont="1" applyFill="1" applyBorder="1" applyAlignment="1">
      <alignment horizontal="center" vertical="center" wrapText="1"/>
    </xf>
    <xf numFmtId="0" fontId="9" fillId="0" borderId="6" xfId="309" applyNumberFormat="1" applyFill="1" applyBorder="1" applyAlignment="1">
      <alignment horizontal="center" vertical="center"/>
    </xf>
    <xf numFmtId="0" fontId="9" fillId="0" borderId="11" xfId="309" applyFill="1" applyBorder="1">
      <alignment vertical="center"/>
    </xf>
    <xf numFmtId="181" fontId="7" fillId="7" borderId="10" xfId="309" applyNumberFormat="1" applyFont="1" applyFill="1" applyBorder="1" applyAlignment="1" applyProtection="1">
      <alignment horizontal="center" vertical="center" shrinkToFit="1"/>
    </xf>
    <xf numFmtId="181" fontId="19" fillId="7" borderId="6" xfId="309" applyNumberFormat="1" applyFont="1" applyFill="1" applyBorder="1" applyAlignment="1" applyProtection="1">
      <alignment horizontal="center" vertical="center" shrinkToFit="1"/>
    </xf>
    <xf numFmtId="181" fontId="19" fillId="7" borderId="6" xfId="309" applyNumberFormat="1" applyFont="1" applyFill="1" applyBorder="1" applyAlignment="1" applyProtection="1">
      <alignment horizontal="center" vertical="top" shrinkToFit="1"/>
    </xf>
    <xf numFmtId="0" fontId="18" fillId="7" borderId="6" xfId="309" applyNumberFormat="1" applyFont="1" applyFill="1" applyBorder="1" applyAlignment="1">
      <alignment horizontal="center" vertical="center" shrinkToFit="1"/>
    </xf>
    <xf numFmtId="0" fontId="9" fillId="7" borderId="6" xfId="309" applyNumberFormat="1" applyFont="1" applyFill="1" applyBorder="1" applyAlignment="1" applyProtection="1">
      <alignment horizontal="center" vertical="center" shrinkToFit="1"/>
    </xf>
    <xf numFmtId="0" fontId="9" fillId="7" borderId="6" xfId="309" applyNumberFormat="1" applyFill="1" applyBorder="1" applyAlignment="1">
      <alignment horizontal="center" vertical="center" shrinkToFit="1"/>
    </xf>
    <xf numFmtId="0" fontId="9" fillId="3" borderId="6" xfId="309" applyFont="1" applyFill="1" applyBorder="1" applyAlignment="1">
      <alignment horizontal="center" vertical="center"/>
    </xf>
    <xf numFmtId="180" fontId="9" fillId="7" borderId="6" xfId="309" applyNumberFormat="1" applyFont="1" applyFill="1" applyBorder="1" applyAlignment="1">
      <alignment horizontal="center" vertical="center"/>
    </xf>
    <xf numFmtId="182" fontId="9" fillId="0" borderId="0" xfId="309" applyNumberFormat="1" applyFont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182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4" fillId="0" borderId="0" xfId="309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vertical="center"/>
    </xf>
    <xf numFmtId="14" fontId="9" fillId="0" borderId="0" xfId="309" applyNumberFormat="1" applyBorder="1">
      <alignment vertical="center"/>
    </xf>
    <xf numFmtId="181" fontId="13" fillId="0" borderId="0" xfId="111" applyNumberFormat="1" applyFont="1" applyFill="1" applyBorder="1" applyAlignment="1" applyProtection="1">
      <alignment horizontal="center" vertical="center"/>
    </xf>
    <xf numFmtId="179" fontId="26" fillId="8" borderId="0" xfId="309" applyNumberFormat="1" applyFont="1" applyFill="1" applyBorder="1" applyAlignment="1">
      <alignment horizontal="center" vertical="center"/>
    </xf>
    <xf numFmtId="14" fontId="15" fillId="3" borderId="5" xfId="402" applyNumberFormat="1" applyFont="1" applyFill="1" applyBorder="1" applyAlignment="1" applyProtection="1">
      <alignment horizontal="center" vertical="center" wrapText="1"/>
    </xf>
    <xf numFmtId="0" fontId="15" fillId="3" borderId="11" xfId="402" applyNumberFormat="1" applyFont="1" applyFill="1" applyBorder="1" applyAlignment="1" applyProtection="1">
      <alignment horizontal="center" vertical="center" wrapText="1"/>
    </xf>
    <xf numFmtId="0" fontId="15" fillId="3" borderId="12" xfId="402" applyNumberFormat="1" applyFont="1" applyFill="1" applyBorder="1" applyAlignment="1" applyProtection="1">
      <alignment horizontal="center" vertical="center" wrapText="1"/>
    </xf>
    <xf numFmtId="0" fontId="15" fillId="3" borderId="13" xfId="402" applyNumberFormat="1" applyFont="1" applyFill="1" applyBorder="1" applyAlignment="1" applyProtection="1">
      <alignment horizontal="center" vertical="center" wrapText="1"/>
    </xf>
    <xf numFmtId="14" fontId="15" fillId="3" borderId="10" xfId="402" applyNumberFormat="1" applyFont="1" applyFill="1" applyBorder="1" applyAlignment="1" applyProtection="1">
      <alignment horizontal="center" vertical="center" wrapText="1"/>
    </xf>
    <xf numFmtId="0" fontId="15" fillId="3" borderId="6" xfId="402" applyNumberFormat="1" applyFont="1" applyFill="1" applyBorder="1" applyAlignment="1" applyProtection="1">
      <alignment horizontal="center" vertical="center" wrapText="1"/>
    </xf>
    <xf numFmtId="14" fontId="9" fillId="0" borderId="11" xfId="309" applyNumberFormat="1" applyFill="1" applyBorder="1">
      <alignment vertical="center"/>
    </xf>
    <xf numFmtId="179" fontId="7" fillId="0" borderId="6" xfId="309" applyNumberFormat="1" applyFont="1" applyFill="1" applyBorder="1">
      <alignment vertical="center"/>
    </xf>
    <xf numFmtId="179" fontId="7" fillId="0" borderId="6" xfId="309" applyNumberFormat="1" applyFont="1" applyFill="1" applyBorder="1" applyAlignment="1">
      <alignment horizontal="center" vertical="center"/>
    </xf>
    <xf numFmtId="0" fontId="9" fillId="7" borderId="11" xfId="309" applyNumberFormat="1" applyFont="1" applyFill="1" applyBorder="1" applyAlignment="1" applyProtection="1">
      <alignment horizontal="center" vertical="center" shrinkToFit="1"/>
    </xf>
    <xf numFmtId="14" fontId="9" fillId="7" borderId="11" xfId="309" applyNumberFormat="1" applyFont="1" applyFill="1" applyBorder="1" applyAlignment="1" applyProtection="1">
      <alignment horizontal="center" vertical="center" shrinkToFit="1"/>
    </xf>
    <xf numFmtId="182" fontId="19" fillId="7" borderId="6" xfId="309" applyNumberFormat="1" applyFont="1" applyFill="1" applyBorder="1" applyAlignment="1" applyProtection="1">
      <alignment horizontal="center" vertical="center" shrinkToFit="1"/>
    </xf>
    <xf numFmtId="14" fontId="9" fillId="0" borderId="0" xfId="0" applyNumberFormat="1" applyFont="1" applyFill="1" applyBorder="1" applyAlignment="1" applyProtection="1">
      <alignment vertical="center"/>
    </xf>
    <xf numFmtId="178" fontId="9" fillId="0" borderId="0" xfId="0" applyNumberFormat="1" applyFont="1" applyFill="1" applyBorder="1" applyAlignment="1" applyProtection="1">
      <alignment vertical="center"/>
    </xf>
    <xf numFmtId="14" fontId="9" fillId="0" borderId="0" xfId="0" applyNumberFormat="1" applyFont="1" applyFill="1" applyBorder="1" applyAlignment="1" applyProtection="1">
      <alignment horizontal="left" vertical="center" wrapText="1"/>
    </xf>
    <xf numFmtId="178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14" fontId="9" fillId="0" borderId="0" xfId="0" applyNumberFormat="1" applyFont="1" applyFill="1" applyBorder="1" applyAlignment="1" applyProtection="1">
      <alignment vertical="center" wrapText="1"/>
    </xf>
    <xf numFmtId="178" fontId="9" fillId="0" borderId="0" xfId="0" applyNumberFormat="1" applyFont="1" applyFill="1" applyBorder="1" applyAlignment="1" applyProtection="1">
      <alignment vertical="center" wrapText="1"/>
    </xf>
    <xf numFmtId="14" fontId="23" fillId="0" borderId="0" xfId="0" applyNumberFormat="1" applyFont="1" applyFill="1" applyBorder="1" applyAlignment="1" applyProtection="1">
      <alignment vertical="center" wrapText="1"/>
    </xf>
    <xf numFmtId="179" fontId="0" fillId="0" borderId="0" xfId="309" applyNumberFormat="1" applyFont="1" applyFill="1" applyBorder="1" applyAlignment="1">
      <alignment horizontal="left" vertical="center"/>
    </xf>
    <xf numFmtId="180" fontId="16" fillId="3" borderId="5" xfId="402" applyNumberFormat="1" applyFont="1" applyFill="1" applyBorder="1" applyAlignment="1" applyProtection="1">
      <alignment horizontal="center" vertical="center" wrapText="1"/>
    </xf>
    <xf numFmtId="0" fontId="16" fillId="3" borderId="11" xfId="402" applyNumberFormat="1" applyFont="1" applyFill="1" applyBorder="1" applyAlignment="1" applyProtection="1">
      <alignment horizontal="center" vertical="center" wrapText="1"/>
    </xf>
    <xf numFmtId="0" fontId="16" fillId="3" borderId="12" xfId="402" applyNumberFormat="1" applyFont="1" applyFill="1" applyBorder="1" applyAlignment="1" applyProtection="1">
      <alignment horizontal="center" vertical="center" wrapText="1"/>
    </xf>
    <xf numFmtId="180" fontId="16" fillId="3" borderId="10" xfId="402" applyNumberFormat="1" applyFont="1" applyFill="1" applyBorder="1" applyAlignment="1" applyProtection="1">
      <alignment horizontal="center" vertical="center" wrapText="1"/>
    </xf>
    <xf numFmtId="0" fontId="16" fillId="3" borderId="6" xfId="402" applyNumberFormat="1" applyFont="1" applyFill="1" applyBorder="1" applyAlignment="1" applyProtection="1">
      <alignment horizontal="center" vertical="center" wrapText="1"/>
    </xf>
    <xf numFmtId="179" fontId="7" fillId="7" borderId="6" xfId="309" applyNumberFormat="1" applyFont="1" applyFill="1" applyBorder="1">
      <alignment vertical="center"/>
    </xf>
    <xf numFmtId="179" fontId="7" fillId="7" borderId="13" xfId="309" applyNumberFormat="1" applyFont="1" applyFill="1" applyBorder="1" applyAlignment="1">
      <alignment horizontal="center" vertical="center"/>
    </xf>
    <xf numFmtId="179" fontId="7" fillId="7" borderId="13" xfId="309" applyNumberFormat="1" applyFont="1" applyFill="1" applyBorder="1">
      <alignment vertical="center"/>
    </xf>
    <xf numFmtId="0" fontId="16" fillId="3" borderId="13" xfId="402" applyNumberFormat="1" applyFont="1" applyFill="1" applyBorder="1" applyAlignment="1" applyProtection="1">
      <alignment horizontal="center" vertical="center" wrapText="1"/>
    </xf>
    <xf numFmtId="182" fontId="7" fillId="7" borderId="13" xfId="309" applyNumberFormat="1" applyFont="1" applyFill="1" applyBorder="1" applyAlignment="1" applyProtection="1">
      <alignment horizontal="center" vertical="center"/>
    </xf>
    <xf numFmtId="180" fontId="22" fillId="7" borderId="6" xfId="292" applyNumberFormat="1" applyFont="1" applyFill="1" applyBorder="1" applyAlignment="1" applyProtection="1">
      <alignment horizontal="center" vertical="center"/>
    </xf>
    <xf numFmtId="180" fontId="27" fillId="7" borderId="6" xfId="402" applyNumberFormat="1" applyFont="1" applyFill="1" applyBorder="1" applyAlignment="1" applyProtection="1">
      <alignment horizontal="center" vertical="center"/>
    </xf>
    <xf numFmtId="182" fontId="7" fillId="0" borderId="0" xfId="309" applyNumberFormat="1" applyFont="1" applyFill="1" applyBorder="1" applyAlignment="1" applyProtection="1">
      <alignment horizontal="center" vertical="center"/>
    </xf>
    <xf numFmtId="180" fontId="13" fillId="0" borderId="0" xfId="111" applyNumberFormat="1" applyFont="1" applyFill="1" applyBorder="1" applyAlignment="1" applyProtection="1">
      <alignment horizontal="center" vertical="center" wrapText="1"/>
    </xf>
    <xf numFmtId="0" fontId="14" fillId="3" borderId="5" xfId="111" applyNumberFormat="1" applyFont="1" applyFill="1" applyBorder="1" applyAlignment="1" applyProtection="1">
      <alignment horizontal="center" vertical="center" wrapText="1"/>
    </xf>
    <xf numFmtId="180" fontId="11" fillId="3" borderId="5" xfId="111" applyNumberFormat="1" applyFont="1" applyFill="1" applyBorder="1" applyAlignment="1" applyProtection="1">
      <alignment horizontal="center" vertical="center" wrapText="1"/>
    </xf>
    <xf numFmtId="0" fontId="14" fillId="3" borderId="10" xfId="111" applyNumberFormat="1" applyFont="1" applyFill="1" applyBorder="1" applyAlignment="1" applyProtection="1">
      <alignment horizontal="center" vertical="center" wrapText="1"/>
    </xf>
    <xf numFmtId="180" fontId="11" fillId="3" borderId="10" xfId="111" applyNumberFormat="1" applyFont="1" applyFill="1" applyBorder="1" applyAlignment="1" applyProtection="1">
      <alignment horizontal="center" vertical="center" wrapText="1"/>
    </xf>
    <xf numFmtId="182" fontId="7" fillId="7" borderId="6" xfId="309" applyNumberFormat="1" applyFont="1" applyFill="1" applyBorder="1" applyAlignment="1" applyProtection="1">
      <alignment horizontal="center" vertical="center"/>
    </xf>
    <xf numFmtId="180" fontId="18" fillId="0" borderId="6" xfId="309" applyNumberFormat="1" applyFont="1" applyFill="1" applyBorder="1" applyAlignment="1">
      <alignment horizontal="center" vertical="center" wrapText="1"/>
    </xf>
    <xf numFmtId="182" fontId="7" fillId="0" borderId="6" xfId="309" applyNumberFormat="1" applyFont="1" applyFill="1" applyBorder="1" applyAlignment="1" applyProtection="1">
      <alignment horizontal="center" vertical="center"/>
    </xf>
    <xf numFmtId="180" fontId="19" fillId="7" borderId="6" xfId="309" applyNumberFormat="1" applyFont="1" applyFill="1" applyBorder="1" applyAlignment="1" applyProtection="1">
      <alignment horizontal="center" vertical="center" shrinkToFit="1"/>
    </xf>
    <xf numFmtId="182" fontId="7" fillId="7" borderId="6" xfId="309" applyNumberFormat="1" applyFont="1" applyFill="1" applyBorder="1" applyAlignment="1" applyProtection="1">
      <alignment horizontal="center" vertical="center" shrinkToFit="1"/>
    </xf>
    <xf numFmtId="180" fontId="9" fillId="0" borderId="0" xfId="0" applyNumberFormat="1" applyFont="1" applyFill="1" applyBorder="1" applyAlignment="1" applyProtection="1">
      <alignment vertical="center"/>
    </xf>
    <xf numFmtId="49" fontId="9" fillId="0" borderId="0" xfId="309" applyNumberFormat="1" applyFont="1" applyFill="1" applyBorder="1" applyAlignment="1" applyProtection="1">
      <alignment horizontal="center" vertical="center"/>
    </xf>
    <xf numFmtId="49" fontId="15" fillId="3" borderId="5" xfId="402" applyNumberFormat="1" applyFont="1" applyFill="1" applyBorder="1" applyAlignment="1" applyProtection="1">
      <alignment horizontal="center" vertical="center" wrapText="1"/>
    </xf>
    <xf numFmtId="49" fontId="15" fillId="3" borderId="10" xfId="402" applyNumberFormat="1" applyFont="1" applyFill="1" applyBorder="1" applyAlignment="1" applyProtection="1">
      <alignment horizontal="center" vertical="center" wrapText="1"/>
    </xf>
    <xf numFmtId="0" fontId="27" fillId="7" borderId="6" xfId="309" applyFont="1" applyFill="1" applyBorder="1" applyAlignment="1">
      <alignment horizontal="center" vertical="center"/>
    </xf>
    <xf numFmtId="0" fontId="27" fillId="7" borderId="6" xfId="309" applyFont="1" applyFill="1" applyBorder="1" applyAlignment="1">
      <alignment horizontal="center" vertical="center" shrinkToFit="1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14" fontId="7" fillId="0" borderId="0" xfId="0" applyNumberFormat="1" applyFont="1" applyFill="1" applyBorder="1" applyAlignment="1" applyProtection="1">
      <alignment horizontal="left" vertical="center"/>
      <protection locked="0"/>
    </xf>
    <xf numFmtId="178" fontId="7" fillId="0" borderId="0" xfId="0" applyNumberFormat="1" applyFont="1" applyFill="1" applyBorder="1" applyAlignment="1" applyProtection="1">
      <alignment horizontal="left" vertical="center"/>
      <protection locked="0"/>
    </xf>
    <xf numFmtId="177" fontId="7" fillId="0" borderId="0" xfId="0" applyNumberFormat="1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left" vertical="center"/>
      <protection locked="0"/>
    </xf>
    <xf numFmtId="49" fontId="31" fillId="4" borderId="6" xfId="411" applyNumberFormat="1" applyFont="1" applyFill="1" applyBorder="1" applyAlignment="1" applyProtection="1">
      <alignment horizontal="center" vertical="center" wrapText="1"/>
    </xf>
    <xf numFmtId="49" fontId="26" fillId="4" borderId="6" xfId="411" applyNumberFormat="1" applyFont="1" applyFill="1" applyBorder="1" applyAlignment="1" applyProtection="1">
      <alignment horizontal="center" vertical="center" wrapText="1"/>
    </xf>
    <xf numFmtId="178" fontId="31" fillId="4" borderId="6" xfId="411" applyNumberFormat="1" applyFont="1" applyFill="1" applyBorder="1" applyAlignment="1" applyProtection="1">
      <alignment horizontal="center" vertical="center" wrapText="1"/>
    </xf>
    <xf numFmtId="0" fontId="29" fillId="0" borderId="6" xfId="0" applyFont="1" applyFill="1" applyBorder="1" applyAlignment="1" applyProtection="1">
      <alignment horizontal="center" vertical="center"/>
      <protection locked="0"/>
    </xf>
    <xf numFmtId="14" fontId="29" fillId="0" borderId="6" xfId="0" applyNumberFormat="1" applyFont="1" applyFill="1" applyBorder="1" applyAlignment="1" applyProtection="1">
      <alignment horizontal="center" vertical="center"/>
      <protection locked="0"/>
    </xf>
    <xf numFmtId="49" fontId="29" fillId="9" borderId="6" xfId="0" applyNumberFormat="1" applyFont="1" applyFill="1" applyBorder="1" applyAlignment="1" applyProtection="1">
      <alignment horizontal="center" vertical="center"/>
    </xf>
    <xf numFmtId="49" fontId="29" fillId="0" borderId="6" xfId="0" applyNumberFormat="1" applyFont="1" applyFill="1" applyBorder="1" applyAlignment="1" applyProtection="1">
      <alignment horizontal="center" vertical="center"/>
    </xf>
    <xf numFmtId="49" fontId="18" fillId="9" borderId="6" xfId="0" applyNumberFormat="1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49" fontId="18" fillId="0" borderId="6" xfId="0" applyNumberFormat="1" applyFont="1" applyFill="1" applyBorder="1" applyAlignment="1" applyProtection="1">
      <alignment horizontal="center" vertical="center"/>
    </xf>
    <xf numFmtId="14" fontId="18" fillId="0" borderId="6" xfId="0" applyNumberFormat="1" applyFont="1" applyFill="1" applyBorder="1" applyAlignment="1" applyProtection="1">
      <alignment horizontal="center" vertical="center"/>
      <protection locked="0"/>
    </xf>
    <xf numFmtId="0" fontId="30" fillId="0" borderId="6" xfId="0" applyFont="1" applyFill="1" applyBorder="1" applyAlignment="1" applyProtection="1">
      <alignment horizontal="center" vertical="center"/>
      <protection locked="0"/>
    </xf>
    <xf numFmtId="14" fontId="30" fillId="0" borderId="6" xfId="0" applyNumberFormat="1" applyFont="1" applyFill="1" applyBorder="1" applyAlignment="1" applyProtection="1">
      <alignment horizontal="center" vertical="center"/>
      <protection locked="0"/>
    </xf>
    <xf numFmtId="178" fontId="30" fillId="0" borderId="6" xfId="0" applyNumberFormat="1" applyFont="1" applyFill="1" applyBorder="1" applyAlignment="1" applyProtection="1">
      <alignment horizontal="center" vertical="center"/>
      <protection locked="0"/>
    </xf>
    <xf numFmtId="0" fontId="32" fillId="0" borderId="6" xfId="0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7" fillId="0" borderId="6" xfId="0" applyFont="1" applyFill="1" applyBorder="1" applyAlignment="1" applyProtection="1">
      <alignment vertical="center"/>
      <protection locked="0"/>
    </xf>
    <xf numFmtId="0" fontId="18" fillId="0" borderId="6" xfId="0" applyFont="1" applyFill="1" applyBorder="1" applyAlignment="1">
      <alignment horizontal="center" vertical="center"/>
    </xf>
    <xf numFmtId="49" fontId="34" fillId="0" borderId="6" xfId="0" applyNumberFormat="1" applyFont="1" applyFill="1" applyBorder="1" applyAlignment="1">
      <alignment horizontal="center"/>
    </xf>
    <xf numFmtId="49" fontId="34" fillId="0" borderId="6" xfId="0" applyNumberFormat="1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49" fontId="36" fillId="0" borderId="6" xfId="0" applyNumberFormat="1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/>
    </xf>
    <xf numFmtId="177" fontId="26" fillId="4" borderId="6" xfId="411" applyNumberFormat="1" applyFont="1" applyFill="1" applyBorder="1" applyAlignment="1" applyProtection="1">
      <alignment horizontal="center" vertical="center" wrapText="1"/>
    </xf>
    <xf numFmtId="49" fontId="38" fillId="4" borderId="6" xfId="411" applyNumberFormat="1" applyFont="1" applyFill="1" applyBorder="1" applyAlignment="1" applyProtection="1">
      <alignment horizontal="center" vertical="center" wrapText="1"/>
    </xf>
    <xf numFmtId="49" fontId="26" fillId="4" borderId="6" xfId="364" applyNumberFormat="1" applyFont="1" applyFill="1" applyBorder="1" applyAlignment="1" applyProtection="1">
      <alignment horizontal="center" vertical="center" wrapText="1"/>
    </xf>
    <xf numFmtId="179" fontId="29" fillId="0" borderId="6" xfId="0" applyNumberFormat="1" applyFont="1" applyFill="1" applyBorder="1" applyAlignment="1" applyProtection="1">
      <alignment horizontal="center" vertical="center"/>
      <protection locked="0"/>
    </xf>
    <xf numFmtId="179" fontId="18" fillId="0" borderId="6" xfId="0" applyNumberFormat="1" applyFont="1" applyFill="1" applyBorder="1" applyAlignment="1" applyProtection="1">
      <alignment horizontal="center" vertical="center"/>
      <protection locked="0"/>
    </xf>
    <xf numFmtId="0" fontId="18" fillId="0" borderId="6" xfId="0" applyNumberFormat="1" applyFont="1" applyFill="1" applyBorder="1" applyAlignment="1" applyProtection="1">
      <alignment horizontal="center" vertical="center"/>
      <protection locked="0"/>
    </xf>
    <xf numFmtId="49" fontId="29" fillId="0" borderId="6" xfId="0" applyNumberFormat="1" applyFont="1" applyFill="1" applyBorder="1" applyAlignment="1" applyProtection="1">
      <alignment horizontal="center" vertical="center"/>
      <protection locked="0"/>
    </xf>
    <xf numFmtId="49" fontId="18" fillId="0" borderId="6" xfId="0" applyNumberFormat="1" applyFont="1" applyFill="1" applyBorder="1" applyAlignment="1" applyProtection="1">
      <alignment horizontal="center" vertical="center"/>
      <protection locked="0"/>
    </xf>
    <xf numFmtId="49" fontId="30" fillId="0" borderId="6" xfId="0" applyNumberFormat="1" applyFont="1" applyFill="1" applyBorder="1" applyAlignment="1" applyProtection="1">
      <alignment horizontal="center" vertical="center"/>
      <protection locked="0"/>
    </xf>
    <xf numFmtId="49" fontId="31" fillId="6" borderId="6" xfId="364" applyNumberFormat="1" applyFont="1" applyFill="1" applyBorder="1" applyAlignment="1" applyProtection="1">
      <alignment horizontal="center" vertical="center" wrapText="1"/>
    </xf>
    <xf numFmtId="0" fontId="39" fillId="3" borderId="6" xfId="364" applyFont="1" applyFill="1" applyBorder="1" applyAlignment="1" applyProtection="1">
      <alignment horizontal="center" vertical="center" wrapText="1"/>
    </xf>
    <xf numFmtId="0" fontId="39" fillId="3" borderId="6" xfId="0" applyFont="1" applyFill="1" applyBorder="1" applyAlignment="1" applyProtection="1">
      <alignment horizontal="center" vertical="center" wrapText="1"/>
    </xf>
    <xf numFmtId="0" fontId="39" fillId="3" borderId="6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21" fillId="10" borderId="6" xfId="0" applyFont="1" applyFill="1" applyBorder="1" applyAlignment="1">
      <alignment horizontal="center" vertical="center" wrapText="1"/>
    </xf>
    <xf numFmtId="0" fontId="25" fillId="10" borderId="6" xfId="0" applyFont="1" applyFill="1" applyBorder="1" applyAlignment="1">
      <alignment horizontal="center" vertical="center" wrapText="1"/>
    </xf>
    <xf numFmtId="0" fontId="43" fillId="0" borderId="6" xfId="0" applyFont="1" applyFill="1" applyBorder="1" applyAlignment="1"/>
    <xf numFmtId="0" fontId="23" fillId="10" borderId="6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/>
    </xf>
    <xf numFmtId="49" fontId="34" fillId="0" borderId="6" xfId="0" applyNumberFormat="1" applyFont="1" applyFill="1" applyBorder="1" applyAlignment="1">
      <alignment horizontal="left" vertical="center"/>
    </xf>
    <xf numFmtId="0" fontId="45" fillId="0" borderId="14" xfId="0" applyFont="1" applyFill="1" applyBorder="1" applyAlignment="1">
      <alignment horizontal="center"/>
    </xf>
    <xf numFmtId="49" fontId="45" fillId="0" borderId="14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49" fontId="45" fillId="0" borderId="10" xfId="0" applyNumberFormat="1" applyFont="1" applyFill="1" applyBorder="1" applyAlignment="1">
      <alignment horizontal="center"/>
    </xf>
    <xf numFmtId="49" fontId="46" fillId="0" borderId="15" xfId="0" applyNumberFormat="1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/>
    </xf>
    <xf numFmtId="49" fontId="48" fillId="0" borderId="10" xfId="0" applyNumberFormat="1" applyFont="1" applyFill="1" applyBorder="1" applyAlignment="1">
      <alignment horizontal="center" vertical="center"/>
    </xf>
    <xf numFmtId="49" fontId="46" fillId="0" borderId="10" xfId="0" applyNumberFormat="1" applyFont="1" applyFill="1" applyBorder="1" applyAlignment="1">
      <alignment horizontal="center"/>
    </xf>
    <xf numFmtId="0" fontId="21" fillId="10" borderId="16" xfId="0" applyFont="1" applyFill="1" applyBorder="1" applyAlignment="1">
      <alignment horizontal="left" vertical="center"/>
    </xf>
    <xf numFmtId="4" fontId="21" fillId="10" borderId="17" xfId="0" applyNumberFormat="1" applyFont="1" applyFill="1" applyBorder="1" applyAlignment="1">
      <alignment horizontal="right" vertical="center"/>
    </xf>
    <xf numFmtId="4" fontId="21" fillId="10" borderId="10" xfId="0" applyNumberFormat="1" applyFont="1" applyFill="1" applyBorder="1" applyAlignment="1">
      <alignment horizontal="right" vertical="center"/>
    </xf>
    <xf numFmtId="4" fontId="21" fillId="10" borderId="15" xfId="0" applyNumberFormat="1" applyFont="1" applyFill="1" applyBorder="1" applyAlignment="1">
      <alignment horizontal="right" vertical="center"/>
    </xf>
    <xf numFmtId="0" fontId="21" fillId="10" borderId="18" xfId="0" applyFont="1" applyFill="1" applyBorder="1" applyAlignment="1">
      <alignment horizontal="left" vertical="center"/>
    </xf>
    <xf numFmtId="4" fontId="21" fillId="10" borderId="19" xfId="0" applyNumberFormat="1" applyFont="1" applyFill="1" applyBorder="1" applyAlignment="1">
      <alignment horizontal="right" vertical="center"/>
    </xf>
    <xf numFmtId="4" fontId="21" fillId="10" borderId="20" xfId="0" applyNumberFormat="1" applyFont="1" applyFill="1" applyBorder="1" applyAlignment="1">
      <alignment horizontal="right" vertical="center"/>
    </xf>
    <xf numFmtId="4" fontId="21" fillId="10" borderId="21" xfId="0" applyNumberFormat="1" applyFont="1" applyFill="1" applyBorder="1" applyAlignment="1">
      <alignment horizontal="right" vertical="center"/>
    </xf>
    <xf numFmtId="0" fontId="9" fillId="0" borderId="0" xfId="0" applyFont="1" applyFill="1" applyAlignment="1"/>
    <xf numFmtId="0" fontId="47" fillId="0" borderId="0" xfId="0" applyFont="1" applyFill="1" applyAlignment="1">
      <alignment vertical="center"/>
    </xf>
    <xf numFmtId="0" fontId="24" fillId="10" borderId="6" xfId="0" applyFont="1" applyFill="1" applyBorder="1" applyAlignment="1">
      <alignment horizontal="center" vertical="center" wrapText="1"/>
    </xf>
    <xf numFmtId="0" fontId="22" fillId="10" borderId="6" xfId="0" applyFont="1" applyFill="1" applyBorder="1" applyAlignment="1">
      <alignment horizontal="center" vertical="center" wrapText="1"/>
    </xf>
    <xf numFmtId="0" fontId="45" fillId="0" borderId="15" xfId="0" applyFont="1" applyFill="1" applyBorder="1" applyAlignment="1">
      <alignment horizontal="center"/>
    </xf>
    <xf numFmtId="0" fontId="46" fillId="0" borderId="15" xfId="0" applyFont="1" applyFill="1" applyBorder="1" applyAlignment="1">
      <alignment horizontal="center"/>
    </xf>
    <xf numFmtId="4" fontId="21" fillId="10" borderId="22" xfId="0" applyNumberFormat="1" applyFont="1" applyFill="1" applyBorder="1" applyAlignment="1">
      <alignment horizontal="right" vertical="center"/>
    </xf>
    <xf numFmtId="0" fontId="45" fillId="3" borderId="15" xfId="0" applyFont="1" applyFill="1" applyBorder="1" applyAlignment="1">
      <alignment horizontal="center"/>
    </xf>
    <xf numFmtId="0" fontId="46" fillId="3" borderId="15" xfId="0" applyFont="1" applyFill="1" applyBorder="1" applyAlignment="1">
      <alignment horizontal="center"/>
    </xf>
    <xf numFmtId="0" fontId="40" fillId="0" borderId="6" xfId="0" applyFont="1" applyFill="1" applyBorder="1" applyAlignment="1">
      <alignment vertical="center"/>
    </xf>
    <xf numFmtId="0" fontId="41" fillId="0" borderId="15" xfId="0" applyFont="1" applyFill="1" applyBorder="1" applyAlignment="1">
      <alignment vertical="center"/>
    </xf>
    <xf numFmtId="0" fontId="21" fillId="10" borderId="6" xfId="0" applyNumberFormat="1" applyFont="1" applyFill="1" applyBorder="1" applyAlignment="1">
      <alignment horizontal="center" vertical="center" wrapText="1"/>
    </xf>
    <xf numFmtId="0" fontId="22" fillId="10" borderId="6" xfId="0" applyNumberFormat="1" applyFont="1" applyFill="1" applyBorder="1" applyAlignment="1">
      <alignment horizontal="center" vertical="center" wrapText="1"/>
    </xf>
    <xf numFmtId="184" fontId="49" fillId="0" borderId="6" xfId="0" applyNumberFormat="1" applyFont="1" applyFill="1" applyBorder="1" applyAlignment="1">
      <alignment horizontal="left" vertical="center"/>
    </xf>
    <xf numFmtId="0" fontId="34" fillId="0" borderId="6" xfId="0" applyNumberFormat="1" applyFont="1" applyFill="1" applyBorder="1" applyAlignment="1">
      <alignment horizontal="center"/>
    </xf>
    <xf numFmtId="49" fontId="45" fillId="0" borderId="15" xfId="0" applyNumberFormat="1" applyFont="1" applyFill="1" applyBorder="1" applyAlignment="1">
      <alignment horizontal="center" vertical="center"/>
    </xf>
    <xf numFmtId="184" fontId="50" fillId="0" borderId="15" xfId="0" applyNumberFormat="1" applyFont="1" applyFill="1" applyBorder="1" applyAlignment="1">
      <alignment horizontal="left" vertical="center"/>
    </xf>
    <xf numFmtId="0" fontId="45" fillId="0" borderId="15" xfId="0" applyNumberFormat="1" applyFont="1" applyFill="1" applyBorder="1" applyAlignment="1">
      <alignment horizontal="center"/>
    </xf>
    <xf numFmtId="0" fontId="21" fillId="10" borderId="22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Alignment="1"/>
    <xf numFmtId="0" fontId="51" fillId="10" borderId="13" xfId="0" applyFont="1" applyFill="1" applyBorder="1" applyAlignment="1">
      <alignment horizontal="center" vertical="center" wrapText="1"/>
    </xf>
    <xf numFmtId="4" fontId="52" fillId="0" borderId="6" xfId="0" applyNumberFormat="1" applyFont="1" applyFill="1" applyBorder="1" applyAlignment="1">
      <alignment horizontal="center" vertical="center" wrapText="1"/>
    </xf>
    <xf numFmtId="0" fontId="52" fillId="0" borderId="6" xfId="0" applyNumberFormat="1" applyFont="1" applyFill="1" applyBorder="1" applyAlignment="1">
      <alignment horizontal="center" vertical="center" wrapText="1"/>
    </xf>
    <xf numFmtId="49" fontId="53" fillId="0" borderId="13" xfId="0" applyNumberFormat="1" applyFont="1" applyFill="1" applyBorder="1" applyAlignment="1">
      <alignment horizontal="center"/>
    </xf>
    <xf numFmtId="4" fontId="22" fillId="0" borderId="15" xfId="0" applyNumberFormat="1" applyFont="1" applyFill="1" applyBorder="1" applyAlignment="1">
      <alignment horizontal="center" vertical="center" wrapText="1"/>
    </xf>
    <xf numFmtId="4" fontId="22" fillId="0" borderId="14" xfId="0" applyNumberFormat="1" applyFont="1" applyFill="1" applyBorder="1" applyAlignment="1">
      <alignment horizontal="center" vertical="center" wrapText="1"/>
    </xf>
    <xf numFmtId="0" fontId="22" fillId="0" borderId="15" xfId="0" applyNumberFormat="1" applyFont="1" applyFill="1" applyBorder="1" applyAlignment="1">
      <alignment horizontal="center" vertical="center" wrapText="1"/>
    </xf>
    <xf numFmtId="4" fontId="22" fillId="0" borderId="6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/>
    </xf>
    <xf numFmtId="4" fontId="51" fillId="10" borderId="6" xfId="0" applyNumberFormat="1" applyFont="1" applyFill="1" applyBorder="1" applyAlignment="1">
      <alignment horizontal="right" vertical="center"/>
    </xf>
    <xf numFmtId="4" fontId="21" fillId="10" borderId="15" xfId="0" applyNumberFormat="1" applyFont="1" applyFill="1" applyBorder="1" applyAlignment="1">
      <alignment horizontal="center" vertical="center"/>
    </xf>
    <xf numFmtId="4" fontId="51" fillId="10" borderId="4" xfId="0" applyNumberFormat="1" applyFont="1" applyFill="1" applyBorder="1" applyAlignment="1">
      <alignment horizontal="right" vertical="center"/>
    </xf>
    <xf numFmtId="0" fontId="44" fillId="0" borderId="0" xfId="0" applyFont="1" applyFill="1" applyAlignment="1"/>
    <xf numFmtId="179" fontId="9" fillId="0" borderId="0" xfId="0" applyNumberFormat="1" applyFont="1" applyFill="1" applyAlignment="1">
      <alignment horizontal="center" vertical="center"/>
    </xf>
    <xf numFmtId="179" fontId="9" fillId="0" borderId="0" xfId="0" applyNumberFormat="1" applyFont="1" applyFill="1" applyAlignment="1">
      <alignment vertical="center"/>
    </xf>
    <xf numFmtId="0" fontId="54" fillId="0" borderId="0" xfId="0" applyFont="1" applyFill="1" applyAlignment="1">
      <alignment vertical="center"/>
    </xf>
    <xf numFmtId="0" fontId="52" fillId="9" borderId="11" xfId="357" applyFont="1" applyFill="1" applyBorder="1" applyAlignment="1">
      <alignment horizontal="left" vertical="center"/>
    </xf>
    <xf numFmtId="49" fontId="52" fillId="0" borderId="6" xfId="273" applyNumberFormat="1" applyFont="1" applyBorder="1" applyAlignment="1" applyProtection="1">
      <protection locked="0"/>
    </xf>
    <xf numFmtId="0" fontId="9" fillId="0" borderId="6" xfId="309" applyNumberFormat="1" applyFont="1" applyFill="1" applyBorder="1" applyAlignment="1">
      <alignment horizontal="center" vertical="center"/>
    </xf>
    <xf numFmtId="0" fontId="9" fillId="0" borderId="11" xfId="309" applyFont="1" applyFill="1" applyBorder="1" applyAlignment="1">
      <alignment vertical="center"/>
    </xf>
    <xf numFmtId="0" fontId="52" fillId="9" borderId="6" xfId="273" applyFont="1" applyFill="1" applyBorder="1" applyAlignment="1">
      <alignment horizontal="left" vertical="center"/>
    </xf>
    <xf numFmtId="14" fontId="9" fillId="0" borderId="11" xfId="309" applyNumberFormat="1" applyFont="1" applyFill="1" applyBorder="1" applyAlignment="1">
      <alignment vertical="center"/>
    </xf>
    <xf numFmtId="179" fontId="7" fillId="0" borderId="6" xfId="309" applyNumberFormat="1" applyFont="1" applyFill="1" applyBorder="1" applyAlignment="1">
      <alignment vertical="center"/>
    </xf>
    <xf numFmtId="182" fontId="9" fillId="0" borderId="0" xfId="309" applyNumberFormat="1">
      <alignment vertical="center"/>
    </xf>
    <xf numFmtId="0" fontId="55" fillId="0" borderId="0" xfId="0" applyFont="1" applyFill="1" applyAlignment="1">
      <alignment vertical="center"/>
    </xf>
    <xf numFmtId="0" fontId="56" fillId="0" borderId="6" xfId="0" applyFont="1" applyFill="1" applyBorder="1" applyAlignment="1">
      <alignment horizontal="center"/>
    </xf>
    <xf numFmtId="49" fontId="56" fillId="0" borderId="6" xfId="0" applyNumberFormat="1" applyFont="1" applyFill="1" applyBorder="1" applyAlignment="1">
      <alignment horizontal="center" vertical="center"/>
    </xf>
    <xf numFmtId="49" fontId="56" fillId="0" borderId="6" xfId="0" applyNumberFormat="1" applyFont="1" applyFill="1" applyBorder="1" applyAlignment="1">
      <alignment horizontal="center"/>
    </xf>
    <xf numFmtId="0" fontId="57" fillId="0" borderId="6" xfId="0" applyFont="1" applyFill="1" applyBorder="1" applyAlignment="1">
      <alignment horizontal="center" vertical="center"/>
    </xf>
    <xf numFmtId="49" fontId="58" fillId="0" borderId="6" xfId="0" applyNumberFormat="1" applyFont="1" applyFill="1" applyBorder="1" applyAlignment="1">
      <alignment horizontal="center" vertical="center"/>
    </xf>
    <xf numFmtId="0" fontId="56" fillId="3" borderId="6" xfId="0" applyFont="1" applyFill="1" applyBorder="1" applyAlignment="1">
      <alignment horizontal="center"/>
    </xf>
    <xf numFmtId="0" fontId="55" fillId="0" borderId="6" xfId="0" applyFont="1" applyFill="1" applyBorder="1" applyAlignment="1">
      <alignment vertical="center"/>
    </xf>
    <xf numFmtId="184" fontId="59" fillId="0" borderId="6" xfId="0" applyNumberFormat="1" applyFont="1" applyFill="1" applyBorder="1" applyAlignment="1">
      <alignment horizontal="left" vertical="center"/>
    </xf>
    <xf numFmtId="0" fontId="56" fillId="0" borderId="6" xfId="0" applyNumberFormat="1" applyFont="1" applyFill="1" applyBorder="1" applyAlignment="1">
      <alignment horizontal="center"/>
    </xf>
    <xf numFmtId="4" fontId="60" fillId="0" borderId="6" xfId="0" applyNumberFormat="1" applyFont="1" applyFill="1" applyBorder="1" applyAlignment="1">
      <alignment horizontal="center" vertical="center" wrapText="1"/>
    </xf>
    <xf numFmtId="0" fontId="60" fillId="0" borderId="6" xfId="0" applyNumberFormat="1" applyFont="1" applyFill="1" applyBorder="1" applyAlignment="1">
      <alignment horizontal="center" vertical="center" wrapText="1"/>
    </xf>
    <xf numFmtId="49" fontId="61" fillId="0" borderId="13" xfId="0" applyNumberFormat="1" applyFont="1" applyFill="1" applyBorder="1" applyAlignment="1">
      <alignment horizontal="center"/>
    </xf>
    <xf numFmtId="0" fontId="34" fillId="0" borderId="23" xfId="0" applyFont="1" applyFill="1" applyBorder="1" applyAlignment="1">
      <alignment horizontal="center"/>
    </xf>
    <xf numFmtId="0" fontId="34" fillId="0" borderId="24" xfId="0" applyFont="1" applyFill="1" applyBorder="1" applyAlignment="1">
      <alignment horizontal="center"/>
    </xf>
    <xf numFmtId="49" fontId="34" fillId="0" borderId="24" xfId="0" applyNumberFormat="1" applyFont="1" applyFill="1" applyBorder="1" applyAlignment="1">
      <alignment horizontal="center" vertical="center"/>
    </xf>
    <xf numFmtId="0" fontId="62" fillId="0" borderId="0" xfId="0" applyFont="1" applyFill="1" applyAlignment="1">
      <alignment vertical="center"/>
    </xf>
    <xf numFmtId="0" fontId="9" fillId="11" borderId="0" xfId="0" applyFont="1" applyFill="1" applyAlignment="1">
      <alignment vertical="center"/>
    </xf>
    <xf numFmtId="0" fontId="63" fillId="11" borderId="0" xfId="490" applyFont="1" applyFill="1" applyBorder="1" applyAlignment="1">
      <alignment horizontal="center" vertical="center"/>
    </xf>
    <xf numFmtId="0" fontId="64" fillId="11" borderId="0" xfId="490" applyNumberFormat="1" applyFont="1" applyFill="1" applyBorder="1" applyAlignment="1" applyProtection="1">
      <alignment horizontal="center" vertical="center"/>
      <protection locked="0"/>
    </xf>
    <xf numFmtId="0" fontId="64" fillId="11" borderId="0" xfId="490" applyNumberFormat="1" applyFont="1" applyFill="1" applyBorder="1" applyAlignment="1" applyProtection="1">
      <alignment horizontal="left" vertical="center"/>
      <protection locked="0"/>
    </xf>
    <xf numFmtId="0" fontId="65" fillId="11" borderId="0" xfId="490" applyNumberFormat="1" applyFont="1" applyFill="1" applyBorder="1" applyAlignment="1" applyProtection="1">
      <alignment horizontal="center" vertical="center"/>
      <protection locked="0"/>
    </xf>
    <xf numFmtId="0" fontId="66" fillId="11" borderId="0" xfId="490" applyNumberFormat="1" applyFont="1" applyFill="1" applyBorder="1" applyAlignment="1" applyProtection="1">
      <alignment horizontal="left" vertical="center"/>
      <protection locked="0"/>
    </xf>
    <xf numFmtId="0" fontId="52" fillId="11" borderId="0" xfId="0" applyFont="1" applyFill="1" applyBorder="1" applyAlignment="1" applyProtection="1">
      <alignment horizontal="right" vertical="center"/>
      <protection locked="0"/>
    </xf>
    <xf numFmtId="49" fontId="67" fillId="11" borderId="0" xfId="489" applyNumberFormat="1" applyFont="1" applyFill="1" applyBorder="1" applyAlignment="1" applyProtection="1">
      <alignment horizontal="left" vertical="center"/>
      <protection locked="0"/>
    </xf>
    <xf numFmtId="0" fontId="54" fillId="11" borderId="0" xfId="0" applyFont="1" applyFill="1" applyBorder="1" applyAlignment="1" applyProtection="1">
      <alignment horizontal="left" vertical="center"/>
      <protection locked="0"/>
    </xf>
    <xf numFmtId="0" fontId="68" fillId="11" borderId="0" xfId="490" applyFont="1" applyFill="1" applyBorder="1" applyAlignment="1">
      <alignment horizontal="right" vertical="center"/>
    </xf>
    <xf numFmtId="14" fontId="69" fillId="11" borderId="0" xfId="0" applyNumberFormat="1" applyFont="1" applyFill="1" applyBorder="1" applyAlignment="1" applyProtection="1">
      <alignment horizontal="left" vertical="center"/>
      <protection locked="0"/>
    </xf>
    <xf numFmtId="0" fontId="69" fillId="11" borderId="0" xfId="0" applyFont="1" applyFill="1" applyBorder="1" applyAlignment="1" applyProtection="1">
      <alignment horizontal="right" vertical="center"/>
      <protection locked="0"/>
    </xf>
    <xf numFmtId="0" fontId="70" fillId="11" borderId="0" xfId="0" applyFont="1" applyFill="1" applyBorder="1" applyAlignment="1">
      <alignment horizontal="left" vertical="center"/>
    </xf>
    <xf numFmtId="0" fontId="70" fillId="11" borderId="0" xfId="0" applyFont="1" applyFill="1" applyAlignment="1">
      <alignment horizontal="left" vertical="center"/>
    </xf>
    <xf numFmtId="0" fontId="66" fillId="11" borderId="0" xfId="490" applyNumberFormat="1" applyFont="1" applyFill="1" applyBorder="1" applyAlignment="1" applyProtection="1">
      <alignment horizontal="center" vertical="center"/>
      <protection locked="0"/>
    </xf>
    <xf numFmtId="0" fontId="70" fillId="11" borderId="0" xfId="0" applyFont="1" applyFill="1" applyBorder="1" applyAlignment="1" applyProtection="1">
      <alignment horizontal="left" vertical="center"/>
      <protection locked="0"/>
    </xf>
    <xf numFmtId="0" fontId="71" fillId="11" borderId="0" xfId="490" applyNumberFormat="1" applyFont="1" applyFill="1" applyBorder="1" applyAlignment="1" applyProtection="1">
      <alignment horizontal="center" vertical="center"/>
      <protection locked="0"/>
    </xf>
    <xf numFmtId="185" fontId="69" fillId="11" borderId="0" xfId="489" applyNumberFormat="1" applyFont="1" applyFill="1" applyBorder="1" applyAlignment="1" applyProtection="1">
      <alignment horizontal="left" vertical="center"/>
      <protection locked="0"/>
    </xf>
    <xf numFmtId="0" fontId="72" fillId="11" borderId="25" xfId="0" applyFont="1" applyFill="1" applyBorder="1" applyAlignment="1" applyProtection="1">
      <alignment horizontal="center" vertical="center"/>
      <protection locked="0"/>
    </xf>
    <xf numFmtId="0" fontId="72" fillId="11" borderId="26" xfId="0" applyFont="1" applyFill="1" applyBorder="1" applyAlignment="1" applyProtection="1">
      <alignment horizontal="center" vertical="center"/>
      <protection locked="0"/>
    </xf>
    <xf numFmtId="0" fontId="16" fillId="11" borderId="27" xfId="488" applyNumberFormat="1" applyFont="1" applyFill="1" applyBorder="1" applyAlignment="1" applyProtection="1">
      <alignment horizontal="left" vertical="center"/>
      <protection locked="0"/>
    </xf>
    <xf numFmtId="0" fontId="16" fillId="11" borderId="10" xfId="488" applyNumberFormat="1" applyFont="1" applyFill="1" applyBorder="1" applyAlignment="1" applyProtection="1">
      <alignment horizontal="left" vertical="center"/>
      <protection locked="0"/>
    </xf>
    <xf numFmtId="43" fontId="73" fillId="11" borderId="11" xfId="0" applyNumberFormat="1" applyFont="1" applyFill="1" applyBorder="1" applyAlignment="1" applyProtection="1">
      <alignment horizontal="left" vertical="center" shrinkToFit="1"/>
    </xf>
    <xf numFmtId="43" fontId="73" fillId="11" borderId="12" xfId="0" applyNumberFormat="1" applyFont="1" applyFill="1" applyBorder="1" applyAlignment="1" applyProtection="1">
      <alignment horizontal="left" vertical="center" shrinkToFit="1"/>
    </xf>
    <xf numFmtId="43" fontId="73" fillId="11" borderId="28" xfId="0" applyNumberFormat="1" applyFont="1" applyFill="1" applyBorder="1" applyAlignment="1" applyProtection="1">
      <alignment horizontal="left" vertical="center" shrinkToFit="1"/>
    </xf>
    <xf numFmtId="0" fontId="16" fillId="11" borderId="29" xfId="488" applyNumberFormat="1" applyFont="1" applyFill="1" applyBorder="1" applyAlignment="1" applyProtection="1">
      <alignment horizontal="left" vertical="center"/>
      <protection locked="0"/>
    </xf>
    <xf numFmtId="0" fontId="16" fillId="11" borderId="30" xfId="488" applyNumberFormat="1" applyFont="1" applyFill="1" applyBorder="1" applyAlignment="1" applyProtection="1">
      <alignment horizontal="left" vertical="center"/>
      <protection locked="0"/>
    </xf>
    <xf numFmtId="176" fontId="73" fillId="11" borderId="31" xfId="0" applyNumberFormat="1" applyFont="1" applyFill="1" applyBorder="1" applyAlignment="1" applyProtection="1">
      <alignment horizontal="right" vertical="center" shrinkToFit="1"/>
    </xf>
    <xf numFmtId="176" fontId="73" fillId="11" borderId="32" xfId="0" applyNumberFormat="1" applyFont="1" applyFill="1" applyBorder="1" applyAlignment="1" applyProtection="1">
      <alignment horizontal="right" vertical="center" shrinkToFit="1"/>
    </xf>
    <xf numFmtId="176" fontId="73" fillId="11" borderId="33" xfId="0" applyNumberFormat="1" applyFont="1" applyFill="1" applyBorder="1" applyAlignment="1" applyProtection="1">
      <alignment horizontal="right" vertical="center" shrinkToFit="1"/>
    </xf>
    <xf numFmtId="0" fontId="27" fillId="11" borderId="27" xfId="489" applyNumberFormat="1" applyFont="1" applyFill="1" applyBorder="1" applyAlignment="1" applyProtection="1">
      <alignment horizontal="left" vertical="center"/>
      <protection locked="0"/>
    </xf>
    <xf numFmtId="0" fontId="27" fillId="11" borderId="10" xfId="489" applyNumberFormat="1" applyFont="1" applyFill="1" applyBorder="1" applyAlignment="1" applyProtection="1">
      <alignment horizontal="left" vertical="center"/>
      <protection locked="0"/>
    </xf>
    <xf numFmtId="43" fontId="74" fillId="11" borderId="10" xfId="0" applyNumberFormat="1" applyFont="1" applyFill="1" applyBorder="1" applyAlignment="1" applyProtection="1">
      <alignment horizontal="left" vertical="center" shrinkToFit="1"/>
    </xf>
    <xf numFmtId="0" fontId="27" fillId="11" borderId="34" xfId="489" applyNumberFormat="1" applyFont="1" applyFill="1" applyBorder="1" applyAlignment="1" applyProtection="1">
      <alignment horizontal="left" vertical="center"/>
      <protection locked="0"/>
    </xf>
    <xf numFmtId="0" fontId="27" fillId="11" borderId="35" xfId="489" applyNumberFormat="1" applyFont="1" applyFill="1" applyBorder="1" applyAlignment="1" applyProtection="1">
      <alignment horizontal="left" vertical="center"/>
      <protection locked="0"/>
    </xf>
    <xf numFmtId="0" fontId="27" fillId="11" borderId="36" xfId="489" applyNumberFormat="1" applyFont="1" applyFill="1" applyBorder="1" applyAlignment="1" applyProtection="1">
      <alignment horizontal="left" vertical="center"/>
      <protection locked="0"/>
    </xf>
    <xf numFmtId="43" fontId="74" fillId="11" borderId="37" xfId="0" applyNumberFormat="1" applyFont="1" applyFill="1" applyBorder="1" applyAlignment="1" applyProtection="1">
      <alignment horizontal="left" vertical="center" shrinkToFit="1"/>
      <protection locked="0"/>
    </xf>
    <xf numFmtId="0" fontId="7" fillId="11" borderId="38" xfId="163" applyFont="1" applyFill="1" applyBorder="1" applyAlignment="1">
      <alignment vertical="center"/>
    </xf>
    <xf numFmtId="0" fontId="7" fillId="11" borderId="6" xfId="163" applyFont="1" applyFill="1" applyBorder="1" applyAlignment="1">
      <alignment vertical="center"/>
    </xf>
    <xf numFmtId="43" fontId="74" fillId="11" borderId="6" xfId="0" applyNumberFormat="1" applyFont="1" applyFill="1" applyBorder="1" applyAlignment="1" applyProtection="1">
      <alignment horizontal="left" vertical="center" shrinkToFit="1"/>
      <protection locked="0"/>
    </xf>
    <xf numFmtId="0" fontId="7" fillId="11" borderId="11" xfId="163" applyFont="1" applyFill="1" applyBorder="1" applyAlignment="1">
      <alignment horizontal="left" vertical="center"/>
    </xf>
    <xf numFmtId="0" fontId="7" fillId="11" borderId="12" xfId="163" applyFont="1" applyFill="1" applyBorder="1" applyAlignment="1">
      <alignment horizontal="left" vertical="center"/>
    </xf>
    <xf numFmtId="0" fontId="7" fillId="11" borderId="13" xfId="163" applyFont="1" applyFill="1" applyBorder="1" applyAlignment="1">
      <alignment horizontal="left" vertical="center"/>
    </xf>
    <xf numFmtId="43" fontId="74" fillId="11" borderId="39" xfId="0" applyNumberFormat="1" applyFont="1" applyFill="1" applyBorder="1" applyAlignment="1" applyProtection="1">
      <alignment horizontal="left" vertical="center" shrinkToFit="1"/>
      <protection locked="0"/>
    </xf>
    <xf numFmtId="0" fontId="7" fillId="11" borderId="40" xfId="163" applyFont="1" applyFill="1" applyBorder="1" applyAlignment="1">
      <alignment vertical="center"/>
    </xf>
    <xf numFmtId="0" fontId="7" fillId="11" borderId="41" xfId="163" applyFont="1" applyFill="1" applyBorder="1" applyAlignment="1">
      <alignment vertical="center"/>
    </xf>
    <xf numFmtId="43" fontId="74" fillId="11" borderId="41" xfId="489" applyNumberFormat="1" applyFont="1" applyFill="1" applyBorder="1" applyAlignment="1" applyProtection="1">
      <alignment horizontal="left" vertical="center" shrinkToFit="1"/>
      <protection locked="0"/>
    </xf>
    <xf numFmtId="186" fontId="27" fillId="11" borderId="42" xfId="489" applyNumberFormat="1" applyFont="1" applyFill="1" applyBorder="1" applyAlignment="1" applyProtection="1">
      <alignment horizontal="left" vertical="center"/>
      <protection locked="0"/>
    </xf>
    <xf numFmtId="186" fontId="27" fillId="11" borderId="43" xfId="489" applyNumberFormat="1" applyFont="1" applyFill="1" applyBorder="1" applyAlignment="1" applyProtection="1">
      <alignment horizontal="left" vertical="center"/>
      <protection locked="0"/>
    </xf>
    <xf numFmtId="186" fontId="27" fillId="11" borderId="44" xfId="489" applyNumberFormat="1" applyFont="1" applyFill="1" applyBorder="1" applyAlignment="1" applyProtection="1">
      <alignment horizontal="left" vertical="center"/>
      <protection locked="0"/>
    </xf>
    <xf numFmtId="43" fontId="74" fillId="11" borderId="45" xfId="489" applyNumberFormat="1" applyFont="1" applyFill="1" applyBorder="1" applyAlignment="1" applyProtection="1">
      <alignment horizontal="left" vertical="center" shrinkToFit="1"/>
      <protection locked="0"/>
    </xf>
    <xf numFmtId="187" fontId="75" fillId="11" borderId="0" xfId="489" applyNumberFormat="1" applyFont="1" applyFill="1" applyBorder="1" applyAlignment="1" applyProtection="1">
      <alignment horizontal="left" vertical="center"/>
      <protection locked="0"/>
    </xf>
    <xf numFmtId="0" fontId="76" fillId="0" borderId="25" xfId="487" applyFont="1" applyFill="1" applyBorder="1" applyAlignment="1">
      <alignment horizontal="center" vertical="center" wrapText="1"/>
    </xf>
    <xf numFmtId="0" fontId="76" fillId="0" borderId="46" xfId="487" applyFont="1" applyFill="1" applyBorder="1" applyAlignment="1">
      <alignment horizontal="center" vertical="center" wrapText="1"/>
    </xf>
    <xf numFmtId="178" fontId="76" fillId="0" borderId="46" xfId="487" applyNumberFormat="1" applyFont="1" applyFill="1" applyBorder="1" applyAlignment="1">
      <alignment horizontal="center" vertical="center" wrapText="1"/>
    </xf>
    <xf numFmtId="183" fontId="76" fillId="0" borderId="46" xfId="487" applyNumberFormat="1" applyFont="1" applyFill="1" applyBorder="1" applyAlignment="1">
      <alignment horizontal="center" vertical="center" wrapText="1"/>
    </xf>
    <xf numFmtId="0" fontId="76" fillId="0" borderId="47" xfId="487" applyFont="1" applyFill="1" applyBorder="1" applyAlignment="1">
      <alignment horizontal="center" vertical="center" wrapText="1"/>
    </xf>
    <xf numFmtId="0" fontId="53" fillId="0" borderId="38" xfId="487" applyFont="1" applyFill="1" applyBorder="1" applyAlignment="1">
      <alignment horizontal="center" vertical="center"/>
    </xf>
    <xf numFmtId="0" fontId="53" fillId="0" borderId="6" xfId="487" applyFont="1" applyFill="1" applyBorder="1" applyAlignment="1">
      <alignment horizontal="center" vertical="center"/>
    </xf>
    <xf numFmtId="43" fontId="53" fillId="0" borderId="6" xfId="487" applyNumberFormat="1" applyFont="1" applyFill="1" applyBorder="1" applyAlignment="1">
      <alignment horizontal="left" vertical="center"/>
    </xf>
    <xf numFmtId="178" fontId="53" fillId="0" borderId="6" xfId="487" applyNumberFormat="1" applyFont="1" applyFill="1" applyBorder="1" applyAlignment="1">
      <alignment horizontal="center" vertical="center"/>
    </xf>
    <xf numFmtId="183" fontId="53" fillId="0" borderId="6" xfId="487" applyNumberFormat="1" applyFont="1" applyFill="1" applyBorder="1" applyAlignment="1">
      <alignment horizontal="right" vertical="center"/>
    </xf>
    <xf numFmtId="0" fontId="53" fillId="0" borderId="39" xfId="487" applyFont="1" applyFill="1" applyBorder="1" applyAlignment="1">
      <alignment horizontal="left" vertical="center"/>
    </xf>
    <xf numFmtId="43" fontId="53" fillId="0" borderId="6" xfId="487" applyNumberFormat="1" applyFont="1" applyFill="1" applyBorder="1" applyAlignment="1">
      <alignment vertical="center"/>
    </xf>
    <xf numFmtId="43" fontId="53" fillId="0" borderId="6" xfId="487" applyNumberFormat="1" applyFont="1" applyFill="1" applyBorder="1" applyAlignment="1">
      <alignment horizontal="center" vertical="center"/>
    </xf>
    <xf numFmtId="0" fontId="53" fillId="0" borderId="39" xfId="487" applyFont="1" applyFill="1" applyBorder="1" applyAlignment="1">
      <alignment vertical="center" wrapText="1"/>
    </xf>
    <xf numFmtId="43" fontId="77" fillId="0" borderId="6" xfId="487" applyNumberFormat="1" applyFont="1" applyFill="1" applyBorder="1" applyAlignment="1">
      <alignment horizontal="center" vertical="center"/>
    </xf>
    <xf numFmtId="183" fontId="77" fillId="0" borderId="6" xfId="487" applyNumberFormat="1" applyFont="1" applyFill="1" applyBorder="1" applyAlignment="1">
      <alignment horizontal="right" vertical="center"/>
    </xf>
    <xf numFmtId="0" fontId="53" fillId="0" borderId="39" xfId="487" applyFont="1" applyFill="1" applyBorder="1" applyAlignment="1">
      <alignment vertical="center"/>
    </xf>
    <xf numFmtId="0" fontId="53" fillId="0" borderId="6" xfId="487" applyFont="1" applyFill="1" applyBorder="1" applyAlignment="1">
      <alignment horizontal="center" vertical="center" wrapText="1"/>
    </xf>
    <xf numFmtId="10" fontId="77" fillId="0" borderId="6" xfId="487" applyNumberFormat="1" applyFont="1" applyFill="1" applyBorder="1" applyAlignment="1">
      <alignment horizontal="center" vertical="center"/>
    </xf>
    <xf numFmtId="0" fontId="39" fillId="12" borderId="38" xfId="487" applyFont="1" applyFill="1" applyBorder="1" applyAlignment="1">
      <alignment horizontal="center" vertical="center"/>
    </xf>
    <xf numFmtId="0" fontId="39" fillId="12" borderId="6" xfId="487" applyFont="1" applyFill="1" applyBorder="1" applyAlignment="1">
      <alignment horizontal="center" vertical="center"/>
    </xf>
    <xf numFmtId="183" fontId="39" fillId="12" borderId="6" xfId="487" applyNumberFormat="1" applyFont="1" applyFill="1" applyBorder="1" applyAlignment="1">
      <alignment vertical="center"/>
    </xf>
    <xf numFmtId="0" fontId="53" fillId="12" borderId="39" xfId="487" applyFont="1" applyFill="1" applyBorder="1" applyAlignment="1">
      <alignment horizontal="left" vertical="center"/>
    </xf>
    <xf numFmtId="0" fontId="39" fillId="12" borderId="40" xfId="487" applyFont="1" applyFill="1" applyBorder="1" applyAlignment="1">
      <alignment horizontal="center" vertical="center"/>
    </xf>
    <xf numFmtId="0" fontId="39" fillId="12" borderId="41" xfId="487" applyFont="1" applyFill="1" applyBorder="1" applyAlignment="1">
      <alignment horizontal="center" vertical="center"/>
    </xf>
    <xf numFmtId="183" fontId="39" fillId="12" borderId="41" xfId="487" applyNumberFormat="1" applyFont="1" applyFill="1" applyBorder="1" applyAlignment="1">
      <alignment vertical="center"/>
    </xf>
    <xf numFmtId="0" fontId="53" fillId="12" borderId="45" xfId="487" applyFont="1" applyFill="1" applyBorder="1" applyAlignment="1">
      <alignment horizontal="left" vertical="center"/>
    </xf>
    <xf numFmtId="185" fontId="69" fillId="11" borderId="0" xfId="489" applyNumberFormat="1" applyFont="1" applyFill="1" applyBorder="1" applyAlignment="1" applyProtection="1">
      <alignment horizontal="right" vertical="center"/>
      <protection locked="0"/>
    </xf>
    <xf numFmtId="0" fontId="22" fillId="11" borderId="0" xfId="490" applyFont="1" applyFill="1" applyBorder="1" applyAlignment="1">
      <alignment horizontal="right" vertical="center"/>
    </xf>
    <xf numFmtId="14" fontId="67" fillId="11" borderId="0" xfId="0" applyNumberFormat="1" applyFont="1" applyFill="1" applyBorder="1" applyAlignment="1" applyProtection="1">
      <alignment horizontal="left" vertical="center"/>
      <protection locked="0"/>
    </xf>
    <xf numFmtId="0" fontId="78" fillId="11" borderId="0" xfId="490" applyNumberFormat="1" applyFont="1" applyFill="1" applyBorder="1" applyAlignment="1" applyProtection="1">
      <alignment horizontal="right" vertical="center"/>
      <protection locked="0"/>
    </xf>
    <xf numFmtId="0" fontId="79" fillId="11" borderId="0" xfId="490" applyNumberFormat="1" applyFont="1" applyFill="1" applyBorder="1" applyAlignment="1" applyProtection="1">
      <alignment horizontal="left" vertical="center"/>
      <protection locked="0"/>
    </xf>
    <xf numFmtId="0" fontId="80" fillId="11" borderId="0" xfId="490" applyNumberFormat="1" applyFont="1" applyFill="1" applyBorder="1" applyAlignment="1" applyProtection="1">
      <alignment horizontal="right" vertical="center"/>
      <protection locked="0"/>
    </xf>
    <xf numFmtId="0" fontId="81" fillId="11" borderId="0" xfId="490" applyNumberFormat="1" applyFont="1" applyFill="1" applyBorder="1" applyAlignment="1" applyProtection="1">
      <alignment horizontal="left" vertical="center"/>
      <protection locked="0"/>
    </xf>
    <xf numFmtId="0" fontId="82" fillId="11" borderId="0" xfId="490" applyNumberFormat="1" applyFont="1" applyFill="1" applyBorder="1" applyAlignment="1" applyProtection="1">
      <alignment horizontal="left" vertical="center"/>
      <protection locked="0"/>
    </xf>
    <xf numFmtId="0" fontId="83" fillId="11" borderId="0" xfId="490" applyNumberFormat="1" applyFont="1" applyFill="1" applyBorder="1" applyAlignment="1" applyProtection="1">
      <alignment horizontal="left" vertical="center"/>
      <protection locked="0"/>
    </xf>
    <xf numFmtId="0" fontId="84" fillId="11" borderId="0" xfId="490" applyNumberFormat="1" applyFont="1" applyFill="1" applyBorder="1" applyAlignment="1" applyProtection="1">
      <alignment horizontal="left" vertical="center"/>
      <protection locked="0"/>
    </xf>
    <xf numFmtId="0" fontId="70" fillId="11" borderId="0" xfId="144" applyFont="1" applyFill="1" applyBorder="1" applyAlignment="1">
      <alignment horizontal="left" vertical="center"/>
    </xf>
    <xf numFmtId="0" fontId="70" fillId="11" borderId="0" xfId="144" applyFont="1" applyFill="1" applyAlignment="1">
      <alignment horizontal="left" vertical="center"/>
    </xf>
    <xf numFmtId="0" fontId="83" fillId="11" borderId="0" xfId="490" applyNumberFormat="1" applyFont="1" applyFill="1" applyBorder="1" applyAlignment="1" applyProtection="1">
      <alignment horizontal="right" vertical="center"/>
      <protection locked="0"/>
    </xf>
    <xf numFmtId="0" fontId="70" fillId="11" borderId="0" xfId="144" applyFont="1" applyFill="1" applyBorder="1" applyAlignment="1">
      <alignment horizontal="left" vertical="center" wrapText="1"/>
    </xf>
    <xf numFmtId="0" fontId="70" fillId="11" borderId="0" xfId="144" applyFont="1" applyFill="1" applyAlignment="1">
      <alignment horizontal="left" vertical="center" wrapText="1"/>
    </xf>
    <xf numFmtId="49" fontId="85" fillId="11" borderId="0" xfId="490" applyNumberFormat="1" applyFont="1" applyFill="1" applyBorder="1" applyAlignment="1" applyProtection="1">
      <alignment horizontal="left" vertical="center"/>
      <protection locked="0"/>
    </xf>
    <xf numFmtId="0" fontId="86" fillId="11" borderId="0" xfId="0" applyFont="1" applyFill="1" applyBorder="1" applyAlignment="1">
      <alignment horizontal="left" vertical="center"/>
    </xf>
    <xf numFmtId="0" fontId="87" fillId="11" borderId="0" xfId="0" applyFont="1" applyFill="1" applyAlignment="1">
      <alignment vertical="center"/>
    </xf>
    <xf numFmtId="49" fontId="75" fillId="11" borderId="0" xfId="489" applyNumberFormat="1" applyFont="1" applyFill="1" applyBorder="1" applyAlignment="1" applyProtection="1">
      <alignment horizontal="left" vertical="center"/>
      <protection locked="0"/>
    </xf>
    <xf numFmtId="49" fontId="68" fillId="11" borderId="0" xfId="490" applyNumberFormat="1" applyFont="1" applyFill="1" applyBorder="1" applyAlignment="1" applyProtection="1">
      <alignment horizontal="left" vertical="center"/>
      <protection locked="0"/>
    </xf>
    <xf numFmtId="49" fontId="22" fillId="11" borderId="0" xfId="490" applyNumberFormat="1" applyFont="1" applyFill="1" applyBorder="1" applyAlignment="1" applyProtection="1">
      <alignment horizontal="left" vertical="center"/>
      <protection locked="0"/>
    </xf>
    <xf numFmtId="49" fontId="69" fillId="11" borderId="0" xfId="489" applyNumberFormat="1" applyFont="1" applyFill="1" applyBorder="1" applyAlignment="1" applyProtection="1">
      <alignment horizontal="left" vertical="center"/>
      <protection locked="0"/>
    </xf>
    <xf numFmtId="49" fontId="52" fillId="11" borderId="0" xfId="489" applyNumberFormat="1" applyFont="1" applyFill="1" applyBorder="1" applyAlignment="1" applyProtection="1">
      <alignment horizontal="left" vertical="center"/>
      <protection locked="0"/>
    </xf>
    <xf numFmtId="0" fontId="7" fillId="11" borderId="0" xfId="0" applyFont="1" applyFill="1" applyAlignment="1">
      <alignment horizontal="left" vertical="center" wrapText="1"/>
    </xf>
    <xf numFmtId="49" fontId="52" fillId="0" borderId="6" xfId="273" applyNumberFormat="1" applyFont="1" applyBorder="1" applyAlignment="1" applyProtection="1" quotePrefix="1">
      <protection locked="0"/>
    </xf>
    <xf numFmtId="49" fontId="36" fillId="0" borderId="6" xfId="0" applyNumberFormat="1" applyFont="1" applyFill="1" applyBorder="1" applyAlignment="1" quotePrefix="1">
      <alignment horizontal="center" vertical="center"/>
    </xf>
    <xf numFmtId="49" fontId="58" fillId="0" borderId="6" xfId="0" applyNumberFormat="1" applyFont="1" applyFill="1" applyBorder="1" applyAlignment="1" quotePrefix="1">
      <alignment horizontal="center" vertical="center"/>
    </xf>
    <xf numFmtId="0" fontId="17" fillId="0" borderId="6" xfId="309" applyFont="1" applyFill="1" applyBorder="1" applyAlignment="1" quotePrefix="1">
      <alignment horizontal="center" vertical="center" wrapText="1"/>
    </xf>
    <xf numFmtId="0" fontId="33" fillId="0" borderId="0" xfId="0" applyFont="1" applyFill="1" applyAlignment="1" quotePrefix="1">
      <alignment vertical="center"/>
    </xf>
  </cellXfs>
  <cellStyles count="491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20% - 强调文字颜色 3" xfId="7" builtinId="38"/>
    <cellStyle name="输出 3" xfId="8"/>
    <cellStyle name="链接单元格 5" xfId="9"/>
    <cellStyle name="输入" xfId="10" builtinId="20"/>
    <cellStyle name="强调文字颜色 2 3 2" xfId="11"/>
    <cellStyle name="货币" xfId="12" builtinId="4"/>
    <cellStyle name="千位分隔[0]" xfId="13" builtinId="6"/>
    <cellStyle name="常规 3 4 3" xfId="14"/>
    <cellStyle name="40% - 强调文字颜色 3" xfId="15" builtinId="39"/>
    <cellStyle name="计算 2" xfId="16"/>
    <cellStyle name="千位分隔" xfId="17" builtinId="3"/>
    <cellStyle name="常规 7 3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强调文字颜色 1 2 3" xfId="34"/>
    <cellStyle name="常规 5 2" xfId="35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计算 3 2" xfId="50"/>
    <cellStyle name="40% - 强调文字颜色 4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60% - 强调文字颜色 4 2 3" xfId="58"/>
    <cellStyle name="40% - 强调文字颜色 6 5" xfId="59"/>
    <cellStyle name="汇总" xfId="60" builtinId="25"/>
    <cellStyle name="好" xfId="61" builtinId="26"/>
    <cellStyle name="输出 3 3" xfId="62"/>
    <cellStyle name="20% - 强调文字颜色 3 3" xfId="63"/>
    <cellStyle name="适中" xfId="64" builtinId="28"/>
    <cellStyle name="输出 5" xfId="65"/>
    <cellStyle name="常规 8 2" xfId="66"/>
    <cellStyle name="20% - 强调文字颜色 5" xfId="67" builtinId="46"/>
    <cellStyle name="检查单元格 3 2" xfId="68"/>
    <cellStyle name=" 3]_x000d__x000a_Zoomed=1_x000d__x000a_Row=128_x000d__x000a_Column=101_x000d__x000a_Height=300_x000d__x000a_Width=301_x000d__x000a_FontName=System_x000d__x000a_FontStyle=1_x000d__x000a_FontSize=12_x000d__x000a_PrtFontNa" xfId="69"/>
    <cellStyle name="强调文字颜色 1" xfId="70" builtinId="29"/>
    <cellStyle name="注释 2 3 3" xfId="71"/>
    <cellStyle name="链接单元格 3" xfId="72"/>
    <cellStyle name="20% - 强调文字颜色 1" xfId="73" builtinId="30"/>
    <cellStyle name="汇总 3 3" xfId="74"/>
    <cellStyle name="40% - 强调文字颜色 4 3 2" xfId="75"/>
    <cellStyle name="??&amp;O龡&amp;H?_x0008_??_x0007__x0001__x0001_" xfId="76"/>
    <cellStyle name="40% - 强调文字颜色 1" xfId="77" builtinId="31"/>
    <cellStyle name="输出 2" xfId="78"/>
    <cellStyle name="链接单元格 4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输出 4" xfId="84"/>
    <cellStyle name="汇总 3 2 2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输出 3 3 2" xfId="95"/>
    <cellStyle name="适中 2" xfId="96"/>
    <cellStyle name="计算 5" xfId="97"/>
    <cellStyle name="20% - 强调文字颜色 3 3 2" xfId="98"/>
    <cellStyle name="40% - 强调文字颜色 6" xfId="99" builtinId="51"/>
    <cellStyle name="60% - 强调文字颜色 6" xfId="100" builtinId="52"/>
    <cellStyle name="标题 4 2 2" xfId="101"/>
    <cellStyle name="_ET_STYLE_NoName_00_" xfId="102"/>
    <cellStyle name="好 2" xfId="103"/>
    <cellStyle name="20% - 强调文字颜色 1 5" xfId="104"/>
    <cellStyle name="40% - 强调文字颜色 2 2" xfId="105"/>
    <cellStyle name="_ET_STYLE_NoName_00__南区长促工资1004_5" xfId="106"/>
    <cellStyle name="20% - 强调文字颜色 1 2 3" xfId="107"/>
    <cellStyle name="20% - 强调文字颜色 1 4" xfId="108"/>
    <cellStyle name="20% - 强调文字颜色 1 3" xfId="109"/>
    <cellStyle name="差 2 3" xfId="110"/>
    <cellStyle name="??_x005f_x0011_?_x005f_x0010_?" xfId="111"/>
    <cellStyle name="_ET_STYLE_NoName_00__北区长促工资1004_3" xfId="112"/>
    <cellStyle name="20% - 强调文字颜色 1 3 2" xfId="113"/>
    <cellStyle name="强调文字颜色 5 5" xfId="114"/>
    <cellStyle name="0,0_x000a__x000a_NA_x000a__x000a_" xfId="115"/>
    <cellStyle name="常规 2 3 2 3" xfId="116"/>
    <cellStyle name="20% - 强调文字颜色 1 2 2" xfId="117"/>
    <cellStyle name="输出 2 2" xfId="118"/>
    <cellStyle name="20% - 强调文字颜色 2 2" xfId="119"/>
    <cellStyle name="输出 2 2 2" xfId="120"/>
    <cellStyle name="20% - 强调文字颜色 2 2 2" xfId="121"/>
    <cellStyle name="输出 2 2 3" xfId="122"/>
    <cellStyle name="20% - 强调文字颜色 2 2 3" xfId="123"/>
    <cellStyle name="输出 2 3" xfId="124"/>
    <cellStyle name="20% - 强调文字颜色 2 3" xfId="125"/>
    <cellStyle name="输出 2 3 2" xfId="126"/>
    <cellStyle name="20% - 强调文字颜色 2 3 2" xfId="127"/>
    <cellStyle name="输出 2 4" xfId="128"/>
    <cellStyle name="20% - 强调文字颜色 2 4" xfId="129"/>
    <cellStyle name="输出 2 5" xfId="130"/>
    <cellStyle name="20% - 强调文字颜色 2 5" xfId="131"/>
    <cellStyle name="输出 3 2" xfId="132"/>
    <cellStyle name="20% - 强调文字颜色 3 2" xfId="133"/>
    <cellStyle name="输出 3 2 2" xfId="134"/>
    <cellStyle name="20% - 强调文字颜色 3 2 2" xfId="135"/>
    <cellStyle name="输出 3 2 3" xfId="136"/>
    <cellStyle name="20% - 强调文字颜色 3 2 3" xfId="137"/>
    <cellStyle name="输出 3 4" xfId="138"/>
    <cellStyle name="60% - 强调文字颜色 1 2" xfId="139"/>
    <cellStyle name="20% - 强调文字颜色 3 4" xfId="140"/>
    <cellStyle name="60% - 强调文字颜色 1 3" xfId="141"/>
    <cellStyle name="20% - 强调文字颜色 3 5" xfId="142"/>
    <cellStyle name="输出 4 2" xfId="143"/>
    <cellStyle name="常规 3" xfId="144"/>
    <cellStyle name="20% - 强调文字颜色 4 2" xfId="145"/>
    <cellStyle name="输出 4 2 2" xfId="146"/>
    <cellStyle name="常规 3 2" xfId="147"/>
    <cellStyle name="20% - 强调文字颜色 4 2 2" xfId="148"/>
    <cellStyle name="输入 4 2" xfId="149"/>
    <cellStyle name="常规 3 3" xfId="150"/>
    <cellStyle name="20% - 强调文字颜色 4 2 3" xfId="151"/>
    <cellStyle name="输出 4 3" xfId="152"/>
    <cellStyle name="常规 4" xfId="153"/>
    <cellStyle name="20% - 强调文字颜色 4 3" xfId="154"/>
    <cellStyle name="常规 4 2" xfId="155"/>
    <cellStyle name="20% - 强调文字颜色 4 3 2" xfId="156"/>
    <cellStyle name="常规 5" xfId="157"/>
    <cellStyle name="60% - 强调文字颜色 2 2" xfId="158"/>
    <cellStyle name="20% - 强调文字颜色 4 4" xfId="159"/>
    <cellStyle name="输出 5 2" xfId="160"/>
    <cellStyle name="20% - 强调文字颜色 5 2" xfId="161"/>
    <cellStyle name="输出 5 2 2" xfId="162"/>
    <cellStyle name="3232" xfId="163"/>
    <cellStyle name="20% - 强调文字颜色 5 2 2" xfId="164"/>
    <cellStyle name="20% - 强调文字颜色 5 2 3" xfId="165"/>
    <cellStyle name="输出 5 3" xfId="166"/>
    <cellStyle name="20% - 强调文字颜色 5 3" xfId="167"/>
    <cellStyle name="差 5" xfId="168"/>
    <cellStyle name="百分比 3" xfId="169"/>
    <cellStyle name="20% - 强调文字颜色 5 3 2" xfId="170"/>
    <cellStyle name="60% - 强调文字颜色 3 2" xfId="171"/>
    <cellStyle name="20% - 强调文字颜色 5 4" xfId="172"/>
    <cellStyle name="60% - 强调文字颜色 3 3" xfId="173"/>
    <cellStyle name="20% - 强调文字颜色 5 5" xfId="174"/>
    <cellStyle name="20% - 强调文字颜色 6 2" xfId="175"/>
    <cellStyle name="40% - 强调文字颜色 4 4" xfId="176"/>
    <cellStyle name="20% - 强调文字颜色 6 2 2" xfId="177"/>
    <cellStyle name="40% - 强调文字颜色 4 5" xfId="178"/>
    <cellStyle name="20% - 强调文字颜色 6 2 3" xfId="179"/>
    <cellStyle name="20% - 强调文字颜色 6 3" xfId="180"/>
    <cellStyle name="40% - 强调文字颜色 5 4" xfId="181"/>
    <cellStyle name="20% - 强调文字颜色 6 3 2" xfId="182"/>
    <cellStyle name="注释 3 2 2 2" xfId="183"/>
    <cellStyle name="60% - 强调文字颜色 4 2" xfId="184"/>
    <cellStyle name="20% - 强调文字颜色 6 4" xfId="185"/>
    <cellStyle name="60% - 强调文字颜色 4 3" xfId="186"/>
    <cellStyle name="40% - 强调文字颜色 5 2 2" xfId="187"/>
    <cellStyle name="20% - 强调文字颜色 6 5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计算 2 2" xfId="202"/>
    <cellStyle name="40% - 强调文字颜色 3 2" xfId="203"/>
    <cellStyle name="计算 2 2 2" xfId="204"/>
    <cellStyle name="40% - 强调文字颜色 3 2 2" xfId="205"/>
    <cellStyle name="40% - 强调文字颜色 3 2 3" xfId="206"/>
    <cellStyle name="计算 2 3" xfId="207"/>
    <cellStyle name="40% - 强调文字颜色 3 3" xfId="208"/>
    <cellStyle name="计算 2 3 2" xfId="209"/>
    <cellStyle name="40% - 强调文字颜色 3 3 2" xfId="210"/>
    <cellStyle name="常规 25" xfId="211"/>
    <cellStyle name="计算 2 4" xfId="212"/>
    <cellStyle name="40% - 强调文字颜色 3 4" xfId="213"/>
    <cellStyle name="40% - 强调文字颜色 3 5" xfId="214"/>
    <cellStyle name="检查单元格 2" xfId="215"/>
    <cellStyle name="计算 3 2 2" xfId="216"/>
    <cellStyle name="汇总 2 3" xfId="217"/>
    <cellStyle name="标题 4 4" xfId="218"/>
    <cellStyle name="40% - 强调文字颜色 4 2 2" xfId="219"/>
    <cellStyle name="检查单元格 3" xfId="220"/>
    <cellStyle name="汇总 2 4" xfId="221"/>
    <cellStyle name="标题 4 5" xfId="222"/>
    <cellStyle name="40% - 强调文字颜色 4 2 3" xfId="223"/>
    <cellStyle name="输入 2 2 2" xfId="224"/>
    <cellStyle name="计算 3 3" xfId="225"/>
    <cellStyle name="40% - 强调文字颜色 4 3" xfId="226"/>
    <cellStyle name="计算 4 2" xfId="227"/>
    <cellStyle name="好 2 3" xfId="228"/>
    <cellStyle name="40% - 强调文字颜色 5 2" xfId="229"/>
    <cellStyle name="60% - 强调文字颜色 4 4" xfId="230"/>
    <cellStyle name="40% - 强调文字颜色 5 2 3" xfId="231"/>
    <cellStyle name="输入 2 3 2" xfId="232"/>
    <cellStyle name="40% - 强调文字颜色 5 3" xfId="233"/>
    <cellStyle name="60% - 强调文字颜色 5 3" xfId="234"/>
    <cellStyle name="40% - 强调文字颜色 5 3 2" xfId="235"/>
    <cellStyle name="40% - 强调文字颜色 5 5" xfId="236"/>
    <cellStyle name="适中 2 2" xfId="237"/>
    <cellStyle name="计算 5 2" xfId="238"/>
    <cellStyle name="40% - 强调文字颜色 6 2" xfId="239"/>
    <cellStyle name="40% - 强调文字颜色 6 2 2" xfId="240"/>
    <cellStyle name="40% - 强调文字颜色 6 2 3" xfId="241"/>
    <cellStyle name="适中 2 3" xfId="242"/>
    <cellStyle name="强调文字颜色 3 2 2" xfId="243"/>
    <cellStyle name="40% - 强调文字颜色 6 3" xfId="244"/>
    <cellStyle name="解释性文本 3" xfId="245"/>
    <cellStyle name="40% - 强调文字颜色 6 3 2" xfId="246"/>
    <cellStyle name="强调文字颜色 3 2 3" xfId="247"/>
    <cellStyle name="60% - 强调文字颜色 4 2 2" xfId="248"/>
    <cellStyle name="40% - 强调文字颜色 6 4" xfId="249"/>
    <cellStyle name="60% - 强调文字颜色 1 2 2" xfId="250"/>
    <cellStyle name="60% - 强调文字颜色 1 2 3" xfId="251"/>
    <cellStyle name="60% - 强调文字颜色 1 3 2" xfId="252"/>
    <cellStyle name="60% - 强调文字颜色 1 4" xfId="253"/>
    <cellStyle name="注释 5 2 2" xfId="254"/>
    <cellStyle name="警告文本 2 2" xfId="255"/>
    <cellStyle name="60% - 强调文字颜色 1 5" xfId="256"/>
    <cellStyle name="60% - 强调文字颜色 2 2 3" xfId="257"/>
    <cellStyle name="注释 2" xfId="258"/>
    <cellStyle name="常规 6 2" xfId="259"/>
    <cellStyle name="60% - 强调文字颜色 2 3 2" xfId="260"/>
    <cellStyle name="常规 7" xfId="261"/>
    <cellStyle name="60% - 强调文字颜色 2 4" xfId="262"/>
    <cellStyle name="警告文本 3 2" xfId="263"/>
    <cellStyle name="常规 8" xfId="264"/>
    <cellStyle name="60% - 强调文字颜色 2 5" xfId="265"/>
    <cellStyle name="强调文字颜色 2 2 3" xfId="266"/>
    <cellStyle name="60% - 强调文字颜色 3 2 2" xfId="267"/>
    <cellStyle name="60% - 强调文字颜色 3 2 3" xfId="268"/>
    <cellStyle name="60% - 强调文字颜色 3 3 2" xfId="269"/>
    <cellStyle name="60% - 强调文字颜色 3 4" xfId="270"/>
    <cellStyle name="60% - 强调文字颜色 3 5" xfId="271"/>
    <cellStyle name="60% - 强调文字颜色 4 3 2" xfId="272"/>
    <cellStyle name="常规_创联至信12年工资表sn803808" xfId="273"/>
    <cellStyle name="60% - 强调文字颜色 4 5" xfId="274"/>
    <cellStyle name="60% - 强调文字颜色 5 2" xfId="275"/>
    <cellStyle name="强调文字颜色 4 2 3" xfId="276"/>
    <cellStyle name="60% - 强调文字颜色 5 2 2" xfId="277"/>
    <cellStyle name="60% - 强调文字颜色 5 2 3" xfId="278"/>
    <cellStyle name="60% - 强调文字颜色 5 3 2" xfId="279"/>
    <cellStyle name="60% - 强调文字颜色 5 4" xfId="280"/>
    <cellStyle name="60% - 强调文字颜色 5 5" xfId="281"/>
    <cellStyle name="60% - 强调文字颜色 6 2" xfId="282"/>
    <cellStyle name="强调文字颜色 5 2 3" xfId="283"/>
    <cellStyle name="常规 3 5 3" xfId="284"/>
    <cellStyle name="60% - 强调文字颜色 6 2 2" xfId="285"/>
    <cellStyle name="Normal_08'前程工资8月" xfId="286"/>
    <cellStyle name="60% - 强调文字颜色 6 2 3" xfId="287"/>
    <cellStyle name="60% - 强调文字颜色 6 3" xfId="288"/>
    <cellStyle name="60% - 强调文字颜色 6 4" xfId="289"/>
    <cellStyle name="60% - 强调文字颜色 6 5" xfId="290"/>
    <cellStyle name="警告文本 2 3" xfId="291"/>
    <cellStyle name="Comma_SALARYBJ" xfId="292"/>
    <cellStyle name="差 4" xfId="293"/>
    <cellStyle name="百分比 2" xfId="294"/>
    <cellStyle name="百分比 2 2" xfId="295"/>
    <cellStyle name="标题 1 2" xfId="296"/>
    <cellStyle name="标题 1 2 2" xfId="297"/>
    <cellStyle name="标题 1 2 3" xfId="298"/>
    <cellStyle name="标题 1 3" xfId="299"/>
    <cellStyle name="汇总 3" xfId="300"/>
    <cellStyle name="标题 1 3 2" xfId="301"/>
    <cellStyle name="标题 1 4" xfId="302"/>
    <cellStyle name="标题 1 5" xfId="303"/>
    <cellStyle name="标题 2 2" xfId="304"/>
    <cellStyle name="标题 2 2 2" xfId="305"/>
    <cellStyle name="好 3 2" xfId="306"/>
    <cellStyle name="标题 2 2 3" xfId="307"/>
    <cellStyle name="标题 2 3" xfId="308"/>
    <cellStyle name="常规 11" xfId="309"/>
    <cellStyle name="标题 2 3 2" xfId="310"/>
    <cellStyle name="标题 2 4" xfId="311"/>
    <cellStyle name="标题 2 5" xfId="312"/>
    <cellStyle name="标题 3 2" xfId="313"/>
    <cellStyle name="好 5" xfId="314"/>
    <cellStyle name="标题 3 2 2" xfId="315"/>
    <cellStyle name="标题 3 2 3" xfId="316"/>
    <cellStyle name="标题 3 3" xfId="317"/>
    <cellStyle name="样式 1" xfId="318"/>
    <cellStyle name="标题 3 3 2" xfId="319"/>
    <cellStyle name="标题 3 4" xfId="320"/>
    <cellStyle name="标题 3 5" xfId="321"/>
    <cellStyle name="千位分隔 3" xfId="322"/>
    <cellStyle name="标题 4 2" xfId="323"/>
    <cellStyle name="标题 4 2 3" xfId="324"/>
    <cellStyle name="汇总 2 2" xfId="325"/>
    <cellStyle name="标题 4 3" xfId="326"/>
    <cellStyle name="汇总 2 2 2" xfId="327"/>
    <cellStyle name="标题 4 3 2" xfId="328"/>
    <cellStyle name="解释性文本 2 3" xfId="329"/>
    <cellStyle name="标题 5" xfId="330"/>
    <cellStyle name="强调文字颜色 1 4" xfId="331"/>
    <cellStyle name="标题 5 2" xfId="332"/>
    <cellStyle name="强调文字颜色 1 5" xfId="333"/>
    <cellStyle name="汇总 3 2" xfId="334"/>
    <cellStyle name="标题 5 3" xfId="335"/>
    <cellStyle name="标题 6" xfId="336"/>
    <cellStyle name="强调文字颜色 2 4" xfId="337"/>
    <cellStyle name="标题 6 2" xfId="338"/>
    <cellStyle name="注释 2 4 2" xfId="339"/>
    <cellStyle name="标题 7" xfId="340"/>
    <cellStyle name="标题 8" xfId="341"/>
    <cellStyle name="解释性文本 5" xfId="342"/>
    <cellStyle name="差 2" xfId="343"/>
    <cellStyle name="差 2 2" xfId="344"/>
    <cellStyle name="差 3" xfId="345"/>
    <cellStyle name="差 3 2" xfId="346"/>
    <cellStyle name="常规 11 2" xfId="347"/>
    <cellStyle name="常规 2 3 2 2" xfId="348"/>
    <cellStyle name="常规 11 3" xfId="349"/>
    <cellStyle name="常规 12" xfId="350"/>
    <cellStyle name="常规 12 2" xfId="351"/>
    <cellStyle name="常规 12 3" xfId="352"/>
    <cellStyle name="强调文字颜色 3 3 2" xfId="353"/>
    <cellStyle name="常规 14" xfId="354"/>
    <cellStyle name="常规 14 2" xfId="355"/>
    <cellStyle name="常规 14 3" xfId="356"/>
    <cellStyle name="常规 2" xfId="357"/>
    <cellStyle name="常规 2 2" xfId="358"/>
    <cellStyle name="常规 2 2 2" xfId="359"/>
    <cellStyle name="常规 2 2 2 2" xfId="360"/>
    <cellStyle name="常规 2 2 3" xfId="361"/>
    <cellStyle name="输入 3 2" xfId="362"/>
    <cellStyle name="常规 2 3" xfId="363"/>
    <cellStyle name="常规_全国客服表格" xfId="364"/>
    <cellStyle name="输入 3 2 2" xfId="365"/>
    <cellStyle name="常规 2 3 2" xfId="366"/>
    <cellStyle name="常规 2 3 3" xfId="367"/>
    <cellStyle name="常规 2 3 4" xfId="368"/>
    <cellStyle name="输入 3 3" xfId="369"/>
    <cellStyle name="常规 2 4" xfId="370"/>
    <cellStyle name="常规 2 4 2" xfId="371"/>
    <cellStyle name="强调文字颜色 4 2" xfId="372"/>
    <cellStyle name="常规 2 5" xfId="373"/>
    <cellStyle name="强调文字颜色 4 2 2" xfId="374"/>
    <cellStyle name="常规 2 5 2" xfId="375"/>
    <cellStyle name="强调文字颜色 4 3" xfId="376"/>
    <cellStyle name="常规 2 6" xfId="377"/>
    <cellStyle name="强调文字颜色 4 3 2" xfId="378"/>
    <cellStyle name="常规 2 6 2" xfId="379"/>
    <cellStyle name="常规 2 6 2 2" xfId="380"/>
    <cellStyle name="常规 27" xfId="381"/>
    <cellStyle name="适中 4" xfId="382"/>
    <cellStyle name="常规 3 2 2" xfId="383"/>
    <cellStyle name="常规 3 3 2" xfId="384"/>
    <cellStyle name="常规 3 3 3" xfId="385"/>
    <cellStyle name="常规 3 4" xfId="386"/>
    <cellStyle name="常规 3 4 2" xfId="387"/>
    <cellStyle name="强调文字颜色 5 2" xfId="388"/>
    <cellStyle name="常规 3 5" xfId="389"/>
    <cellStyle name="强调文字颜色 5 2 2" xfId="390"/>
    <cellStyle name="常规 3 5 2" xfId="391"/>
    <cellStyle name="常规 4 4" xfId="392"/>
    <cellStyle name="常规 4 2 2" xfId="393"/>
    <cellStyle name="输入 5 2" xfId="394"/>
    <cellStyle name="常规 4 3" xfId="395"/>
    <cellStyle name="常规 7 2" xfId="396"/>
    <cellStyle name="强调文字颜色 6 3 2" xfId="397"/>
    <cellStyle name="常规 8 4" xfId="398"/>
    <cellStyle name="常规 9" xfId="399"/>
    <cellStyle name="注释 5 2" xfId="400"/>
    <cellStyle name="警告文本 2" xfId="401"/>
    <cellStyle name="常规_付款通知书智联（神数系统）" xfId="402"/>
    <cellStyle name="好 2 2" xfId="403"/>
    <cellStyle name="好 3" xfId="404"/>
    <cellStyle name="好 4" xfId="405"/>
    <cellStyle name="汇总 2" xfId="406"/>
    <cellStyle name="检查单元格 2 2" xfId="407"/>
    <cellStyle name="汇总 2 3 2" xfId="408"/>
    <cellStyle name="汇总 4" xfId="409"/>
    <cellStyle name="汇总 5" xfId="410"/>
    <cellStyle name="常规_Sheet1" xfId="411"/>
    <cellStyle name="强调文字颜色 3 5" xfId="412"/>
    <cellStyle name="汇总 5 2" xfId="413"/>
    <cellStyle name="检查单元格 2 3" xfId="414"/>
    <cellStyle name="检查单元格 4" xfId="415"/>
    <cellStyle name="检查单元格 5" xfId="416"/>
    <cellStyle name="解释性文本 2" xfId="417"/>
    <cellStyle name="解释性文本 3 2" xfId="418"/>
    <cellStyle name="解释性文本 4" xfId="419"/>
    <cellStyle name="注释 5 3" xfId="420"/>
    <cellStyle name="警告文本 3" xfId="421"/>
    <cellStyle name="警告文本 4" xfId="422"/>
    <cellStyle name="警告文本 5" xfId="423"/>
    <cellStyle name="注释 2 3 2" xfId="424"/>
    <cellStyle name="链接单元格 2" xfId="425"/>
    <cellStyle name="注释 2 3 2 2" xfId="426"/>
    <cellStyle name="链接单元格 2 2" xfId="427"/>
    <cellStyle name="链接单元格 2 3" xfId="428"/>
    <cellStyle name="千位分隔 2" xfId="429"/>
    <cellStyle name="千位分隔 2 2" xfId="430"/>
    <cellStyle name="强调文字颜色 1 2" xfId="431"/>
    <cellStyle name="强调文字颜色 1 2 2" xfId="432"/>
    <cellStyle name="强调文字颜色 1 3" xfId="433"/>
    <cellStyle name="强调文字颜色 1 3 2" xfId="434"/>
    <cellStyle name="强调文字颜色 2 2" xfId="435"/>
    <cellStyle name="强调文字颜色 2 2 2" xfId="436"/>
    <cellStyle name="强调文字颜色 2 3" xfId="437"/>
    <cellStyle name="输入 2 4" xfId="438"/>
    <cellStyle name="强调文字颜色 3 2" xfId="439"/>
    <cellStyle name="强调文字颜色 3 3" xfId="440"/>
    <cellStyle name="强调文字颜色 3 4" xfId="441"/>
    <cellStyle name="强调文字颜色 4 4" xfId="442"/>
    <cellStyle name="输入 2" xfId="443"/>
    <cellStyle name="强调文字颜色 4 5" xfId="444"/>
    <cellStyle name="强调文字颜色 5 3" xfId="445"/>
    <cellStyle name="强调文字颜色 5 3 2" xfId="446"/>
    <cellStyle name="强调文字颜色 5 4" xfId="447"/>
    <cellStyle name="强调文字颜色 6 2" xfId="448"/>
    <cellStyle name="强调文字颜色 6 2 2" xfId="449"/>
    <cellStyle name="强调文字颜色 6 2 3" xfId="450"/>
    <cellStyle name="强调文字颜色 6 3" xfId="451"/>
    <cellStyle name="强调文字颜色 6 4" xfId="452"/>
    <cellStyle name="强调文字颜色 6 5" xfId="453"/>
    <cellStyle name="适中 3" xfId="454"/>
    <cellStyle name="适中 3 2" xfId="455"/>
    <cellStyle name="适中 5" xfId="456"/>
    <cellStyle name="输出 2 2 2 2" xfId="457"/>
    <cellStyle name="输出 2 3 2 2" xfId="458"/>
    <cellStyle name="输出 2 3 3" xfId="459"/>
    <cellStyle name="输出 3 2 2 2" xfId="460"/>
    <cellStyle name="样式 2 4" xfId="461"/>
    <cellStyle name="输入 2 2" xfId="462"/>
    <cellStyle name="样式 2 5" xfId="463"/>
    <cellStyle name="输入 2 3" xfId="464"/>
    <cellStyle name="输入 3" xfId="465"/>
    <cellStyle name="输入 4" xfId="466"/>
    <cellStyle name="输入 5" xfId="467"/>
    <cellStyle name="样式 1 2" xfId="468"/>
    <cellStyle name="样式 2" xfId="469"/>
    <cellStyle name="样式 2 2" xfId="470"/>
    <cellStyle name="样式 2 3" xfId="471"/>
    <cellStyle name="注释 2 2" xfId="472"/>
    <cellStyle name="注释 2 2 2" xfId="473"/>
    <cellStyle name="注释 2 2 2 2" xfId="474"/>
    <cellStyle name="注释 2 2 3" xfId="475"/>
    <cellStyle name="注释 2 4" xfId="476"/>
    <cellStyle name="注释 2 5" xfId="477"/>
    <cellStyle name="注释 3" xfId="478"/>
    <cellStyle name="注释 3 2" xfId="479"/>
    <cellStyle name="注释 3 3" xfId="480"/>
    <cellStyle name="注释 3 3 2" xfId="481"/>
    <cellStyle name="注释 3 4" xfId="482"/>
    <cellStyle name="注释 4" xfId="483"/>
    <cellStyle name="注释 4 2" xfId="484"/>
    <cellStyle name="注释 4 2 2" xfId="485"/>
    <cellStyle name="注释 4 3" xfId="486"/>
    <cellStyle name="常规_0705 UL South CS meeting (chonghua)" xfId="487"/>
    <cellStyle name="㼿㼿㼿㼿㼿" xfId="488"/>
    <cellStyle name="㼿㼿㼿㼿㼿㼿㼿" xfId="489"/>
    <cellStyle name="㼿㼿㼿㼿? 2" xfId="490"/>
  </cellStyles>
  <dxfs count="6"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comments" Target="../comments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I26" sqref="I26"/>
    </sheetView>
  </sheetViews>
  <sheetFormatPr defaultColWidth="9" defaultRowHeight="13.5"/>
  <cols>
    <col min="1" max="2" width="9" style="269"/>
    <col min="3" max="3" width="10.75" style="269" customWidth="1"/>
    <col min="4" max="4" width="16.75" style="269" customWidth="1"/>
    <col min="5" max="5" width="11.75" style="269" customWidth="1"/>
    <col min="6" max="6" width="9" style="269"/>
    <col min="7" max="7" width="10.75" style="269" customWidth="1"/>
    <col min="8" max="12" width="9" style="269"/>
    <col min="13" max="13" width="9.5" style="269" customWidth="1"/>
    <col min="14" max="14" width="16.5" style="269" customWidth="1"/>
    <col min="15" max="16384" width="9" style="269"/>
  </cols>
  <sheetData>
    <row r="1" s="269" customFormat="1" ht="25.5" spans="1:14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="269" customFormat="1" ht="14.25" spans="1:14">
      <c r="A2" s="271"/>
      <c r="B2" s="272"/>
      <c r="C2" s="272"/>
      <c r="D2" s="273"/>
      <c r="E2" s="273"/>
      <c r="F2" s="273"/>
      <c r="G2" s="271"/>
      <c r="H2" s="271"/>
      <c r="I2" s="271"/>
      <c r="J2" s="273"/>
      <c r="K2" s="273"/>
      <c r="L2" s="273"/>
      <c r="M2" s="273"/>
      <c r="N2" s="273"/>
    </row>
    <row r="3" s="269" customFormat="1" spans="1:14">
      <c r="A3" s="274"/>
      <c r="B3" s="275"/>
      <c r="C3" s="276"/>
      <c r="D3" s="277"/>
      <c r="E3" s="278"/>
      <c r="F3" s="278"/>
      <c r="G3" s="279"/>
      <c r="H3" s="280"/>
      <c r="I3" s="275"/>
      <c r="J3" s="276"/>
      <c r="K3" s="277"/>
      <c r="L3" s="348"/>
      <c r="M3" s="273"/>
      <c r="N3" s="273"/>
    </row>
    <row r="4" s="269" customFormat="1" spans="1:14">
      <c r="A4" s="274"/>
      <c r="B4" s="281" t="s">
        <v>1</v>
      </c>
      <c r="C4" s="281"/>
      <c r="D4" s="281"/>
      <c r="E4" s="281"/>
      <c r="F4" s="282"/>
      <c r="G4" s="281"/>
      <c r="H4" s="280"/>
      <c r="K4" s="273"/>
      <c r="L4" s="349"/>
      <c r="M4" s="350"/>
      <c r="N4" s="273"/>
    </row>
    <row r="5" s="269" customFormat="1" spans="1:14">
      <c r="A5" s="283"/>
      <c r="B5" s="284" t="s">
        <v>2</v>
      </c>
      <c r="C5" s="277"/>
      <c r="D5" s="277"/>
      <c r="E5" s="277"/>
      <c r="F5" s="277"/>
      <c r="G5" s="277"/>
      <c r="H5" s="285"/>
      <c r="I5" s="280"/>
      <c r="J5" s="275"/>
      <c r="K5" s="276"/>
      <c r="L5" s="348"/>
      <c r="M5" s="273"/>
      <c r="N5" s="273"/>
    </row>
    <row r="6" s="269" customFormat="1" ht="9.75" customHeight="1" spans="1:14">
      <c r="A6" s="286"/>
      <c r="B6" s="286"/>
      <c r="C6" s="286"/>
      <c r="D6" s="286"/>
      <c r="E6" s="286"/>
      <c r="F6" s="286"/>
      <c r="G6" s="286"/>
      <c r="H6" s="286"/>
      <c r="I6" s="351"/>
      <c r="J6" s="351"/>
      <c r="K6" s="352"/>
      <c r="L6" s="352"/>
      <c r="M6" s="352"/>
      <c r="N6" s="352"/>
    </row>
    <row r="7" s="269" customFormat="1" ht="15" spans="1:14">
      <c r="A7" s="286"/>
      <c r="B7" s="287" t="s">
        <v>3</v>
      </c>
      <c r="C7" s="288"/>
      <c r="D7" s="288"/>
      <c r="E7" s="288"/>
      <c r="F7" s="288"/>
      <c r="G7" s="288"/>
      <c r="H7" s="288"/>
      <c r="I7" s="353" t="s">
        <v>4</v>
      </c>
      <c r="J7" s="353"/>
      <c r="K7" s="354"/>
      <c r="L7" s="272"/>
      <c r="M7" s="272"/>
      <c r="N7" s="355"/>
    </row>
    <row r="8" s="269" customFormat="1" ht="14.25" spans="1:14">
      <c r="A8" s="286"/>
      <c r="B8" s="289" t="s">
        <v>5</v>
      </c>
      <c r="C8" s="290"/>
      <c r="D8" s="290"/>
      <c r="E8" s="291">
        <f>D10</f>
        <v>16363.62</v>
      </c>
      <c r="F8" s="292"/>
      <c r="G8" s="292"/>
      <c r="H8" s="293"/>
      <c r="I8" s="356"/>
      <c r="J8" s="357" t="s">
        <v>6</v>
      </c>
      <c r="K8" s="357"/>
      <c r="L8" s="357"/>
      <c r="M8" s="357"/>
      <c r="N8" s="357"/>
    </row>
    <row r="9" s="269" customFormat="1" ht="14.25" spans="1:14">
      <c r="A9" s="286"/>
      <c r="B9" s="294" t="s">
        <v>7</v>
      </c>
      <c r="C9" s="295"/>
      <c r="D9" s="295"/>
      <c r="E9" s="296">
        <f>G24</f>
        <v>16363.62</v>
      </c>
      <c r="F9" s="297"/>
      <c r="G9" s="297"/>
      <c r="H9" s="298"/>
      <c r="I9" s="357"/>
      <c r="J9" s="358" t="s">
        <v>8</v>
      </c>
      <c r="K9" s="358"/>
      <c r="L9" s="358"/>
      <c r="M9" s="358"/>
      <c r="N9" s="359"/>
    </row>
    <row r="10" s="269" customFormat="1" ht="15" spans="1:14">
      <c r="A10" s="286"/>
      <c r="B10" s="299" t="s">
        <v>9</v>
      </c>
      <c r="C10" s="300"/>
      <c r="D10" s="301">
        <f>G24</f>
        <v>16363.62</v>
      </c>
      <c r="E10" s="302" t="s">
        <v>10</v>
      </c>
      <c r="F10" s="303"/>
      <c r="G10" s="304"/>
      <c r="H10" s="305">
        <v>0</v>
      </c>
      <c r="I10" s="360"/>
      <c r="J10" s="361" t="s">
        <v>11</v>
      </c>
      <c r="K10" s="361"/>
      <c r="L10" s="361"/>
      <c r="M10" s="361"/>
      <c r="N10" s="362"/>
    </row>
    <row r="11" s="269" customFormat="1" ht="14.25" spans="1:14">
      <c r="A11" s="286"/>
      <c r="B11" s="306" t="s">
        <v>12</v>
      </c>
      <c r="C11" s="307"/>
      <c r="D11" s="308"/>
      <c r="E11" s="309" t="s">
        <v>13</v>
      </c>
      <c r="F11" s="310"/>
      <c r="G11" s="311"/>
      <c r="H11" s="312"/>
      <c r="I11" s="363"/>
      <c r="J11" s="364"/>
      <c r="K11" s="363"/>
      <c r="L11" s="363"/>
      <c r="M11" s="363"/>
      <c r="N11" s="365"/>
    </row>
    <row r="12" s="269" customFormat="1" spans="1:14">
      <c r="A12" s="283"/>
      <c r="B12" s="306" t="s">
        <v>14</v>
      </c>
      <c r="C12" s="307"/>
      <c r="D12" s="308">
        <v>0</v>
      </c>
      <c r="E12" s="309" t="s">
        <v>15</v>
      </c>
      <c r="F12" s="310"/>
      <c r="G12" s="311"/>
      <c r="H12" s="312"/>
      <c r="I12" s="366"/>
      <c r="J12" s="367"/>
      <c r="K12" s="368"/>
      <c r="L12" s="368"/>
      <c r="M12" s="368"/>
      <c r="N12" s="368"/>
    </row>
    <row r="13" s="269" customFormat="1" ht="14.25" spans="1:14">
      <c r="A13" s="273"/>
      <c r="B13" s="313" t="s">
        <v>16</v>
      </c>
      <c r="C13" s="314"/>
      <c r="D13" s="315">
        <v>0</v>
      </c>
      <c r="E13" s="316"/>
      <c r="F13" s="317"/>
      <c r="G13" s="318"/>
      <c r="H13" s="319"/>
      <c r="I13" s="286"/>
      <c r="J13" s="369"/>
      <c r="K13" s="370"/>
      <c r="L13" s="370"/>
      <c r="M13" s="370"/>
      <c r="N13" s="370"/>
    </row>
    <row r="14" s="269" customFormat="1" ht="5.25" customHeight="1" spans="1:14">
      <c r="A14" s="320"/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</row>
    <row r="15" s="269" customFormat="1" spans="1:14">
      <c r="A15" s="273" t="s">
        <v>17</v>
      </c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</row>
    <row r="16" s="269" customFormat="1" ht="3" customHeight="1" spans="1:14">
      <c r="A16" s="273"/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</row>
    <row r="17" s="269" customFormat="1" ht="18.75" spans="2:13">
      <c r="B17" s="321" t="s">
        <v>18</v>
      </c>
      <c r="C17" s="322" t="s">
        <v>19</v>
      </c>
      <c r="D17" s="322" t="s">
        <v>20</v>
      </c>
      <c r="E17" s="322"/>
      <c r="F17" s="323" t="s">
        <v>21</v>
      </c>
      <c r="G17" s="324" t="s">
        <v>22</v>
      </c>
      <c r="H17" s="325" t="s">
        <v>23</v>
      </c>
      <c r="J17" s="371" t="s">
        <v>24</v>
      </c>
      <c r="K17" s="371"/>
      <c r="L17" s="371"/>
      <c r="M17" s="371"/>
    </row>
    <row r="18" s="269" customFormat="1" ht="16.5" spans="2:13">
      <c r="B18" s="326">
        <v>1</v>
      </c>
      <c r="C18" s="327" t="s">
        <v>25</v>
      </c>
      <c r="D18" s="328" t="s">
        <v>26</v>
      </c>
      <c r="E18" s="328"/>
      <c r="F18" s="329"/>
      <c r="G18" s="330">
        <f>'（居民）工资表-2月'!E14</f>
        <v>0</v>
      </c>
      <c r="H18" s="331"/>
      <c r="J18" s="371"/>
      <c r="K18" s="371"/>
      <c r="L18" s="371"/>
      <c r="M18" s="371"/>
    </row>
    <row r="19" s="269" customFormat="1" ht="16.5" spans="2:13">
      <c r="B19" s="326">
        <v>2</v>
      </c>
      <c r="C19" s="327"/>
      <c r="D19" s="332" t="s">
        <v>27</v>
      </c>
      <c r="E19" s="333" t="s">
        <v>28</v>
      </c>
      <c r="F19" s="329"/>
      <c r="G19" s="330">
        <f>社保1!AX15</f>
        <v>11431.62</v>
      </c>
      <c r="H19" s="334"/>
      <c r="J19" s="371"/>
      <c r="K19" s="371"/>
      <c r="L19" s="371"/>
      <c r="M19" s="371"/>
    </row>
    <row r="20" s="269" customFormat="1" ht="16.5" spans="2:13">
      <c r="B20" s="326">
        <v>3</v>
      </c>
      <c r="C20" s="327"/>
      <c r="D20" s="332" t="s">
        <v>29</v>
      </c>
      <c r="E20" s="333" t="s">
        <v>28</v>
      </c>
      <c r="F20" s="329"/>
      <c r="G20" s="330">
        <f>社保1!AZ15</f>
        <v>4132</v>
      </c>
      <c r="H20" s="334"/>
      <c r="J20" s="371"/>
      <c r="K20" s="371"/>
      <c r="L20" s="371"/>
      <c r="M20" s="371"/>
    </row>
    <row r="21" s="269" customFormat="1" ht="16.5" spans="2:13">
      <c r="B21" s="326">
        <v>6</v>
      </c>
      <c r="C21" s="327"/>
      <c r="D21" s="335" t="s">
        <v>30</v>
      </c>
      <c r="E21" s="335"/>
      <c r="F21" s="329"/>
      <c r="G21" s="336">
        <f>G18+G19+G20</f>
        <v>15563.62</v>
      </c>
      <c r="H21" s="337"/>
      <c r="J21" s="371"/>
      <c r="K21" s="371"/>
      <c r="L21" s="371"/>
      <c r="M21" s="371"/>
    </row>
    <row r="22" s="269" customFormat="1" ht="16.5" spans="2:13">
      <c r="B22" s="326">
        <v>7</v>
      </c>
      <c r="C22" s="327" t="s">
        <v>31</v>
      </c>
      <c r="D22" s="335" t="s">
        <v>32</v>
      </c>
      <c r="E22" s="335"/>
      <c r="F22" s="329"/>
      <c r="G22" s="336">
        <f>社保1!BB15</f>
        <v>800</v>
      </c>
      <c r="H22" s="331"/>
      <c r="J22" s="371"/>
      <c r="K22" s="371"/>
      <c r="L22" s="371"/>
      <c r="M22" s="371"/>
    </row>
    <row r="23" s="269" customFormat="1" ht="17" customHeight="1" spans="2:13">
      <c r="B23" s="326">
        <v>8</v>
      </c>
      <c r="C23" s="338" t="s">
        <v>33</v>
      </c>
      <c r="D23" s="339">
        <v>0.056</v>
      </c>
      <c r="E23" s="339"/>
      <c r="F23" s="339"/>
      <c r="G23" s="336"/>
      <c r="H23" s="331"/>
      <c r="J23" s="371"/>
      <c r="K23" s="371"/>
      <c r="L23" s="371"/>
      <c r="M23" s="371"/>
    </row>
    <row r="24" s="269" customFormat="1" ht="16.5" spans="2:8">
      <c r="B24" s="340" t="s">
        <v>34</v>
      </c>
      <c r="C24" s="341"/>
      <c r="D24" s="341"/>
      <c r="E24" s="341"/>
      <c r="F24" s="341"/>
      <c r="G24" s="342">
        <f>G21+G22+G23+J26</f>
        <v>16363.62</v>
      </c>
      <c r="H24" s="343"/>
    </row>
    <row r="25" s="269" customFormat="1" ht="16" customHeight="1" spans="2:8">
      <c r="B25" s="344" t="s">
        <v>35</v>
      </c>
      <c r="C25" s="345"/>
      <c r="D25" s="345"/>
      <c r="E25" s="345"/>
      <c r="F25" s="345"/>
      <c r="G25" s="346">
        <f>G24</f>
        <v>16363.62</v>
      </c>
      <c r="H25" s="347"/>
    </row>
    <row r="26" s="269" customFormat="1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0 C21:H21 F19:F22">
    <cfRule type="cellIs" dxfId="0" priority="2" stopIfTrue="1" operator="equal">
      <formula>"現金"</formula>
    </cfRule>
    <cfRule type="cellIs" dxfId="1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7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12.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3.37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3.375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7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8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9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56" t="s">
        <v>86</v>
      </c>
      <c r="D4" s="56" t="s">
        <v>87</v>
      </c>
      <c r="E4" s="56" t="s">
        <v>88</v>
      </c>
      <c r="F4" s="57" t="s">
        <v>186</v>
      </c>
      <c r="G4" s="58">
        <v>18035163638</v>
      </c>
      <c r="H4" s="59"/>
      <c r="I4" s="59"/>
      <c r="J4" s="88"/>
      <c r="K4" s="59"/>
      <c r="L4" s="89">
        <v>8660</v>
      </c>
      <c r="M4" s="90">
        <v>264</v>
      </c>
      <c r="N4" s="90">
        <v>66</v>
      </c>
      <c r="O4" s="90">
        <v>9.9</v>
      </c>
      <c r="P4" s="90">
        <v>180</v>
      </c>
      <c r="Q4" s="108">
        <f>ROUND(SUM(M4:P4),2)</f>
        <v>519.9</v>
      </c>
      <c r="R4" s="89">
        <v>0</v>
      </c>
      <c r="S4" s="109">
        <f>L4+IFERROR(VLOOKUP($E:$E,'（居民）工资表-7月'!$E:$S,15,0),0)</f>
        <v>57720</v>
      </c>
      <c r="T4" s="110">
        <f>5000+IFERROR(VLOOKUP($E:$E,'（居民）工资表-7月'!$E:$T,16,0),0)</f>
        <v>40000</v>
      </c>
      <c r="U4" s="110">
        <f>Q4+IFERROR(VLOOKUP($E:$E,'（居民）工资表-7月'!$E:$U,17,0),0)</f>
        <v>4159.2</v>
      </c>
      <c r="V4" s="89"/>
      <c r="W4" s="89"/>
      <c r="X4" s="89">
        <v>8000</v>
      </c>
      <c r="Y4" s="89"/>
      <c r="Z4" s="89"/>
      <c r="AA4" s="89"/>
      <c r="AB4" s="109">
        <f>ROUND(SUM(V4:AA4),2)</f>
        <v>8000</v>
      </c>
      <c r="AC4" s="109">
        <f>R4+IFERROR(VLOOKUP($E:$E,'（居民）工资表-7月'!$E:$AC,25,0),0)</f>
        <v>0</v>
      </c>
      <c r="AD4" s="112">
        <f>ROUND(S4-T4-U4-AB4-AC4,2)</f>
        <v>5560.8</v>
      </c>
      <c r="AE4" s="113">
        <f>ROUND(MAX((AD4)*{0.03;0.1;0.2;0.25;0.3;0.35;0.45}-{0;2520;16920;31920;52920;85920;181920},0),2)</f>
        <v>166.82</v>
      </c>
      <c r="AF4" s="114">
        <f>IFERROR(VLOOKUP(E:E,'（居民）工资表-7月'!E:AF,28,0)+VLOOKUP(E:E,'（居民）工资表-7月'!E:AG,29,0),0)</f>
        <v>102.62</v>
      </c>
      <c r="AG4" s="114">
        <f>IF((AE4-AF4)&lt;0,0,AE4-AF4)</f>
        <v>64.2</v>
      </c>
      <c r="AH4" s="121">
        <f>ROUND(IF((L4-Q4-AG4)&lt;0,0,(L4-Q4-AG4)),2)</f>
        <v>8075.9</v>
      </c>
      <c r="AI4" s="122"/>
      <c r="AJ4" s="121">
        <f>AH4+AI4</f>
        <v>8075.9</v>
      </c>
      <c r="AK4" s="123"/>
      <c r="AL4" s="121">
        <f>AJ4+AG4+AK4</f>
        <v>8140.1</v>
      </c>
      <c r="AM4" s="123"/>
      <c r="AN4" s="123"/>
      <c r="AO4" s="123"/>
      <c r="AP4" s="123"/>
      <c r="AQ4" s="123"/>
      <c r="AR4" s="13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30" t="str">
        <f>IF(SUMPRODUCT(N(E$1:E$7=E4))&gt;1,"重复","不")</f>
        <v>不</v>
      </c>
      <c r="AT4" s="130" t="str">
        <f>IF(SUMPRODUCT(N(AO$1:AO$7=AO4))&gt;1,"重复","不")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56" t="s">
        <v>154</v>
      </c>
      <c r="D5" s="56" t="s">
        <v>87</v>
      </c>
      <c r="E5" s="56" t="s">
        <v>155</v>
      </c>
      <c r="F5" s="57" t="s">
        <v>186</v>
      </c>
      <c r="G5" s="58">
        <v>13944441728</v>
      </c>
      <c r="H5" s="59"/>
      <c r="I5" s="59"/>
      <c r="J5" s="88"/>
      <c r="K5" s="59"/>
      <c r="L5" s="89">
        <v>6921</v>
      </c>
      <c r="M5" s="90">
        <v>244.24</v>
      </c>
      <c r="N5" s="90">
        <v>61.06</v>
      </c>
      <c r="O5" s="90">
        <v>9.16</v>
      </c>
      <c r="P5" s="90">
        <v>79</v>
      </c>
      <c r="Q5" s="108">
        <f>ROUND(SUM(M5:P5),2)</f>
        <v>393.46</v>
      </c>
      <c r="R5" s="89">
        <v>0</v>
      </c>
      <c r="S5" s="109">
        <f>L5+IFERROR(VLOOKUP($E:$E,'（居民）工资表-7月'!$E:$S,15,0),0)</f>
        <v>35061</v>
      </c>
      <c r="T5" s="110">
        <f>5000+IFERROR(VLOOKUP($E:$E,'（居民）工资表-7月'!$E:$T,16,0),0)</f>
        <v>25000</v>
      </c>
      <c r="U5" s="110">
        <f>Q5+IFERROR(VLOOKUP($E:$E,'（居民）工资表-7月'!$E:$U,17,0),0)</f>
        <v>2360.76</v>
      </c>
      <c r="V5" s="89"/>
      <c r="W5" s="89"/>
      <c r="X5" s="89"/>
      <c r="Y5" s="89"/>
      <c r="Z5" s="89"/>
      <c r="AA5" s="89"/>
      <c r="AB5" s="109">
        <f>ROUND(SUM(V5:AA5),2)</f>
        <v>0</v>
      </c>
      <c r="AC5" s="109">
        <f>R5+IFERROR(VLOOKUP($E:$E,'（居民）工资表-7月'!$E:$AC,25,0),0)</f>
        <v>0</v>
      </c>
      <c r="AD5" s="112">
        <f>ROUND(S5-T5-U5-AB5-AC5,2)</f>
        <v>7700.24</v>
      </c>
      <c r="AE5" s="113">
        <f>ROUND(MAX((AD5)*{0.03;0.1;0.2;0.25;0.3;0.35;0.45}-{0;2520;16920;31920;52920;85920;181920},0),2)</f>
        <v>231.01</v>
      </c>
      <c r="AF5" s="114">
        <f>IFERROR(VLOOKUP(E:E,'（居民）工资表-7月'!E:AF,28,0)+VLOOKUP(E:E,'（居民）工资表-7月'!E:AG,29,0),0)</f>
        <v>185.18</v>
      </c>
      <c r="AG5" s="114">
        <f>IF((AE5-AF5)&lt;0,0,AE5-AF5)</f>
        <v>45.83</v>
      </c>
      <c r="AH5" s="121">
        <f>ROUND(IF((L5-Q5-AG5)&lt;0,0,(L5-Q5-AG5)),2)</f>
        <v>6481.71</v>
      </c>
      <c r="AI5" s="122"/>
      <c r="AJ5" s="121">
        <f>AH5+AI5</f>
        <v>6481.71</v>
      </c>
      <c r="AK5" s="123"/>
      <c r="AL5" s="121">
        <f>AJ5+AG5+AK5</f>
        <v>6527.54</v>
      </c>
      <c r="AM5" s="123"/>
      <c r="AN5" s="123"/>
      <c r="AO5" s="123"/>
      <c r="AP5" s="123"/>
      <c r="AQ5" s="123"/>
      <c r="AR5" s="130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30" t="str">
        <f>IF(SUMPRODUCT(N(E$1:E$7=E5))&gt;1,"重复","不")</f>
        <v>不</v>
      </c>
      <c r="AT5" s="130" t="str">
        <f>IF(SUMPRODUCT(N(AO$1:AO$7=AO5))&gt;1,"重复","不")</f>
        <v>重复</v>
      </c>
    </row>
    <row r="6" s="31" customFormat="1" ht="18" customHeight="1" spans="1:46">
      <c r="A6" s="55">
        <v>3</v>
      </c>
      <c r="B6" s="56" t="s">
        <v>85</v>
      </c>
      <c r="C6" s="56" t="s">
        <v>160</v>
      </c>
      <c r="D6" s="56" t="s">
        <v>87</v>
      </c>
      <c r="E6" s="375" t="s">
        <v>161</v>
      </c>
      <c r="F6" s="57" t="s">
        <v>186</v>
      </c>
      <c r="G6" s="58">
        <v>18607383005</v>
      </c>
      <c r="H6" s="59"/>
      <c r="I6" s="59"/>
      <c r="J6" s="88"/>
      <c r="K6" s="59"/>
      <c r="L6" s="89">
        <v>24800</v>
      </c>
      <c r="M6" s="90">
        <f>320</f>
        <v>320</v>
      </c>
      <c r="N6" s="90">
        <f>80</f>
        <v>80</v>
      </c>
      <c r="O6" s="90">
        <f>12</f>
        <v>12</v>
      </c>
      <c r="P6" s="90">
        <v>200</v>
      </c>
      <c r="Q6" s="108">
        <f>ROUND(SUM(M6:P6),2)</f>
        <v>612</v>
      </c>
      <c r="R6" s="89">
        <v>0</v>
      </c>
      <c r="S6" s="109">
        <f>L6+IFERROR(VLOOKUP($E:$E,'（居民）工资表-7月'!$E:$S,15,0),0)</f>
        <v>86504.76</v>
      </c>
      <c r="T6" s="110">
        <f>5000+IFERROR(VLOOKUP($E:$E,'（居民）工资表-7月'!$E:$T,16,0),0)</f>
        <v>20000</v>
      </c>
      <c r="U6" s="110">
        <f>Q6+IFERROR(VLOOKUP($E:$E,'（居民）工资表-7月'!$E:$U,17,0),0)</f>
        <v>2534.67</v>
      </c>
      <c r="V6" s="89"/>
      <c r="W6" s="89"/>
      <c r="X6" s="89"/>
      <c r="Y6" s="89"/>
      <c r="Z6" s="89"/>
      <c r="AA6" s="89"/>
      <c r="AB6" s="109">
        <f>ROUND(SUM(V6:AA6),2)</f>
        <v>0</v>
      </c>
      <c r="AC6" s="109">
        <f>R6+IFERROR(VLOOKUP($E:$E,'（居民）工资表-7月'!$E:$AC,25,0),0)</f>
        <v>0</v>
      </c>
      <c r="AD6" s="112">
        <f>ROUND(S6-T6-U6-AB6-AC6,2)</f>
        <v>63970.09</v>
      </c>
      <c r="AE6" s="113">
        <f>ROUND(MAX((AD6)*{0.03;0.1;0.2;0.25;0.3;0.35;0.45}-{0;2520;16920;31920;52920;85920;181920},0),2)</f>
        <v>3877.01</v>
      </c>
      <c r="AF6" s="114">
        <f>IFERROR(VLOOKUP(E:E,'（居民）工资表-7月'!E:AF,28,0)+VLOOKUP(E:E,'（居民）工资表-7月'!E:AG,29,0),0)</f>
        <v>1958.21</v>
      </c>
      <c r="AG6" s="114">
        <f>IF((AE6-AF6)&lt;0,0,AE6-AF6)</f>
        <v>1918.8</v>
      </c>
      <c r="AH6" s="121">
        <f>ROUND(IF((L6-Q6-AG6)&lt;0,0,(L6-Q6-AG6)),2)</f>
        <v>22269.2</v>
      </c>
      <c r="AI6" s="122"/>
      <c r="AJ6" s="121">
        <f>AH6+AI6</f>
        <v>22269.2</v>
      </c>
      <c r="AK6" s="123"/>
      <c r="AL6" s="121">
        <f>AJ6+AG6+AK6</f>
        <v>24188</v>
      </c>
      <c r="AM6" s="123"/>
      <c r="AN6" s="123"/>
      <c r="AO6" s="123"/>
      <c r="AP6" s="123"/>
      <c r="AQ6" s="123"/>
      <c r="AR6" s="130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30" t="str">
        <f>IF(SUMPRODUCT(N(E$1:E$7=E6))&gt;1,"重复","不")</f>
        <v>不</v>
      </c>
      <c r="AT6" s="130" t="str">
        <f>IF(SUMPRODUCT(N(AO$1:AO$7=AO6))&gt;1,"重复","不")</f>
        <v>重复</v>
      </c>
    </row>
    <row r="7" s="31" customFormat="1" ht="18" customHeight="1" spans="1:46">
      <c r="A7" s="55">
        <v>4</v>
      </c>
      <c r="B7" s="56" t="s">
        <v>85</v>
      </c>
      <c r="C7" s="56" t="s">
        <v>188</v>
      </c>
      <c r="D7" s="56" t="s">
        <v>87</v>
      </c>
      <c r="E7" s="375" t="s">
        <v>189</v>
      </c>
      <c r="F7" s="57" t="str">
        <f>IF(MOD(MID(E7,17,1),2)=1,"男","女")</f>
        <v>女</v>
      </c>
      <c r="G7" s="58">
        <v>15360550807</v>
      </c>
      <c r="H7" s="59"/>
      <c r="I7" s="59"/>
      <c r="J7" s="88"/>
      <c r="K7" s="59"/>
      <c r="L7" s="89">
        <v>4560</v>
      </c>
      <c r="M7" s="90"/>
      <c r="N7" s="90"/>
      <c r="O7" s="90"/>
      <c r="P7" s="90"/>
      <c r="Q7" s="108">
        <f>ROUND(SUM(M7:P7),2)</f>
        <v>0</v>
      </c>
      <c r="R7" s="89">
        <v>0</v>
      </c>
      <c r="S7" s="109">
        <f>L7+IFERROR(VLOOKUP($E:$E,'（居民）工资表-7月'!$E:$S,15,0),0)</f>
        <v>8083.63636363636</v>
      </c>
      <c r="T7" s="110">
        <f>5000+IFERROR(VLOOKUP($E:$E,'（居民）工资表-7月'!$E:$T,16,0),0)</f>
        <v>10000</v>
      </c>
      <c r="U7" s="110">
        <f>Q7+IFERROR(VLOOKUP($E:$E,'（居民）工资表-7月'!$E:$U,17,0),0)</f>
        <v>0</v>
      </c>
      <c r="V7" s="89"/>
      <c r="W7" s="89"/>
      <c r="X7" s="89"/>
      <c r="Y7" s="89"/>
      <c r="Z7" s="89"/>
      <c r="AA7" s="89"/>
      <c r="AB7" s="109">
        <f>ROUND(SUM(V7:AA7),2)</f>
        <v>0</v>
      </c>
      <c r="AC7" s="109">
        <f>R7+IFERROR(VLOOKUP($E:$E,'（居民）工资表-7月'!$E:$AC,25,0),0)</f>
        <v>0</v>
      </c>
      <c r="AD7" s="112">
        <f>ROUND(S7-T7-U7-AB7-AC7,2)</f>
        <v>-1916.36</v>
      </c>
      <c r="AE7" s="113">
        <f>ROUND(MAX((AD7)*{0.03;0.1;0.2;0.25;0.3;0.35;0.45}-{0;2520;16920;31920;52920;85920;181920},0),2)</f>
        <v>0</v>
      </c>
      <c r="AF7" s="114">
        <f>IFERROR(VLOOKUP(E:E,'（居民）工资表-7月'!E:AF,28,0)+VLOOKUP(E:E,'（居民）工资表-7月'!E:AG,29,0),0)</f>
        <v>0</v>
      </c>
      <c r="AG7" s="114">
        <f>IF((AE7-AF7)&lt;0,0,AE7-AF7)</f>
        <v>0</v>
      </c>
      <c r="AH7" s="121">
        <f>ROUND(IF((L7-Q7-AG7)&lt;0,0,(L7-Q7-AG7)),2)</f>
        <v>4560</v>
      </c>
      <c r="AI7" s="122"/>
      <c r="AJ7" s="121">
        <f>AH7+AI7</f>
        <v>4560</v>
      </c>
      <c r="AK7" s="123"/>
      <c r="AL7" s="121">
        <f>AJ7+AG7+AK7</f>
        <v>4560</v>
      </c>
      <c r="AM7" s="123"/>
      <c r="AN7" s="123"/>
      <c r="AO7" s="123"/>
      <c r="AP7" s="123"/>
      <c r="AQ7" s="123"/>
      <c r="AR7" s="130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30" t="str">
        <f>IF(SUMPRODUCT(N(E$1:E$7=E7))&gt;1,"重复","不")</f>
        <v>不</v>
      </c>
      <c r="AT7" s="130" t="str">
        <f>IF(SUMPRODUCT(N(AO$1:AO$7=AO7))&gt;1,"重复","不")</f>
        <v>重复</v>
      </c>
    </row>
    <row r="8" s="32" customFormat="1" ht="18" customHeight="1" spans="1:46">
      <c r="A8" s="60"/>
      <c r="B8" s="61" t="s">
        <v>91</v>
      </c>
      <c r="C8" s="61"/>
      <c r="D8" s="62"/>
      <c r="E8" s="63"/>
      <c r="F8" s="64"/>
      <c r="G8" s="65"/>
      <c r="H8" s="64"/>
      <c r="I8" s="91"/>
      <c r="J8" s="92"/>
      <c r="K8" s="91"/>
      <c r="L8" s="93">
        <f t="shared" ref="L8:AL8" si="0">SUM(L4:L7)</f>
        <v>44941</v>
      </c>
      <c r="M8" s="93">
        <f t="shared" si="0"/>
        <v>828.24</v>
      </c>
      <c r="N8" s="93">
        <f t="shared" si="0"/>
        <v>207.06</v>
      </c>
      <c r="O8" s="93">
        <f t="shared" si="0"/>
        <v>31.06</v>
      </c>
      <c r="P8" s="93">
        <f t="shared" si="0"/>
        <v>459</v>
      </c>
      <c r="Q8" s="93">
        <f t="shared" si="0"/>
        <v>1525.36</v>
      </c>
      <c r="R8" s="93">
        <f t="shared" si="0"/>
        <v>0</v>
      </c>
      <c r="S8" s="93">
        <f t="shared" si="0"/>
        <v>187369.396363636</v>
      </c>
      <c r="T8" s="93">
        <f t="shared" si="0"/>
        <v>95000</v>
      </c>
      <c r="U8" s="93">
        <f t="shared" si="0"/>
        <v>9054.63</v>
      </c>
      <c r="V8" s="93">
        <f t="shared" si="0"/>
        <v>0</v>
      </c>
      <c r="W8" s="93">
        <f t="shared" si="0"/>
        <v>0</v>
      </c>
      <c r="X8" s="93">
        <f t="shared" si="0"/>
        <v>8000</v>
      </c>
      <c r="Y8" s="93">
        <f t="shared" si="0"/>
        <v>0</v>
      </c>
      <c r="Z8" s="93">
        <f t="shared" si="0"/>
        <v>0</v>
      </c>
      <c r="AA8" s="93">
        <f t="shared" si="0"/>
        <v>0</v>
      </c>
      <c r="AB8" s="93">
        <f t="shared" si="0"/>
        <v>8000</v>
      </c>
      <c r="AC8" s="93">
        <f t="shared" si="0"/>
        <v>0</v>
      </c>
      <c r="AD8" s="93">
        <f t="shared" si="0"/>
        <v>75314.77</v>
      </c>
      <c r="AE8" s="93">
        <f t="shared" si="0"/>
        <v>4274.84</v>
      </c>
      <c r="AF8" s="93">
        <f t="shared" si="0"/>
        <v>2246.01</v>
      </c>
      <c r="AG8" s="93">
        <f t="shared" si="0"/>
        <v>2028.83</v>
      </c>
      <c r="AH8" s="93">
        <f t="shared" si="0"/>
        <v>41386.81</v>
      </c>
      <c r="AI8" s="124">
        <f t="shared" si="0"/>
        <v>0</v>
      </c>
      <c r="AJ8" s="93">
        <f t="shared" si="0"/>
        <v>41386.81</v>
      </c>
      <c r="AK8" s="93">
        <f t="shared" si="0"/>
        <v>0</v>
      </c>
      <c r="AL8" s="93">
        <f t="shared" si="0"/>
        <v>43415.64</v>
      </c>
      <c r="AM8" s="125"/>
      <c r="AN8" s="125"/>
      <c r="AO8" s="125"/>
      <c r="AP8" s="125"/>
      <c r="AQ8" s="125"/>
      <c r="AR8" s="64"/>
      <c r="AS8" s="64"/>
      <c r="AT8" s="131"/>
    </row>
    <row r="11" spans="30:30">
      <c r="AD11" s="115"/>
    </row>
    <row r="12" ht="18.75" customHeight="1" spans="2:30">
      <c r="B12" s="66" t="s">
        <v>64</v>
      </c>
      <c r="C12" s="66" t="s">
        <v>92</v>
      </c>
      <c r="D12" s="66" t="s">
        <v>65</v>
      </c>
      <c r="E12" s="66" t="s">
        <v>93</v>
      </c>
      <c r="AD12" s="29"/>
    </row>
    <row r="13" ht="18.75" customHeight="1" spans="2:5">
      <c r="B13" s="67">
        <f>AJ8</f>
        <v>41386.81</v>
      </c>
      <c r="C13" s="67">
        <f>AG8</f>
        <v>2028.83</v>
      </c>
      <c r="D13" s="67">
        <f>AK8</f>
        <v>0</v>
      </c>
      <c r="E13" s="67">
        <f>B13+C13+D13</f>
        <v>43415.64</v>
      </c>
    </row>
    <row r="14" spans="2:5">
      <c r="B14" s="68"/>
      <c r="C14" s="68"/>
      <c r="D14" s="68"/>
      <c r="E14" s="68"/>
    </row>
    <row r="15" s="33" customFormat="1" spans="1:35">
      <c r="A15" s="69" t="s">
        <v>94</v>
      </c>
      <c r="B15" s="70" t="s">
        <v>95</v>
      </c>
      <c r="C15" s="71"/>
      <c r="D15" s="71"/>
      <c r="E15" s="71"/>
      <c r="G15" s="72"/>
      <c r="J15" s="94"/>
      <c r="M15" s="95"/>
      <c r="AI15" s="126"/>
    </row>
    <row r="16" s="33" customFormat="1" spans="1:35">
      <c r="A16" s="73"/>
      <c r="B16" s="74" t="s">
        <v>96</v>
      </c>
      <c r="C16" s="71"/>
      <c r="D16" s="71"/>
      <c r="E16" s="71"/>
      <c r="G16" s="72"/>
      <c r="J16" s="94"/>
      <c r="M16" s="95"/>
      <c r="AI16" s="126"/>
    </row>
    <row r="17" s="33" customFormat="1" spans="1:35">
      <c r="A17" s="70"/>
      <c r="B17" s="74" t="s">
        <v>97</v>
      </c>
      <c r="C17" s="75"/>
      <c r="D17" s="75"/>
      <c r="E17" s="75"/>
      <c r="F17" s="75"/>
      <c r="G17" s="75"/>
      <c r="H17" s="75"/>
      <c r="I17" s="75"/>
      <c r="J17" s="96"/>
      <c r="K17" s="75"/>
      <c r="L17" s="75"/>
      <c r="M17" s="97"/>
      <c r="N17" s="75"/>
      <c r="O17" s="75"/>
      <c r="P17" s="75"/>
      <c r="AI17" s="126"/>
    </row>
    <row r="18" s="33" customFormat="1" customHeight="1" spans="1:35">
      <c r="A18" s="74"/>
      <c r="B18" s="74" t="s">
        <v>98</v>
      </c>
      <c r="C18" s="76"/>
      <c r="D18" s="76"/>
      <c r="E18" s="76"/>
      <c r="F18" s="76"/>
      <c r="G18" s="76"/>
      <c r="H18" s="76"/>
      <c r="I18" s="98"/>
      <c r="J18" s="99"/>
      <c r="K18" s="98"/>
      <c r="L18" s="98"/>
      <c r="M18" s="100"/>
      <c r="N18" s="98"/>
      <c r="O18" s="98"/>
      <c r="P18" s="98"/>
      <c r="AI18" s="126"/>
    </row>
    <row r="19" s="33" customFormat="1" customHeight="1" spans="1:35">
      <c r="A19" s="74"/>
      <c r="B19" s="74" t="s">
        <v>99</v>
      </c>
      <c r="C19" s="76"/>
      <c r="D19" s="76"/>
      <c r="E19" s="76"/>
      <c r="F19" s="76"/>
      <c r="G19" s="76"/>
      <c r="H19" s="76"/>
      <c r="I19" s="76"/>
      <c r="J19" s="101"/>
      <c r="K19" s="76"/>
      <c r="L19" s="98"/>
      <c r="M19" s="100"/>
      <c r="N19" s="98"/>
      <c r="O19" s="98"/>
      <c r="P19" s="98"/>
      <c r="AI19" s="126"/>
    </row>
    <row r="20" s="33" customFormat="1" customHeight="1" spans="1:35">
      <c r="A20" s="74"/>
      <c r="B20" s="74" t="s">
        <v>100</v>
      </c>
      <c r="C20" s="76"/>
      <c r="D20" s="76"/>
      <c r="E20" s="76"/>
      <c r="F20" s="76"/>
      <c r="G20" s="76"/>
      <c r="H20" s="76"/>
      <c r="I20" s="98"/>
      <c r="J20" s="99"/>
      <c r="K20" s="98"/>
      <c r="L20" s="98"/>
      <c r="M20" s="100"/>
      <c r="N20" s="98"/>
      <c r="O20" s="98"/>
      <c r="P20" s="98"/>
      <c r="AI20" s="126"/>
    </row>
    <row r="22" ht="11.25" customHeight="1" spans="2:2">
      <c r="B22" s="77" t="s">
        <v>101</v>
      </c>
    </row>
    <row r="23" spans="2:2">
      <c r="B23" s="78" t="s">
        <v>102</v>
      </c>
    </row>
    <row r="24" spans="2:2">
      <c r="B24" s="78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7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12.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3.37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3.375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7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8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9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56" t="s">
        <v>86</v>
      </c>
      <c r="D4" s="56" t="s">
        <v>87</v>
      </c>
      <c r="E4" s="56" t="s">
        <v>88</v>
      </c>
      <c r="F4" s="57" t="s">
        <v>186</v>
      </c>
      <c r="G4" s="58">
        <v>18035163638</v>
      </c>
      <c r="H4" s="59"/>
      <c r="I4" s="59"/>
      <c r="J4" s="88"/>
      <c r="K4" s="59"/>
      <c r="L4" s="89">
        <v>9780</v>
      </c>
      <c r="M4" s="90">
        <v>264</v>
      </c>
      <c r="N4" s="90">
        <v>66</v>
      </c>
      <c r="O4" s="90">
        <v>9.9</v>
      </c>
      <c r="P4" s="90">
        <v>180</v>
      </c>
      <c r="Q4" s="108">
        <f>ROUND(SUM(M4:P4),2)</f>
        <v>519.9</v>
      </c>
      <c r="R4" s="89">
        <v>0</v>
      </c>
      <c r="S4" s="109">
        <f>L4+IFERROR(VLOOKUP($E:$E,'（居民）工资表-8月'!$E:$S,15,0),0)</f>
        <v>67500</v>
      </c>
      <c r="T4" s="110">
        <f>5000+IFERROR(VLOOKUP($E:$E,'（居民）工资表-8月'!$E:$T,16,0),0)</f>
        <v>45000</v>
      </c>
      <c r="U4" s="110">
        <f>Q4+IFERROR(VLOOKUP($E:$E,'（居民）工资表-8月'!$E:$U,17,0),0)</f>
        <v>4679.1</v>
      </c>
      <c r="V4" s="89"/>
      <c r="W4" s="89"/>
      <c r="X4" s="89">
        <v>9000</v>
      </c>
      <c r="Y4" s="89"/>
      <c r="Z4" s="89"/>
      <c r="AA4" s="89"/>
      <c r="AB4" s="109">
        <f>ROUND(SUM(V4:AA4),2)</f>
        <v>9000</v>
      </c>
      <c r="AC4" s="109">
        <f>R4+IFERROR(VLOOKUP($E:$E,'（居民）工资表-8月'!$E:$AC,25,0),0)</f>
        <v>0</v>
      </c>
      <c r="AD4" s="112">
        <f>ROUND(S4-T4-U4-AB4-AC4,2)</f>
        <v>8820.9</v>
      </c>
      <c r="AE4" s="113">
        <f>ROUND(MAX((AD4)*{0.03;0.1;0.2;0.25;0.3;0.35;0.45}-{0;2520;16920;31920;52920;85920;181920},0),2)</f>
        <v>264.63</v>
      </c>
      <c r="AF4" s="114">
        <f>IFERROR(VLOOKUP(E:E,'（居民）工资表-8月'!E:AF,28,0)+VLOOKUP(E:E,'（居民）工资表-8月'!E:AG,29,0),0)</f>
        <v>166.82</v>
      </c>
      <c r="AG4" s="114">
        <f>IF((AE4-AF4)&lt;0,0,AE4-AF4)</f>
        <v>97.81</v>
      </c>
      <c r="AH4" s="121">
        <f>ROUND(IF((L4-Q4-AG4)&lt;0,0,(L4-Q4-AG4)),2)</f>
        <v>9162.29</v>
      </c>
      <c r="AI4" s="122"/>
      <c r="AJ4" s="121">
        <f>AH4+AI4</f>
        <v>9162.29</v>
      </c>
      <c r="AK4" s="123"/>
      <c r="AL4" s="121">
        <f>AJ4+AG4+AK4</f>
        <v>9260.1</v>
      </c>
      <c r="AM4" s="123"/>
      <c r="AN4" s="123"/>
      <c r="AO4" s="123"/>
      <c r="AP4" s="123"/>
      <c r="AQ4" s="123"/>
      <c r="AR4" s="13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30" t="str">
        <f>IF(SUMPRODUCT(N(E$1:E$7=E4))&gt;1,"重复","不")</f>
        <v>不</v>
      </c>
      <c r="AT4" s="130" t="str">
        <f>IF(SUMPRODUCT(N(AO$1:AO$7=AO4))&gt;1,"重复","不")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56" t="s">
        <v>154</v>
      </c>
      <c r="D5" s="56" t="s">
        <v>87</v>
      </c>
      <c r="E5" s="56" t="s">
        <v>155</v>
      </c>
      <c r="F5" s="57" t="s">
        <v>186</v>
      </c>
      <c r="G5" s="58">
        <v>13944441728</v>
      </c>
      <c r="H5" s="59"/>
      <c r="I5" s="59"/>
      <c r="J5" s="88"/>
      <c r="K5" s="59"/>
      <c r="L5" s="89">
        <v>6921</v>
      </c>
      <c r="M5" s="90">
        <v>244.24</v>
      </c>
      <c r="N5" s="90">
        <v>61.06</v>
      </c>
      <c r="O5" s="90">
        <v>9.16</v>
      </c>
      <c r="P5" s="90">
        <v>79</v>
      </c>
      <c r="Q5" s="108">
        <f>ROUND(SUM(M5:P5),2)</f>
        <v>393.46</v>
      </c>
      <c r="R5" s="89">
        <v>0</v>
      </c>
      <c r="S5" s="109">
        <f>L5+IFERROR(VLOOKUP($E:$E,'（居民）工资表-8月'!$E:$S,15,0),0)</f>
        <v>41982</v>
      </c>
      <c r="T5" s="110">
        <f>5000+IFERROR(VLOOKUP($E:$E,'（居民）工资表-8月'!$E:$T,16,0),0)</f>
        <v>30000</v>
      </c>
      <c r="U5" s="110">
        <f>Q5+IFERROR(VLOOKUP($E:$E,'（居民）工资表-8月'!$E:$U,17,0),0)</f>
        <v>2754.22</v>
      </c>
      <c r="V5" s="89"/>
      <c r="W5" s="89"/>
      <c r="X5" s="89"/>
      <c r="Y5" s="89"/>
      <c r="Z5" s="89"/>
      <c r="AA5" s="89"/>
      <c r="AB5" s="109">
        <f>ROUND(SUM(V5:AA5),2)</f>
        <v>0</v>
      </c>
      <c r="AC5" s="109">
        <f>R5+IFERROR(VLOOKUP($E:$E,'（居民）工资表-8月'!$E:$AC,25,0),0)</f>
        <v>0</v>
      </c>
      <c r="AD5" s="112">
        <f>ROUND(S5-T5-U5-AB5-AC5,2)</f>
        <v>9227.78</v>
      </c>
      <c r="AE5" s="113">
        <f>ROUND(MAX((AD5)*{0.03;0.1;0.2;0.25;0.3;0.35;0.45}-{0;2520;16920;31920;52920;85920;181920},0),2)</f>
        <v>276.83</v>
      </c>
      <c r="AF5" s="114">
        <f>IFERROR(VLOOKUP(E:E,'（居民）工资表-8月'!E:AF,28,0)+VLOOKUP(E:E,'（居民）工资表-8月'!E:AG,29,0),0)</f>
        <v>231.01</v>
      </c>
      <c r="AG5" s="114">
        <f>IF((AE5-AF5)&lt;0,0,AE5-AF5)</f>
        <v>45.82</v>
      </c>
      <c r="AH5" s="121">
        <f>ROUND(IF((L5-Q5-AG5)&lt;0,0,(L5-Q5-AG5)),2)</f>
        <v>6481.72</v>
      </c>
      <c r="AI5" s="122"/>
      <c r="AJ5" s="121">
        <f>AH5+AI5</f>
        <v>6481.72</v>
      </c>
      <c r="AK5" s="123"/>
      <c r="AL5" s="121">
        <f>AJ5+AG5+AK5</f>
        <v>6527.54</v>
      </c>
      <c r="AM5" s="123"/>
      <c r="AN5" s="123"/>
      <c r="AO5" s="123"/>
      <c r="AP5" s="123"/>
      <c r="AQ5" s="123"/>
      <c r="AR5" s="130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30" t="str">
        <f>IF(SUMPRODUCT(N(E$1:E$7=E5))&gt;1,"重复","不")</f>
        <v>不</v>
      </c>
      <c r="AT5" s="130" t="str">
        <f>IF(SUMPRODUCT(N(AO$1:AO$7=AO5))&gt;1,"重复","不")</f>
        <v>重复</v>
      </c>
    </row>
    <row r="6" s="31" customFormat="1" ht="18" customHeight="1" spans="1:46">
      <c r="A6" s="55">
        <v>3</v>
      </c>
      <c r="B6" s="56" t="s">
        <v>85</v>
      </c>
      <c r="C6" s="56" t="s">
        <v>160</v>
      </c>
      <c r="D6" s="56" t="s">
        <v>87</v>
      </c>
      <c r="E6" s="375" t="s">
        <v>161</v>
      </c>
      <c r="F6" s="57" t="s">
        <v>186</v>
      </c>
      <c r="G6" s="58">
        <v>18607383005</v>
      </c>
      <c r="H6" s="59"/>
      <c r="I6" s="59"/>
      <c r="J6" s="88"/>
      <c r="K6" s="59"/>
      <c r="L6" s="89">
        <v>22800</v>
      </c>
      <c r="M6" s="90">
        <f>320</f>
        <v>320</v>
      </c>
      <c r="N6" s="90">
        <f>80</f>
        <v>80</v>
      </c>
      <c r="O6" s="90">
        <f>12</f>
        <v>12</v>
      </c>
      <c r="P6" s="90">
        <v>200</v>
      </c>
      <c r="Q6" s="108">
        <f>ROUND(SUM(M6:P6),2)</f>
        <v>612</v>
      </c>
      <c r="R6" s="89">
        <v>0</v>
      </c>
      <c r="S6" s="109">
        <f>L6+IFERROR(VLOOKUP($E:$E,'（居民）工资表-8月'!$E:$S,15,0),0)</f>
        <v>109304.76</v>
      </c>
      <c r="T6" s="110">
        <f>5000+IFERROR(VLOOKUP($E:$E,'（居民）工资表-8月'!$E:$T,16,0),0)</f>
        <v>25000</v>
      </c>
      <c r="U6" s="110">
        <f>Q6+IFERROR(VLOOKUP($E:$E,'（居民）工资表-8月'!$E:$U,17,0),0)</f>
        <v>3146.67</v>
      </c>
      <c r="V6" s="89"/>
      <c r="W6" s="89"/>
      <c r="X6" s="89"/>
      <c r="Y6" s="89"/>
      <c r="Z6" s="89"/>
      <c r="AA6" s="89"/>
      <c r="AB6" s="109">
        <f>ROUND(SUM(V6:AA6),2)</f>
        <v>0</v>
      </c>
      <c r="AC6" s="109">
        <f>R6+IFERROR(VLOOKUP($E:$E,'（居民）工资表-8月'!$E:$AC,25,0),0)</f>
        <v>0</v>
      </c>
      <c r="AD6" s="112">
        <f>ROUND(S6-T6-U6-AB6-AC6,2)</f>
        <v>81158.09</v>
      </c>
      <c r="AE6" s="113">
        <f>ROUND(MAX((AD6)*{0.03;0.1;0.2;0.25;0.3;0.35;0.45}-{0;2520;16920;31920;52920;85920;181920},0),2)</f>
        <v>5595.81</v>
      </c>
      <c r="AF6" s="114">
        <f>IFERROR(VLOOKUP(E:E,'（居民）工资表-8月'!E:AF,28,0)+VLOOKUP(E:E,'（居民）工资表-8月'!E:AG,29,0),0)</f>
        <v>3877.01</v>
      </c>
      <c r="AG6" s="114">
        <f>IF((AE6-AF6)&lt;0,0,AE6-AF6)</f>
        <v>1718.8</v>
      </c>
      <c r="AH6" s="121">
        <f>ROUND(IF((L6-Q6-AG6)&lt;0,0,(L6-Q6-AG6)),2)</f>
        <v>20469.2</v>
      </c>
      <c r="AI6" s="122"/>
      <c r="AJ6" s="121">
        <f>AH6+AI6</f>
        <v>20469.2</v>
      </c>
      <c r="AK6" s="123"/>
      <c r="AL6" s="121">
        <f>AJ6+AG6+AK6</f>
        <v>22188</v>
      </c>
      <c r="AM6" s="123"/>
      <c r="AN6" s="123"/>
      <c r="AO6" s="123"/>
      <c r="AP6" s="123"/>
      <c r="AQ6" s="123"/>
      <c r="AR6" s="130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30" t="str">
        <f>IF(SUMPRODUCT(N(E$1:E$7=E6))&gt;1,"重复","不")</f>
        <v>不</v>
      </c>
      <c r="AT6" s="130" t="str">
        <f>IF(SUMPRODUCT(N(AO$1:AO$7=AO6))&gt;1,"重复","不")</f>
        <v>重复</v>
      </c>
    </row>
    <row r="7" s="31" customFormat="1" ht="18" customHeight="1" spans="1:46">
      <c r="A7" s="55">
        <v>4</v>
      </c>
      <c r="B7" s="56" t="s">
        <v>85</v>
      </c>
      <c r="C7" s="56" t="s">
        <v>188</v>
      </c>
      <c r="D7" s="56" t="s">
        <v>87</v>
      </c>
      <c r="E7" s="375" t="s">
        <v>189</v>
      </c>
      <c r="F7" s="57" t="str">
        <f>IF(MOD(MID(E7,17,1),2)=1,"男","女")</f>
        <v>女</v>
      </c>
      <c r="G7" s="58">
        <v>15360550807</v>
      </c>
      <c r="H7" s="59"/>
      <c r="I7" s="59"/>
      <c r="J7" s="88"/>
      <c r="K7" s="59"/>
      <c r="L7" s="89">
        <v>4560</v>
      </c>
      <c r="M7" s="90"/>
      <c r="N7" s="90"/>
      <c r="O7" s="90"/>
      <c r="P7" s="90"/>
      <c r="Q7" s="108">
        <f>ROUND(SUM(M7:P7),2)</f>
        <v>0</v>
      </c>
      <c r="R7" s="89">
        <v>0</v>
      </c>
      <c r="S7" s="109">
        <f>L7+IFERROR(VLOOKUP($E:$E,'（居民）工资表-8月'!$E:$S,15,0),0)</f>
        <v>12643.6363636364</v>
      </c>
      <c r="T7" s="110">
        <f>5000+IFERROR(VLOOKUP($E:$E,'（居民）工资表-8月'!$E:$T,16,0),0)</f>
        <v>15000</v>
      </c>
      <c r="U7" s="110">
        <f>Q7+IFERROR(VLOOKUP($E:$E,'（居民）工资表-8月'!$E:$U,17,0),0)</f>
        <v>0</v>
      </c>
      <c r="V7" s="89"/>
      <c r="W7" s="89"/>
      <c r="X7" s="89"/>
      <c r="Y7" s="89"/>
      <c r="Z7" s="89"/>
      <c r="AA7" s="89"/>
      <c r="AB7" s="109">
        <f>ROUND(SUM(V7:AA7),2)</f>
        <v>0</v>
      </c>
      <c r="AC7" s="109">
        <f>R7+IFERROR(VLOOKUP($E:$E,'（居民）工资表-8月'!$E:$AC,25,0),0)</f>
        <v>0</v>
      </c>
      <c r="AD7" s="112">
        <f>ROUND(S7-T7-U7-AB7-AC7,2)</f>
        <v>-2356.36</v>
      </c>
      <c r="AE7" s="113">
        <f>ROUND(MAX((AD7)*{0.03;0.1;0.2;0.25;0.3;0.35;0.45}-{0;2520;16920;31920;52920;85920;181920},0),2)</f>
        <v>0</v>
      </c>
      <c r="AF7" s="114">
        <f>IFERROR(VLOOKUP(E:E,'（居民）工资表-8月'!E:AF,28,0)+VLOOKUP(E:E,'（居民）工资表-8月'!E:AG,29,0),0)</f>
        <v>0</v>
      </c>
      <c r="AG7" s="114">
        <f>IF((AE7-AF7)&lt;0,0,AE7-AF7)</f>
        <v>0</v>
      </c>
      <c r="AH7" s="121">
        <f>ROUND(IF((L7-Q7-AG7)&lt;0,0,(L7-Q7-AG7)),2)</f>
        <v>4560</v>
      </c>
      <c r="AI7" s="122"/>
      <c r="AJ7" s="121">
        <f>AH7+AI7</f>
        <v>4560</v>
      </c>
      <c r="AK7" s="123"/>
      <c r="AL7" s="121">
        <f>AJ7+AG7+AK7</f>
        <v>4560</v>
      </c>
      <c r="AM7" s="123"/>
      <c r="AN7" s="123"/>
      <c r="AO7" s="123"/>
      <c r="AP7" s="123"/>
      <c r="AQ7" s="123"/>
      <c r="AR7" s="130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30" t="str">
        <f>IF(SUMPRODUCT(N(E$1:E$7=E7))&gt;1,"重复","不")</f>
        <v>不</v>
      </c>
      <c r="AT7" s="130" t="str">
        <f>IF(SUMPRODUCT(N(AO$1:AO$7=AO7))&gt;1,"重复","不")</f>
        <v>重复</v>
      </c>
    </row>
    <row r="8" s="32" customFormat="1" ht="18" customHeight="1" spans="1:46">
      <c r="A8" s="60"/>
      <c r="B8" s="61" t="s">
        <v>91</v>
      </c>
      <c r="C8" s="61"/>
      <c r="D8" s="62"/>
      <c r="E8" s="63"/>
      <c r="F8" s="64"/>
      <c r="G8" s="65"/>
      <c r="H8" s="64"/>
      <c r="I8" s="91"/>
      <c r="J8" s="92"/>
      <c r="K8" s="91"/>
      <c r="L8" s="93">
        <f t="shared" ref="L8:AL8" si="0">SUM(L4:L7)</f>
        <v>44061</v>
      </c>
      <c r="M8" s="93">
        <f t="shared" si="0"/>
        <v>828.24</v>
      </c>
      <c r="N8" s="93">
        <f t="shared" si="0"/>
        <v>207.06</v>
      </c>
      <c r="O8" s="93">
        <f t="shared" si="0"/>
        <v>31.06</v>
      </c>
      <c r="P8" s="93">
        <f t="shared" si="0"/>
        <v>459</v>
      </c>
      <c r="Q8" s="93">
        <f t="shared" si="0"/>
        <v>1525.36</v>
      </c>
      <c r="R8" s="93">
        <f t="shared" si="0"/>
        <v>0</v>
      </c>
      <c r="S8" s="93">
        <f t="shared" si="0"/>
        <v>231430.396363636</v>
      </c>
      <c r="T8" s="93">
        <f t="shared" si="0"/>
        <v>115000</v>
      </c>
      <c r="U8" s="93">
        <f t="shared" si="0"/>
        <v>10579.99</v>
      </c>
      <c r="V8" s="93">
        <f t="shared" si="0"/>
        <v>0</v>
      </c>
      <c r="W8" s="93">
        <f t="shared" si="0"/>
        <v>0</v>
      </c>
      <c r="X8" s="93">
        <f t="shared" si="0"/>
        <v>9000</v>
      </c>
      <c r="Y8" s="93">
        <f t="shared" si="0"/>
        <v>0</v>
      </c>
      <c r="Z8" s="93">
        <f t="shared" si="0"/>
        <v>0</v>
      </c>
      <c r="AA8" s="93">
        <f t="shared" si="0"/>
        <v>0</v>
      </c>
      <c r="AB8" s="93">
        <f t="shared" si="0"/>
        <v>9000</v>
      </c>
      <c r="AC8" s="93">
        <f t="shared" si="0"/>
        <v>0</v>
      </c>
      <c r="AD8" s="93">
        <f t="shared" si="0"/>
        <v>96850.41</v>
      </c>
      <c r="AE8" s="93">
        <f t="shared" si="0"/>
        <v>6137.27</v>
      </c>
      <c r="AF8" s="93">
        <f t="shared" si="0"/>
        <v>4274.84</v>
      </c>
      <c r="AG8" s="93">
        <f t="shared" si="0"/>
        <v>1862.43</v>
      </c>
      <c r="AH8" s="93">
        <f t="shared" si="0"/>
        <v>40673.21</v>
      </c>
      <c r="AI8" s="124">
        <f t="shared" si="0"/>
        <v>0</v>
      </c>
      <c r="AJ8" s="93">
        <f t="shared" si="0"/>
        <v>40673.21</v>
      </c>
      <c r="AK8" s="93">
        <f t="shared" si="0"/>
        <v>0</v>
      </c>
      <c r="AL8" s="93">
        <f t="shared" si="0"/>
        <v>42535.64</v>
      </c>
      <c r="AM8" s="125"/>
      <c r="AN8" s="125"/>
      <c r="AO8" s="125"/>
      <c r="AP8" s="125"/>
      <c r="AQ8" s="125"/>
      <c r="AR8" s="64"/>
      <c r="AS8" s="64"/>
      <c r="AT8" s="131"/>
    </row>
    <row r="11" spans="30:30">
      <c r="AD11" s="115"/>
    </row>
    <row r="12" ht="18.75" customHeight="1" spans="2:30">
      <c r="B12" s="66" t="s">
        <v>64</v>
      </c>
      <c r="C12" s="66" t="s">
        <v>92</v>
      </c>
      <c r="D12" s="66" t="s">
        <v>65</v>
      </c>
      <c r="E12" s="66" t="s">
        <v>93</v>
      </c>
      <c r="AD12" s="29"/>
    </row>
    <row r="13" ht="18.75" customHeight="1" spans="2:5">
      <c r="B13" s="67">
        <f>AJ8</f>
        <v>40673.21</v>
      </c>
      <c r="C13" s="67">
        <f>AG8</f>
        <v>1862.43</v>
      </c>
      <c r="D13" s="67">
        <f>AK8</f>
        <v>0</v>
      </c>
      <c r="E13" s="67">
        <f>B13+C13+D13</f>
        <v>42535.64</v>
      </c>
    </row>
    <row r="14" spans="2:5">
      <c r="B14" s="68"/>
      <c r="C14" s="68"/>
      <c r="D14" s="68"/>
      <c r="E14" s="68"/>
    </row>
    <row r="15" s="33" customFormat="1" spans="1:35">
      <c r="A15" s="69" t="s">
        <v>94</v>
      </c>
      <c r="B15" s="70" t="s">
        <v>95</v>
      </c>
      <c r="C15" s="71"/>
      <c r="D15" s="71"/>
      <c r="E15" s="71"/>
      <c r="G15" s="72"/>
      <c r="J15" s="94"/>
      <c r="M15" s="95"/>
      <c r="AI15" s="126"/>
    </row>
    <row r="16" s="33" customFormat="1" spans="1:35">
      <c r="A16" s="73"/>
      <c r="B16" s="74" t="s">
        <v>96</v>
      </c>
      <c r="C16" s="71"/>
      <c r="D16" s="71"/>
      <c r="E16" s="71"/>
      <c r="G16" s="72"/>
      <c r="J16" s="94"/>
      <c r="M16" s="95"/>
      <c r="AI16" s="126"/>
    </row>
    <row r="17" s="33" customFormat="1" spans="1:35">
      <c r="A17" s="70"/>
      <c r="B17" s="74" t="s">
        <v>97</v>
      </c>
      <c r="C17" s="75"/>
      <c r="D17" s="75"/>
      <c r="E17" s="75"/>
      <c r="F17" s="75"/>
      <c r="G17" s="75"/>
      <c r="H17" s="75"/>
      <c r="I17" s="75"/>
      <c r="J17" s="96"/>
      <c r="K17" s="75"/>
      <c r="L17" s="75"/>
      <c r="M17" s="97"/>
      <c r="N17" s="75"/>
      <c r="O17" s="75"/>
      <c r="P17" s="75"/>
      <c r="AI17" s="126"/>
    </row>
    <row r="18" s="33" customFormat="1" customHeight="1" spans="1:35">
      <c r="A18" s="74"/>
      <c r="B18" s="74" t="s">
        <v>98</v>
      </c>
      <c r="C18" s="76"/>
      <c r="D18" s="76"/>
      <c r="E18" s="76"/>
      <c r="F18" s="76"/>
      <c r="G18" s="76"/>
      <c r="H18" s="76"/>
      <c r="I18" s="98"/>
      <c r="J18" s="99"/>
      <c r="K18" s="98"/>
      <c r="L18" s="98"/>
      <c r="M18" s="100"/>
      <c r="N18" s="98"/>
      <c r="O18" s="98"/>
      <c r="P18" s="98"/>
      <c r="AI18" s="126"/>
    </row>
    <row r="19" s="33" customFormat="1" customHeight="1" spans="1:35">
      <c r="A19" s="74"/>
      <c r="B19" s="74" t="s">
        <v>99</v>
      </c>
      <c r="C19" s="76"/>
      <c r="D19" s="76"/>
      <c r="E19" s="76"/>
      <c r="F19" s="76"/>
      <c r="G19" s="76"/>
      <c r="H19" s="76"/>
      <c r="I19" s="76"/>
      <c r="J19" s="101"/>
      <c r="K19" s="76"/>
      <c r="L19" s="98"/>
      <c r="M19" s="100"/>
      <c r="N19" s="98"/>
      <c r="O19" s="98"/>
      <c r="P19" s="98"/>
      <c r="AI19" s="126"/>
    </row>
    <row r="20" s="33" customFormat="1" customHeight="1" spans="1:35">
      <c r="A20" s="74"/>
      <c r="B20" s="74" t="s">
        <v>100</v>
      </c>
      <c r="C20" s="76"/>
      <c r="D20" s="76"/>
      <c r="E20" s="76"/>
      <c r="F20" s="76"/>
      <c r="G20" s="76"/>
      <c r="H20" s="76"/>
      <c r="I20" s="98"/>
      <c r="J20" s="99"/>
      <c r="K20" s="98"/>
      <c r="L20" s="98"/>
      <c r="M20" s="100"/>
      <c r="N20" s="98"/>
      <c r="O20" s="98"/>
      <c r="P20" s="98"/>
      <c r="AI20" s="126"/>
    </row>
    <row r="22" ht="11.25" customHeight="1" spans="2:2">
      <c r="B22" s="77" t="s">
        <v>101</v>
      </c>
    </row>
    <row r="23" spans="2:2">
      <c r="B23" s="78" t="s">
        <v>102</v>
      </c>
    </row>
    <row r="24" spans="2:2">
      <c r="B24" s="78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7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12.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3.37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3.375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7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8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9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56" t="s">
        <v>86</v>
      </c>
      <c r="D4" s="56" t="s">
        <v>87</v>
      </c>
      <c r="E4" s="56" t="s">
        <v>88</v>
      </c>
      <c r="F4" s="57" t="s">
        <v>186</v>
      </c>
      <c r="G4" s="58">
        <v>18035163638</v>
      </c>
      <c r="H4" s="59"/>
      <c r="I4" s="59"/>
      <c r="J4" s="88"/>
      <c r="K4" s="59"/>
      <c r="L4" s="89">
        <v>9070</v>
      </c>
      <c r="M4" s="90">
        <v>264</v>
      </c>
      <c r="N4" s="90">
        <v>66</v>
      </c>
      <c r="O4" s="90">
        <v>9.9</v>
      </c>
      <c r="P4" s="90">
        <v>180</v>
      </c>
      <c r="Q4" s="108">
        <f>ROUND(SUM(M4:P4),2)</f>
        <v>519.9</v>
      </c>
      <c r="R4" s="89">
        <v>0</v>
      </c>
      <c r="S4" s="109">
        <f>L4+IFERROR(VLOOKUP($E:$E,'（居民）工资表-9月'!$E:$S,15,0),0)</f>
        <v>76570</v>
      </c>
      <c r="T4" s="110">
        <f>5000+IFERROR(VLOOKUP($E:$E,'（居民）工资表-9月'!$E:$T,16,0),0)</f>
        <v>50000</v>
      </c>
      <c r="U4" s="110">
        <f>Q4+IFERROR(VLOOKUP($E:$E,'（居民）工资表-9月'!$E:$U,17,0),0)</f>
        <v>5199</v>
      </c>
      <c r="V4" s="89"/>
      <c r="W4" s="89"/>
      <c r="X4" s="89">
        <v>10000</v>
      </c>
      <c r="Y4" s="89"/>
      <c r="Z4" s="89"/>
      <c r="AA4" s="89"/>
      <c r="AB4" s="109">
        <f>ROUND(SUM(V4:AA4),2)</f>
        <v>10000</v>
      </c>
      <c r="AC4" s="109">
        <f>R4+IFERROR(VLOOKUP($E:$E,'（居民）工资表-9月'!$E:$AC,25,0),0)</f>
        <v>0</v>
      </c>
      <c r="AD4" s="112">
        <f>ROUND(S4-T4-U4-AB4-AC4,2)</f>
        <v>11371</v>
      </c>
      <c r="AE4" s="113">
        <f>ROUND(MAX((AD4)*{0.03;0.1;0.2;0.25;0.3;0.35;0.45}-{0;2520;16920;31920;52920;85920;181920},0),2)</f>
        <v>341.13</v>
      </c>
      <c r="AF4" s="114">
        <f>IFERROR(VLOOKUP(E:E,'（居民）工资表-9月'!E:AF,28,0)+VLOOKUP(E:E,'（居民）工资表-9月'!E:AG,29,0),0)</f>
        <v>264.63</v>
      </c>
      <c r="AG4" s="114">
        <f>IF((AE4-AF4)&lt;0,0,AE4-AF4)</f>
        <v>76.5</v>
      </c>
      <c r="AH4" s="121">
        <f>ROUND(IF((L4-Q4-AG4)&lt;0,0,(L4-Q4-AG4)),2)</f>
        <v>8473.6</v>
      </c>
      <c r="AI4" s="122"/>
      <c r="AJ4" s="121">
        <f>AH4+AI4</f>
        <v>8473.6</v>
      </c>
      <c r="AK4" s="123"/>
      <c r="AL4" s="121">
        <f>AJ4+AG4+AK4</f>
        <v>8550.1</v>
      </c>
      <c r="AM4" s="123"/>
      <c r="AN4" s="123"/>
      <c r="AO4" s="123"/>
      <c r="AP4" s="123"/>
      <c r="AQ4" s="123"/>
      <c r="AR4" s="13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30" t="str">
        <f>IF(SUMPRODUCT(N(E$1:E$7=E4))&gt;1,"重复","不")</f>
        <v>不</v>
      </c>
      <c r="AT4" s="130" t="str">
        <f>IF(SUMPRODUCT(N(AO$1:AO$7=AO4))&gt;1,"重复","不")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56" t="s">
        <v>154</v>
      </c>
      <c r="D5" s="56" t="s">
        <v>87</v>
      </c>
      <c r="E5" s="56" t="s">
        <v>155</v>
      </c>
      <c r="F5" s="57" t="s">
        <v>186</v>
      </c>
      <c r="G5" s="58">
        <v>13944441728</v>
      </c>
      <c r="H5" s="59"/>
      <c r="I5" s="59"/>
      <c r="J5" s="88"/>
      <c r="K5" s="59"/>
      <c r="L5" s="89">
        <v>6889.4</v>
      </c>
      <c r="M5" s="90">
        <v>244.24</v>
      </c>
      <c r="N5" s="90">
        <v>61.06</v>
      </c>
      <c r="O5" s="90">
        <v>9.16</v>
      </c>
      <c r="P5" s="90">
        <v>79</v>
      </c>
      <c r="Q5" s="108">
        <f>ROUND(SUM(M5:P5),2)</f>
        <v>393.46</v>
      </c>
      <c r="R5" s="89">
        <v>0</v>
      </c>
      <c r="S5" s="109">
        <f>L5+IFERROR(VLOOKUP($E:$E,'（居民）工资表-9月'!$E:$S,15,0),0)</f>
        <v>48871.4</v>
      </c>
      <c r="T5" s="110">
        <f>5000+IFERROR(VLOOKUP($E:$E,'（居民）工资表-9月'!$E:$T,16,0),0)</f>
        <v>35000</v>
      </c>
      <c r="U5" s="110">
        <f>Q5+IFERROR(VLOOKUP($E:$E,'（居民）工资表-9月'!$E:$U,17,0),0)</f>
        <v>3147.68</v>
      </c>
      <c r="V5" s="89"/>
      <c r="W5" s="89"/>
      <c r="X5" s="89"/>
      <c r="Y5" s="89"/>
      <c r="Z5" s="89"/>
      <c r="AA5" s="89"/>
      <c r="AB5" s="109">
        <f>ROUND(SUM(V5:AA5),2)</f>
        <v>0</v>
      </c>
      <c r="AC5" s="109">
        <f>R5+IFERROR(VLOOKUP($E:$E,'（居民）工资表-9月'!$E:$AC,25,0),0)</f>
        <v>0</v>
      </c>
      <c r="AD5" s="112">
        <f>ROUND(S5-T5-U5-AB5-AC5,2)</f>
        <v>10723.72</v>
      </c>
      <c r="AE5" s="113">
        <f>ROUND(MAX((AD5)*{0.03;0.1;0.2;0.25;0.3;0.35;0.45}-{0;2520;16920;31920;52920;85920;181920},0),2)</f>
        <v>321.71</v>
      </c>
      <c r="AF5" s="114">
        <f>IFERROR(VLOOKUP(E:E,'（居民）工资表-9月'!E:AF,28,0)+VLOOKUP(E:E,'（居民）工资表-9月'!E:AG,29,0),0)</f>
        <v>276.83</v>
      </c>
      <c r="AG5" s="114">
        <f>IF((AE5-AF5)&lt;0,0,AE5-AF5)</f>
        <v>44.88</v>
      </c>
      <c r="AH5" s="121">
        <f>ROUND(IF((L5-Q5-AG5)&lt;0,0,(L5-Q5-AG5)),2)</f>
        <v>6451.06</v>
      </c>
      <c r="AI5" s="122"/>
      <c r="AJ5" s="121">
        <f>AH5+AI5</f>
        <v>6451.06</v>
      </c>
      <c r="AK5" s="123"/>
      <c r="AL5" s="121">
        <f>AJ5+AG5+AK5</f>
        <v>6495.94</v>
      </c>
      <c r="AM5" s="123"/>
      <c r="AN5" s="123"/>
      <c r="AO5" s="123"/>
      <c r="AP5" s="123"/>
      <c r="AQ5" s="123"/>
      <c r="AR5" s="130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30" t="str">
        <f>IF(SUMPRODUCT(N(E$1:E$7=E5))&gt;1,"重复","不")</f>
        <v>不</v>
      </c>
      <c r="AT5" s="130" t="str">
        <f>IF(SUMPRODUCT(N(AO$1:AO$7=AO5))&gt;1,"重复","不")</f>
        <v>重复</v>
      </c>
    </row>
    <row r="6" s="31" customFormat="1" ht="18" customHeight="1" spans="1:46">
      <c r="A6" s="55">
        <v>3</v>
      </c>
      <c r="B6" s="56" t="s">
        <v>85</v>
      </c>
      <c r="C6" s="56" t="s">
        <v>160</v>
      </c>
      <c r="D6" s="56" t="s">
        <v>87</v>
      </c>
      <c r="E6" s="375" t="s">
        <v>161</v>
      </c>
      <c r="F6" s="57" t="s">
        <v>186</v>
      </c>
      <c r="G6" s="58">
        <v>18607383005</v>
      </c>
      <c r="H6" s="59"/>
      <c r="I6" s="59"/>
      <c r="J6" s="88"/>
      <c r="K6" s="59"/>
      <c r="L6" s="89">
        <v>20720</v>
      </c>
      <c r="M6" s="90">
        <f>320</f>
        <v>320</v>
      </c>
      <c r="N6" s="90">
        <f>80</f>
        <v>80</v>
      </c>
      <c r="O6" s="90">
        <f>12</f>
        <v>12</v>
      </c>
      <c r="P6" s="90">
        <v>200</v>
      </c>
      <c r="Q6" s="108">
        <f>ROUND(SUM(M6:P6),2)</f>
        <v>612</v>
      </c>
      <c r="R6" s="89">
        <v>0</v>
      </c>
      <c r="S6" s="109">
        <f>L6+IFERROR(VLOOKUP($E:$E,'（居民）工资表-9月'!$E:$S,15,0),0)</f>
        <v>130024.76</v>
      </c>
      <c r="T6" s="110">
        <f>5000+IFERROR(VLOOKUP($E:$E,'（居民）工资表-9月'!$E:$T,16,0),0)</f>
        <v>30000</v>
      </c>
      <c r="U6" s="110">
        <f>Q6+IFERROR(VLOOKUP($E:$E,'（居民）工资表-9月'!$E:$U,17,0),0)</f>
        <v>3758.67</v>
      </c>
      <c r="V6" s="89"/>
      <c r="W6" s="89"/>
      <c r="X6" s="89"/>
      <c r="Y6" s="89"/>
      <c r="Z6" s="89"/>
      <c r="AA6" s="89"/>
      <c r="AB6" s="109">
        <f>ROUND(SUM(V6:AA6),2)</f>
        <v>0</v>
      </c>
      <c r="AC6" s="109">
        <f>R6+IFERROR(VLOOKUP($E:$E,'（居民）工资表-9月'!$E:$AC,25,0),0)</f>
        <v>0</v>
      </c>
      <c r="AD6" s="112">
        <f>ROUND(S6-T6-U6-AB6-AC6,2)</f>
        <v>96266.09</v>
      </c>
      <c r="AE6" s="113">
        <f>ROUND(MAX((AD6)*{0.03;0.1;0.2;0.25;0.3;0.35;0.45}-{0;2520;16920;31920;52920;85920;181920},0),2)</f>
        <v>7106.61</v>
      </c>
      <c r="AF6" s="114">
        <f>IFERROR(VLOOKUP(E:E,'（居民）工资表-9月'!E:AF,28,0)+VLOOKUP(E:E,'（居民）工资表-9月'!E:AG,29,0),0)</f>
        <v>5595.81</v>
      </c>
      <c r="AG6" s="114">
        <f>IF((AE6-AF6)&lt;0,0,AE6-AF6)</f>
        <v>1510.8</v>
      </c>
      <c r="AH6" s="121">
        <f>ROUND(IF((L6-Q6-AG6)&lt;0,0,(L6-Q6-AG6)),2)</f>
        <v>18597.2</v>
      </c>
      <c r="AI6" s="122"/>
      <c r="AJ6" s="121">
        <f>AH6+AI6</f>
        <v>18597.2</v>
      </c>
      <c r="AK6" s="123"/>
      <c r="AL6" s="121">
        <f>AJ6+AG6+AK6</f>
        <v>20108</v>
      </c>
      <c r="AM6" s="123"/>
      <c r="AN6" s="123"/>
      <c r="AO6" s="123"/>
      <c r="AP6" s="123"/>
      <c r="AQ6" s="123"/>
      <c r="AR6" s="130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30" t="str">
        <f>IF(SUMPRODUCT(N(E$1:E$7=E6))&gt;1,"重复","不")</f>
        <v>不</v>
      </c>
      <c r="AT6" s="130" t="str">
        <f>IF(SUMPRODUCT(N(AO$1:AO$7=AO6))&gt;1,"重复","不")</f>
        <v>重复</v>
      </c>
    </row>
    <row r="7" s="31" customFormat="1" ht="18" customHeight="1" spans="1:46">
      <c r="A7" s="55">
        <v>4</v>
      </c>
      <c r="B7" s="56" t="s">
        <v>85</v>
      </c>
      <c r="C7" s="56" t="s">
        <v>188</v>
      </c>
      <c r="D7" s="56" t="s">
        <v>87</v>
      </c>
      <c r="E7" s="375" t="s">
        <v>189</v>
      </c>
      <c r="F7" s="57" t="str">
        <f>IF(MOD(MID(E7,17,1),2)=1,"男","女")</f>
        <v>女</v>
      </c>
      <c r="G7" s="58">
        <v>15360550807</v>
      </c>
      <c r="H7" s="59"/>
      <c r="I7" s="59"/>
      <c r="J7" s="88"/>
      <c r="K7" s="59"/>
      <c r="L7" s="89">
        <v>5700</v>
      </c>
      <c r="M7" s="90"/>
      <c r="N7" s="90"/>
      <c r="O7" s="90"/>
      <c r="P7" s="90"/>
      <c r="Q7" s="108">
        <f>ROUND(SUM(M7:P7),2)</f>
        <v>0</v>
      </c>
      <c r="R7" s="89">
        <v>0</v>
      </c>
      <c r="S7" s="109">
        <f>L7+IFERROR(VLOOKUP($E:$E,'（居民）工资表-9月'!$E:$S,15,0),0)</f>
        <v>18343.6363636364</v>
      </c>
      <c r="T7" s="110">
        <f>5000+IFERROR(VLOOKUP($E:$E,'（居民）工资表-9月'!$E:$T,16,0),0)</f>
        <v>20000</v>
      </c>
      <c r="U7" s="110">
        <f>Q7+IFERROR(VLOOKUP($E:$E,'（居民）工资表-9月'!$E:$U,17,0),0)</f>
        <v>0</v>
      </c>
      <c r="V7" s="89"/>
      <c r="W7" s="89"/>
      <c r="X7" s="89"/>
      <c r="Y7" s="89"/>
      <c r="Z7" s="89"/>
      <c r="AA7" s="89"/>
      <c r="AB7" s="109">
        <f>ROUND(SUM(V7:AA7),2)</f>
        <v>0</v>
      </c>
      <c r="AC7" s="109">
        <f>R7+IFERROR(VLOOKUP($E:$E,'（居民）工资表-9月'!$E:$AC,25,0),0)</f>
        <v>0</v>
      </c>
      <c r="AD7" s="112">
        <f>ROUND(S7-T7-U7-AB7-AC7,2)</f>
        <v>-1656.36</v>
      </c>
      <c r="AE7" s="113">
        <f>ROUND(MAX((AD7)*{0.03;0.1;0.2;0.25;0.3;0.35;0.45}-{0;2520;16920;31920;52920;85920;181920},0),2)</f>
        <v>0</v>
      </c>
      <c r="AF7" s="114">
        <f>IFERROR(VLOOKUP(E:E,'（居民）工资表-9月'!E:AF,28,0)+VLOOKUP(E:E,'（居民）工资表-9月'!E:AG,29,0),0)</f>
        <v>0</v>
      </c>
      <c r="AG7" s="114">
        <f>IF((AE7-AF7)&lt;0,0,AE7-AF7)</f>
        <v>0</v>
      </c>
      <c r="AH7" s="121">
        <f>ROUND(IF((L7-Q7-AG7)&lt;0,0,(L7-Q7-AG7)),2)</f>
        <v>5700</v>
      </c>
      <c r="AI7" s="122"/>
      <c r="AJ7" s="121">
        <f>AH7+AI7</f>
        <v>5700</v>
      </c>
      <c r="AK7" s="123"/>
      <c r="AL7" s="121">
        <f>AJ7+AG7+AK7</f>
        <v>5700</v>
      </c>
      <c r="AM7" s="123"/>
      <c r="AN7" s="123"/>
      <c r="AO7" s="123"/>
      <c r="AP7" s="123"/>
      <c r="AQ7" s="123"/>
      <c r="AR7" s="130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30" t="str">
        <f>IF(SUMPRODUCT(N(E$1:E$7=E7))&gt;1,"重复","不")</f>
        <v>不</v>
      </c>
      <c r="AT7" s="130" t="str">
        <f>IF(SUMPRODUCT(N(AO$1:AO$7=AO7))&gt;1,"重复","不")</f>
        <v>重复</v>
      </c>
    </row>
    <row r="8" s="32" customFormat="1" ht="18" customHeight="1" spans="1:46">
      <c r="A8" s="60"/>
      <c r="B8" s="61" t="s">
        <v>91</v>
      </c>
      <c r="C8" s="61"/>
      <c r="D8" s="62"/>
      <c r="E8" s="63"/>
      <c r="F8" s="64"/>
      <c r="G8" s="65"/>
      <c r="H8" s="64"/>
      <c r="I8" s="91"/>
      <c r="J8" s="92"/>
      <c r="K8" s="91"/>
      <c r="L8" s="93">
        <f t="shared" ref="L8:AL8" si="0">SUM(L4:L7)</f>
        <v>42379.4</v>
      </c>
      <c r="M8" s="93">
        <f t="shared" si="0"/>
        <v>828.24</v>
      </c>
      <c r="N8" s="93">
        <f t="shared" si="0"/>
        <v>207.06</v>
      </c>
      <c r="O8" s="93">
        <f t="shared" si="0"/>
        <v>31.06</v>
      </c>
      <c r="P8" s="93">
        <f t="shared" si="0"/>
        <v>459</v>
      </c>
      <c r="Q8" s="93">
        <f t="shared" si="0"/>
        <v>1525.36</v>
      </c>
      <c r="R8" s="93">
        <f t="shared" si="0"/>
        <v>0</v>
      </c>
      <c r="S8" s="93">
        <f t="shared" si="0"/>
        <v>273809.796363636</v>
      </c>
      <c r="T8" s="93">
        <f t="shared" si="0"/>
        <v>135000</v>
      </c>
      <c r="U8" s="93">
        <f t="shared" si="0"/>
        <v>12105.35</v>
      </c>
      <c r="V8" s="93">
        <f t="shared" si="0"/>
        <v>0</v>
      </c>
      <c r="W8" s="93">
        <f t="shared" si="0"/>
        <v>0</v>
      </c>
      <c r="X8" s="93">
        <f t="shared" si="0"/>
        <v>10000</v>
      </c>
      <c r="Y8" s="93">
        <f t="shared" si="0"/>
        <v>0</v>
      </c>
      <c r="Z8" s="93">
        <f t="shared" si="0"/>
        <v>0</v>
      </c>
      <c r="AA8" s="93">
        <f t="shared" si="0"/>
        <v>0</v>
      </c>
      <c r="AB8" s="93">
        <f t="shared" si="0"/>
        <v>10000</v>
      </c>
      <c r="AC8" s="93">
        <f t="shared" si="0"/>
        <v>0</v>
      </c>
      <c r="AD8" s="93">
        <f t="shared" si="0"/>
        <v>116704.45</v>
      </c>
      <c r="AE8" s="93">
        <f t="shared" si="0"/>
        <v>7769.45</v>
      </c>
      <c r="AF8" s="93">
        <f t="shared" si="0"/>
        <v>6137.27</v>
      </c>
      <c r="AG8" s="93">
        <f t="shared" si="0"/>
        <v>1632.18</v>
      </c>
      <c r="AH8" s="93">
        <f t="shared" si="0"/>
        <v>39221.86</v>
      </c>
      <c r="AI8" s="124">
        <f t="shared" si="0"/>
        <v>0</v>
      </c>
      <c r="AJ8" s="93">
        <f t="shared" si="0"/>
        <v>39221.86</v>
      </c>
      <c r="AK8" s="93">
        <f t="shared" si="0"/>
        <v>0</v>
      </c>
      <c r="AL8" s="93">
        <f t="shared" si="0"/>
        <v>40854.04</v>
      </c>
      <c r="AM8" s="125"/>
      <c r="AN8" s="125"/>
      <c r="AO8" s="125"/>
      <c r="AP8" s="125"/>
      <c r="AQ8" s="125"/>
      <c r="AR8" s="64"/>
      <c r="AS8" s="64"/>
      <c r="AT8" s="131"/>
    </row>
    <row r="11" spans="30:30">
      <c r="AD11" s="115"/>
    </row>
    <row r="12" ht="18.75" customHeight="1" spans="2:30">
      <c r="B12" s="66" t="s">
        <v>64</v>
      </c>
      <c r="C12" s="66" t="s">
        <v>92</v>
      </c>
      <c r="D12" s="66" t="s">
        <v>65</v>
      </c>
      <c r="E12" s="66" t="s">
        <v>93</v>
      </c>
      <c r="AD12" s="29"/>
    </row>
    <row r="13" ht="18.75" customHeight="1" spans="2:5">
      <c r="B13" s="67">
        <f>AJ8</f>
        <v>39221.86</v>
      </c>
      <c r="C13" s="67">
        <f>AG8</f>
        <v>1632.18</v>
      </c>
      <c r="D13" s="67">
        <f>AK8</f>
        <v>0</v>
      </c>
      <c r="E13" s="67">
        <f>B13+C13+D13</f>
        <v>40854.04</v>
      </c>
    </row>
    <row r="14" spans="2:5">
      <c r="B14" s="68"/>
      <c r="C14" s="68"/>
      <c r="D14" s="68"/>
      <c r="E14" s="68"/>
    </row>
    <row r="15" s="33" customFormat="1" spans="1:35">
      <c r="A15" s="69" t="s">
        <v>94</v>
      </c>
      <c r="B15" s="70" t="s">
        <v>95</v>
      </c>
      <c r="C15" s="71"/>
      <c r="D15" s="71"/>
      <c r="E15" s="71"/>
      <c r="G15" s="72"/>
      <c r="J15" s="94"/>
      <c r="M15" s="95"/>
      <c r="AI15" s="126"/>
    </row>
    <row r="16" s="33" customFormat="1" spans="1:35">
      <c r="A16" s="73"/>
      <c r="B16" s="74" t="s">
        <v>96</v>
      </c>
      <c r="C16" s="71"/>
      <c r="D16" s="71"/>
      <c r="E16" s="71"/>
      <c r="G16" s="72"/>
      <c r="J16" s="94"/>
      <c r="M16" s="95"/>
      <c r="AI16" s="126"/>
    </row>
    <row r="17" s="33" customFormat="1" spans="1:35">
      <c r="A17" s="70"/>
      <c r="B17" s="74" t="s">
        <v>97</v>
      </c>
      <c r="C17" s="75"/>
      <c r="D17" s="75"/>
      <c r="E17" s="75"/>
      <c r="F17" s="75"/>
      <c r="G17" s="75"/>
      <c r="H17" s="75"/>
      <c r="I17" s="75"/>
      <c r="J17" s="96"/>
      <c r="K17" s="75"/>
      <c r="L17" s="75"/>
      <c r="M17" s="97"/>
      <c r="N17" s="75"/>
      <c r="O17" s="75"/>
      <c r="P17" s="75"/>
      <c r="AI17" s="126"/>
    </row>
    <row r="18" s="33" customFormat="1" customHeight="1" spans="1:35">
      <c r="A18" s="74"/>
      <c r="B18" s="74" t="s">
        <v>98</v>
      </c>
      <c r="C18" s="76"/>
      <c r="D18" s="76"/>
      <c r="E18" s="76"/>
      <c r="F18" s="76"/>
      <c r="G18" s="76"/>
      <c r="H18" s="76"/>
      <c r="I18" s="98"/>
      <c r="J18" s="99"/>
      <c r="K18" s="98"/>
      <c r="L18" s="98"/>
      <c r="M18" s="100"/>
      <c r="N18" s="98"/>
      <c r="O18" s="98"/>
      <c r="P18" s="98"/>
      <c r="AI18" s="126"/>
    </row>
    <row r="19" s="33" customFormat="1" customHeight="1" spans="1:35">
      <c r="A19" s="74"/>
      <c r="B19" s="74" t="s">
        <v>99</v>
      </c>
      <c r="C19" s="76"/>
      <c r="D19" s="76"/>
      <c r="E19" s="76"/>
      <c r="F19" s="76"/>
      <c r="G19" s="76"/>
      <c r="H19" s="76"/>
      <c r="I19" s="76"/>
      <c r="J19" s="101"/>
      <c r="K19" s="76"/>
      <c r="L19" s="98"/>
      <c r="M19" s="100"/>
      <c r="N19" s="98"/>
      <c r="O19" s="98"/>
      <c r="P19" s="98"/>
      <c r="AI19" s="126"/>
    </row>
    <row r="20" s="33" customFormat="1" customHeight="1" spans="1:35">
      <c r="A20" s="74"/>
      <c r="B20" s="74" t="s">
        <v>100</v>
      </c>
      <c r="C20" s="76"/>
      <c r="D20" s="76"/>
      <c r="E20" s="76"/>
      <c r="F20" s="76"/>
      <c r="G20" s="76"/>
      <c r="H20" s="76"/>
      <c r="I20" s="98"/>
      <c r="J20" s="99"/>
      <c r="K20" s="98"/>
      <c r="L20" s="98"/>
      <c r="M20" s="100"/>
      <c r="N20" s="98"/>
      <c r="O20" s="98"/>
      <c r="P20" s="98"/>
      <c r="AI20" s="126"/>
    </row>
    <row r="22" ht="11.25" customHeight="1" spans="2:2">
      <c r="B22" s="77" t="s">
        <v>101</v>
      </c>
    </row>
    <row r="23" spans="2:2">
      <c r="B23" s="78" t="s">
        <v>102</v>
      </c>
    </row>
    <row r="24" spans="2:2">
      <c r="B24" s="78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/>
      <selection pane="topRight"/>
      <selection pane="bottomLeft"/>
      <selection pane="bottomRight" activeCell="B4" sqref="B4:P8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12.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3.37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3.375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7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8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9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56" t="s">
        <v>86</v>
      </c>
      <c r="D4" s="56" t="s">
        <v>87</v>
      </c>
      <c r="E4" s="56" t="s">
        <v>88</v>
      </c>
      <c r="F4" s="57" t="s">
        <v>186</v>
      </c>
      <c r="G4" s="58">
        <v>18035163638</v>
      </c>
      <c r="H4" s="59"/>
      <c r="I4" s="59"/>
      <c r="J4" s="88"/>
      <c r="K4" s="59"/>
      <c r="L4" s="89">
        <v>10400</v>
      </c>
      <c r="M4" s="90">
        <v>264</v>
      </c>
      <c r="N4" s="90">
        <v>66</v>
      </c>
      <c r="O4" s="90">
        <v>9.9</v>
      </c>
      <c r="P4" s="90">
        <v>180</v>
      </c>
      <c r="Q4" s="108">
        <f>ROUND(SUM(M4:P4),2)</f>
        <v>519.9</v>
      </c>
      <c r="R4" s="89">
        <v>0</v>
      </c>
      <c r="S4" s="109">
        <f>L4+IFERROR(VLOOKUP($E:$E,'（居民）工资表-10月'!$E:$S,15,0),0)</f>
        <v>86970</v>
      </c>
      <c r="T4" s="110">
        <f>5000+IFERROR(VLOOKUP($E:$E,'（居民）工资表-10月'!$E:$T,16,0),0)</f>
        <v>55000</v>
      </c>
      <c r="U4" s="110">
        <f>Q4+IFERROR(VLOOKUP($E:$E,'（居民）工资表-10月'!$E:$U,17,0),0)</f>
        <v>5718.9</v>
      </c>
      <c r="V4" s="89"/>
      <c r="W4" s="89"/>
      <c r="X4" s="89">
        <v>11000</v>
      </c>
      <c r="Y4" s="89"/>
      <c r="Z4" s="89"/>
      <c r="AA4" s="89"/>
      <c r="AB4" s="109">
        <f>ROUND(SUM(V4:AA4),2)</f>
        <v>11000</v>
      </c>
      <c r="AC4" s="109">
        <f>R4+IFERROR(VLOOKUP($E:$E,'（居民）工资表-10月'!$E:$AC,25,0),0)</f>
        <v>0</v>
      </c>
      <c r="AD4" s="112">
        <f>ROUND(S4-T4-U4-AB4-AC4,2)</f>
        <v>15251.1</v>
      </c>
      <c r="AE4" s="113">
        <f>ROUND(MAX((AD4)*{0.03;0.1;0.2;0.25;0.3;0.35;0.45}-{0;2520;16920;31920;52920;85920;181920},0),2)</f>
        <v>457.53</v>
      </c>
      <c r="AF4" s="114">
        <f>IFERROR(VLOOKUP(E:E,'（居民）工资表-10月'!E:AF,28,0)+VLOOKUP(E:E,'（居民）工资表-10月'!E:AG,29,0),0)</f>
        <v>341.13</v>
      </c>
      <c r="AG4" s="114">
        <f>IF((AE4-AF4)&lt;0,0,AE4-AF4)</f>
        <v>116.4</v>
      </c>
      <c r="AH4" s="121">
        <f>ROUND(IF((L4-Q4-AG4)&lt;0,0,(L4-Q4-AG4)),2)</f>
        <v>9763.7</v>
      </c>
      <c r="AI4" s="122"/>
      <c r="AJ4" s="121">
        <f>AH4+AI4</f>
        <v>9763.7</v>
      </c>
      <c r="AK4" s="123"/>
      <c r="AL4" s="121">
        <f>AJ4+AG4+AK4</f>
        <v>9880.1</v>
      </c>
      <c r="AM4" s="123"/>
      <c r="AN4" s="123"/>
      <c r="AO4" s="123"/>
      <c r="AP4" s="123"/>
      <c r="AQ4" s="123"/>
      <c r="AR4" s="13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30" t="str">
        <f>IF(SUMPRODUCT(N(E$1:E$6=E4))&gt;1,"重复","不")</f>
        <v>不</v>
      </c>
      <c r="AT4" s="130" t="str">
        <f>IF(SUMPRODUCT(N(AO$1:AO$6=AO4))&gt;1,"重复","不")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56" t="s">
        <v>154</v>
      </c>
      <c r="D5" s="56" t="s">
        <v>87</v>
      </c>
      <c r="E5" s="56" t="s">
        <v>155</v>
      </c>
      <c r="F5" s="57" t="s">
        <v>186</v>
      </c>
      <c r="G5" s="58">
        <v>13944441728</v>
      </c>
      <c r="H5" s="59"/>
      <c r="I5" s="59"/>
      <c r="J5" s="88"/>
      <c r="K5" s="59"/>
      <c r="L5" s="89">
        <v>7000</v>
      </c>
      <c r="M5" s="90">
        <f>268.81+24.57*4</f>
        <v>367.09</v>
      </c>
      <c r="N5" s="90">
        <v>61.06</v>
      </c>
      <c r="O5" s="90">
        <f>10.08+0.92*4</f>
        <v>13.76</v>
      </c>
      <c r="P5" s="90">
        <v>79</v>
      </c>
      <c r="Q5" s="108">
        <f>ROUND(SUM(M5:P5),2)</f>
        <v>520.91</v>
      </c>
      <c r="R5" s="89">
        <v>0</v>
      </c>
      <c r="S5" s="109">
        <f>L5+IFERROR(VLOOKUP($E:$E,'（居民）工资表-10月'!$E:$S,15,0),0)</f>
        <v>55871.4</v>
      </c>
      <c r="T5" s="110">
        <f>5000+IFERROR(VLOOKUP($E:$E,'（居民）工资表-10月'!$E:$T,16,0),0)</f>
        <v>40000</v>
      </c>
      <c r="U5" s="110">
        <f>Q5+IFERROR(VLOOKUP($E:$E,'（居民）工资表-10月'!$E:$U,17,0),0)</f>
        <v>3668.59</v>
      </c>
      <c r="V5" s="89"/>
      <c r="W5" s="89"/>
      <c r="X5" s="89"/>
      <c r="Y5" s="89"/>
      <c r="Z5" s="89"/>
      <c r="AA5" s="89"/>
      <c r="AB5" s="109">
        <f>ROUND(SUM(V5:AA5),2)</f>
        <v>0</v>
      </c>
      <c r="AC5" s="109">
        <f>R5+IFERROR(VLOOKUP($E:$E,'（居民）工资表-10月'!$E:$AC,25,0),0)</f>
        <v>0</v>
      </c>
      <c r="AD5" s="112">
        <f>ROUND(S5-T5-U5-AB5-AC5,2)</f>
        <v>12202.81</v>
      </c>
      <c r="AE5" s="113">
        <f>ROUND(MAX((AD5)*{0.03;0.1;0.2;0.25;0.3;0.35;0.45}-{0;2520;16920;31920;52920;85920;181920},0),2)</f>
        <v>366.08</v>
      </c>
      <c r="AF5" s="114">
        <f>IFERROR(VLOOKUP(E:E,'（居民）工资表-10月'!E:AF,28,0)+VLOOKUP(E:E,'（居民）工资表-10月'!E:AG,29,0),0)</f>
        <v>321.71</v>
      </c>
      <c r="AG5" s="114">
        <f>IF((AE5-AF5)&lt;0,0,AE5-AF5)</f>
        <v>44.37</v>
      </c>
      <c r="AH5" s="121">
        <f>ROUND(IF((L5-Q5-AG5)&lt;0,0,(L5-Q5-AG5)),2)</f>
        <v>6434.72</v>
      </c>
      <c r="AI5" s="122"/>
      <c r="AJ5" s="121">
        <f>AH5+AI5</f>
        <v>6434.72</v>
      </c>
      <c r="AK5" s="123"/>
      <c r="AL5" s="121">
        <f>AJ5+AG5+AK5</f>
        <v>6479.09</v>
      </c>
      <c r="AM5" s="123"/>
      <c r="AN5" s="123"/>
      <c r="AO5" s="123"/>
      <c r="AP5" s="123"/>
      <c r="AQ5" s="123"/>
      <c r="AR5" s="130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30" t="str">
        <f>IF(SUMPRODUCT(N(E$1:E$6=E5))&gt;1,"重复","不")</f>
        <v>不</v>
      </c>
      <c r="AT5" s="130" t="str">
        <f>IF(SUMPRODUCT(N(AO$1:AO$6=AO5))&gt;1,"重复","不")</f>
        <v>重复</v>
      </c>
    </row>
    <row r="6" s="31" customFormat="1" ht="18" customHeight="1" spans="1:46">
      <c r="A6" s="55">
        <v>3</v>
      </c>
      <c r="B6" s="56" t="s">
        <v>85</v>
      </c>
      <c r="C6" s="56" t="s">
        <v>188</v>
      </c>
      <c r="D6" s="56" t="s">
        <v>87</v>
      </c>
      <c r="E6" s="375" t="s">
        <v>189</v>
      </c>
      <c r="F6" s="57" t="str">
        <f>IF(MOD(MID(E6,17,1),2)=1,"男","女")</f>
        <v>女</v>
      </c>
      <c r="G6" s="58">
        <v>15360550807</v>
      </c>
      <c r="H6" s="59"/>
      <c r="I6" s="59"/>
      <c r="J6" s="88"/>
      <c r="K6" s="59"/>
      <c r="L6" s="89">
        <v>5700</v>
      </c>
      <c r="M6" s="90">
        <v>367.04</v>
      </c>
      <c r="N6" s="90">
        <v>123.5</v>
      </c>
      <c r="O6" s="90">
        <v>4.2</v>
      </c>
      <c r="P6" s="90">
        <v>105</v>
      </c>
      <c r="Q6" s="108">
        <f>ROUND(SUM(M6:P6),2)</f>
        <v>599.74</v>
      </c>
      <c r="R6" s="89">
        <v>0</v>
      </c>
      <c r="S6" s="109">
        <f>L6+IFERROR(VLOOKUP($E:$E,'（居民）工资表-10月'!$E:$S,15,0),0)</f>
        <v>24043.6363636364</v>
      </c>
      <c r="T6" s="110">
        <f>5000+IFERROR(VLOOKUP($E:$E,'（居民）工资表-10月'!$E:$T,16,0),0)</f>
        <v>25000</v>
      </c>
      <c r="U6" s="110">
        <f>Q6+IFERROR(VLOOKUP($E:$E,'（居民）工资表-10月'!$E:$U,17,0),0)</f>
        <v>599.74</v>
      </c>
      <c r="V6" s="89"/>
      <c r="W6" s="89"/>
      <c r="X6" s="89"/>
      <c r="Y6" s="89"/>
      <c r="Z6" s="89"/>
      <c r="AA6" s="89"/>
      <c r="AB6" s="109">
        <f>ROUND(SUM(V6:AA6),2)</f>
        <v>0</v>
      </c>
      <c r="AC6" s="109">
        <f>R6+IFERROR(VLOOKUP($E:$E,'（居民）工资表-10月'!$E:$AC,25,0),0)</f>
        <v>0</v>
      </c>
      <c r="AD6" s="112">
        <f>ROUND(S6-T6-U6-AB6-AC6,2)</f>
        <v>-1556.1</v>
      </c>
      <c r="AE6" s="113">
        <f>ROUND(MAX((AD6)*{0.03;0.1;0.2;0.25;0.3;0.35;0.45}-{0;2520;16920;31920;52920;85920;181920},0),2)</f>
        <v>0</v>
      </c>
      <c r="AF6" s="114">
        <f>IFERROR(VLOOKUP(E:E,'（居民）工资表-10月'!E:AF,28,0)+VLOOKUP(E:E,'（居民）工资表-10月'!E:AG,29,0),0)</f>
        <v>0</v>
      </c>
      <c r="AG6" s="114">
        <f>IF((AE6-AF6)&lt;0,0,AE6-AF6)</f>
        <v>0</v>
      </c>
      <c r="AH6" s="121">
        <f>ROUND(IF((L6-Q6-AG6)&lt;0,0,(L6-Q6-AG6)),2)</f>
        <v>5100.26</v>
      </c>
      <c r="AI6" s="122"/>
      <c r="AJ6" s="121">
        <f>AH6+AI6</f>
        <v>5100.26</v>
      </c>
      <c r="AK6" s="123"/>
      <c r="AL6" s="121">
        <f>AJ6+AG6+AK6</f>
        <v>5100.26</v>
      </c>
      <c r="AM6" s="123"/>
      <c r="AN6" s="123"/>
      <c r="AO6" s="123"/>
      <c r="AP6" s="123"/>
      <c r="AQ6" s="123"/>
      <c r="AR6" s="130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30" t="str">
        <f>IF(SUMPRODUCT(N(E$1:E$6=E6))&gt;1,"重复","不")</f>
        <v>不</v>
      </c>
      <c r="AT6" s="130" t="str">
        <f>IF(SUMPRODUCT(N(AO$1:AO$6=AO6))&gt;1,"重复","不")</f>
        <v>重复</v>
      </c>
    </row>
    <row r="7" s="31" customFormat="1" ht="18" customHeight="1" spans="1:46">
      <c r="A7" s="55">
        <v>4</v>
      </c>
      <c r="B7" s="56" t="s">
        <v>85</v>
      </c>
      <c r="C7" s="56" t="s">
        <v>160</v>
      </c>
      <c r="D7" s="56" t="s">
        <v>87</v>
      </c>
      <c r="E7" s="375" t="s">
        <v>161</v>
      </c>
      <c r="F7" s="57" t="s">
        <v>186</v>
      </c>
      <c r="G7" s="58">
        <v>18607383005</v>
      </c>
      <c r="H7" s="59"/>
      <c r="I7" s="59"/>
      <c r="J7" s="88"/>
      <c r="K7" s="59"/>
      <c r="L7" s="89">
        <v>25000</v>
      </c>
      <c r="M7" s="90">
        <f>320</f>
        <v>320</v>
      </c>
      <c r="N7" s="90">
        <f>80</f>
        <v>80</v>
      </c>
      <c r="O7" s="90">
        <f>12</f>
        <v>12</v>
      </c>
      <c r="P7" s="90">
        <v>200</v>
      </c>
      <c r="Q7" s="108">
        <f>ROUND(SUM(M7:P7),2)</f>
        <v>612</v>
      </c>
      <c r="R7" s="89">
        <v>0</v>
      </c>
      <c r="S7" s="109">
        <f>L7+IFERROR(VLOOKUP($E:$E,'（居民）工资表-10月'!$E:$S,15,0),0)</f>
        <v>155024.76</v>
      </c>
      <c r="T7" s="110">
        <f>5000+IFERROR(VLOOKUP($E:$E,'（居民）工资表-10月'!$E:$T,16,0),0)</f>
        <v>35000</v>
      </c>
      <c r="U7" s="110">
        <f>Q7+IFERROR(VLOOKUP($E:$E,'（居民）工资表-10月'!$E:$U,17,0),0)</f>
        <v>4370.67</v>
      </c>
      <c r="V7" s="89"/>
      <c r="W7" s="89"/>
      <c r="X7" s="89"/>
      <c r="Y7" s="89"/>
      <c r="Z7" s="89"/>
      <c r="AA7" s="89"/>
      <c r="AB7" s="109">
        <f>ROUND(SUM(V7:AA7),2)</f>
        <v>0</v>
      </c>
      <c r="AC7" s="109">
        <f>R7+IFERROR(VLOOKUP($E:$E,'（居民）工资表-10月'!$E:$AC,25,0),0)</f>
        <v>0</v>
      </c>
      <c r="AD7" s="112">
        <f>ROUND(S7-T7-U7-AB7-AC7,2)</f>
        <v>115654.09</v>
      </c>
      <c r="AE7" s="113">
        <f>ROUND(MAX((AD7)*{0.03;0.1;0.2;0.25;0.3;0.35;0.45}-{0;2520;16920;31920;52920;85920;181920},0),2)</f>
        <v>9045.41</v>
      </c>
      <c r="AF7" s="114">
        <f>IFERROR(VLOOKUP(E:E,'（居民）工资表-10月'!E:AF,28,0)+VLOOKUP(E:E,'（居民）工资表-10月'!E:AG,29,0),0)</f>
        <v>7106.61</v>
      </c>
      <c r="AG7" s="114">
        <f>IF((AE7-AF7)&lt;0,0,AE7-AF7)</f>
        <v>1938.8</v>
      </c>
      <c r="AH7" s="121">
        <f>ROUND(IF((L7-Q7-AG7)&lt;0,0,(L7-Q7-AG7)),2)</f>
        <v>22449.2</v>
      </c>
      <c r="AI7" s="122"/>
      <c r="AJ7" s="121">
        <f>AH7+AI7</f>
        <v>22449.2</v>
      </c>
      <c r="AK7" s="123"/>
      <c r="AL7" s="121">
        <f>AJ7+AG7+AK7</f>
        <v>24388</v>
      </c>
      <c r="AM7" s="123"/>
      <c r="AN7" s="123"/>
      <c r="AO7" s="123"/>
      <c r="AP7" s="123"/>
      <c r="AQ7" s="123"/>
      <c r="AR7" s="130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30" t="str">
        <f>IF(SUMPRODUCT(N(E$1:E$6=E7))&gt;1,"重复","不")</f>
        <v>不</v>
      </c>
      <c r="AT7" s="130" t="str">
        <f>IF(SUMPRODUCT(N(AO$1:AO$6=AO7))&gt;1,"重复","不")</f>
        <v>重复</v>
      </c>
    </row>
    <row r="8" s="31" customFormat="1" ht="18" customHeight="1" spans="1:46">
      <c r="A8" s="55">
        <v>5</v>
      </c>
      <c r="B8" s="56" t="s">
        <v>85</v>
      </c>
      <c r="C8" s="56" t="s">
        <v>238</v>
      </c>
      <c r="D8" s="56" t="s">
        <v>87</v>
      </c>
      <c r="E8" s="56" t="s">
        <v>239</v>
      </c>
      <c r="F8" s="57" t="s">
        <v>186</v>
      </c>
      <c r="G8" s="58">
        <v>13373825180</v>
      </c>
      <c r="H8" s="59"/>
      <c r="I8" s="59"/>
      <c r="J8" s="88"/>
      <c r="K8" s="59"/>
      <c r="L8" s="89">
        <v>25000</v>
      </c>
      <c r="M8" s="90">
        <f>261.04*2</f>
        <v>522.08</v>
      </c>
      <c r="N8" s="90">
        <f>57.18*2+32.5</f>
        <v>146.86</v>
      </c>
      <c r="O8" s="90">
        <f>9.1*2</f>
        <v>18.2</v>
      </c>
      <c r="P8" s="90">
        <f>85*2</f>
        <v>170</v>
      </c>
      <c r="Q8" s="108">
        <f>ROUND(SUM(M8:P8),2)</f>
        <v>857.14</v>
      </c>
      <c r="R8" s="89">
        <v>0</v>
      </c>
      <c r="S8" s="109">
        <f>L8+IFERROR(VLOOKUP($E:$E,'（居民）工资表-10月'!$E:$S,15,0),0)</f>
        <v>25000</v>
      </c>
      <c r="T8" s="110">
        <f>5000+IFERROR(VLOOKUP($E:$E,'（居民）工资表-10月'!$E:$T,16,0),0)</f>
        <v>5000</v>
      </c>
      <c r="U8" s="110">
        <f>Q8+IFERROR(VLOOKUP($E:$E,'（居民）工资表-10月'!$E:$U,17,0),0)</f>
        <v>857.14</v>
      </c>
      <c r="V8" s="89"/>
      <c r="W8" s="89"/>
      <c r="X8" s="89"/>
      <c r="Y8" s="89"/>
      <c r="Z8" s="89"/>
      <c r="AA8" s="89"/>
      <c r="AB8" s="109">
        <f>ROUND(SUM(V8:AA8),2)</f>
        <v>0</v>
      </c>
      <c r="AC8" s="109">
        <f>R8+IFERROR(VLOOKUP($E:$E,'（居民）工资表-10月'!$E:$AC,25,0),0)</f>
        <v>0</v>
      </c>
      <c r="AD8" s="112">
        <f>ROUND(S8-T8-U8-AB8-AC8,2)</f>
        <v>19142.86</v>
      </c>
      <c r="AE8" s="113">
        <f>ROUND(MAX((AD8)*{0.03;0.1;0.2;0.25;0.3;0.35;0.45}-{0;2520;16920;31920;52920;85920;181920},0),2)</f>
        <v>574.29</v>
      </c>
      <c r="AF8" s="114">
        <f>IFERROR(VLOOKUP(E:E,'（居民）工资表-10月'!E:AF,28,0)+VLOOKUP(E:E,'（居民）工资表-10月'!E:AG,29,0),0)</f>
        <v>0</v>
      </c>
      <c r="AG8" s="114">
        <f>IF((AE8-AF8)&lt;0,0,AE8-AF8)</f>
        <v>574.29</v>
      </c>
      <c r="AH8" s="121">
        <f>ROUND(IF((L8-Q8-AG8)&lt;0,0,(L8-Q8-AG8)),2)</f>
        <v>23568.57</v>
      </c>
      <c r="AI8" s="122"/>
      <c r="AJ8" s="121">
        <f>AH8+AI8</f>
        <v>23568.57</v>
      </c>
      <c r="AK8" s="123"/>
      <c r="AL8" s="121">
        <f>AJ8+AG8+AK8</f>
        <v>24142.86</v>
      </c>
      <c r="AM8" s="123"/>
      <c r="AN8" s="123"/>
      <c r="AO8" s="123"/>
      <c r="AP8" s="123"/>
      <c r="AQ8" s="123"/>
      <c r="AR8" s="130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30" t="str">
        <f>IF(SUMPRODUCT(N(E$1:E$6=E8))&gt;1,"重复","不")</f>
        <v>不</v>
      </c>
      <c r="AT8" s="130" t="str">
        <f>IF(SUMPRODUCT(N(AO$1:AO$6=AO8))&gt;1,"重复","不")</f>
        <v>重复</v>
      </c>
    </row>
    <row r="9" s="32" customFormat="1" ht="18" customHeight="1" spans="1:46">
      <c r="A9" s="60"/>
      <c r="B9" s="61" t="s">
        <v>91</v>
      </c>
      <c r="C9" s="61"/>
      <c r="D9" s="62"/>
      <c r="E9" s="63"/>
      <c r="F9" s="64"/>
      <c r="G9" s="65"/>
      <c r="H9" s="64"/>
      <c r="I9" s="91"/>
      <c r="J9" s="92"/>
      <c r="K9" s="91"/>
      <c r="L9" s="93">
        <f>SUM(L4:L8)</f>
        <v>73100</v>
      </c>
      <c r="M9" s="93">
        <f t="shared" ref="M9:AL9" si="0">SUM(M4:M8)</f>
        <v>1840.21</v>
      </c>
      <c r="N9" s="93">
        <f t="shared" si="0"/>
        <v>477.42</v>
      </c>
      <c r="O9" s="93">
        <f t="shared" si="0"/>
        <v>58.06</v>
      </c>
      <c r="P9" s="93">
        <f t="shared" si="0"/>
        <v>734</v>
      </c>
      <c r="Q9" s="93">
        <f t="shared" si="0"/>
        <v>3109.69</v>
      </c>
      <c r="R9" s="93">
        <f t="shared" si="0"/>
        <v>0</v>
      </c>
      <c r="S9" s="93">
        <f t="shared" si="0"/>
        <v>346909.796363636</v>
      </c>
      <c r="T9" s="93">
        <f t="shared" si="0"/>
        <v>160000</v>
      </c>
      <c r="U9" s="93">
        <f t="shared" si="0"/>
        <v>15215.04</v>
      </c>
      <c r="V9" s="93">
        <f t="shared" si="0"/>
        <v>0</v>
      </c>
      <c r="W9" s="93">
        <f t="shared" si="0"/>
        <v>0</v>
      </c>
      <c r="X9" s="93">
        <f t="shared" si="0"/>
        <v>11000</v>
      </c>
      <c r="Y9" s="93">
        <f t="shared" si="0"/>
        <v>0</v>
      </c>
      <c r="Z9" s="93">
        <f t="shared" si="0"/>
        <v>0</v>
      </c>
      <c r="AA9" s="93">
        <f t="shared" si="0"/>
        <v>0</v>
      </c>
      <c r="AB9" s="93">
        <f t="shared" si="0"/>
        <v>11000</v>
      </c>
      <c r="AC9" s="93">
        <f t="shared" si="0"/>
        <v>0</v>
      </c>
      <c r="AD9" s="93">
        <f t="shared" si="0"/>
        <v>160694.76</v>
      </c>
      <c r="AE9" s="93">
        <f t="shared" si="0"/>
        <v>10443.31</v>
      </c>
      <c r="AF9" s="93">
        <f t="shared" si="0"/>
        <v>7769.45</v>
      </c>
      <c r="AG9" s="93">
        <f t="shared" si="0"/>
        <v>2673.86</v>
      </c>
      <c r="AH9" s="93">
        <f t="shared" si="0"/>
        <v>67316.45</v>
      </c>
      <c r="AI9" s="93">
        <f t="shared" si="0"/>
        <v>0</v>
      </c>
      <c r="AJ9" s="93">
        <f t="shared" si="0"/>
        <v>67316.45</v>
      </c>
      <c r="AK9" s="93">
        <f t="shared" si="0"/>
        <v>0</v>
      </c>
      <c r="AL9" s="93">
        <f t="shared" si="0"/>
        <v>69990.31</v>
      </c>
      <c r="AM9" s="125"/>
      <c r="AN9" s="125"/>
      <c r="AO9" s="125"/>
      <c r="AP9" s="125"/>
      <c r="AQ9" s="125"/>
      <c r="AR9" s="64"/>
      <c r="AS9" s="64"/>
      <c r="AT9" s="131"/>
    </row>
    <row r="12" spans="30:30">
      <c r="AD12" s="115"/>
    </row>
    <row r="13" ht="18.75" customHeight="1" spans="2:30">
      <c r="B13" s="66" t="s">
        <v>64</v>
      </c>
      <c r="C13" s="66" t="s">
        <v>92</v>
      </c>
      <c r="D13" s="66" t="s">
        <v>65</v>
      </c>
      <c r="E13" s="66" t="s">
        <v>93</v>
      </c>
      <c r="AD13" s="29"/>
    </row>
    <row r="14" ht="18.75" customHeight="1" spans="2:5">
      <c r="B14" s="67">
        <f>AJ9</f>
        <v>67316.45</v>
      </c>
      <c r="C14" s="67">
        <f>AG9</f>
        <v>2673.86</v>
      </c>
      <c r="D14" s="67">
        <f>AK9</f>
        <v>0</v>
      </c>
      <c r="E14" s="67">
        <f>B14+C14+D14</f>
        <v>69990.31</v>
      </c>
    </row>
    <row r="15" spans="2:5">
      <c r="B15" s="68"/>
      <c r="C15" s="68"/>
      <c r="D15" s="68"/>
      <c r="E15" s="68"/>
    </row>
    <row r="16" s="33" customFormat="1" spans="1:35">
      <c r="A16" s="69" t="s">
        <v>94</v>
      </c>
      <c r="B16" s="70" t="s">
        <v>95</v>
      </c>
      <c r="C16" s="71"/>
      <c r="D16" s="71"/>
      <c r="E16" s="71"/>
      <c r="G16" s="72"/>
      <c r="J16" s="94"/>
      <c r="M16" s="95"/>
      <c r="AI16" s="126"/>
    </row>
    <row r="17" s="33" customFormat="1" spans="1:35">
      <c r="A17" s="73"/>
      <c r="B17" s="74" t="s">
        <v>96</v>
      </c>
      <c r="C17" s="71"/>
      <c r="D17" s="71"/>
      <c r="E17" s="71"/>
      <c r="G17" s="72"/>
      <c r="J17" s="94"/>
      <c r="M17" s="95"/>
      <c r="AI17" s="126"/>
    </row>
    <row r="18" s="33" customFormat="1" spans="1:35">
      <c r="A18" s="70"/>
      <c r="B18" s="74" t="s">
        <v>97</v>
      </c>
      <c r="C18" s="75"/>
      <c r="D18" s="75"/>
      <c r="E18" s="75"/>
      <c r="F18" s="75"/>
      <c r="G18" s="75"/>
      <c r="H18" s="75"/>
      <c r="I18" s="75"/>
      <c r="J18" s="96"/>
      <c r="K18" s="75"/>
      <c r="L18" s="75"/>
      <c r="M18" s="97"/>
      <c r="N18" s="75"/>
      <c r="O18" s="75"/>
      <c r="P18" s="75"/>
      <c r="AI18" s="126"/>
    </row>
    <row r="19" s="33" customFormat="1" customHeight="1" spans="1:35">
      <c r="A19" s="74"/>
      <c r="B19" s="74" t="s">
        <v>98</v>
      </c>
      <c r="C19" s="76"/>
      <c r="D19" s="76"/>
      <c r="E19" s="76"/>
      <c r="F19" s="76"/>
      <c r="G19" s="76"/>
      <c r="H19" s="76"/>
      <c r="I19" s="98"/>
      <c r="J19" s="99"/>
      <c r="K19" s="98"/>
      <c r="L19" s="98"/>
      <c r="M19" s="100"/>
      <c r="N19" s="98"/>
      <c r="O19" s="98"/>
      <c r="P19" s="98"/>
      <c r="AI19" s="126"/>
    </row>
    <row r="20" s="33" customFormat="1" customHeight="1" spans="1:35">
      <c r="A20" s="74"/>
      <c r="B20" s="74" t="s">
        <v>99</v>
      </c>
      <c r="C20" s="76"/>
      <c r="D20" s="76"/>
      <c r="E20" s="76"/>
      <c r="F20" s="76"/>
      <c r="G20" s="76"/>
      <c r="H20" s="76"/>
      <c r="I20" s="76"/>
      <c r="J20" s="101"/>
      <c r="K20" s="76"/>
      <c r="L20" s="98"/>
      <c r="M20" s="100"/>
      <c r="N20" s="98"/>
      <c r="O20" s="98"/>
      <c r="P20" s="98"/>
      <c r="AI20" s="126"/>
    </row>
    <row r="21" s="33" customFormat="1" customHeight="1" spans="1:35">
      <c r="A21" s="74"/>
      <c r="B21" s="74" t="s">
        <v>100</v>
      </c>
      <c r="C21" s="76"/>
      <c r="D21" s="76"/>
      <c r="E21" s="76"/>
      <c r="F21" s="76"/>
      <c r="G21" s="76"/>
      <c r="H21" s="76"/>
      <c r="I21" s="98"/>
      <c r="J21" s="99"/>
      <c r="K21" s="98"/>
      <c r="L21" s="98"/>
      <c r="M21" s="100"/>
      <c r="N21" s="98"/>
      <c r="O21" s="98"/>
      <c r="P21" s="98"/>
      <c r="AI21" s="126"/>
    </row>
    <row r="23" ht="11.25" customHeight="1" spans="2:2">
      <c r="B23" s="77" t="s">
        <v>101</v>
      </c>
    </row>
    <row r="24" spans="2:2">
      <c r="B24" s="78" t="s">
        <v>102</v>
      </c>
    </row>
    <row r="25" spans="2:2">
      <c r="B25" s="78" t="s">
        <v>103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2" priority="2" stopIfTrue="1"/>
  </conditionalFormatting>
  <conditionalFormatting sqref="B16:B20">
    <cfRule type="duplicateValues" dxfId="2" priority="3" stopIfTrue="1"/>
  </conditionalFormatting>
  <conditionalFormatting sqref="B24:B25">
    <cfRule type="duplicateValues" dxfId="2" priority="1" stopIfTrue="1"/>
  </conditionalFormatting>
  <conditionalFormatting sqref="C13:C15">
    <cfRule type="duplicateValues" dxfId="2" priority="4" stopIfTrue="1"/>
    <cfRule type="expression" dxfId="3" priority="5" stopIfTrue="1">
      <formula>AND(COUNTIF($B$9:$B$65445,C13)+COUNTIF($B$1:$B$3,C13)&gt;1,NOT(ISBLANK(C13)))</formula>
    </cfRule>
    <cfRule type="expression" dxfId="3" priority="6" stopIfTrue="1">
      <formula>AND(COUNTIF($B$20:$B$65396,C13)+COUNTIF($B$1:$B$19,C13)&gt;1,NOT(ISBLANK(C13)))</formula>
    </cfRule>
    <cfRule type="expression" dxfId="3" priority="7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8"/>
    </sheetView>
  </sheetViews>
  <sheetFormatPr defaultColWidth="9" defaultRowHeight="13.5"/>
  <cols>
    <col min="1" max="1" width="4.5" style="34" customWidth="1"/>
    <col min="2" max="2" width="14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9.7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1.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4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hidden="1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7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8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9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240</v>
      </c>
      <c r="C4" s="56" t="s">
        <v>86</v>
      </c>
      <c r="D4" s="56" t="s">
        <v>87</v>
      </c>
      <c r="E4" s="56" t="s">
        <v>88</v>
      </c>
      <c r="F4" s="57" t="s">
        <v>186</v>
      </c>
      <c r="G4" s="58">
        <v>18035163638</v>
      </c>
      <c r="H4" s="59"/>
      <c r="I4" s="59"/>
      <c r="J4" s="88"/>
      <c r="K4" s="59"/>
      <c r="L4" s="89">
        <v>9280</v>
      </c>
      <c r="M4" s="90">
        <v>264</v>
      </c>
      <c r="N4" s="90">
        <v>66</v>
      </c>
      <c r="O4" s="90">
        <v>9.9</v>
      </c>
      <c r="P4" s="90">
        <v>180</v>
      </c>
      <c r="Q4" s="108">
        <f>ROUND(SUM(M4:P4),2)</f>
        <v>519.9</v>
      </c>
      <c r="R4" s="89">
        <v>0</v>
      </c>
      <c r="S4" s="109">
        <f>L4</f>
        <v>9280</v>
      </c>
      <c r="T4" s="110">
        <v>5000</v>
      </c>
      <c r="U4" s="110">
        <f>Q4</f>
        <v>519.9</v>
      </c>
      <c r="V4" s="89">
        <v>1000</v>
      </c>
      <c r="W4" s="89"/>
      <c r="X4" s="89">
        <v>1000</v>
      </c>
      <c r="Y4" s="89"/>
      <c r="Z4" s="89"/>
      <c r="AA4" s="89"/>
      <c r="AB4" s="109">
        <f>ROUND(SUM(V4:AA4),2)</f>
        <v>2000</v>
      </c>
      <c r="AC4" s="109">
        <f>R4</f>
        <v>0</v>
      </c>
      <c r="AD4" s="112">
        <f>ROUND(S4-T4-U4-AB4-AC4,2)</f>
        <v>1760.1</v>
      </c>
      <c r="AE4" s="113">
        <f>ROUND(MAX((AD4)*{0.03;0.1;0.2;0.25;0.3;0.35;0.45}-{0;2520;16920;31920;52920;85920;181920},0),2)</f>
        <v>52.8</v>
      </c>
      <c r="AF4" s="114">
        <v>0</v>
      </c>
      <c r="AG4" s="114">
        <f>IF((AE4-AF4)&lt;0,0,AE4-AF4)</f>
        <v>52.8</v>
      </c>
      <c r="AH4" s="121">
        <f>ROUND(IF((L4-Q4-AG4)&lt;0,0,(L4-Q4-AG4)),2)</f>
        <v>8707.3</v>
      </c>
      <c r="AI4" s="122"/>
      <c r="AJ4" s="121">
        <f>AH4+AI4</f>
        <v>8707.3</v>
      </c>
      <c r="AK4" s="123"/>
      <c r="AL4" s="121">
        <f>AJ4+AG4+AK4</f>
        <v>8760.1</v>
      </c>
      <c r="AM4" s="123"/>
      <c r="AN4" s="123"/>
      <c r="AO4" s="123" t="s">
        <v>241</v>
      </c>
      <c r="AP4" s="123" t="s">
        <v>242</v>
      </c>
      <c r="AQ4" s="123" t="s">
        <v>243</v>
      </c>
      <c r="AR4" s="13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30" t="str">
        <f>IF(SUMPRODUCT(N(E$1:E$8=E4))&gt;1,"重复","不")</f>
        <v>不</v>
      </c>
      <c r="AT4" s="130" t="str">
        <f>IF(SUMPRODUCT(N(AO$1:AO$8=AO4))&gt;1,"重复","不")</f>
        <v>重复</v>
      </c>
    </row>
    <row r="5" s="31" customFormat="1" ht="18" customHeight="1" spans="1:46">
      <c r="A5" s="55">
        <v>2</v>
      </c>
      <c r="B5" s="56" t="s">
        <v>240</v>
      </c>
      <c r="C5" s="56" t="s">
        <v>154</v>
      </c>
      <c r="D5" s="56" t="s">
        <v>87</v>
      </c>
      <c r="E5" s="56" t="s">
        <v>155</v>
      </c>
      <c r="F5" s="57" t="s">
        <v>186</v>
      </c>
      <c r="G5" s="58">
        <v>13944441728</v>
      </c>
      <c r="H5" s="59"/>
      <c r="I5" s="59"/>
      <c r="J5" s="88"/>
      <c r="K5" s="59"/>
      <c r="L5" s="89">
        <v>7000</v>
      </c>
      <c r="M5" s="90">
        <v>268.81</v>
      </c>
      <c r="N5" s="90">
        <v>10.08</v>
      </c>
      <c r="O5" s="90">
        <v>61.06</v>
      </c>
      <c r="P5" s="90">
        <v>79</v>
      </c>
      <c r="Q5" s="108">
        <f>ROUND(SUM(M5:P5),2)</f>
        <v>418.95</v>
      </c>
      <c r="R5" s="89">
        <v>0</v>
      </c>
      <c r="S5" s="109">
        <f>L5</f>
        <v>7000</v>
      </c>
      <c r="T5" s="110">
        <v>5000</v>
      </c>
      <c r="U5" s="110">
        <f>Q5</f>
        <v>418.95</v>
      </c>
      <c r="V5" s="89"/>
      <c r="W5" s="89"/>
      <c r="X5" s="89">
        <v>1000</v>
      </c>
      <c r="Y5" s="89"/>
      <c r="Z5" s="89"/>
      <c r="AA5" s="89"/>
      <c r="AB5" s="109">
        <f>ROUND(SUM(V5:AA5),2)</f>
        <v>1000</v>
      </c>
      <c r="AC5" s="109">
        <f>R5</f>
        <v>0</v>
      </c>
      <c r="AD5" s="112">
        <f>ROUND(S5-T5-U5-AB5-AC5,2)</f>
        <v>581.05</v>
      </c>
      <c r="AE5" s="113">
        <f>ROUND(MAX((AD5)*{0.03;0.1;0.2;0.25;0.3;0.35;0.45}-{0;2520;16920;31920;52920;85920;181920},0),2)</f>
        <v>17.43</v>
      </c>
      <c r="AF5" s="114">
        <v>0</v>
      </c>
      <c r="AG5" s="114">
        <f>IF((AE5-AF5)&lt;0,0,AE5-AF5)</f>
        <v>17.43</v>
      </c>
      <c r="AH5" s="121">
        <f>ROUND(IF((L5-Q5-AG5)&lt;0,0,(L5-Q5-AG5)),2)</f>
        <v>6563.62</v>
      </c>
      <c r="AI5" s="122"/>
      <c r="AJ5" s="121">
        <f>AH5+AI5</f>
        <v>6563.62</v>
      </c>
      <c r="AK5" s="123"/>
      <c r="AL5" s="121">
        <f>AJ5+AG5+AK5</f>
        <v>6581.05</v>
      </c>
      <c r="AM5" s="123"/>
      <c r="AN5" s="123"/>
      <c r="AO5" s="123" t="s">
        <v>241</v>
      </c>
      <c r="AP5" s="123" t="s">
        <v>242</v>
      </c>
      <c r="AQ5" s="123" t="s">
        <v>243</v>
      </c>
      <c r="AR5" s="130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30" t="str">
        <f>IF(SUMPRODUCT(N(E$1:E$8=E5))&gt;1,"重复","不")</f>
        <v>不</v>
      </c>
      <c r="AT5" s="130" t="str">
        <f>IF(SUMPRODUCT(N(AO$1:AO$8=AO5))&gt;1,"重复","不")</f>
        <v>重复</v>
      </c>
    </row>
    <row r="6" s="31" customFormat="1" ht="18" customHeight="1" spans="1:46">
      <c r="A6" s="55">
        <v>3</v>
      </c>
      <c r="B6" s="56" t="s">
        <v>240</v>
      </c>
      <c r="C6" s="56" t="s">
        <v>188</v>
      </c>
      <c r="D6" s="56" t="s">
        <v>87</v>
      </c>
      <c r="E6" s="375" t="s">
        <v>189</v>
      </c>
      <c r="F6" s="57" t="str">
        <f>IF(MOD(MID(E6,17,1),2)=1,"男","女")</f>
        <v>女</v>
      </c>
      <c r="G6" s="58">
        <v>15360550807</v>
      </c>
      <c r="H6" s="59"/>
      <c r="I6" s="59"/>
      <c r="J6" s="88"/>
      <c r="K6" s="59"/>
      <c r="L6" s="89">
        <v>5700</v>
      </c>
      <c r="M6" s="90">
        <v>367.04</v>
      </c>
      <c r="N6" s="90">
        <v>123.5</v>
      </c>
      <c r="O6" s="90">
        <v>4.2</v>
      </c>
      <c r="P6" s="90">
        <v>105</v>
      </c>
      <c r="Q6" s="108">
        <f>ROUND(SUM(M6:P6),2)</f>
        <v>599.74</v>
      </c>
      <c r="R6" s="89">
        <v>0</v>
      </c>
      <c r="S6" s="109">
        <f>L6</f>
        <v>5700</v>
      </c>
      <c r="T6" s="110">
        <v>5000</v>
      </c>
      <c r="U6" s="110">
        <f>Q6</f>
        <v>599.74</v>
      </c>
      <c r="V6" s="89"/>
      <c r="W6" s="89"/>
      <c r="X6" s="89"/>
      <c r="Y6" s="89">
        <v>1500</v>
      </c>
      <c r="Z6" s="89"/>
      <c r="AA6" s="89"/>
      <c r="AB6" s="109">
        <f>ROUND(SUM(V6:AA6),2)</f>
        <v>1500</v>
      </c>
      <c r="AC6" s="109">
        <f>R6</f>
        <v>0</v>
      </c>
      <c r="AD6" s="112">
        <f>ROUND(S6-T6-U6-AB6-AC6,2)</f>
        <v>-1399.74</v>
      </c>
      <c r="AE6" s="113">
        <f>ROUND(MAX((AD6)*{0.03;0.1;0.2;0.25;0.3;0.35;0.45}-{0;2520;16920;31920;52920;85920;181920},0),2)</f>
        <v>0</v>
      </c>
      <c r="AF6" s="114">
        <v>0</v>
      </c>
      <c r="AG6" s="114">
        <f>IF((AE6-AF6)&lt;0,0,AE6-AF6)</f>
        <v>0</v>
      </c>
      <c r="AH6" s="121">
        <f>ROUND(IF((L6-Q6-AG6)&lt;0,0,(L6-Q6-AG6)),2)</f>
        <v>5100.26</v>
      </c>
      <c r="AI6" s="122"/>
      <c r="AJ6" s="121">
        <f>AH6+AI6</f>
        <v>5100.26</v>
      </c>
      <c r="AK6" s="123"/>
      <c r="AL6" s="121">
        <f>AJ6+AG6+AK6</f>
        <v>5100.26</v>
      </c>
      <c r="AM6" s="123"/>
      <c r="AN6" s="123"/>
      <c r="AO6" s="123" t="s">
        <v>241</v>
      </c>
      <c r="AP6" s="123" t="s">
        <v>242</v>
      </c>
      <c r="AQ6" s="123" t="s">
        <v>243</v>
      </c>
      <c r="AR6" s="130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30" t="str">
        <f>IF(SUMPRODUCT(N(E$1:E$8=E6))&gt;1,"重复","不")</f>
        <v>不</v>
      </c>
      <c r="AT6" s="130" t="str">
        <f>IF(SUMPRODUCT(N(AO$1:AO$8=AO6))&gt;1,"重复","不")</f>
        <v>重复</v>
      </c>
    </row>
    <row r="7" s="31" customFormat="1" ht="18" customHeight="1" spans="1:46">
      <c r="A7" s="55">
        <v>4</v>
      </c>
      <c r="B7" s="56" t="s">
        <v>240</v>
      </c>
      <c r="C7" s="56" t="s">
        <v>160</v>
      </c>
      <c r="D7" s="56" t="s">
        <v>87</v>
      </c>
      <c r="E7" s="375" t="s">
        <v>161</v>
      </c>
      <c r="F7" s="57" t="s">
        <v>186</v>
      </c>
      <c r="G7" s="58">
        <v>18607383005</v>
      </c>
      <c r="H7" s="59"/>
      <c r="I7" s="59"/>
      <c r="J7" s="88"/>
      <c r="K7" s="59"/>
      <c r="L7" s="89">
        <v>31000</v>
      </c>
      <c r="M7" s="90">
        <f>320</f>
        <v>320</v>
      </c>
      <c r="N7" s="90">
        <f>80</f>
        <v>80</v>
      </c>
      <c r="O7" s="90">
        <f>12</f>
        <v>12</v>
      </c>
      <c r="P7" s="90">
        <v>200</v>
      </c>
      <c r="Q7" s="108">
        <f>ROUND(SUM(M7:P7),2)</f>
        <v>612</v>
      </c>
      <c r="R7" s="89">
        <v>0</v>
      </c>
      <c r="S7" s="109">
        <f>L7</f>
        <v>31000</v>
      </c>
      <c r="T7" s="110">
        <v>5000</v>
      </c>
      <c r="U7" s="110">
        <f>Q7</f>
        <v>612</v>
      </c>
      <c r="V7" s="89">
        <v>2000</v>
      </c>
      <c r="W7" s="89">
        <v>1000</v>
      </c>
      <c r="X7" s="89"/>
      <c r="Y7" s="89"/>
      <c r="Z7" s="89"/>
      <c r="AA7" s="89"/>
      <c r="AB7" s="109">
        <f>ROUND(SUM(V7:AA7),2)</f>
        <v>3000</v>
      </c>
      <c r="AC7" s="109">
        <f>R7</f>
        <v>0</v>
      </c>
      <c r="AD7" s="112">
        <f>ROUND(S7-T7-U7-AB7-AC7,2)</f>
        <v>22388</v>
      </c>
      <c r="AE7" s="113">
        <f>ROUND(MAX((AD7)*{0.03;0.1;0.2;0.25;0.3;0.35;0.45}-{0;2520;16920;31920;52920;85920;181920},0),2)</f>
        <v>671.64</v>
      </c>
      <c r="AF7" s="114">
        <v>0</v>
      </c>
      <c r="AG7" s="114">
        <f>IF((AE7-AF7)&lt;0,0,AE7-AF7)</f>
        <v>671.64</v>
      </c>
      <c r="AH7" s="121">
        <f>ROUND(IF((L7-Q7-AG7)&lt;0,0,(L7-Q7-AG7)),2)</f>
        <v>29716.36</v>
      </c>
      <c r="AI7" s="122"/>
      <c r="AJ7" s="121">
        <f>AH7+AI7</f>
        <v>29716.36</v>
      </c>
      <c r="AK7" s="123"/>
      <c r="AL7" s="121">
        <f>AJ7+AG7+AK7</f>
        <v>30388</v>
      </c>
      <c r="AM7" s="123"/>
      <c r="AN7" s="123"/>
      <c r="AO7" s="123" t="s">
        <v>241</v>
      </c>
      <c r="AP7" s="123" t="s">
        <v>242</v>
      </c>
      <c r="AQ7" s="123" t="s">
        <v>243</v>
      </c>
      <c r="AR7" s="130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30" t="str">
        <f>IF(SUMPRODUCT(N(E$1:E$8=E7))&gt;1,"重复","不")</f>
        <v>不</v>
      </c>
      <c r="AT7" s="130" t="str">
        <f>IF(SUMPRODUCT(N(AO$1:AO$8=AO7))&gt;1,"重复","不")</f>
        <v>重复</v>
      </c>
    </row>
    <row r="8" s="31" customFormat="1" ht="18" customHeight="1" spans="1:46">
      <c r="A8" s="55">
        <v>5</v>
      </c>
      <c r="B8" s="56" t="s">
        <v>240</v>
      </c>
      <c r="C8" s="56" t="s">
        <v>238</v>
      </c>
      <c r="D8" s="56" t="s">
        <v>87</v>
      </c>
      <c r="E8" s="56" t="s">
        <v>239</v>
      </c>
      <c r="F8" s="57" t="s">
        <v>186</v>
      </c>
      <c r="G8" s="58">
        <v>13373825180</v>
      </c>
      <c r="H8" s="59"/>
      <c r="I8" s="59"/>
      <c r="J8" s="88"/>
      <c r="K8" s="59"/>
      <c r="L8" s="89">
        <v>26739</v>
      </c>
      <c r="M8" s="90">
        <v>261.04</v>
      </c>
      <c r="N8" s="90">
        <v>9.1</v>
      </c>
      <c r="O8" s="90">
        <v>57.18</v>
      </c>
      <c r="P8" s="90">
        <v>85</v>
      </c>
      <c r="Q8" s="108">
        <f>ROUND(SUM(M8:P8),2)</f>
        <v>412.32</v>
      </c>
      <c r="R8" s="89">
        <v>0</v>
      </c>
      <c r="S8" s="109">
        <f>L8</f>
        <v>26739</v>
      </c>
      <c r="T8" s="110">
        <v>5000</v>
      </c>
      <c r="U8" s="110">
        <f>Q8</f>
        <v>412.32</v>
      </c>
      <c r="V8" s="89">
        <v>1000</v>
      </c>
      <c r="W8" s="89">
        <v>1000</v>
      </c>
      <c r="X8" s="89">
        <v>1000</v>
      </c>
      <c r="Y8" s="89"/>
      <c r="Z8" s="89"/>
      <c r="AA8" s="89"/>
      <c r="AB8" s="109">
        <f>ROUND(SUM(V8:AA8),2)</f>
        <v>3000</v>
      </c>
      <c r="AC8" s="109">
        <f>R8</f>
        <v>0</v>
      </c>
      <c r="AD8" s="112">
        <f>ROUND(S8-T8-U8-AB8-AC8,2)</f>
        <v>18326.68</v>
      </c>
      <c r="AE8" s="113">
        <f>ROUND(MAX((AD8)*{0.03;0.1;0.2;0.25;0.3;0.35;0.45}-{0;2520;16920;31920;52920;85920;181920},0),2)</f>
        <v>549.8</v>
      </c>
      <c r="AF8" s="114">
        <v>0</v>
      </c>
      <c r="AG8" s="114">
        <f>IF((AE8-AF8)&lt;0,0,AE8-AF8)</f>
        <v>549.8</v>
      </c>
      <c r="AH8" s="121">
        <f>ROUND(IF((L8-Q8-AG8)&lt;0,0,(L8-Q8-AG8)),2)</f>
        <v>25776.88</v>
      </c>
      <c r="AI8" s="122"/>
      <c r="AJ8" s="121">
        <f>AH8+AI8</f>
        <v>25776.88</v>
      </c>
      <c r="AK8" s="123"/>
      <c r="AL8" s="121">
        <f>AJ8+AG8+AK8</f>
        <v>26326.68</v>
      </c>
      <c r="AM8" s="123"/>
      <c r="AN8" s="123"/>
      <c r="AO8" s="123" t="s">
        <v>241</v>
      </c>
      <c r="AP8" s="123" t="s">
        <v>242</v>
      </c>
      <c r="AQ8" s="123" t="s">
        <v>243</v>
      </c>
      <c r="AR8" s="130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30" t="str">
        <f>IF(SUMPRODUCT(N(E$1:E$8=E8))&gt;1,"重复","不")</f>
        <v>不</v>
      </c>
      <c r="AT8" s="130" t="str">
        <f>IF(SUMPRODUCT(N(AO$1:AO$8=AO8))&gt;1,"重复","不")</f>
        <v>重复</v>
      </c>
    </row>
    <row r="9" s="32" customFormat="1" ht="18" customHeight="1" spans="1:46">
      <c r="A9" s="60"/>
      <c r="B9" s="61" t="s">
        <v>91</v>
      </c>
      <c r="C9" s="61"/>
      <c r="D9" s="62"/>
      <c r="E9" s="63"/>
      <c r="F9" s="64"/>
      <c r="G9" s="65"/>
      <c r="H9" s="64"/>
      <c r="I9" s="91"/>
      <c r="J9" s="92"/>
      <c r="K9" s="91"/>
      <c r="L9" s="93">
        <f t="shared" ref="L9:AL9" si="0">SUM(L4:L8)</f>
        <v>79719</v>
      </c>
      <c r="M9" s="93">
        <f t="shared" si="0"/>
        <v>1480.89</v>
      </c>
      <c r="N9" s="93">
        <f t="shared" si="0"/>
        <v>288.68</v>
      </c>
      <c r="O9" s="93">
        <f t="shared" si="0"/>
        <v>144.34</v>
      </c>
      <c r="P9" s="93">
        <f t="shared" si="0"/>
        <v>649</v>
      </c>
      <c r="Q9" s="93">
        <f t="shared" si="0"/>
        <v>2562.91</v>
      </c>
      <c r="R9" s="93">
        <f t="shared" si="0"/>
        <v>0</v>
      </c>
      <c r="S9" s="93">
        <f t="shared" si="0"/>
        <v>79719</v>
      </c>
      <c r="T9" s="93">
        <f t="shared" si="0"/>
        <v>25000</v>
      </c>
      <c r="U9" s="93">
        <f t="shared" si="0"/>
        <v>2562.91</v>
      </c>
      <c r="V9" s="93">
        <f t="shared" si="0"/>
        <v>4000</v>
      </c>
      <c r="W9" s="93">
        <f t="shared" si="0"/>
        <v>2000</v>
      </c>
      <c r="X9" s="93">
        <f t="shared" si="0"/>
        <v>3000</v>
      </c>
      <c r="Y9" s="93">
        <f t="shared" si="0"/>
        <v>1500</v>
      </c>
      <c r="Z9" s="93">
        <f t="shared" si="0"/>
        <v>0</v>
      </c>
      <c r="AA9" s="93">
        <f t="shared" si="0"/>
        <v>0</v>
      </c>
      <c r="AB9" s="93">
        <f t="shared" si="0"/>
        <v>10500</v>
      </c>
      <c r="AC9" s="93">
        <f t="shared" si="0"/>
        <v>0</v>
      </c>
      <c r="AD9" s="93">
        <f t="shared" si="0"/>
        <v>41656.09</v>
      </c>
      <c r="AE9" s="93">
        <f t="shared" si="0"/>
        <v>1291.67</v>
      </c>
      <c r="AF9" s="93">
        <f t="shared" si="0"/>
        <v>0</v>
      </c>
      <c r="AG9" s="93">
        <f t="shared" si="0"/>
        <v>1291.67</v>
      </c>
      <c r="AH9" s="93">
        <f t="shared" si="0"/>
        <v>75864.42</v>
      </c>
      <c r="AI9" s="124">
        <f t="shared" si="0"/>
        <v>0</v>
      </c>
      <c r="AJ9" s="93">
        <f t="shared" si="0"/>
        <v>75864.42</v>
      </c>
      <c r="AK9" s="93">
        <f t="shared" si="0"/>
        <v>0</v>
      </c>
      <c r="AL9" s="93">
        <f t="shared" si="0"/>
        <v>77156.09</v>
      </c>
      <c r="AM9" s="125"/>
      <c r="AN9" s="125"/>
      <c r="AO9" s="125"/>
      <c r="AP9" s="125"/>
      <c r="AQ9" s="125"/>
      <c r="AR9" s="64"/>
      <c r="AS9" s="64"/>
      <c r="AT9" s="131"/>
    </row>
    <row r="12" spans="30:30">
      <c r="AD12" s="115"/>
    </row>
    <row r="13" ht="18.75" customHeight="1" spans="2:30">
      <c r="B13" s="66" t="s">
        <v>64</v>
      </c>
      <c r="C13" s="66" t="s">
        <v>92</v>
      </c>
      <c r="D13" s="66" t="s">
        <v>65</v>
      </c>
      <c r="E13" s="66" t="s">
        <v>93</v>
      </c>
      <c r="AD13" s="29"/>
    </row>
    <row r="14" ht="18.75" customHeight="1" spans="2:5">
      <c r="B14" s="67">
        <f>AJ9</f>
        <v>75864.42</v>
      </c>
      <c r="C14" s="67">
        <f>AG9</f>
        <v>1291.67</v>
      </c>
      <c r="D14" s="67">
        <f>AK9</f>
        <v>0</v>
      </c>
      <c r="E14" s="67">
        <f>B14+C14+D14</f>
        <v>77156.09</v>
      </c>
    </row>
    <row r="15" spans="2:5">
      <c r="B15" s="68"/>
      <c r="C15" s="68"/>
      <c r="D15" s="68"/>
      <c r="E15" s="68"/>
    </row>
    <row r="16" s="33" customFormat="1" spans="1:35">
      <c r="A16" s="69" t="s">
        <v>94</v>
      </c>
      <c r="B16" s="70" t="s">
        <v>95</v>
      </c>
      <c r="C16" s="71"/>
      <c r="D16" s="71"/>
      <c r="E16" s="71"/>
      <c r="G16" s="72"/>
      <c r="J16" s="94"/>
      <c r="M16" s="95"/>
      <c r="AI16" s="126"/>
    </row>
    <row r="17" s="33" customFormat="1" spans="1:35">
      <c r="A17" s="73"/>
      <c r="B17" s="74" t="s">
        <v>96</v>
      </c>
      <c r="C17" s="71"/>
      <c r="D17" s="71"/>
      <c r="E17" s="71"/>
      <c r="G17" s="72"/>
      <c r="J17" s="94"/>
      <c r="M17" s="95"/>
      <c r="AI17" s="126"/>
    </row>
    <row r="18" s="33" customFormat="1" spans="1:35">
      <c r="A18" s="70"/>
      <c r="B18" s="74" t="s">
        <v>97</v>
      </c>
      <c r="C18" s="75"/>
      <c r="D18" s="75"/>
      <c r="E18" s="75"/>
      <c r="F18" s="75"/>
      <c r="G18" s="75"/>
      <c r="H18" s="75"/>
      <c r="I18" s="75"/>
      <c r="J18" s="96"/>
      <c r="K18" s="75"/>
      <c r="L18" s="75"/>
      <c r="M18" s="97"/>
      <c r="N18" s="75"/>
      <c r="O18" s="75"/>
      <c r="P18" s="75"/>
      <c r="AI18" s="126"/>
    </row>
    <row r="19" s="33" customFormat="1" customHeight="1" spans="1:35">
      <c r="A19" s="74"/>
      <c r="B19" s="74" t="s">
        <v>98</v>
      </c>
      <c r="C19" s="76"/>
      <c r="D19" s="76"/>
      <c r="E19" s="76"/>
      <c r="F19" s="76"/>
      <c r="G19" s="76"/>
      <c r="H19" s="76"/>
      <c r="I19" s="98"/>
      <c r="J19" s="99"/>
      <c r="K19" s="98"/>
      <c r="L19" s="98"/>
      <c r="M19" s="100"/>
      <c r="N19" s="98"/>
      <c r="O19" s="98"/>
      <c r="P19" s="98"/>
      <c r="AI19" s="126"/>
    </row>
    <row r="20" s="33" customFormat="1" customHeight="1" spans="1:35">
      <c r="A20" s="74"/>
      <c r="B20" s="74" t="s">
        <v>99</v>
      </c>
      <c r="C20" s="76"/>
      <c r="D20" s="76"/>
      <c r="E20" s="76"/>
      <c r="F20" s="76"/>
      <c r="G20" s="76"/>
      <c r="H20" s="76"/>
      <c r="I20" s="76"/>
      <c r="J20" s="101"/>
      <c r="K20" s="76"/>
      <c r="L20" s="98"/>
      <c r="M20" s="100"/>
      <c r="N20" s="98"/>
      <c r="O20" s="98"/>
      <c r="P20" s="98"/>
      <c r="AI20" s="126"/>
    </row>
    <row r="21" s="33" customFormat="1" customHeight="1" spans="1:35">
      <c r="A21" s="74"/>
      <c r="B21" s="74" t="s">
        <v>100</v>
      </c>
      <c r="C21" s="76"/>
      <c r="D21" s="76"/>
      <c r="E21" s="76"/>
      <c r="F21" s="76"/>
      <c r="G21" s="76"/>
      <c r="H21" s="76"/>
      <c r="I21" s="98"/>
      <c r="J21" s="99"/>
      <c r="K21" s="98"/>
      <c r="L21" s="98"/>
      <c r="M21" s="100"/>
      <c r="N21" s="98"/>
      <c r="O21" s="98"/>
      <c r="P21" s="98"/>
      <c r="AI21" s="126"/>
    </row>
    <row r="23" ht="11.25" customHeight="1" spans="2:2">
      <c r="B23" s="77" t="s">
        <v>101</v>
      </c>
    </row>
    <row r="24" spans="2:2">
      <c r="B24" s="78" t="s">
        <v>102</v>
      </c>
    </row>
    <row r="25" spans="2:2">
      <c r="B25" s="78" t="s">
        <v>103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2" priority="10" stopIfTrue="1"/>
  </conditionalFormatting>
  <conditionalFormatting sqref="B16:B20">
    <cfRule type="duplicateValues" dxfId="2" priority="13" stopIfTrue="1"/>
  </conditionalFormatting>
  <conditionalFormatting sqref="B24:B25">
    <cfRule type="duplicateValues" dxfId="2" priority="1" stopIfTrue="1"/>
  </conditionalFormatting>
  <conditionalFormatting sqref="C13:C15">
    <cfRule type="duplicateValues" dxfId="2" priority="17" stopIfTrue="1"/>
    <cfRule type="expression" dxfId="3" priority="19" stopIfTrue="1">
      <formula>AND(COUNTIF($B$9:$B$65445,C13)+COUNTIF($B$1:$B$3,C13)&gt;1,NOT(ISBLANK(C13)))</formula>
    </cfRule>
    <cfRule type="expression" dxfId="3" priority="21" stopIfTrue="1">
      <formula>AND(COUNTIF($B$20:$B$65396,C13)+COUNTIF($B$1:$B$19,C13)&gt;1,NOT(ISBLANK(C13)))</formula>
    </cfRule>
    <cfRule type="expression" dxfId="3" priority="23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8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12.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3.37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3.375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7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8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9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56" t="s">
        <v>86</v>
      </c>
      <c r="D4" s="56" t="s">
        <v>87</v>
      </c>
      <c r="E4" s="56" t="s">
        <v>88</v>
      </c>
      <c r="F4" s="57" t="s">
        <v>186</v>
      </c>
      <c r="G4" s="58">
        <v>18035163638</v>
      </c>
      <c r="H4" s="59"/>
      <c r="I4" s="59"/>
      <c r="J4" s="88"/>
      <c r="K4" s="59"/>
      <c r="L4" s="89">
        <v>8000</v>
      </c>
      <c r="M4" s="90">
        <v>264</v>
      </c>
      <c r="N4" s="90">
        <v>66</v>
      </c>
      <c r="O4" s="90">
        <v>9.9</v>
      </c>
      <c r="P4" s="90">
        <v>180</v>
      </c>
      <c r="Q4" s="108">
        <f>ROUND(SUM(M4:P4),2)</f>
        <v>519.9</v>
      </c>
      <c r="R4" s="89">
        <v>0</v>
      </c>
      <c r="S4" s="109">
        <f>L4+IFERROR(VLOOKUP($E:$E,'（居民）工资表-11月'!$E:$S,15,0),0)</f>
        <v>94970</v>
      </c>
      <c r="T4" s="110">
        <f>5000+IFERROR(VLOOKUP($E:$E,'（居民）工资表-11月'!$E:$T,16,0),0)</f>
        <v>60000</v>
      </c>
      <c r="U4" s="110">
        <f>Q4+IFERROR(VLOOKUP($E:$E,'（居民）工资表-11月'!$E:$U,17,0),0)</f>
        <v>6238.8</v>
      </c>
      <c r="V4" s="89"/>
      <c r="W4" s="89"/>
      <c r="X4" s="89">
        <v>12000</v>
      </c>
      <c r="Y4" s="89"/>
      <c r="Z4" s="89"/>
      <c r="AA4" s="89"/>
      <c r="AB4" s="109">
        <f>ROUND(SUM(V4:AA4),2)</f>
        <v>12000</v>
      </c>
      <c r="AC4" s="109">
        <f>R4+IFERROR(VLOOKUP($E:$E,'（居民）工资表-11月'!$E:$AC,25,0),0)</f>
        <v>0</v>
      </c>
      <c r="AD4" s="112">
        <f>ROUND(S4-T4-U4-AB4-AC4,2)</f>
        <v>16731.2</v>
      </c>
      <c r="AE4" s="113">
        <f>ROUND(MAX((AD4)*{0.03;0.1;0.2;0.25;0.3;0.35;0.45}-{0;2520;16920;31920;52920;85920;181920},0),2)</f>
        <v>501.94</v>
      </c>
      <c r="AF4" s="114">
        <f>IFERROR(VLOOKUP(E:E,'（居民）工资表-11月'!E:AF,28,0)+VLOOKUP(E:E,'（居民）工资表-11月'!E:AG,29,0),0)</f>
        <v>457.53</v>
      </c>
      <c r="AG4" s="114">
        <f>IF((AE4-AF4)&lt;0,0,AE4-AF4)</f>
        <v>44.41</v>
      </c>
      <c r="AH4" s="121">
        <f>ROUND(IF((L4-Q4-AG4)&lt;0,0,(L4-Q4-AG4)),2)</f>
        <v>7435.69</v>
      </c>
      <c r="AI4" s="122"/>
      <c r="AJ4" s="121">
        <f>AH4+AI4</f>
        <v>7435.69</v>
      </c>
      <c r="AK4" s="123"/>
      <c r="AL4" s="121">
        <f>AJ4+AG4+AK4</f>
        <v>7480.1</v>
      </c>
      <c r="AM4" s="123"/>
      <c r="AN4" s="123"/>
      <c r="AO4" s="123"/>
      <c r="AP4" s="123"/>
      <c r="AQ4" s="123"/>
      <c r="AR4" s="13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30" t="str">
        <f>IF(SUMPRODUCT(N(E$1:E$8=E4))&gt;1,"重复","不")</f>
        <v>不</v>
      </c>
      <c r="AT4" s="130" t="str">
        <f>IF(SUMPRODUCT(N(AO$1:AO$8=AO4))&gt;1,"重复","不")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56" t="s">
        <v>154</v>
      </c>
      <c r="D5" s="56" t="s">
        <v>87</v>
      </c>
      <c r="E5" s="56" t="s">
        <v>155</v>
      </c>
      <c r="F5" s="57" t="s">
        <v>186</v>
      </c>
      <c r="G5" s="58">
        <v>13944441728</v>
      </c>
      <c r="H5" s="59"/>
      <c r="I5" s="59"/>
      <c r="J5" s="88"/>
      <c r="K5" s="59"/>
      <c r="L5" s="89">
        <v>7000</v>
      </c>
      <c r="M5" s="90">
        <v>268.81</v>
      </c>
      <c r="N5" s="90">
        <v>10.08</v>
      </c>
      <c r="O5" s="90">
        <v>61.06</v>
      </c>
      <c r="P5" s="90">
        <v>79</v>
      </c>
      <c r="Q5" s="108">
        <f>ROUND(SUM(M5:P5),2)</f>
        <v>418.95</v>
      </c>
      <c r="R5" s="89">
        <v>0</v>
      </c>
      <c r="S5" s="109">
        <f>L5+IFERROR(VLOOKUP($E:$E,'（居民）工资表-11月'!$E:$S,15,0),0)</f>
        <v>62871.4</v>
      </c>
      <c r="T5" s="110">
        <f>5000+IFERROR(VLOOKUP($E:$E,'（居民）工资表-11月'!$E:$T,16,0),0)</f>
        <v>45000</v>
      </c>
      <c r="U5" s="110">
        <f>Q5+IFERROR(VLOOKUP($E:$E,'（居民）工资表-11月'!$E:$U,17,0),0)</f>
        <v>4087.54</v>
      </c>
      <c r="V5" s="89"/>
      <c r="W5" s="89"/>
      <c r="X5" s="89"/>
      <c r="Y5" s="89"/>
      <c r="Z5" s="89"/>
      <c r="AA5" s="89"/>
      <c r="AB5" s="109">
        <f>ROUND(SUM(V5:AA5),2)</f>
        <v>0</v>
      </c>
      <c r="AC5" s="109">
        <f>R5+IFERROR(VLOOKUP($E:$E,'（居民）工资表-11月'!$E:$AC,25,0),0)</f>
        <v>0</v>
      </c>
      <c r="AD5" s="112">
        <f>ROUND(S5-T5-U5-AB5-AC5,2)</f>
        <v>13783.86</v>
      </c>
      <c r="AE5" s="113">
        <f>ROUND(MAX((AD5)*{0.03;0.1;0.2;0.25;0.3;0.35;0.45}-{0;2520;16920;31920;52920;85920;181920},0),2)</f>
        <v>413.52</v>
      </c>
      <c r="AF5" s="114">
        <f>IFERROR(VLOOKUP(E:E,'（居民）工资表-11月'!E:AF,28,0)+VLOOKUP(E:E,'（居民）工资表-11月'!E:AG,29,0),0)</f>
        <v>366.08</v>
      </c>
      <c r="AG5" s="114">
        <f>IF((AE5-AF5)&lt;0,0,AE5-AF5)</f>
        <v>47.44</v>
      </c>
      <c r="AH5" s="121">
        <f>ROUND(IF((L5-Q5-AG5)&lt;0,0,(L5-Q5-AG5)),2)</f>
        <v>6533.61</v>
      </c>
      <c r="AI5" s="122"/>
      <c r="AJ5" s="121">
        <f>AH5+AI5</f>
        <v>6533.61</v>
      </c>
      <c r="AK5" s="123"/>
      <c r="AL5" s="121">
        <f>AJ5+AG5+AK5</f>
        <v>6581.05</v>
      </c>
      <c r="AM5" s="123"/>
      <c r="AN5" s="123"/>
      <c r="AO5" s="123"/>
      <c r="AP5" s="123"/>
      <c r="AQ5" s="123"/>
      <c r="AR5" s="130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30" t="str">
        <f>IF(SUMPRODUCT(N(E$1:E$8=E5))&gt;1,"重复","不")</f>
        <v>不</v>
      </c>
      <c r="AT5" s="130" t="str">
        <f>IF(SUMPRODUCT(N(AO$1:AO$8=AO5))&gt;1,"重复","不")</f>
        <v>重复</v>
      </c>
    </row>
    <row r="6" s="31" customFormat="1" ht="18" customHeight="1" spans="1:46">
      <c r="A6" s="55">
        <v>3</v>
      </c>
      <c r="B6" s="56" t="s">
        <v>85</v>
      </c>
      <c r="C6" s="56" t="s">
        <v>188</v>
      </c>
      <c r="D6" s="56" t="s">
        <v>87</v>
      </c>
      <c r="E6" s="375" t="s">
        <v>189</v>
      </c>
      <c r="F6" s="57" t="str">
        <f>IF(MOD(MID(E6,17,1),2)=1,"男","女")</f>
        <v>女</v>
      </c>
      <c r="G6" s="58">
        <v>15360550807</v>
      </c>
      <c r="H6" s="59"/>
      <c r="I6" s="59"/>
      <c r="J6" s="88"/>
      <c r="K6" s="59"/>
      <c r="L6" s="89">
        <v>5700</v>
      </c>
      <c r="M6" s="90">
        <v>367.04</v>
      </c>
      <c r="N6" s="90">
        <v>123.5</v>
      </c>
      <c r="O6" s="90">
        <v>4.2</v>
      </c>
      <c r="P6" s="90">
        <v>105</v>
      </c>
      <c r="Q6" s="108">
        <f>ROUND(SUM(M6:P6),2)</f>
        <v>599.74</v>
      </c>
      <c r="R6" s="89">
        <v>0</v>
      </c>
      <c r="S6" s="109">
        <f>L6+IFERROR(VLOOKUP($E:$E,'（居民）工资表-11月'!$E:$S,15,0),0)</f>
        <v>29743.6363636364</v>
      </c>
      <c r="T6" s="110">
        <f>5000+IFERROR(VLOOKUP($E:$E,'（居民）工资表-11月'!$E:$T,16,0),0)</f>
        <v>30000</v>
      </c>
      <c r="U6" s="110">
        <f>Q6+IFERROR(VLOOKUP($E:$E,'（居民）工资表-11月'!$E:$U,17,0),0)</f>
        <v>1199.48</v>
      </c>
      <c r="V6" s="89"/>
      <c r="W6" s="89"/>
      <c r="X6" s="89"/>
      <c r="Y6" s="89"/>
      <c r="Z6" s="89"/>
      <c r="AA6" s="89"/>
      <c r="AB6" s="109">
        <f>ROUND(SUM(V6:AA6),2)</f>
        <v>0</v>
      </c>
      <c r="AC6" s="109">
        <f>R6+IFERROR(VLOOKUP($E:$E,'（居民）工资表-11月'!$E:$AC,25,0),0)</f>
        <v>0</v>
      </c>
      <c r="AD6" s="112">
        <f>ROUND(S6-T6-U6-AB6-AC6,2)</f>
        <v>-1455.84</v>
      </c>
      <c r="AE6" s="113">
        <f>ROUND(MAX((AD6)*{0.03;0.1;0.2;0.25;0.3;0.35;0.45}-{0;2520;16920;31920;52920;85920;181920},0),2)</f>
        <v>0</v>
      </c>
      <c r="AF6" s="114">
        <f>IFERROR(VLOOKUP(E:E,'（居民）工资表-11月'!E:AF,28,0)+VLOOKUP(E:E,'（居民）工资表-11月'!E:AG,29,0),0)</f>
        <v>0</v>
      </c>
      <c r="AG6" s="114">
        <f>IF((AE6-AF6)&lt;0,0,AE6-AF6)</f>
        <v>0</v>
      </c>
      <c r="AH6" s="121">
        <f>ROUND(IF((L6-Q6-AG6)&lt;0,0,(L6-Q6-AG6)),2)</f>
        <v>5100.26</v>
      </c>
      <c r="AI6" s="122"/>
      <c r="AJ6" s="121">
        <f>AH6+AI6</f>
        <v>5100.26</v>
      </c>
      <c r="AK6" s="123"/>
      <c r="AL6" s="121">
        <f>AJ6+AG6+AK6</f>
        <v>5100.26</v>
      </c>
      <c r="AM6" s="123"/>
      <c r="AN6" s="123"/>
      <c r="AO6" s="123"/>
      <c r="AP6" s="123"/>
      <c r="AQ6" s="123"/>
      <c r="AR6" s="130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30" t="str">
        <f>IF(SUMPRODUCT(N(E$1:E$8=E6))&gt;1,"重复","不")</f>
        <v>不</v>
      </c>
      <c r="AT6" s="130" t="str">
        <f>IF(SUMPRODUCT(N(AO$1:AO$8=AO6))&gt;1,"重复","不")</f>
        <v>重复</v>
      </c>
    </row>
    <row r="7" s="31" customFormat="1" ht="18" customHeight="1" spans="1:46">
      <c r="A7" s="55">
        <v>4</v>
      </c>
      <c r="B7" s="56" t="s">
        <v>85</v>
      </c>
      <c r="C7" s="56" t="s">
        <v>160</v>
      </c>
      <c r="D7" s="56" t="s">
        <v>87</v>
      </c>
      <c r="E7" s="375" t="s">
        <v>161</v>
      </c>
      <c r="F7" s="57" t="s">
        <v>186</v>
      </c>
      <c r="G7" s="58">
        <v>18607383005</v>
      </c>
      <c r="H7" s="59"/>
      <c r="I7" s="59"/>
      <c r="J7" s="88"/>
      <c r="K7" s="59"/>
      <c r="L7" s="89">
        <v>25000</v>
      </c>
      <c r="M7" s="90">
        <f>320</f>
        <v>320</v>
      </c>
      <c r="N7" s="90">
        <f>80</f>
        <v>80</v>
      </c>
      <c r="O7" s="90">
        <f>12</f>
        <v>12</v>
      </c>
      <c r="P7" s="90">
        <v>200</v>
      </c>
      <c r="Q7" s="108">
        <f>ROUND(SUM(M7:P7),2)</f>
        <v>612</v>
      </c>
      <c r="R7" s="89">
        <v>0</v>
      </c>
      <c r="S7" s="109">
        <f>L7+IFERROR(VLOOKUP($E:$E,'（居民）工资表-11月'!$E:$S,15,0),0)</f>
        <v>180024.76</v>
      </c>
      <c r="T7" s="110">
        <f>5000+IFERROR(VLOOKUP($E:$E,'（居民）工资表-11月'!$E:$T,16,0),0)</f>
        <v>40000</v>
      </c>
      <c r="U7" s="110">
        <f>Q7+IFERROR(VLOOKUP($E:$E,'（居民）工资表-11月'!$E:$U,17,0),0)</f>
        <v>4982.67</v>
      </c>
      <c r="V7" s="89"/>
      <c r="W7" s="89"/>
      <c r="X7" s="89"/>
      <c r="Y7" s="89"/>
      <c r="Z7" s="89"/>
      <c r="AA7" s="89"/>
      <c r="AB7" s="109">
        <f>ROUND(SUM(V7:AA7),2)</f>
        <v>0</v>
      </c>
      <c r="AC7" s="109">
        <f>R7+IFERROR(VLOOKUP($E:$E,'（居民）工资表-11月'!$E:$AC,25,0),0)</f>
        <v>0</v>
      </c>
      <c r="AD7" s="112">
        <f>ROUND(S7-T7-U7-AB7-AC7,2)</f>
        <v>135042.09</v>
      </c>
      <c r="AE7" s="113">
        <f>ROUND(MAX((AD7)*{0.03;0.1;0.2;0.25;0.3;0.35;0.45}-{0;2520;16920;31920;52920;85920;181920},0),2)</f>
        <v>10984.21</v>
      </c>
      <c r="AF7" s="114">
        <f>IFERROR(VLOOKUP(E:E,'（居民）工资表-11月'!E:AF,28,0)+VLOOKUP(E:E,'（居民）工资表-11月'!E:AG,29,0),0)</f>
        <v>9045.41</v>
      </c>
      <c r="AG7" s="114">
        <f>IF((AE7-AF7)&lt;0,0,AE7-AF7)</f>
        <v>1938.8</v>
      </c>
      <c r="AH7" s="121">
        <f>ROUND(IF((L7-Q7-AG7)&lt;0,0,(L7-Q7-AG7)),2)</f>
        <v>22449.2</v>
      </c>
      <c r="AI7" s="122"/>
      <c r="AJ7" s="121">
        <f>AH7+AI7</f>
        <v>22449.2</v>
      </c>
      <c r="AK7" s="123"/>
      <c r="AL7" s="121">
        <f>AJ7+AG7+AK7</f>
        <v>24388</v>
      </c>
      <c r="AM7" s="123"/>
      <c r="AN7" s="123"/>
      <c r="AO7" s="123"/>
      <c r="AP7" s="123"/>
      <c r="AQ7" s="123"/>
      <c r="AR7" s="130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30" t="str">
        <f>IF(SUMPRODUCT(N(E$1:E$8=E7))&gt;1,"重复","不")</f>
        <v>不</v>
      </c>
      <c r="AT7" s="130" t="str">
        <f>IF(SUMPRODUCT(N(AO$1:AO$8=AO7))&gt;1,"重复","不")</f>
        <v>重复</v>
      </c>
    </row>
    <row r="8" s="31" customFormat="1" ht="18" customHeight="1" spans="1:46">
      <c r="A8" s="55">
        <v>5</v>
      </c>
      <c r="B8" s="56" t="s">
        <v>85</v>
      </c>
      <c r="C8" s="56" t="s">
        <v>238</v>
      </c>
      <c r="D8" s="56" t="s">
        <v>87</v>
      </c>
      <c r="E8" s="56" t="s">
        <v>239</v>
      </c>
      <c r="F8" s="57" t="s">
        <v>186</v>
      </c>
      <c r="G8" s="58">
        <v>13373825180</v>
      </c>
      <c r="H8" s="59"/>
      <c r="I8" s="59"/>
      <c r="J8" s="88"/>
      <c r="K8" s="59"/>
      <c r="L8" s="89">
        <v>25000</v>
      </c>
      <c r="M8" s="90">
        <v>261.04</v>
      </c>
      <c r="N8" s="90">
        <v>9.1</v>
      </c>
      <c r="O8" s="90">
        <v>57.18</v>
      </c>
      <c r="P8" s="90">
        <v>85</v>
      </c>
      <c r="Q8" s="108">
        <f>ROUND(SUM(M8:P8),2)</f>
        <v>412.32</v>
      </c>
      <c r="R8" s="89">
        <v>0</v>
      </c>
      <c r="S8" s="109">
        <f>L8+IFERROR(VLOOKUP($E:$E,'（居民）工资表-11月'!$E:$S,15,0),0)</f>
        <v>50000</v>
      </c>
      <c r="T8" s="110">
        <f>5000+IFERROR(VLOOKUP($E:$E,'（居民）工资表-11月'!$E:$T,16,0),0)</f>
        <v>10000</v>
      </c>
      <c r="U8" s="110">
        <f>Q8+IFERROR(VLOOKUP($E:$E,'（居民）工资表-11月'!$E:$U,17,0),0)</f>
        <v>1269.46</v>
      </c>
      <c r="V8" s="89"/>
      <c r="W8" s="89"/>
      <c r="X8" s="89"/>
      <c r="Y8" s="89"/>
      <c r="Z8" s="89"/>
      <c r="AA8" s="89"/>
      <c r="AB8" s="109">
        <f>ROUND(SUM(V8:AA8),2)</f>
        <v>0</v>
      </c>
      <c r="AC8" s="109">
        <f>R8+IFERROR(VLOOKUP($E:$E,'（居民）工资表-11月'!$E:$AC,25,0),0)</f>
        <v>0</v>
      </c>
      <c r="AD8" s="112">
        <f>ROUND(S8-T8-U8-AB8-AC8,2)</f>
        <v>38730.54</v>
      </c>
      <c r="AE8" s="113">
        <f>ROUND(MAX((AD8)*{0.03;0.1;0.2;0.25;0.3;0.35;0.45}-{0;2520;16920;31920;52920;85920;181920},0),2)</f>
        <v>1353.05</v>
      </c>
      <c r="AF8" s="114">
        <f>IFERROR(VLOOKUP(E:E,'（居民）工资表-11月'!E:AF,28,0)+VLOOKUP(E:E,'（居民）工资表-11月'!E:AG,29,0),0)</f>
        <v>574.29</v>
      </c>
      <c r="AG8" s="114">
        <f>IF((AE8-AF8)&lt;0,0,AE8-AF8)</f>
        <v>778.76</v>
      </c>
      <c r="AH8" s="121">
        <f>ROUND(IF((L8-Q8-AG8)&lt;0,0,(L8-Q8-AG8)),2)</f>
        <v>23808.92</v>
      </c>
      <c r="AI8" s="122"/>
      <c r="AJ8" s="121">
        <f>AH8+AI8</f>
        <v>23808.92</v>
      </c>
      <c r="AK8" s="123"/>
      <c r="AL8" s="121">
        <f>AJ8+AG8+AK8</f>
        <v>24587.68</v>
      </c>
      <c r="AM8" s="123"/>
      <c r="AN8" s="123"/>
      <c r="AO8" s="123"/>
      <c r="AP8" s="123"/>
      <c r="AQ8" s="123"/>
      <c r="AR8" s="130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30" t="str">
        <f>IF(SUMPRODUCT(N(E$1:E$8=E8))&gt;1,"重复","不")</f>
        <v>不</v>
      </c>
      <c r="AT8" s="130" t="str">
        <f>IF(SUMPRODUCT(N(AO$1:AO$8=AO8))&gt;1,"重复","不")</f>
        <v>重复</v>
      </c>
    </row>
    <row r="9" s="32" customFormat="1" ht="18" customHeight="1" spans="1:46">
      <c r="A9" s="60"/>
      <c r="B9" s="61" t="s">
        <v>91</v>
      </c>
      <c r="C9" s="61"/>
      <c r="D9" s="62"/>
      <c r="E9" s="63"/>
      <c r="F9" s="64"/>
      <c r="G9" s="65"/>
      <c r="H9" s="64"/>
      <c r="I9" s="91"/>
      <c r="J9" s="92"/>
      <c r="K9" s="91"/>
      <c r="L9" s="93">
        <f t="shared" ref="L9:AL9" si="0">SUM(L4:L8)</f>
        <v>70700</v>
      </c>
      <c r="M9" s="93">
        <f t="shared" si="0"/>
        <v>1480.89</v>
      </c>
      <c r="N9" s="93">
        <f t="shared" si="0"/>
        <v>288.68</v>
      </c>
      <c r="O9" s="93">
        <f t="shared" si="0"/>
        <v>144.34</v>
      </c>
      <c r="P9" s="93">
        <f t="shared" si="0"/>
        <v>649</v>
      </c>
      <c r="Q9" s="93">
        <f t="shared" si="0"/>
        <v>2562.91</v>
      </c>
      <c r="R9" s="93">
        <f t="shared" si="0"/>
        <v>0</v>
      </c>
      <c r="S9" s="93">
        <f t="shared" si="0"/>
        <v>417609.796363636</v>
      </c>
      <c r="T9" s="93">
        <f t="shared" si="0"/>
        <v>185000</v>
      </c>
      <c r="U9" s="93">
        <f t="shared" si="0"/>
        <v>17777.95</v>
      </c>
      <c r="V9" s="93">
        <f t="shared" si="0"/>
        <v>0</v>
      </c>
      <c r="W9" s="93">
        <f t="shared" si="0"/>
        <v>0</v>
      </c>
      <c r="X9" s="93">
        <f t="shared" si="0"/>
        <v>12000</v>
      </c>
      <c r="Y9" s="93">
        <f t="shared" si="0"/>
        <v>0</v>
      </c>
      <c r="Z9" s="93">
        <f t="shared" si="0"/>
        <v>0</v>
      </c>
      <c r="AA9" s="93">
        <f t="shared" si="0"/>
        <v>0</v>
      </c>
      <c r="AB9" s="93">
        <f t="shared" si="0"/>
        <v>12000</v>
      </c>
      <c r="AC9" s="93">
        <f t="shared" si="0"/>
        <v>0</v>
      </c>
      <c r="AD9" s="93">
        <f t="shared" si="0"/>
        <v>202831.85</v>
      </c>
      <c r="AE9" s="93">
        <f t="shared" si="0"/>
        <v>13252.72</v>
      </c>
      <c r="AF9" s="93">
        <f t="shared" si="0"/>
        <v>10443.31</v>
      </c>
      <c r="AG9" s="93">
        <f t="shared" si="0"/>
        <v>2809.41</v>
      </c>
      <c r="AH9" s="93">
        <f t="shared" si="0"/>
        <v>65327.68</v>
      </c>
      <c r="AI9" s="124">
        <f t="shared" si="0"/>
        <v>0</v>
      </c>
      <c r="AJ9" s="93">
        <f t="shared" si="0"/>
        <v>65327.68</v>
      </c>
      <c r="AK9" s="93">
        <f t="shared" si="0"/>
        <v>0</v>
      </c>
      <c r="AL9" s="93">
        <f t="shared" si="0"/>
        <v>68137.09</v>
      </c>
      <c r="AM9" s="125"/>
      <c r="AN9" s="125"/>
      <c r="AO9" s="125"/>
      <c r="AP9" s="125"/>
      <c r="AQ9" s="125"/>
      <c r="AR9" s="64"/>
      <c r="AS9" s="64"/>
      <c r="AT9" s="131"/>
    </row>
    <row r="12" spans="30:30">
      <c r="AD12" s="115"/>
    </row>
    <row r="13" ht="18.75" customHeight="1" spans="2:30">
      <c r="B13" s="66" t="s">
        <v>64</v>
      </c>
      <c r="C13" s="66" t="s">
        <v>92</v>
      </c>
      <c r="D13" s="66" t="s">
        <v>65</v>
      </c>
      <c r="E13" s="66" t="s">
        <v>93</v>
      </c>
      <c r="AD13" s="29"/>
    </row>
    <row r="14" ht="18.75" customHeight="1" spans="2:5">
      <c r="B14" s="67">
        <f>AJ9</f>
        <v>65327.68</v>
      </c>
      <c r="C14" s="67">
        <f>AG9</f>
        <v>2809.41</v>
      </c>
      <c r="D14" s="67">
        <f>AK9</f>
        <v>0</v>
      </c>
      <c r="E14" s="67">
        <f>B14+C14+D14</f>
        <v>68137.09</v>
      </c>
    </row>
    <row r="15" spans="2:5">
      <c r="B15" s="68"/>
      <c r="C15" s="68"/>
      <c r="D15" s="68"/>
      <c r="E15" s="68"/>
    </row>
    <row r="16" s="33" customFormat="1" spans="1:35">
      <c r="A16" s="69" t="s">
        <v>94</v>
      </c>
      <c r="B16" s="70" t="s">
        <v>95</v>
      </c>
      <c r="C16" s="71"/>
      <c r="D16" s="71"/>
      <c r="E16" s="71"/>
      <c r="G16" s="72"/>
      <c r="J16" s="94"/>
      <c r="M16" s="95"/>
      <c r="AI16" s="126"/>
    </row>
    <row r="17" s="33" customFormat="1" spans="1:35">
      <c r="A17" s="73"/>
      <c r="B17" s="74" t="s">
        <v>96</v>
      </c>
      <c r="C17" s="71"/>
      <c r="D17" s="71"/>
      <c r="E17" s="71"/>
      <c r="G17" s="72"/>
      <c r="J17" s="94"/>
      <c r="M17" s="95"/>
      <c r="AI17" s="126"/>
    </row>
    <row r="18" s="33" customFormat="1" spans="1:35">
      <c r="A18" s="70"/>
      <c r="B18" s="74" t="s">
        <v>97</v>
      </c>
      <c r="C18" s="75"/>
      <c r="D18" s="75"/>
      <c r="E18" s="75"/>
      <c r="F18" s="75"/>
      <c r="G18" s="75"/>
      <c r="H18" s="75"/>
      <c r="I18" s="75"/>
      <c r="J18" s="96"/>
      <c r="K18" s="75"/>
      <c r="L18" s="75"/>
      <c r="M18" s="97"/>
      <c r="N18" s="75"/>
      <c r="O18" s="75"/>
      <c r="P18" s="75"/>
      <c r="AI18" s="126"/>
    </row>
    <row r="19" s="33" customFormat="1" customHeight="1" spans="1:35">
      <c r="A19" s="74"/>
      <c r="B19" s="74" t="s">
        <v>98</v>
      </c>
      <c r="C19" s="76"/>
      <c r="D19" s="76"/>
      <c r="E19" s="76"/>
      <c r="F19" s="76"/>
      <c r="G19" s="76"/>
      <c r="H19" s="76"/>
      <c r="I19" s="98"/>
      <c r="J19" s="99"/>
      <c r="K19" s="98"/>
      <c r="L19" s="98"/>
      <c r="M19" s="100"/>
      <c r="N19" s="98"/>
      <c r="O19" s="98"/>
      <c r="P19" s="98"/>
      <c r="AI19" s="126"/>
    </row>
    <row r="20" s="33" customFormat="1" customHeight="1" spans="1:35">
      <c r="A20" s="74"/>
      <c r="B20" s="74" t="s">
        <v>99</v>
      </c>
      <c r="C20" s="76"/>
      <c r="D20" s="76"/>
      <c r="E20" s="76"/>
      <c r="F20" s="76"/>
      <c r="G20" s="76"/>
      <c r="H20" s="76"/>
      <c r="I20" s="76"/>
      <c r="J20" s="101"/>
      <c r="K20" s="76"/>
      <c r="L20" s="98"/>
      <c r="M20" s="100"/>
      <c r="N20" s="98"/>
      <c r="O20" s="98"/>
      <c r="P20" s="98"/>
      <c r="AI20" s="126"/>
    </row>
    <row r="21" s="33" customFormat="1" customHeight="1" spans="1:35">
      <c r="A21" s="74"/>
      <c r="B21" s="74" t="s">
        <v>100</v>
      </c>
      <c r="C21" s="76"/>
      <c r="D21" s="76"/>
      <c r="E21" s="76"/>
      <c r="F21" s="76"/>
      <c r="G21" s="76"/>
      <c r="H21" s="76"/>
      <c r="I21" s="98"/>
      <c r="J21" s="99"/>
      <c r="K21" s="98"/>
      <c r="L21" s="98"/>
      <c r="M21" s="100"/>
      <c r="N21" s="98"/>
      <c r="O21" s="98"/>
      <c r="P21" s="98"/>
      <c r="AI21" s="126"/>
    </row>
    <row r="23" ht="11.25" customHeight="1" spans="2:2">
      <c r="B23" s="77" t="s">
        <v>101</v>
      </c>
    </row>
    <row r="24" spans="2:2">
      <c r="B24" s="78" t="s">
        <v>102</v>
      </c>
    </row>
    <row r="25" spans="2:2">
      <c r="B25" s="78" t="s">
        <v>103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2" priority="2" stopIfTrue="1"/>
  </conditionalFormatting>
  <conditionalFormatting sqref="B16:B20">
    <cfRule type="duplicateValues" dxfId="2" priority="3" stopIfTrue="1"/>
  </conditionalFormatting>
  <conditionalFormatting sqref="B24:B25">
    <cfRule type="duplicateValues" dxfId="2" priority="1" stopIfTrue="1"/>
  </conditionalFormatting>
  <conditionalFormatting sqref="C13:C15">
    <cfRule type="duplicateValues" dxfId="2" priority="4" stopIfTrue="1"/>
    <cfRule type="expression" dxfId="3" priority="5" stopIfTrue="1">
      <formula>AND(COUNTIF($B$9:$B$65445,C13)+COUNTIF($B$1:$B$3,C13)&gt;1,NOT(ISBLANK(C13)))</formula>
    </cfRule>
    <cfRule type="expression" dxfId="3" priority="6" stopIfTrue="1">
      <formula>AND(COUNTIF($B$20:$B$65396,C13)+COUNTIF($B$1:$B$19,C13)&gt;1,NOT(ISBLANK(C13)))</formula>
    </cfRule>
    <cfRule type="expression" dxfId="3" priority="7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F21" sqref="F21:F22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9.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1.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4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>
        <f>U4/2</f>
        <v>519.9</v>
      </c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7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8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9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240</v>
      </c>
      <c r="C4" s="56" t="s">
        <v>86</v>
      </c>
      <c r="D4" s="56" t="s">
        <v>87</v>
      </c>
      <c r="E4" s="56" t="s">
        <v>88</v>
      </c>
      <c r="F4" s="57" t="s">
        <v>186</v>
      </c>
      <c r="G4" s="58">
        <v>18035163638</v>
      </c>
      <c r="H4" s="59"/>
      <c r="I4" s="59"/>
      <c r="J4" s="88"/>
      <c r="K4" s="59"/>
      <c r="L4" s="89"/>
      <c r="M4" s="90">
        <v>264</v>
      </c>
      <c r="N4" s="90">
        <v>66</v>
      </c>
      <c r="O4" s="90">
        <v>9.9</v>
      </c>
      <c r="P4" s="90">
        <v>180</v>
      </c>
      <c r="Q4" s="108">
        <f>ROUND(SUM(M4:P4),2)</f>
        <v>519.9</v>
      </c>
      <c r="R4" s="89">
        <v>0</v>
      </c>
      <c r="S4" s="109">
        <f>L4+IFERROR(VLOOKUP($E:$E,'（居民）工资表-1月'!$E:$S,15,0),0)</f>
        <v>9280</v>
      </c>
      <c r="T4" s="110">
        <f>5000+IFERROR(VLOOKUP($E:$E,'（居民）工资表-1月'!$E:$T,16,0),0)</f>
        <v>10000</v>
      </c>
      <c r="U4" s="110">
        <f>Q4+IFERROR(VLOOKUP($E:$E,'（居民）工资表-1月'!$E:$U,17,0),0)</f>
        <v>1039.8</v>
      </c>
      <c r="V4" s="89"/>
      <c r="W4" s="89"/>
      <c r="X4" s="89">
        <v>2000</v>
      </c>
      <c r="Y4" s="89"/>
      <c r="Z4" s="89"/>
      <c r="AA4" s="89"/>
      <c r="AB4" s="109">
        <f>ROUND(SUM(V4:AA4),2)</f>
        <v>2000</v>
      </c>
      <c r="AC4" s="109">
        <f>R4+IFERROR(VLOOKUP($E:$E,'（居民）工资表-1月'!$E:$AC,25,0),0)</f>
        <v>0</v>
      </c>
      <c r="AD4" s="112">
        <f>ROUND(S4-T4-U4-AB4-AC4,2)</f>
        <v>-3759.8</v>
      </c>
      <c r="AE4" s="113">
        <f>ROUND(MAX((AD4)*{0.03;0.1;0.2;0.25;0.3;0.35;0.45}-{0;2520;16920;31920;52920;85920;181920},0),2)</f>
        <v>0</v>
      </c>
      <c r="AF4" s="114">
        <f>IFERROR(VLOOKUP(E:E,'（居民）工资表-1月'!E:AF,28,0)+VLOOKUP(E:E,'（居民）工资表-1月'!E:AG,29,0),0)</f>
        <v>52.8</v>
      </c>
      <c r="AG4" s="114">
        <f>IF((AE4-AF4)&lt;0,0,AE4-AF4)</f>
        <v>0</v>
      </c>
      <c r="AH4" s="121">
        <f>ROUND(IF((L4-Q4-AG4)&lt;0,0,(L4-Q4-AG4)),2)</f>
        <v>0</v>
      </c>
      <c r="AI4" s="122"/>
      <c r="AJ4" s="121">
        <f>AH4+AI4</f>
        <v>0</v>
      </c>
      <c r="AK4" s="123"/>
      <c r="AL4" s="121">
        <f>AJ4+AG4+AK4</f>
        <v>0</v>
      </c>
      <c r="AM4" s="123"/>
      <c r="AN4" s="123"/>
      <c r="AO4" s="123"/>
      <c r="AP4" s="123"/>
      <c r="AQ4" s="123"/>
      <c r="AR4" s="13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30" t="str">
        <f>IF(SUMPRODUCT(N(E$1:E$8=E4))&gt;1,"重复","不")</f>
        <v>不</v>
      </c>
      <c r="AT4" s="130" t="str">
        <f>IF(SUMPRODUCT(N(AO$1:AO$8=AO4))&gt;1,"重复","不")</f>
        <v>重复</v>
      </c>
    </row>
    <row r="5" s="31" customFormat="1" ht="18" customHeight="1" spans="1:46">
      <c r="A5" s="55">
        <v>1</v>
      </c>
      <c r="B5" s="56" t="s">
        <v>240</v>
      </c>
      <c r="C5" s="56" t="s">
        <v>154</v>
      </c>
      <c r="D5" s="56" t="s">
        <v>87</v>
      </c>
      <c r="E5" s="56" t="s">
        <v>155</v>
      </c>
      <c r="F5" s="57" t="s">
        <v>186</v>
      </c>
      <c r="G5" s="58">
        <v>13944441728</v>
      </c>
      <c r="H5" s="59"/>
      <c r="I5" s="59"/>
      <c r="J5" s="88"/>
      <c r="K5" s="59"/>
      <c r="L5" s="89"/>
      <c r="M5" s="90">
        <v>268.81</v>
      </c>
      <c r="N5" s="90">
        <v>10.08</v>
      </c>
      <c r="O5" s="90">
        <v>61.06</v>
      </c>
      <c r="P5" s="90">
        <v>79</v>
      </c>
      <c r="Q5" s="108">
        <f>ROUND(SUM(M5:P5),2)</f>
        <v>418.95</v>
      </c>
      <c r="R5" s="89">
        <v>0</v>
      </c>
      <c r="S5" s="109">
        <f>L5+IFERROR(VLOOKUP($E:$E,'（居民）工资表-1月'!$E:$S,15,0),0)</f>
        <v>7000</v>
      </c>
      <c r="T5" s="110">
        <f>5000+IFERROR(VLOOKUP($E:$E,'（居民）工资表-1月'!$E:$T,16,0),0)</f>
        <v>10000</v>
      </c>
      <c r="U5" s="110">
        <f>Q5+IFERROR(VLOOKUP($E:$E,'（居民）工资表-1月'!$E:$U,17,0),0)</f>
        <v>837.9</v>
      </c>
      <c r="V5" s="89"/>
      <c r="W5" s="89"/>
      <c r="X5" s="89">
        <v>2000</v>
      </c>
      <c r="Y5" s="89"/>
      <c r="Z5" s="89"/>
      <c r="AA5" s="89"/>
      <c r="AB5" s="109">
        <f>ROUND(SUM(V5:AA5),2)</f>
        <v>2000</v>
      </c>
      <c r="AC5" s="109">
        <f>R5+IFERROR(VLOOKUP($E:$E,'（居民）工资表-1月'!$E:$AC,25,0),0)</f>
        <v>0</v>
      </c>
      <c r="AD5" s="112">
        <f>ROUND(S5-T5-U5-AB5-AC5,2)</f>
        <v>-5837.9</v>
      </c>
      <c r="AE5" s="113">
        <f>ROUND(MAX((AD5)*{0.03;0.1;0.2;0.25;0.3;0.35;0.45}-{0;2520;16920;31920;52920;85920;181920},0),2)</f>
        <v>0</v>
      </c>
      <c r="AF5" s="114">
        <f>IFERROR(VLOOKUP(E:E,'（居民）工资表-1月'!E:AF,28,0)+VLOOKUP(E:E,'（居民）工资表-1月'!E:AG,29,0),0)</f>
        <v>17.43</v>
      </c>
      <c r="AG5" s="114">
        <f>IF((AE5-AF5)&lt;0,0,AE5-AF5)</f>
        <v>0</v>
      </c>
      <c r="AH5" s="121">
        <f>ROUND(IF((L5-Q5-AG5)&lt;0,0,(L5-Q5-AG5)),2)</f>
        <v>0</v>
      </c>
      <c r="AI5" s="122"/>
      <c r="AJ5" s="121">
        <f>AH5+AI5</f>
        <v>0</v>
      </c>
      <c r="AK5" s="123"/>
      <c r="AL5" s="121">
        <f>AJ5+AG5+AK5</f>
        <v>0</v>
      </c>
      <c r="AM5" s="123"/>
      <c r="AN5" s="123"/>
      <c r="AO5" s="123"/>
      <c r="AP5" s="123"/>
      <c r="AQ5" s="123"/>
      <c r="AR5" s="130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30" t="str">
        <f>IF(SUMPRODUCT(N(E$1:E$8=E5))&gt;1,"重复","不")</f>
        <v>不</v>
      </c>
      <c r="AT5" s="130" t="str">
        <f>IF(SUMPRODUCT(N(AO$1:AO$8=AO5))&gt;1,"重复","不")</f>
        <v>重复</v>
      </c>
    </row>
    <row r="6" s="31" customFormat="1" ht="18" customHeight="1" spans="1:46">
      <c r="A6" s="55">
        <v>1</v>
      </c>
      <c r="B6" s="56" t="s">
        <v>240</v>
      </c>
      <c r="C6" s="56" t="s">
        <v>188</v>
      </c>
      <c r="D6" s="56" t="s">
        <v>87</v>
      </c>
      <c r="E6" s="375" t="s">
        <v>189</v>
      </c>
      <c r="F6" s="57" t="str">
        <f>IF(MOD(MID(E6,17,1),2)=1,"男","女")</f>
        <v>女</v>
      </c>
      <c r="G6" s="58">
        <v>15360550807</v>
      </c>
      <c r="H6" s="59"/>
      <c r="I6" s="59"/>
      <c r="J6" s="88"/>
      <c r="K6" s="59"/>
      <c r="L6" s="89"/>
      <c r="M6" s="90">
        <v>367.04</v>
      </c>
      <c r="N6" s="90">
        <v>123.5</v>
      </c>
      <c r="O6" s="90">
        <v>4.2</v>
      </c>
      <c r="P6" s="90">
        <v>105</v>
      </c>
      <c r="Q6" s="108">
        <f>ROUND(SUM(M6:P6),2)</f>
        <v>599.74</v>
      </c>
      <c r="R6" s="89">
        <v>0</v>
      </c>
      <c r="S6" s="109">
        <f>L6+IFERROR(VLOOKUP($E:$E,'（居民）工资表-1月'!$E:$S,15,0),0)</f>
        <v>5700</v>
      </c>
      <c r="T6" s="110">
        <f>5000+IFERROR(VLOOKUP($E:$E,'（居民）工资表-1月'!$E:$T,16,0),0)</f>
        <v>10000</v>
      </c>
      <c r="U6" s="110">
        <f>Q6+IFERROR(VLOOKUP($E:$E,'（居民）工资表-1月'!$E:$U,17,0),0)</f>
        <v>1199.48</v>
      </c>
      <c r="V6" s="89"/>
      <c r="W6" s="89"/>
      <c r="X6" s="89">
        <v>2000</v>
      </c>
      <c r="Y6" s="89"/>
      <c r="Z6" s="89"/>
      <c r="AA6" s="89"/>
      <c r="AB6" s="109">
        <f>ROUND(SUM(V6:AA6),2)</f>
        <v>2000</v>
      </c>
      <c r="AC6" s="109">
        <f>R6+IFERROR(VLOOKUP($E:$E,'（居民）工资表-1月'!$E:$AC,25,0),0)</f>
        <v>0</v>
      </c>
      <c r="AD6" s="112">
        <f>ROUND(S6-T6-U6-AB6-AC6,2)</f>
        <v>-7499.48</v>
      </c>
      <c r="AE6" s="113">
        <f>ROUND(MAX((AD6)*{0.03;0.1;0.2;0.25;0.3;0.35;0.45}-{0;2520;16920;31920;52920;85920;181920},0),2)</f>
        <v>0</v>
      </c>
      <c r="AF6" s="114">
        <f>IFERROR(VLOOKUP(E:E,'（居民）工资表-1月'!E:AF,28,0)+VLOOKUP(E:E,'（居民）工资表-1月'!E:AG,29,0),0)</f>
        <v>0</v>
      </c>
      <c r="AG6" s="114">
        <f>IF((AE6-AF6)&lt;0,0,AE6-AF6)</f>
        <v>0</v>
      </c>
      <c r="AH6" s="121">
        <f>ROUND(IF((L6-Q6-AG6)&lt;0,0,(L6-Q6-AG6)),2)</f>
        <v>0</v>
      </c>
      <c r="AI6" s="122"/>
      <c r="AJ6" s="121">
        <f>AH6+AI6</f>
        <v>0</v>
      </c>
      <c r="AK6" s="123"/>
      <c r="AL6" s="121">
        <f>AJ6+AG6+AK6</f>
        <v>0</v>
      </c>
      <c r="AM6" s="123"/>
      <c r="AN6" s="123"/>
      <c r="AO6" s="123"/>
      <c r="AP6" s="123"/>
      <c r="AQ6" s="123"/>
      <c r="AR6" s="130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30" t="str">
        <f>IF(SUMPRODUCT(N(E$1:E$8=E6))&gt;1,"重复","不")</f>
        <v>不</v>
      </c>
      <c r="AT6" s="130" t="str">
        <f>IF(SUMPRODUCT(N(AO$1:AO$8=AO6))&gt;1,"重复","不")</f>
        <v>重复</v>
      </c>
    </row>
    <row r="7" s="31" customFormat="1" ht="18" customHeight="1" spans="1:46">
      <c r="A7" s="55">
        <v>1</v>
      </c>
      <c r="B7" s="56" t="s">
        <v>240</v>
      </c>
      <c r="C7" s="56" t="s">
        <v>160</v>
      </c>
      <c r="D7" s="56" t="s">
        <v>87</v>
      </c>
      <c r="E7" s="375" t="s">
        <v>161</v>
      </c>
      <c r="F7" s="57" t="s">
        <v>186</v>
      </c>
      <c r="G7" s="58">
        <v>18607383005</v>
      </c>
      <c r="H7" s="59"/>
      <c r="I7" s="59"/>
      <c r="J7" s="88"/>
      <c r="K7" s="59"/>
      <c r="L7" s="89"/>
      <c r="M7" s="90">
        <f>320</f>
        <v>320</v>
      </c>
      <c r="N7" s="90">
        <f>80</f>
        <v>80</v>
      </c>
      <c r="O7" s="90">
        <f>12</f>
        <v>12</v>
      </c>
      <c r="P7" s="90">
        <v>200</v>
      </c>
      <c r="Q7" s="108">
        <f>ROUND(SUM(M7:P7),2)</f>
        <v>612</v>
      </c>
      <c r="R7" s="89">
        <v>0</v>
      </c>
      <c r="S7" s="109">
        <f>L7+IFERROR(VLOOKUP($E:$E,'（居民）工资表-1月'!$E:$S,15,0),0)</f>
        <v>31000</v>
      </c>
      <c r="T7" s="110">
        <f>5000+IFERROR(VLOOKUP($E:$E,'（居民）工资表-1月'!$E:$T,16,0),0)</f>
        <v>10000</v>
      </c>
      <c r="U7" s="110">
        <f>Q7+IFERROR(VLOOKUP($E:$E,'（居民）工资表-1月'!$E:$U,17,0),0)</f>
        <v>1224</v>
      </c>
      <c r="V7" s="89"/>
      <c r="W7" s="89"/>
      <c r="X7" s="89">
        <v>2000</v>
      </c>
      <c r="Y7" s="89"/>
      <c r="Z7" s="89"/>
      <c r="AA7" s="89"/>
      <c r="AB7" s="109">
        <f>ROUND(SUM(V7:AA7),2)</f>
        <v>2000</v>
      </c>
      <c r="AC7" s="109">
        <f>R7+IFERROR(VLOOKUP($E:$E,'（居民）工资表-1月'!$E:$AC,25,0),0)</f>
        <v>0</v>
      </c>
      <c r="AD7" s="112">
        <f>ROUND(S7-T7-U7-AB7-AC7,2)</f>
        <v>17776</v>
      </c>
      <c r="AE7" s="113">
        <f>ROUND(MAX((AD7)*{0.03;0.1;0.2;0.25;0.3;0.35;0.45}-{0;2520;16920;31920;52920;85920;181920},0),2)</f>
        <v>533.28</v>
      </c>
      <c r="AF7" s="114">
        <f>IFERROR(VLOOKUP(E:E,'（居民）工资表-1月'!E:AF,28,0)+VLOOKUP(E:E,'（居民）工资表-1月'!E:AG,29,0),0)</f>
        <v>671.64</v>
      </c>
      <c r="AG7" s="114">
        <f>IF((AE7-AF7)&lt;0,0,AE7-AF7)</f>
        <v>0</v>
      </c>
      <c r="AH7" s="121">
        <f>ROUND(IF((L7-Q7-AG7)&lt;0,0,(L7-Q7-AG7)),2)</f>
        <v>0</v>
      </c>
      <c r="AI7" s="122"/>
      <c r="AJ7" s="121">
        <f>AH7+AI7</f>
        <v>0</v>
      </c>
      <c r="AK7" s="123"/>
      <c r="AL7" s="121">
        <f>AJ7+AG7+AK7</f>
        <v>0</v>
      </c>
      <c r="AM7" s="123"/>
      <c r="AN7" s="123"/>
      <c r="AO7" s="123"/>
      <c r="AP7" s="123"/>
      <c r="AQ7" s="123"/>
      <c r="AR7" s="130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30" t="str">
        <f>IF(SUMPRODUCT(N(E$1:E$8=E7))&gt;1,"重复","不")</f>
        <v>不</v>
      </c>
      <c r="AT7" s="130" t="str">
        <f>IF(SUMPRODUCT(N(AO$1:AO$8=AO7))&gt;1,"重复","不")</f>
        <v>重复</v>
      </c>
    </row>
    <row r="8" s="31" customFormat="1" ht="18" customHeight="1" spans="1:46">
      <c r="A8" s="55">
        <v>1</v>
      </c>
      <c r="B8" s="56" t="s">
        <v>240</v>
      </c>
      <c r="C8" s="56" t="s">
        <v>238</v>
      </c>
      <c r="D8" s="56" t="s">
        <v>87</v>
      </c>
      <c r="E8" s="56" t="s">
        <v>239</v>
      </c>
      <c r="F8" s="57" t="s">
        <v>186</v>
      </c>
      <c r="G8" s="58">
        <v>13373825180</v>
      </c>
      <c r="H8" s="59"/>
      <c r="I8" s="59"/>
      <c r="J8" s="88"/>
      <c r="K8" s="59"/>
      <c r="L8" s="89"/>
      <c r="M8" s="90">
        <v>261.04</v>
      </c>
      <c r="N8" s="90">
        <v>9.1</v>
      </c>
      <c r="O8" s="90">
        <v>57.18</v>
      </c>
      <c r="P8" s="90">
        <v>85</v>
      </c>
      <c r="Q8" s="108">
        <f>ROUND(SUM(M8:P8),2)</f>
        <v>412.32</v>
      </c>
      <c r="R8" s="89">
        <v>0</v>
      </c>
      <c r="S8" s="109">
        <f>L8+IFERROR(VLOOKUP($E:$E,'（居民）工资表-1月'!$E:$S,15,0),0)</f>
        <v>26739</v>
      </c>
      <c r="T8" s="110">
        <f>5000+IFERROR(VLOOKUP($E:$E,'（居民）工资表-1月'!$E:$T,16,0),0)</f>
        <v>10000</v>
      </c>
      <c r="U8" s="110">
        <f>Q8+IFERROR(VLOOKUP($E:$E,'（居民）工资表-1月'!$E:$U,17,0),0)</f>
        <v>824.64</v>
      </c>
      <c r="V8" s="89"/>
      <c r="W8" s="89"/>
      <c r="X8" s="89">
        <v>2000</v>
      </c>
      <c r="Y8" s="89"/>
      <c r="Z8" s="89"/>
      <c r="AA8" s="89"/>
      <c r="AB8" s="109">
        <f>ROUND(SUM(V8:AA8),2)</f>
        <v>2000</v>
      </c>
      <c r="AC8" s="109">
        <f>R8+IFERROR(VLOOKUP($E:$E,'（居民）工资表-1月'!$E:$AC,25,0),0)</f>
        <v>0</v>
      </c>
      <c r="AD8" s="112">
        <f>ROUND(S8-T8-U8-AB8-AC8,2)</f>
        <v>13914.36</v>
      </c>
      <c r="AE8" s="113">
        <f>ROUND(MAX((AD8)*{0.03;0.1;0.2;0.25;0.3;0.35;0.45}-{0;2520;16920;31920;52920;85920;181920},0),2)</f>
        <v>417.43</v>
      </c>
      <c r="AF8" s="114">
        <f>IFERROR(VLOOKUP(E:E,'（居民）工资表-1月'!E:AF,28,0)+VLOOKUP(E:E,'（居民）工资表-1月'!E:AG,29,0),0)</f>
        <v>549.8</v>
      </c>
      <c r="AG8" s="114">
        <f>IF((AE8-AF8)&lt;0,0,AE8-AF8)</f>
        <v>0</v>
      </c>
      <c r="AH8" s="121">
        <f>ROUND(IF((L8-Q8-AG8)&lt;0,0,(L8-Q8-AG8)),2)</f>
        <v>0</v>
      </c>
      <c r="AI8" s="122"/>
      <c r="AJ8" s="121">
        <f>AH8+AI8</f>
        <v>0</v>
      </c>
      <c r="AK8" s="123"/>
      <c r="AL8" s="121">
        <f>AJ8+AG8+AK8</f>
        <v>0</v>
      </c>
      <c r="AM8" s="123"/>
      <c r="AN8" s="123"/>
      <c r="AO8" s="123"/>
      <c r="AP8" s="123"/>
      <c r="AQ8" s="123"/>
      <c r="AR8" s="130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30" t="str">
        <f>IF(SUMPRODUCT(N(E$1:E$8=E8))&gt;1,"重复","不")</f>
        <v>不</v>
      </c>
      <c r="AT8" s="130" t="str">
        <f>IF(SUMPRODUCT(N(AO$1:AO$8=AO8))&gt;1,"重复","不")</f>
        <v>重复</v>
      </c>
    </row>
    <row r="9" s="32" customFormat="1" ht="18" customHeight="1" spans="1:46">
      <c r="A9" s="60"/>
      <c r="B9" s="61" t="s">
        <v>91</v>
      </c>
      <c r="C9" s="61"/>
      <c r="D9" s="62"/>
      <c r="E9" s="63"/>
      <c r="F9" s="64"/>
      <c r="G9" s="65"/>
      <c r="H9" s="64"/>
      <c r="I9" s="91"/>
      <c r="J9" s="92"/>
      <c r="K9" s="91"/>
      <c r="L9" s="93">
        <f t="shared" ref="L9:AL9" si="0">SUM(L4:L8)</f>
        <v>0</v>
      </c>
      <c r="M9" s="93">
        <f t="shared" si="0"/>
        <v>1480.89</v>
      </c>
      <c r="N9" s="93">
        <f t="shared" si="0"/>
        <v>288.68</v>
      </c>
      <c r="O9" s="93">
        <f t="shared" si="0"/>
        <v>144.34</v>
      </c>
      <c r="P9" s="93">
        <f t="shared" si="0"/>
        <v>649</v>
      </c>
      <c r="Q9" s="93">
        <f t="shared" si="0"/>
        <v>2562.91</v>
      </c>
      <c r="R9" s="93">
        <f t="shared" si="0"/>
        <v>0</v>
      </c>
      <c r="S9" s="93">
        <f t="shared" si="0"/>
        <v>79719</v>
      </c>
      <c r="T9" s="93">
        <f t="shared" si="0"/>
        <v>50000</v>
      </c>
      <c r="U9" s="93">
        <f t="shared" si="0"/>
        <v>5125.82</v>
      </c>
      <c r="V9" s="93">
        <f t="shared" si="0"/>
        <v>0</v>
      </c>
      <c r="W9" s="93">
        <f t="shared" si="0"/>
        <v>0</v>
      </c>
      <c r="X9" s="93">
        <f t="shared" si="0"/>
        <v>10000</v>
      </c>
      <c r="Y9" s="93">
        <f t="shared" si="0"/>
        <v>0</v>
      </c>
      <c r="Z9" s="93">
        <f t="shared" si="0"/>
        <v>0</v>
      </c>
      <c r="AA9" s="93">
        <f t="shared" si="0"/>
        <v>0</v>
      </c>
      <c r="AB9" s="93">
        <f t="shared" si="0"/>
        <v>10000</v>
      </c>
      <c r="AC9" s="93">
        <f t="shared" si="0"/>
        <v>0</v>
      </c>
      <c r="AD9" s="93">
        <f t="shared" si="0"/>
        <v>14593.18</v>
      </c>
      <c r="AE9" s="93">
        <f t="shared" si="0"/>
        <v>950.71</v>
      </c>
      <c r="AF9" s="93">
        <f t="shared" si="0"/>
        <v>1291.67</v>
      </c>
      <c r="AG9" s="93">
        <f t="shared" si="0"/>
        <v>0</v>
      </c>
      <c r="AH9" s="93">
        <f t="shared" si="0"/>
        <v>0</v>
      </c>
      <c r="AI9" s="124">
        <f t="shared" si="0"/>
        <v>0</v>
      </c>
      <c r="AJ9" s="93">
        <f t="shared" si="0"/>
        <v>0</v>
      </c>
      <c r="AK9" s="93">
        <f t="shared" si="0"/>
        <v>0</v>
      </c>
      <c r="AL9" s="93">
        <f t="shared" si="0"/>
        <v>0</v>
      </c>
      <c r="AM9" s="125"/>
      <c r="AN9" s="125"/>
      <c r="AO9" s="125"/>
      <c r="AP9" s="125"/>
      <c r="AQ9" s="125"/>
      <c r="AR9" s="64"/>
      <c r="AS9" s="64"/>
      <c r="AT9" s="131"/>
    </row>
    <row r="12" spans="30:30">
      <c r="AD12" s="115"/>
    </row>
    <row r="13" ht="18.75" customHeight="1" spans="2:30">
      <c r="B13" s="66" t="s">
        <v>64</v>
      </c>
      <c r="C13" s="66" t="s">
        <v>92</v>
      </c>
      <c r="D13" s="66" t="s">
        <v>65</v>
      </c>
      <c r="E13" s="66" t="s">
        <v>93</v>
      </c>
      <c r="AD13" s="29"/>
    </row>
    <row r="14" ht="18.75" customHeight="1" spans="2:5">
      <c r="B14" s="67">
        <f>AJ9</f>
        <v>0</v>
      </c>
      <c r="C14" s="67">
        <f>AG9</f>
        <v>0</v>
      </c>
      <c r="D14" s="67">
        <f>AK9</f>
        <v>0</v>
      </c>
      <c r="E14" s="67">
        <f>B14+C14+D14</f>
        <v>0</v>
      </c>
    </row>
    <row r="15" spans="2:5">
      <c r="B15" s="68"/>
      <c r="C15" s="68"/>
      <c r="D15" s="68"/>
      <c r="E15" s="68"/>
    </row>
    <row r="16" s="33" customFormat="1" spans="1:35">
      <c r="A16" s="69" t="s">
        <v>94</v>
      </c>
      <c r="B16" s="70" t="s">
        <v>95</v>
      </c>
      <c r="C16" s="71"/>
      <c r="D16" s="71"/>
      <c r="E16" s="71"/>
      <c r="G16" s="72"/>
      <c r="J16" s="94"/>
      <c r="M16" s="95"/>
      <c r="AI16" s="126"/>
    </row>
    <row r="17" s="33" customFormat="1" spans="1:35">
      <c r="A17" s="73"/>
      <c r="B17" s="74" t="s">
        <v>96</v>
      </c>
      <c r="C17" s="71"/>
      <c r="D17" s="71"/>
      <c r="E17" s="71"/>
      <c r="G17" s="72"/>
      <c r="J17" s="94"/>
      <c r="M17" s="95"/>
      <c r="AI17" s="126"/>
    </row>
    <row r="18" s="33" customFormat="1" spans="1:35">
      <c r="A18" s="70"/>
      <c r="B18" s="74" t="s">
        <v>97</v>
      </c>
      <c r="C18" s="75"/>
      <c r="D18" s="75"/>
      <c r="E18" s="75"/>
      <c r="F18" s="75"/>
      <c r="G18" s="75"/>
      <c r="H18" s="75"/>
      <c r="I18" s="75"/>
      <c r="J18" s="96"/>
      <c r="K18" s="75"/>
      <c r="L18" s="75"/>
      <c r="M18" s="97"/>
      <c r="N18" s="75"/>
      <c r="O18" s="75"/>
      <c r="P18" s="75"/>
      <c r="AI18" s="126"/>
    </row>
    <row r="19" s="33" customFormat="1" customHeight="1" spans="1:35">
      <c r="A19" s="74"/>
      <c r="B19" s="74" t="s">
        <v>98</v>
      </c>
      <c r="C19" s="76"/>
      <c r="D19" s="76"/>
      <c r="E19" s="76"/>
      <c r="F19" s="76"/>
      <c r="G19" s="76"/>
      <c r="H19" s="76"/>
      <c r="I19" s="98"/>
      <c r="J19" s="99"/>
      <c r="K19" s="98"/>
      <c r="L19" s="98"/>
      <c r="M19" s="100"/>
      <c r="N19" s="98"/>
      <c r="O19" s="98"/>
      <c r="P19" s="98"/>
      <c r="AI19" s="126"/>
    </row>
    <row r="20" s="33" customFormat="1" customHeight="1" spans="1:35">
      <c r="A20" s="74"/>
      <c r="B20" s="74" t="s">
        <v>99</v>
      </c>
      <c r="C20" s="76"/>
      <c r="D20" s="76"/>
      <c r="E20" s="76"/>
      <c r="F20" s="76"/>
      <c r="G20" s="76"/>
      <c r="H20" s="76"/>
      <c r="I20" s="76"/>
      <c r="J20" s="101"/>
      <c r="K20" s="76"/>
      <c r="L20" s="98"/>
      <c r="M20" s="100"/>
      <c r="N20" s="98"/>
      <c r="O20" s="98"/>
      <c r="P20" s="98"/>
      <c r="AI20" s="126"/>
    </row>
    <row r="21" s="33" customFormat="1" customHeight="1" spans="1:35">
      <c r="A21" s="74"/>
      <c r="B21" s="74" t="s">
        <v>100</v>
      </c>
      <c r="C21" s="76"/>
      <c r="D21" s="76"/>
      <c r="E21" s="76"/>
      <c r="F21" s="76"/>
      <c r="G21" s="76"/>
      <c r="H21" s="76"/>
      <c r="I21" s="98"/>
      <c r="J21" s="99"/>
      <c r="K21" s="98"/>
      <c r="L21" s="98"/>
      <c r="M21" s="100"/>
      <c r="N21" s="98"/>
      <c r="O21" s="98"/>
      <c r="P21" s="98"/>
      <c r="AI21" s="126"/>
    </row>
    <row r="23" ht="11.25" customHeight="1" spans="2:2">
      <c r="B23" s="77" t="s">
        <v>101</v>
      </c>
    </row>
    <row r="24" spans="2:2">
      <c r="B24" s="78" t="s">
        <v>102</v>
      </c>
    </row>
    <row r="25" spans="2:2">
      <c r="B25" s="78" t="s">
        <v>103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2" priority="2" stopIfTrue="1"/>
  </conditionalFormatting>
  <conditionalFormatting sqref="B16:B20">
    <cfRule type="duplicateValues" dxfId="2" priority="3" stopIfTrue="1"/>
  </conditionalFormatting>
  <conditionalFormatting sqref="B24:B25">
    <cfRule type="duplicateValues" dxfId="2" priority="1" stopIfTrue="1"/>
  </conditionalFormatting>
  <conditionalFormatting sqref="C13:C15">
    <cfRule type="duplicateValues" dxfId="2" priority="4" stopIfTrue="1"/>
    <cfRule type="expression" dxfId="3" priority="5" stopIfTrue="1">
      <formula>AND(COUNTIF($B$9:$B$65445,C13)+COUNTIF($B$1:$B$3,C13)&gt;1,NOT(ISBLANK(C13)))</formula>
    </cfRule>
    <cfRule type="expression" dxfId="3" priority="6" stopIfTrue="1">
      <formula>AND(COUNTIF($B$20:$B$65396,C13)+COUNTIF($B$1:$B$19,C13)&gt;1,NOT(ISBLANK(C13)))</formula>
    </cfRule>
    <cfRule type="expression" dxfId="3" priority="7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2"/>
  <sheetViews>
    <sheetView topLeftCell="J1" workbookViewId="0">
      <selection activeCell="Q18" sqref="Q18"/>
    </sheetView>
  </sheetViews>
  <sheetFormatPr defaultColWidth="9" defaultRowHeight="13.5"/>
  <cols>
    <col min="1" max="9" width="9" hidden="1" customWidth="1"/>
  </cols>
  <sheetData>
    <row r="1" s="10" customFormat="1" ht="16.5" customHeight="1" spans="1:41">
      <c r="A1" s="14" t="s">
        <v>18</v>
      </c>
      <c r="B1" s="14" t="s">
        <v>190</v>
      </c>
      <c r="C1" s="15" t="s">
        <v>107</v>
      </c>
      <c r="D1" s="14" t="s">
        <v>191</v>
      </c>
      <c r="E1" s="14" t="s">
        <v>192</v>
      </c>
      <c r="F1" s="16" t="s">
        <v>104</v>
      </c>
      <c r="G1" s="17" t="s">
        <v>193</v>
      </c>
      <c r="H1" s="15" t="s">
        <v>106</v>
      </c>
      <c r="I1" s="15" t="s">
        <v>194</v>
      </c>
      <c r="J1" s="20" t="s">
        <v>108</v>
      </c>
      <c r="K1" s="20" t="s">
        <v>195</v>
      </c>
      <c r="L1" s="20" t="s">
        <v>196</v>
      </c>
      <c r="M1" s="20" t="s">
        <v>197</v>
      </c>
      <c r="N1" s="20" t="s">
        <v>198</v>
      </c>
      <c r="O1" s="20" t="s">
        <v>199</v>
      </c>
      <c r="P1" s="20" t="s">
        <v>200</v>
      </c>
      <c r="Q1" s="21" t="s">
        <v>201</v>
      </c>
      <c r="R1" s="20" t="s">
        <v>202</v>
      </c>
      <c r="S1" s="20" t="s">
        <v>203</v>
      </c>
      <c r="T1" s="22" t="s">
        <v>204</v>
      </c>
      <c r="U1" s="22"/>
      <c r="V1" s="22"/>
      <c r="W1" s="22"/>
      <c r="X1" s="22"/>
      <c r="Y1" s="22"/>
      <c r="Z1" s="20" t="s">
        <v>205</v>
      </c>
      <c r="AA1" s="20" t="s">
        <v>206</v>
      </c>
      <c r="AB1" s="20"/>
      <c r="AC1" s="20"/>
      <c r="AD1" s="23" t="s">
        <v>207</v>
      </c>
      <c r="AE1" s="14" t="s">
        <v>208</v>
      </c>
      <c r="AF1" s="14" t="s">
        <v>209</v>
      </c>
      <c r="AG1" s="14" t="s">
        <v>210</v>
      </c>
      <c r="AH1" s="14" t="s">
        <v>211</v>
      </c>
      <c r="AI1" s="14" t="s">
        <v>212</v>
      </c>
      <c r="AJ1" s="14" t="s">
        <v>23</v>
      </c>
      <c r="AK1" s="25" t="s">
        <v>213</v>
      </c>
      <c r="AL1" s="26" t="s">
        <v>214</v>
      </c>
      <c r="AM1" s="26" t="s">
        <v>215</v>
      </c>
      <c r="AN1" s="27" t="s">
        <v>216</v>
      </c>
      <c r="AO1" s="27" t="s">
        <v>217</v>
      </c>
    </row>
    <row r="2" s="11" customFormat="1" ht="49.5" spans="1:41">
      <c r="A2" s="18"/>
      <c r="B2" s="18"/>
      <c r="C2" s="15"/>
      <c r="D2" s="18"/>
      <c r="E2" s="18"/>
      <c r="F2" s="19"/>
      <c r="G2" s="17"/>
      <c r="H2" s="15"/>
      <c r="I2" s="15"/>
      <c r="J2" s="20"/>
      <c r="K2" s="20"/>
      <c r="L2" s="20"/>
      <c r="M2" s="20"/>
      <c r="N2" s="20"/>
      <c r="O2" s="20"/>
      <c r="P2" s="20"/>
      <c r="Q2" s="21"/>
      <c r="R2" s="20"/>
      <c r="S2" s="20"/>
      <c r="T2" s="22" t="s">
        <v>218</v>
      </c>
      <c r="U2" s="22" t="s">
        <v>219</v>
      </c>
      <c r="V2" s="22" t="s">
        <v>220</v>
      </c>
      <c r="W2" s="22" t="s">
        <v>221</v>
      </c>
      <c r="X2" s="22" t="s">
        <v>222</v>
      </c>
      <c r="Y2" s="22" t="s">
        <v>223</v>
      </c>
      <c r="Z2" s="20"/>
      <c r="AA2" s="22" t="s">
        <v>224</v>
      </c>
      <c r="AB2" s="22" t="s">
        <v>225</v>
      </c>
      <c r="AC2" s="22" t="s">
        <v>226</v>
      </c>
      <c r="AD2" s="24"/>
      <c r="AE2" s="18"/>
      <c r="AF2" s="18"/>
      <c r="AG2" s="18"/>
      <c r="AH2" s="18"/>
      <c r="AI2" s="18"/>
      <c r="AJ2" s="18"/>
      <c r="AK2" s="25"/>
      <c r="AL2" s="26"/>
      <c r="AM2" s="26"/>
      <c r="AN2" s="27"/>
      <c r="AO2" s="28"/>
    </row>
    <row r="3" s="12" customFormat="1" ht="12" spans="6:29">
      <c r="F3" s="12" t="s">
        <v>85</v>
      </c>
      <c r="J3" s="12" t="s">
        <v>164</v>
      </c>
      <c r="K3" s="12" t="s">
        <v>165</v>
      </c>
      <c r="L3" s="12">
        <v>13997516515</v>
      </c>
      <c r="N3" s="12" t="s">
        <v>244</v>
      </c>
      <c r="O3" s="12" t="s">
        <v>163</v>
      </c>
      <c r="P3" s="12" t="s">
        <v>245</v>
      </c>
      <c r="R3" s="12" t="s">
        <v>244</v>
      </c>
      <c r="S3" s="12" t="s">
        <v>232</v>
      </c>
      <c r="T3" s="12">
        <v>202201</v>
      </c>
      <c r="U3" s="12">
        <v>1800</v>
      </c>
      <c r="V3" s="12">
        <v>3676</v>
      </c>
      <c r="W3" s="12">
        <v>1800</v>
      </c>
      <c r="X3" s="12">
        <v>3488.4</v>
      </c>
      <c r="Y3" s="12">
        <v>3676</v>
      </c>
      <c r="Z3" s="12" t="s">
        <v>232</v>
      </c>
      <c r="AA3" s="12">
        <v>202201</v>
      </c>
      <c r="AB3" s="12">
        <v>0.05</v>
      </c>
      <c r="AC3" s="12">
        <v>1720</v>
      </c>
    </row>
    <row r="4" s="12" customFormat="1" ht="12" spans="6:29">
      <c r="F4" s="12" t="s">
        <v>85</v>
      </c>
      <c r="J4" s="12" t="s">
        <v>168</v>
      </c>
      <c r="K4" s="12" t="s">
        <v>169</v>
      </c>
      <c r="L4" s="12">
        <v>17764403230</v>
      </c>
      <c r="N4" s="12" t="s">
        <v>167</v>
      </c>
      <c r="O4" s="12" t="s">
        <v>167</v>
      </c>
      <c r="P4" s="12" t="s">
        <v>245</v>
      </c>
      <c r="R4" s="12" t="s">
        <v>167</v>
      </c>
      <c r="S4" s="12" t="s">
        <v>232</v>
      </c>
      <c r="T4" s="12">
        <v>202201</v>
      </c>
      <c r="U4" s="12">
        <v>3430</v>
      </c>
      <c r="V4" s="12">
        <v>3430</v>
      </c>
      <c r="W4" s="12">
        <v>3430</v>
      </c>
      <c r="X4" s="12">
        <v>3430</v>
      </c>
      <c r="Y4" s="12">
        <v>3430</v>
      </c>
      <c r="Z4" s="12" t="s">
        <v>232</v>
      </c>
      <c r="AA4" s="12">
        <v>202201</v>
      </c>
      <c r="AB4" s="12">
        <v>0.05</v>
      </c>
      <c r="AC4" s="12">
        <v>1650</v>
      </c>
    </row>
    <row r="5" s="12" customFormat="1" ht="12" spans="6:29">
      <c r="F5" s="12" t="s">
        <v>85</v>
      </c>
      <c r="J5" s="12" t="s">
        <v>170</v>
      </c>
      <c r="K5" s="12" t="s">
        <v>171</v>
      </c>
      <c r="L5" s="12">
        <v>15656127587</v>
      </c>
      <c r="N5" s="12" t="s">
        <v>167</v>
      </c>
      <c r="O5" s="12" t="s">
        <v>167</v>
      </c>
      <c r="P5" s="12" t="s">
        <v>246</v>
      </c>
      <c r="R5" s="12" t="s">
        <v>167</v>
      </c>
      <c r="S5" s="12" t="s">
        <v>232</v>
      </c>
      <c r="T5" s="12">
        <v>202201</v>
      </c>
      <c r="U5" s="12">
        <v>3430</v>
      </c>
      <c r="V5" s="12">
        <v>3430</v>
      </c>
      <c r="W5" s="12">
        <v>3430</v>
      </c>
      <c r="X5" s="12">
        <v>3430</v>
      </c>
      <c r="Y5" s="12">
        <v>3430</v>
      </c>
      <c r="Z5" s="12" t="s">
        <v>232</v>
      </c>
      <c r="AA5" s="12">
        <v>202201</v>
      </c>
      <c r="AB5" s="12">
        <v>0.05</v>
      </c>
      <c r="AC5" s="12">
        <v>1650</v>
      </c>
    </row>
    <row r="6" s="12" customFormat="1" ht="12" spans="6:29">
      <c r="F6" s="12" t="s">
        <v>85</v>
      </c>
      <c r="J6" s="12" t="s">
        <v>172</v>
      </c>
      <c r="K6" s="12" t="s">
        <v>173</v>
      </c>
      <c r="L6" s="12">
        <v>15375381802</v>
      </c>
      <c r="N6" s="12" t="s">
        <v>167</v>
      </c>
      <c r="O6" s="12" t="s">
        <v>167</v>
      </c>
      <c r="P6" s="12" t="s">
        <v>245</v>
      </c>
      <c r="R6" s="12" t="s">
        <v>167</v>
      </c>
      <c r="S6" s="12" t="s">
        <v>232</v>
      </c>
      <c r="T6" s="12">
        <v>202201</v>
      </c>
      <c r="U6" s="12">
        <v>3430</v>
      </c>
      <c r="V6" s="12">
        <v>3430</v>
      </c>
      <c r="W6" s="12">
        <v>3430</v>
      </c>
      <c r="X6" s="12">
        <v>3430</v>
      </c>
      <c r="Y6" s="12">
        <v>3430</v>
      </c>
      <c r="Z6" s="12" t="s">
        <v>232</v>
      </c>
      <c r="AA6" s="12">
        <v>202201</v>
      </c>
      <c r="AB6" s="12">
        <v>0.05</v>
      </c>
      <c r="AC6" s="12">
        <v>1650</v>
      </c>
    </row>
    <row r="7" s="12" customFormat="1" ht="12" spans="6:29">
      <c r="F7" s="12" t="s">
        <v>85</v>
      </c>
      <c r="J7" s="12" t="s">
        <v>174</v>
      </c>
      <c r="K7" s="12" t="s">
        <v>175</v>
      </c>
      <c r="L7" s="12">
        <v>17775340176</v>
      </c>
      <c r="N7" s="12" t="s">
        <v>167</v>
      </c>
      <c r="O7" s="12" t="s">
        <v>167</v>
      </c>
      <c r="P7" s="12" t="s">
        <v>245</v>
      </c>
      <c r="R7" s="12" t="s">
        <v>167</v>
      </c>
      <c r="S7" s="12" t="s">
        <v>232</v>
      </c>
      <c r="T7" s="12">
        <v>202201</v>
      </c>
      <c r="U7" s="12">
        <v>3430</v>
      </c>
      <c r="V7" s="12">
        <v>3430</v>
      </c>
      <c r="W7" s="12">
        <v>3430</v>
      </c>
      <c r="X7" s="12">
        <v>3430</v>
      </c>
      <c r="Y7" s="12">
        <v>3430</v>
      </c>
      <c r="Z7" s="12" t="s">
        <v>232</v>
      </c>
      <c r="AA7" s="12">
        <v>202201</v>
      </c>
      <c r="AB7" s="12">
        <v>0.05</v>
      </c>
      <c r="AC7" s="12">
        <v>1650</v>
      </c>
    </row>
    <row r="8" s="12" customFormat="1" ht="12" spans="6:29">
      <c r="F8" s="12" t="s">
        <v>85</v>
      </c>
      <c r="J8" s="12" t="s">
        <v>176</v>
      </c>
      <c r="K8" s="12" t="s">
        <v>177</v>
      </c>
      <c r="L8" s="12">
        <v>18375326103</v>
      </c>
      <c r="N8" s="12" t="s">
        <v>167</v>
      </c>
      <c r="O8" s="12" t="s">
        <v>167</v>
      </c>
      <c r="P8" s="12" t="s">
        <v>245</v>
      </c>
      <c r="R8" s="12" t="s">
        <v>167</v>
      </c>
      <c r="S8" s="12" t="s">
        <v>232</v>
      </c>
      <c r="T8" s="12">
        <v>202201</v>
      </c>
      <c r="U8" s="12">
        <v>3430</v>
      </c>
      <c r="V8" s="12">
        <v>3430</v>
      </c>
      <c r="W8" s="12">
        <v>3430</v>
      </c>
      <c r="X8" s="12">
        <v>3430</v>
      </c>
      <c r="Y8" s="12">
        <v>3430</v>
      </c>
      <c r="Z8" s="12" t="s">
        <v>232</v>
      </c>
      <c r="AA8" s="12">
        <v>202201</v>
      </c>
      <c r="AB8" s="12">
        <v>0.05</v>
      </c>
      <c r="AC8" s="12">
        <v>1650</v>
      </c>
    </row>
    <row r="9" s="13" customFormat="1" ht="12" spans="6:36">
      <c r="F9" s="13" t="s">
        <v>85</v>
      </c>
      <c r="J9" s="13" t="s">
        <v>178</v>
      </c>
      <c r="K9" s="13" t="s">
        <v>179</v>
      </c>
      <c r="L9" s="13">
        <v>18895324958</v>
      </c>
      <c r="N9" s="13" t="s">
        <v>167</v>
      </c>
      <c r="O9" s="13" t="s">
        <v>167</v>
      </c>
      <c r="P9" s="13" t="s">
        <v>246</v>
      </c>
      <c r="R9" s="13" t="s">
        <v>167</v>
      </c>
      <c r="S9" s="13" t="s">
        <v>232</v>
      </c>
      <c r="T9" s="13">
        <v>202201</v>
      </c>
      <c r="U9" s="13">
        <v>3430</v>
      </c>
      <c r="V9" s="13">
        <v>3430</v>
      </c>
      <c r="W9" s="13">
        <v>3430</v>
      </c>
      <c r="X9" s="13">
        <v>3430</v>
      </c>
      <c r="Y9" s="13">
        <v>3430</v>
      </c>
      <c r="Z9" s="13" t="s">
        <v>232</v>
      </c>
      <c r="AA9" s="13">
        <v>202201</v>
      </c>
      <c r="AB9" s="13">
        <v>0.12</v>
      </c>
      <c r="AC9" s="13">
        <v>11000</v>
      </c>
      <c r="AJ9" s="13" t="s">
        <v>247</v>
      </c>
    </row>
    <row r="10" s="12" customFormat="1" ht="12" spans="6:29">
      <c r="F10" s="12" t="s">
        <v>85</v>
      </c>
      <c r="J10" s="12" t="s">
        <v>180</v>
      </c>
      <c r="K10" s="12" t="s">
        <v>181</v>
      </c>
      <c r="L10" s="12">
        <v>18255196660</v>
      </c>
      <c r="N10" s="12" t="s">
        <v>167</v>
      </c>
      <c r="O10" s="12" t="s">
        <v>167</v>
      </c>
      <c r="P10" s="12" t="s">
        <v>246</v>
      </c>
      <c r="R10" s="12" t="s">
        <v>167</v>
      </c>
      <c r="S10" s="12" t="s">
        <v>232</v>
      </c>
      <c r="T10" s="12">
        <v>202201</v>
      </c>
      <c r="U10" s="12">
        <v>3430</v>
      </c>
      <c r="V10" s="12">
        <v>3430</v>
      </c>
      <c r="W10" s="12">
        <v>3430</v>
      </c>
      <c r="X10" s="12">
        <v>3430</v>
      </c>
      <c r="Y10" s="12">
        <v>3430</v>
      </c>
      <c r="Z10" s="12" t="s">
        <v>232</v>
      </c>
      <c r="AA10" s="12">
        <v>202201</v>
      </c>
      <c r="AB10" s="12">
        <v>0.05</v>
      </c>
      <c r="AC10" s="12">
        <v>1650</v>
      </c>
    </row>
    <row r="11" s="12" customFormat="1" ht="12" spans="6:29">
      <c r="F11" s="12" t="s">
        <v>85</v>
      </c>
      <c r="J11" s="12" t="s">
        <v>182</v>
      </c>
      <c r="K11" s="12" t="s">
        <v>183</v>
      </c>
      <c r="L11" s="12">
        <v>13615514441</v>
      </c>
      <c r="N11" s="12" t="s">
        <v>167</v>
      </c>
      <c r="O11" s="12" t="s">
        <v>167</v>
      </c>
      <c r="P11" s="12" t="s">
        <v>245</v>
      </c>
      <c r="R11" s="12" t="s">
        <v>167</v>
      </c>
      <c r="S11" s="12" t="s">
        <v>232</v>
      </c>
      <c r="T11" s="12">
        <v>202201</v>
      </c>
      <c r="U11" s="12">
        <v>3430</v>
      </c>
      <c r="V11" s="12">
        <v>3430</v>
      </c>
      <c r="W11" s="12">
        <v>3430</v>
      </c>
      <c r="X11" s="12">
        <v>3430</v>
      </c>
      <c r="Y11" s="12">
        <v>3430</v>
      </c>
      <c r="Z11" s="12" t="s">
        <v>232</v>
      </c>
      <c r="AA11" s="12">
        <v>202201</v>
      </c>
      <c r="AB11" s="12">
        <v>0.05</v>
      </c>
      <c r="AC11" s="12">
        <v>1650</v>
      </c>
    </row>
    <row r="12" s="12" customFormat="1" ht="12" spans="6:29">
      <c r="F12" s="12" t="s">
        <v>85</v>
      </c>
      <c r="J12" s="12" t="s">
        <v>184</v>
      </c>
      <c r="K12" s="12" t="s">
        <v>185</v>
      </c>
      <c r="L12" s="12">
        <v>18256940817</v>
      </c>
      <c r="N12" s="12" t="s">
        <v>167</v>
      </c>
      <c r="O12" s="12" t="s">
        <v>167</v>
      </c>
      <c r="P12" s="12" t="s">
        <v>245</v>
      </c>
      <c r="R12" s="12" t="s">
        <v>167</v>
      </c>
      <c r="S12" s="12" t="s">
        <v>232</v>
      </c>
      <c r="T12" s="12">
        <v>202201</v>
      </c>
      <c r="U12" s="12">
        <v>3430</v>
      </c>
      <c r="V12" s="12">
        <v>3430</v>
      </c>
      <c r="W12" s="12">
        <v>3430</v>
      </c>
      <c r="X12" s="12">
        <v>3430</v>
      </c>
      <c r="Y12" s="12">
        <v>3430</v>
      </c>
      <c r="Z12" s="12" t="s">
        <v>232</v>
      </c>
      <c r="AA12" s="12">
        <v>202201</v>
      </c>
      <c r="AB12" s="12">
        <v>0.05</v>
      </c>
      <c r="AC12" s="12">
        <v>1650</v>
      </c>
    </row>
  </sheetData>
  <mergeCells count="34"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Z1:Z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</mergeCells>
  <conditionalFormatting sqref="J10">
    <cfRule type="duplicateValues" dxfId="5" priority="1"/>
  </conditionalFormatting>
  <conditionalFormatting sqref="J4:J7 J11:J12 J9">
    <cfRule type="duplicateValues" dxfId="5" priority="2"/>
  </conditionalFormatting>
  <dataValidations count="2">
    <dataValidation type="list" allowBlank="1" showInputMessage="1" showErrorMessage="1" sqref="H3:H12">
      <formula1>#REF!</formula1>
    </dataValidation>
    <dataValidation type="list" allowBlank="1" showInputMessage="1" showErrorMessage="1" sqref="S3:S12 Z3:Z12">
      <formula1>"新参,调入"</formula1>
    </dataValidation>
  </dataValidations>
  <pageMargins left="0.75" right="0.75" top="1" bottom="1" header="0.5" footer="0.5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248</v>
      </c>
      <c r="C1" s="1"/>
      <c r="D1" s="1"/>
      <c r="E1" s="1"/>
    </row>
    <row r="2" ht="21" spans="2:2">
      <c r="B2" s="2"/>
    </row>
    <row r="3" ht="27.75" customHeight="1" spans="2:5">
      <c r="B3" s="3" t="s">
        <v>249</v>
      </c>
      <c r="C3" s="4" t="s">
        <v>250</v>
      </c>
      <c r="D3" s="4" t="s">
        <v>251</v>
      </c>
      <c r="E3" s="4" t="s">
        <v>252</v>
      </c>
    </row>
    <row r="4" ht="29.25" customHeight="1" spans="2:5">
      <c r="B4" s="5">
        <v>1</v>
      </c>
      <c r="C4" s="6" t="s">
        <v>253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254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255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256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257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258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259</v>
      </c>
      <c r="D10" s="7">
        <v>0.45</v>
      </c>
      <c r="E10" s="8">
        <v>181920</v>
      </c>
    </row>
    <row r="13" ht="57" customHeight="1" spans="2:5">
      <c r="B13" s="1" t="s">
        <v>260</v>
      </c>
      <c r="C13" s="1"/>
      <c r="D13" s="1"/>
      <c r="E13" s="1"/>
    </row>
    <row r="14" ht="21" spans="2:2">
      <c r="B14" s="2"/>
    </row>
    <row r="15" ht="27.75" customHeight="1" spans="2:5">
      <c r="B15" s="3" t="s">
        <v>249</v>
      </c>
      <c r="C15" s="4" t="s">
        <v>261</v>
      </c>
      <c r="D15" s="4" t="s">
        <v>251</v>
      </c>
      <c r="E15" s="4" t="s">
        <v>252</v>
      </c>
    </row>
    <row r="16" ht="29.25" customHeight="1" spans="2:5">
      <c r="B16" s="5">
        <v>1</v>
      </c>
      <c r="C16" s="6" t="s">
        <v>262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263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264</v>
      </c>
      <c r="D18" s="7">
        <v>0.4</v>
      </c>
      <c r="E18" s="8">
        <v>7000</v>
      </c>
    </row>
    <row r="21" ht="47.25" customHeight="1" spans="2:5">
      <c r="B21" s="1" t="s">
        <v>265</v>
      </c>
      <c r="C21" s="1"/>
      <c r="D21" s="1"/>
      <c r="E21" s="1"/>
    </row>
    <row r="22" ht="21" spans="2:2">
      <c r="B22" s="2"/>
    </row>
    <row r="23" ht="27.75" customHeight="1" spans="2:5">
      <c r="B23" s="3" t="s">
        <v>249</v>
      </c>
      <c r="C23" s="4" t="s">
        <v>266</v>
      </c>
      <c r="D23" s="4" t="s">
        <v>251</v>
      </c>
      <c r="E23" s="4" t="s">
        <v>252</v>
      </c>
    </row>
    <row r="24" ht="29.25" customHeight="1" spans="2:5">
      <c r="B24" s="5">
        <v>1</v>
      </c>
      <c r="C24" s="6" t="s">
        <v>267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268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269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270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271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272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273</v>
      </c>
      <c r="D30" s="7">
        <v>0.45</v>
      </c>
      <c r="E30" s="8">
        <v>15160</v>
      </c>
    </row>
    <row r="35" ht="57" customHeight="1" spans="2:5">
      <c r="B35" s="9" t="s">
        <v>274</v>
      </c>
      <c r="C35" s="9"/>
      <c r="D35" s="9"/>
      <c r="E35" s="9"/>
    </row>
    <row r="36" ht="14.25"/>
    <row r="37" ht="21.75" customHeight="1" spans="2:5">
      <c r="B37" s="3" t="s">
        <v>249</v>
      </c>
      <c r="C37" s="4" t="s">
        <v>275</v>
      </c>
      <c r="D37" s="4" t="s">
        <v>276</v>
      </c>
      <c r="E37" s="4" t="s">
        <v>252</v>
      </c>
    </row>
    <row r="38" ht="21.75" customHeight="1" spans="2:5">
      <c r="B38" s="5">
        <v>1</v>
      </c>
      <c r="C38" s="6" t="s">
        <v>267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268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269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270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271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272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273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5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9.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1.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4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7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8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9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244" t="s">
        <v>86</v>
      </c>
      <c r="D4" s="56" t="s">
        <v>87</v>
      </c>
      <c r="E4" s="245" t="s">
        <v>88</v>
      </c>
      <c r="F4" s="57" t="str">
        <f>IF(MOD(MID(E4,17,1),2)=1,"男","女")</f>
        <v>男</v>
      </c>
      <c r="G4" s="246">
        <v>18035163638</v>
      </c>
      <c r="H4" s="247"/>
      <c r="I4" s="247"/>
      <c r="J4" s="249"/>
      <c r="K4" s="247"/>
      <c r="L4" s="250">
        <v>7700</v>
      </c>
      <c r="M4" s="250">
        <v>264</v>
      </c>
      <c r="N4" s="250">
        <v>66</v>
      </c>
      <c r="O4" s="250">
        <v>9.9</v>
      </c>
      <c r="P4" s="250">
        <v>180</v>
      </c>
      <c r="Q4" s="108">
        <f>ROUND(SUM(M4:P4),2)</f>
        <v>519.9</v>
      </c>
      <c r="R4" s="89">
        <v>0</v>
      </c>
      <c r="S4" s="109">
        <f>L4+IFERROR(VLOOKUP($E:$E,'（居民）工资表-2月'!$E:$S,15,0),0)</f>
        <v>16980</v>
      </c>
      <c r="T4" s="110">
        <f>5000+IFERROR(VLOOKUP($E:$E,'（居民）工资表-2月'!$E:$T,16,0),0)</f>
        <v>15000</v>
      </c>
      <c r="U4" s="110">
        <f>Q4+IFERROR(VLOOKUP($E:$E,'（居民）工资表-2月'!$E:$U,17,0),0)</f>
        <v>1559.7</v>
      </c>
      <c r="V4" s="89"/>
      <c r="W4" s="89"/>
      <c r="X4" s="89">
        <v>3000</v>
      </c>
      <c r="Y4" s="89"/>
      <c r="Z4" s="89"/>
      <c r="AA4" s="89"/>
      <c r="AB4" s="109">
        <f>ROUND(SUM(V4:AA4),2)</f>
        <v>3000</v>
      </c>
      <c r="AC4" s="109">
        <f>R4+IFERROR(VLOOKUP($E:$E,'（居民）工资表-2月'!$E:$AC,25,0),0)</f>
        <v>0</v>
      </c>
      <c r="AD4" s="112">
        <f>ROUND(S4-T4-U4-AB4-AC4,2)</f>
        <v>-2579.7</v>
      </c>
      <c r="AE4" s="113">
        <f>ROUND(MAX((AD4)*{0.03;0.1;0.2;0.25;0.3;0.35;0.45}-{0;2520;16920;31920;52920;85920;181920},0),2)</f>
        <v>0</v>
      </c>
      <c r="AF4" s="114">
        <f>IFERROR(VLOOKUP(E:E,'（居民）工资表-2月'!E:AF,28,0)+VLOOKUP(E:E,'（居民）工资表-2月'!E:AG,29,0),0)</f>
        <v>52.8</v>
      </c>
      <c r="AG4" s="114">
        <f>IF((AE4-AF4)&lt;0,0,AE4-AF4)</f>
        <v>0</v>
      </c>
      <c r="AH4" s="121">
        <f>ROUND(IF((L4-Q4-AG4)&lt;0,0,(L4-Q4-AG4)),2)</f>
        <v>7180.1</v>
      </c>
      <c r="AI4" s="122"/>
      <c r="AJ4" s="121">
        <f>AH4+AI4</f>
        <v>7180.1</v>
      </c>
      <c r="AK4" s="123"/>
      <c r="AL4" s="121">
        <f>AJ4+AG4+AK4</f>
        <v>7180.1</v>
      </c>
      <c r="AM4" s="123"/>
      <c r="AN4" s="123"/>
      <c r="AO4" s="123"/>
      <c r="AP4" s="123"/>
      <c r="AQ4" s="123"/>
      <c r="AR4" s="13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30" t="str">
        <f>IF(SUMPRODUCT(N(E$1:E$5=E4))&gt;1,"重复","不")</f>
        <v>不</v>
      </c>
      <c r="AT4" s="130" t="str">
        <f>IF(SUMPRODUCT(N(AO$1:AO$5=AO4))&gt;1,"重复","不")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248" t="s">
        <v>89</v>
      </c>
      <c r="D5" s="56" t="s">
        <v>87</v>
      </c>
      <c r="E5" s="372" t="s">
        <v>90</v>
      </c>
      <c r="F5" s="57" t="str">
        <f>IF(MOD(MID(E5,17,1),2)=1,"男","女")</f>
        <v>女</v>
      </c>
      <c r="G5" s="246">
        <v>13926009696</v>
      </c>
      <c r="H5" s="247"/>
      <c r="I5" s="247"/>
      <c r="J5" s="249"/>
      <c r="K5" s="247"/>
      <c r="L5" s="250">
        <v>5800</v>
      </c>
      <c r="M5" s="250">
        <v>304.24</v>
      </c>
      <c r="N5" s="250">
        <v>123.5</v>
      </c>
      <c r="O5" s="250">
        <v>7.61</v>
      </c>
      <c r="P5" s="250">
        <v>0</v>
      </c>
      <c r="Q5" s="108">
        <f>ROUND(SUM(M5:P5),2)</f>
        <v>435.35</v>
      </c>
      <c r="R5" s="89">
        <v>0</v>
      </c>
      <c r="S5" s="109">
        <f>L5+IFERROR(VLOOKUP($E:$E,'（居民）工资表-2月'!$E:$S,15,0),0)</f>
        <v>5800</v>
      </c>
      <c r="T5" s="110">
        <f>5000+IFERROR(VLOOKUP($E:$E,'（居民）工资表-2月'!$E:$T,16,0),0)</f>
        <v>5000</v>
      </c>
      <c r="U5" s="110">
        <f>Q5+IFERROR(VLOOKUP($E:$E,'（居民）工资表-2月'!$E:$U,17,0),0)</f>
        <v>435.35</v>
      </c>
      <c r="V5" s="89"/>
      <c r="W5" s="89"/>
      <c r="X5" s="89"/>
      <c r="Y5" s="89"/>
      <c r="Z5" s="89"/>
      <c r="AA5" s="89"/>
      <c r="AB5" s="109">
        <f>ROUND(SUM(V5:AA5),2)</f>
        <v>0</v>
      </c>
      <c r="AC5" s="109">
        <f>R5+IFERROR(VLOOKUP($E:$E,'（居民）工资表-2月'!$E:$AC,25,0),0)</f>
        <v>0</v>
      </c>
      <c r="AD5" s="112">
        <f>ROUND(S5-T5-U5-AB5-AC5,2)</f>
        <v>364.65</v>
      </c>
      <c r="AE5" s="113">
        <f>ROUND(MAX((AD5)*{0.03;0.1;0.2;0.25;0.3;0.35;0.45}-{0;2520;16920;31920;52920;85920;181920},0),2)</f>
        <v>10.94</v>
      </c>
      <c r="AF5" s="114">
        <f>IFERROR(VLOOKUP(E:E,'（居民）工资表-2月'!E:AF,28,0)+VLOOKUP(E:E,'（居民）工资表-2月'!E:AG,29,0),0)</f>
        <v>0</v>
      </c>
      <c r="AG5" s="114">
        <f>IF((AE5-AF5)&lt;0,0,AE5-AF5)</f>
        <v>10.94</v>
      </c>
      <c r="AH5" s="121">
        <f>ROUND(IF((L5-Q5-AG5)&lt;0,0,(L5-Q5-AG5)),2)</f>
        <v>5353.71</v>
      </c>
      <c r="AI5" s="122"/>
      <c r="AJ5" s="121">
        <f>AH5+AI5</f>
        <v>5353.71</v>
      </c>
      <c r="AK5" s="123"/>
      <c r="AL5" s="121">
        <f>AJ5+AG5+AK5</f>
        <v>5364.65</v>
      </c>
      <c r="AM5" s="123"/>
      <c r="AN5" s="123"/>
      <c r="AO5" s="123"/>
      <c r="AP5" s="123"/>
      <c r="AQ5" s="123"/>
      <c r="AR5" s="130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30" t="str">
        <f>IF(SUMPRODUCT(N(E$1:E$5=E5))&gt;1,"重复","不")</f>
        <v>不</v>
      </c>
      <c r="AT5" s="130" t="str">
        <f>IF(SUMPRODUCT(N(AO$1:AO$5=AO5))&gt;1,"重复","不")</f>
        <v>重复</v>
      </c>
    </row>
    <row r="6" s="32" customFormat="1" ht="18" customHeight="1" spans="1:46">
      <c r="A6" s="60"/>
      <c r="B6" s="61" t="s">
        <v>91</v>
      </c>
      <c r="C6" s="61"/>
      <c r="D6" s="62"/>
      <c r="E6" s="63"/>
      <c r="F6" s="64"/>
      <c r="G6" s="65"/>
      <c r="H6" s="64"/>
      <c r="I6" s="91"/>
      <c r="J6" s="92"/>
      <c r="K6" s="91"/>
      <c r="L6" s="93">
        <f t="shared" ref="L6:AL6" si="0">SUM(L4:L5)</f>
        <v>13500</v>
      </c>
      <c r="M6" s="93">
        <f t="shared" si="0"/>
        <v>568.24</v>
      </c>
      <c r="N6" s="93">
        <f t="shared" si="0"/>
        <v>189.5</v>
      </c>
      <c r="O6" s="93">
        <f t="shared" si="0"/>
        <v>17.51</v>
      </c>
      <c r="P6" s="93">
        <f t="shared" si="0"/>
        <v>180</v>
      </c>
      <c r="Q6" s="93">
        <f t="shared" si="0"/>
        <v>955.25</v>
      </c>
      <c r="R6" s="93">
        <f t="shared" si="0"/>
        <v>0</v>
      </c>
      <c r="S6" s="93">
        <f t="shared" si="0"/>
        <v>22780</v>
      </c>
      <c r="T6" s="93">
        <f t="shared" si="0"/>
        <v>20000</v>
      </c>
      <c r="U6" s="93">
        <f t="shared" si="0"/>
        <v>1995.05</v>
      </c>
      <c r="V6" s="93">
        <f t="shared" si="0"/>
        <v>0</v>
      </c>
      <c r="W6" s="93">
        <f t="shared" si="0"/>
        <v>0</v>
      </c>
      <c r="X6" s="93">
        <f t="shared" si="0"/>
        <v>3000</v>
      </c>
      <c r="Y6" s="93">
        <f t="shared" si="0"/>
        <v>0</v>
      </c>
      <c r="Z6" s="93">
        <f t="shared" si="0"/>
        <v>0</v>
      </c>
      <c r="AA6" s="93">
        <f t="shared" si="0"/>
        <v>0</v>
      </c>
      <c r="AB6" s="93">
        <f t="shared" si="0"/>
        <v>3000</v>
      </c>
      <c r="AC6" s="93">
        <f t="shared" si="0"/>
        <v>0</v>
      </c>
      <c r="AD6" s="93">
        <f t="shared" si="0"/>
        <v>-2215.05</v>
      </c>
      <c r="AE6" s="93">
        <f t="shared" si="0"/>
        <v>10.94</v>
      </c>
      <c r="AF6" s="93">
        <f t="shared" si="0"/>
        <v>52.8</v>
      </c>
      <c r="AG6" s="93">
        <f t="shared" si="0"/>
        <v>10.94</v>
      </c>
      <c r="AH6" s="93">
        <f t="shared" si="0"/>
        <v>12533.81</v>
      </c>
      <c r="AI6" s="124">
        <f t="shared" si="0"/>
        <v>0</v>
      </c>
      <c r="AJ6" s="93">
        <f t="shared" si="0"/>
        <v>12533.81</v>
      </c>
      <c r="AK6" s="93">
        <f t="shared" si="0"/>
        <v>0</v>
      </c>
      <c r="AL6" s="93">
        <f t="shared" si="0"/>
        <v>12544.75</v>
      </c>
      <c r="AM6" s="125"/>
      <c r="AN6" s="125"/>
      <c r="AO6" s="125"/>
      <c r="AP6" s="125"/>
      <c r="AQ6" s="125"/>
      <c r="AR6" s="64"/>
      <c r="AS6" s="64"/>
      <c r="AT6" s="131"/>
    </row>
    <row r="9" spans="30:30">
      <c r="AD9" s="115"/>
    </row>
    <row r="10" ht="18.75" customHeight="1" spans="2:30">
      <c r="B10" s="66" t="s">
        <v>64</v>
      </c>
      <c r="C10" s="66" t="s">
        <v>92</v>
      </c>
      <c r="D10" s="66" t="s">
        <v>65</v>
      </c>
      <c r="E10" s="66" t="s">
        <v>93</v>
      </c>
      <c r="AD10" s="29"/>
    </row>
    <row r="11" ht="18.75" customHeight="1" spans="2:5">
      <c r="B11" s="67">
        <f>AJ6</f>
        <v>12533.81</v>
      </c>
      <c r="C11" s="67">
        <f>AG6</f>
        <v>10.94</v>
      </c>
      <c r="D11" s="67">
        <f>AK6</f>
        <v>0</v>
      </c>
      <c r="E11" s="67">
        <f>B11+C11+D11</f>
        <v>12544.75</v>
      </c>
    </row>
    <row r="12" spans="2:5">
      <c r="B12" s="68"/>
      <c r="C12" s="68"/>
      <c r="D12" s="68"/>
      <c r="E12" s="68"/>
    </row>
    <row r="13" s="33" customFormat="1" spans="1:35">
      <c r="A13" s="69" t="s">
        <v>94</v>
      </c>
      <c r="B13" s="70" t="s">
        <v>95</v>
      </c>
      <c r="C13" s="71"/>
      <c r="D13" s="71"/>
      <c r="E13" s="71"/>
      <c r="G13" s="72"/>
      <c r="J13" s="94"/>
      <c r="M13" s="95"/>
      <c r="AI13" s="126"/>
    </row>
    <row r="14" s="33" customFormat="1" spans="1:35">
      <c r="A14" s="73"/>
      <c r="B14" s="74" t="s">
        <v>96</v>
      </c>
      <c r="C14" s="71"/>
      <c r="D14" s="71"/>
      <c r="E14" s="71"/>
      <c r="G14" s="72"/>
      <c r="J14" s="94"/>
      <c r="M14" s="95"/>
      <c r="AI14" s="126"/>
    </row>
    <row r="15" s="33" customFormat="1" spans="1:35">
      <c r="A15" s="70"/>
      <c r="B15" s="74" t="s">
        <v>97</v>
      </c>
      <c r="C15" s="75"/>
      <c r="D15" s="75"/>
      <c r="E15" s="75"/>
      <c r="F15" s="75"/>
      <c r="G15" s="75"/>
      <c r="H15" s="75"/>
      <c r="I15" s="75"/>
      <c r="J15" s="96"/>
      <c r="K15" s="75"/>
      <c r="L15" s="75"/>
      <c r="M15" s="97"/>
      <c r="N15" s="75"/>
      <c r="O15" s="75"/>
      <c r="P15" s="75"/>
      <c r="AI15" s="126"/>
    </row>
    <row r="16" s="33" customFormat="1" customHeight="1" spans="1:35">
      <c r="A16" s="74"/>
      <c r="B16" s="74" t="s">
        <v>98</v>
      </c>
      <c r="C16" s="76"/>
      <c r="D16" s="76"/>
      <c r="E16" s="76"/>
      <c r="F16" s="76"/>
      <c r="G16" s="76"/>
      <c r="H16" s="76"/>
      <c r="I16" s="98"/>
      <c r="J16" s="99"/>
      <c r="K16" s="98"/>
      <c r="L16" s="98"/>
      <c r="M16" s="100"/>
      <c r="N16" s="98"/>
      <c r="O16" s="98"/>
      <c r="P16" s="98"/>
      <c r="AI16" s="126"/>
    </row>
    <row r="17" s="33" customFormat="1" customHeight="1" spans="1:35">
      <c r="A17" s="74"/>
      <c r="B17" s="74" t="s">
        <v>99</v>
      </c>
      <c r="C17" s="76"/>
      <c r="D17" s="76"/>
      <c r="E17" s="76"/>
      <c r="F17" s="76"/>
      <c r="G17" s="76"/>
      <c r="H17" s="76"/>
      <c r="I17" s="76"/>
      <c r="J17" s="101"/>
      <c r="K17" s="76"/>
      <c r="L17" s="98"/>
      <c r="M17" s="100"/>
      <c r="N17" s="98"/>
      <c r="O17" s="98"/>
      <c r="P17" s="98"/>
      <c r="AI17" s="126"/>
    </row>
    <row r="18" s="33" customFormat="1" customHeight="1" spans="1:35">
      <c r="A18" s="74"/>
      <c r="B18" s="74" t="s">
        <v>100</v>
      </c>
      <c r="C18" s="76"/>
      <c r="D18" s="76"/>
      <c r="E18" s="76"/>
      <c r="F18" s="76"/>
      <c r="G18" s="76"/>
      <c r="H18" s="76"/>
      <c r="I18" s="98"/>
      <c r="J18" s="99"/>
      <c r="K18" s="98"/>
      <c r="L18" s="98"/>
      <c r="M18" s="100"/>
      <c r="N18" s="98"/>
      <c r="O18" s="98"/>
      <c r="P18" s="98"/>
      <c r="AI18" s="126"/>
    </row>
    <row r="20" ht="11.25" customHeight="1" spans="2:2">
      <c r="B20" s="77" t="s">
        <v>101</v>
      </c>
    </row>
    <row r="21" spans="2:2">
      <c r="B21" s="78" t="s">
        <v>102</v>
      </c>
    </row>
    <row r="22" spans="2:2">
      <c r="B22" s="78" t="s">
        <v>103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2" priority="2" stopIfTrue="1"/>
  </conditionalFormatting>
  <conditionalFormatting sqref="B13:B17">
    <cfRule type="duplicateValues" dxfId="2" priority="3" stopIfTrue="1"/>
  </conditionalFormatting>
  <conditionalFormatting sqref="B21:B22">
    <cfRule type="duplicateValues" dxfId="2" priority="1" stopIfTrue="1"/>
  </conditionalFormatting>
  <conditionalFormatting sqref="C10:C12">
    <cfRule type="duplicateValues" dxfId="2" priority="4" stopIfTrue="1"/>
    <cfRule type="expression" dxfId="3" priority="5" stopIfTrue="1">
      <formula>AND(COUNTIF($B$6:$B$65442,C10)+COUNTIF($B$1:$B$3,C10)&gt;1,NOT(ISBLANK(C10)))</formula>
    </cfRule>
    <cfRule type="expression" dxfId="3" priority="6" stopIfTrue="1">
      <formula>AND(COUNTIF($B$17:$B$65393,C10)+COUNTIF($B$1:$B$16,C10)&gt;1,NOT(ISBLANK(C10)))</formula>
    </cfRule>
    <cfRule type="expression" dxfId="3" priority="7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3"/>
  <sheetViews>
    <sheetView workbookViewId="0">
      <selection activeCell="C27" sqref="C27"/>
    </sheetView>
  </sheetViews>
  <sheetFormatPr defaultColWidth="9" defaultRowHeight="16.5"/>
  <cols>
    <col min="1" max="1" width="5" style="179" customWidth="1"/>
    <col min="2" max="2" width="25" style="179" customWidth="1"/>
    <col min="3" max="3" width="7.375" style="179" customWidth="1"/>
    <col min="4" max="4" width="9.5" style="179" customWidth="1"/>
    <col min="5" max="5" width="8.25" style="179" customWidth="1"/>
    <col min="6" max="6" width="11.875" style="179" customWidth="1"/>
    <col min="7" max="7" width="16.375" style="179" customWidth="1"/>
    <col min="8" max="11" width="8.5" style="179" customWidth="1"/>
    <col min="12" max="12" width="9.125" style="179" customWidth="1"/>
    <col min="13" max="14" width="9.25" style="179" customWidth="1"/>
    <col min="15" max="15" width="7.5" style="179" customWidth="1"/>
    <col min="16" max="16" width="11.25" style="179" customWidth="1"/>
    <col min="17" max="17" width="9.125" style="179" customWidth="1"/>
    <col min="18" max="21" width="9.25" style="179" customWidth="1"/>
    <col min="22" max="22" width="9.125" style="179" customWidth="1"/>
    <col min="23" max="26" width="9.25" style="179" customWidth="1"/>
    <col min="27" max="28" width="9.125" style="179" customWidth="1"/>
    <col min="29" max="29" width="9" style="179" customWidth="1"/>
    <col min="30" max="30" width="9.125" style="179" customWidth="1"/>
    <col min="31" max="31" width="9.25" style="179" customWidth="1"/>
    <col min="32" max="32" width="8.875" style="179" customWidth="1"/>
    <col min="33" max="33" width="9.125" style="179" customWidth="1"/>
    <col min="34" max="34" width="9.25" style="179" customWidth="1"/>
    <col min="35" max="35" width="11.125" style="179" customWidth="1"/>
    <col min="36" max="36" width="9.25" style="179" customWidth="1"/>
    <col min="37" max="37" width="8.5" style="179" customWidth="1"/>
    <col min="38" max="38" width="9.125" style="179" hidden="1" customWidth="1"/>
    <col min="39" max="42" width="9.25" style="179" hidden="1" customWidth="1"/>
    <col min="43" max="43" width="9.875" style="179" customWidth="1"/>
    <col min="44" max="44" width="9.375" style="179" customWidth="1"/>
    <col min="45" max="45" width="10.25" style="184" customWidth="1"/>
    <col min="46" max="46" width="10" style="184" customWidth="1"/>
    <col min="47" max="49" width="9.25" style="184" customWidth="1"/>
    <col min="50" max="50" width="9.25" style="179" customWidth="1"/>
    <col min="51" max="51" width="5.875" style="179" customWidth="1"/>
    <col min="52" max="52" width="8.375" style="179" customWidth="1"/>
    <col min="53" max="53" width="5.875" style="179" customWidth="1"/>
    <col min="54" max="54" width="8.875" style="179" customWidth="1"/>
    <col min="55" max="55" width="10.875" style="179" customWidth="1"/>
    <col min="56" max="56" width="40.25" style="185" customWidth="1"/>
    <col min="57" max="57" width="10.625" style="179" customWidth="1"/>
    <col min="58" max="16384" width="9" style="179"/>
  </cols>
  <sheetData>
    <row r="1" s="178" customFormat="1" ht="22.5" customHeight="1" spans="1:56">
      <c r="A1" s="186" t="s">
        <v>18</v>
      </c>
      <c r="B1" s="187" t="s">
        <v>104</v>
      </c>
      <c r="C1" s="187" t="s">
        <v>105</v>
      </c>
      <c r="D1" s="186" t="s">
        <v>106</v>
      </c>
      <c r="E1" s="187" t="s">
        <v>107</v>
      </c>
      <c r="F1" s="187" t="s">
        <v>108</v>
      </c>
      <c r="G1" s="187" t="s">
        <v>109</v>
      </c>
      <c r="H1" s="187" t="s">
        <v>110</v>
      </c>
      <c r="I1" s="187" t="s">
        <v>111</v>
      </c>
      <c r="J1" s="187" t="s">
        <v>112</v>
      </c>
      <c r="K1" s="187" t="s">
        <v>113</v>
      </c>
      <c r="L1" s="210" t="s">
        <v>114</v>
      </c>
      <c r="M1" s="210"/>
      <c r="N1" s="210"/>
      <c r="O1" s="210"/>
      <c r="P1" s="210"/>
      <c r="Q1" s="210" t="s">
        <v>115</v>
      </c>
      <c r="R1" s="210"/>
      <c r="S1" s="210"/>
      <c r="T1" s="210"/>
      <c r="U1" s="210"/>
      <c r="V1" s="210" t="s">
        <v>116</v>
      </c>
      <c r="W1" s="210"/>
      <c r="X1" s="210"/>
      <c r="Y1" s="210"/>
      <c r="Z1" s="210"/>
      <c r="AA1" s="186" t="s">
        <v>117</v>
      </c>
      <c r="AB1" s="186"/>
      <c r="AC1" s="186"/>
      <c r="AD1" s="186" t="s">
        <v>118</v>
      </c>
      <c r="AE1" s="186"/>
      <c r="AF1" s="186"/>
      <c r="AG1" s="210" t="s">
        <v>119</v>
      </c>
      <c r="AH1" s="210"/>
      <c r="AI1" s="210"/>
      <c r="AJ1" s="210"/>
      <c r="AK1" s="210"/>
      <c r="AL1" s="186" t="s">
        <v>120</v>
      </c>
      <c r="AM1" s="186"/>
      <c r="AN1" s="186"/>
      <c r="AO1" s="186"/>
      <c r="AP1" s="186"/>
      <c r="AQ1" s="186" t="s">
        <v>121</v>
      </c>
      <c r="AR1" s="186"/>
      <c r="AS1" s="219" t="s">
        <v>122</v>
      </c>
      <c r="AT1" s="219"/>
      <c r="AU1" s="219"/>
      <c r="AV1" s="219"/>
      <c r="AW1" s="219"/>
      <c r="AX1" s="186" t="s">
        <v>123</v>
      </c>
      <c r="AY1" s="186"/>
      <c r="AZ1" s="186" t="s">
        <v>124</v>
      </c>
      <c r="BA1" s="186"/>
      <c r="BB1" s="186" t="s">
        <v>65</v>
      </c>
      <c r="BC1" s="186" t="s">
        <v>93</v>
      </c>
      <c r="BD1" s="228" t="s">
        <v>23</v>
      </c>
    </row>
    <row r="2" s="179" customFormat="1" ht="22.5" customHeight="1" spans="1:56">
      <c r="A2" s="186"/>
      <c r="B2" s="188"/>
      <c r="C2" s="187"/>
      <c r="D2" s="186"/>
      <c r="E2" s="187"/>
      <c r="F2" s="189"/>
      <c r="G2" s="189"/>
      <c r="H2" s="187"/>
      <c r="I2" s="187"/>
      <c r="J2" s="187"/>
      <c r="K2" s="187"/>
      <c r="L2" s="211" t="s">
        <v>125</v>
      </c>
      <c r="M2" s="211" t="s">
        <v>126</v>
      </c>
      <c r="N2" s="211" t="s">
        <v>127</v>
      </c>
      <c r="O2" s="211" t="s">
        <v>128</v>
      </c>
      <c r="P2" s="211" t="s">
        <v>129</v>
      </c>
      <c r="Q2" s="211" t="s">
        <v>125</v>
      </c>
      <c r="R2" s="211" t="s">
        <v>126</v>
      </c>
      <c r="S2" s="211" t="s">
        <v>127</v>
      </c>
      <c r="T2" s="211" t="s">
        <v>128</v>
      </c>
      <c r="U2" s="211" t="s">
        <v>129</v>
      </c>
      <c r="V2" s="211" t="s">
        <v>125</v>
      </c>
      <c r="W2" s="211" t="s">
        <v>126</v>
      </c>
      <c r="X2" s="211" t="s">
        <v>127</v>
      </c>
      <c r="Y2" s="211" t="s">
        <v>128</v>
      </c>
      <c r="Z2" s="211" t="s">
        <v>129</v>
      </c>
      <c r="AA2" s="211" t="s">
        <v>125</v>
      </c>
      <c r="AB2" s="211" t="s">
        <v>130</v>
      </c>
      <c r="AC2" s="211" t="s">
        <v>22</v>
      </c>
      <c r="AD2" s="211" t="s">
        <v>125</v>
      </c>
      <c r="AE2" s="211" t="s">
        <v>130</v>
      </c>
      <c r="AF2" s="211" t="s">
        <v>22</v>
      </c>
      <c r="AG2" s="211" t="s">
        <v>125</v>
      </c>
      <c r="AH2" s="211" t="s">
        <v>126</v>
      </c>
      <c r="AI2" s="211" t="s">
        <v>127</v>
      </c>
      <c r="AJ2" s="211" t="s">
        <v>128</v>
      </c>
      <c r="AK2" s="211" t="s">
        <v>129</v>
      </c>
      <c r="AL2" s="211" t="s">
        <v>125</v>
      </c>
      <c r="AM2" s="211" t="s">
        <v>126</v>
      </c>
      <c r="AN2" s="211" t="s">
        <v>127</v>
      </c>
      <c r="AO2" s="211" t="s">
        <v>128</v>
      </c>
      <c r="AP2" s="211" t="s">
        <v>129</v>
      </c>
      <c r="AQ2" s="211" t="s">
        <v>131</v>
      </c>
      <c r="AR2" s="211" t="s">
        <v>132</v>
      </c>
      <c r="AS2" s="220" t="s">
        <v>133</v>
      </c>
      <c r="AT2" s="220" t="s">
        <v>134</v>
      </c>
      <c r="AU2" s="220" t="s">
        <v>135</v>
      </c>
      <c r="AV2" s="220" t="s">
        <v>78</v>
      </c>
      <c r="AW2" s="220" t="s">
        <v>30</v>
      </c>
      <c r="AX2" s="186"/>
      <c r="AY2" s="186"/>
      <c r="AZ2" s="186"/>
      <c r="BA2" s="186"/>
      <c r="BB2" s="186"/>
      <c r="BC2" s="186"/>
      <c r="BD2" s="228"/>
    </row>
    <row r="3" s="180" customFormat="1" ht="18" customHeight="1" spans="1:60">
      <c r="A3" s="190">
        <v>1</v>
      </c>
      <c r="B3" s="161" t="s">
        <v>136</v>
      </c>
      <c r="C3" s="150" t="s">
        <v>137</v>
      </c>
      <c r="D3" s="160" t="s">
        <v>138</v>
      </c>
      <c r="E3" s="161" t="s">
        <v>139</v>
      </c>
      <c r="F3" s="162" t="s">
        <v>86</v>
      </c>
      <c r="G3" s="163" t="s">
        <v>88</v>
      </c>
      <c r="H3" s="160" t="s">
        <v>140</v>
      </c>
      <c r="I3" s="160" t="s">
        <v>140</v>
      </c>
      <c r="J3" s="160" t="s">
        <v>141</v>
      </c>
      <c r="K3" s="160" t="s">
        <v>141</v>
      </c>
      <c r="L3" s="190">
        <v>3300</v>
      </c>
      <c r="M3" s="190">
        <v>0.16</v>
      </c>
      <c r="N3" s="190">
        <f t="shared" ref="N3:N8" si="0">ROUND(L3*M3,2)</f>
        <v>528</v>
      </c>
      <c r="O3" s="190">
        <v>0.08</v>
      </c>
      <c r="P3" s="190">
        <f t="shared" ref="P3:P8" si="1">ROUND(L3*O3,2)</f>
        <v>264</v>
      </c>
      <c r="Q3" s="190">
        <v>3300</v>
      </c>
      <c r="R3" s="190">
        <v>0.08</v>
      </c>
      <c r="S3" s="190">
        <f t="shared" ref="S3:S8" si="2">ROUND(Q3*R3,2)</f>
        <v>264</v>
      </c>
      <c r="T3" s="190">
        <v>0.02</v>
      </c>
      <c r="U3" s="190">
        <f t="shared" ref="U3:U8" si="3">ROUND(Q3*T3,2)</f>
        <v>66</v>
      </c>
      <c r="V3" s="190">
        <v>3300</v>
      </c>
      <c r="W3" s="190">
        <v>0.007</v>
      </c>
      <c r="X3" s="190">
        <f t="shared" ref="X3:X8" si="4">ROUND(V3*W3,2)</f>
        <v>23.1</v>
      </c>
      <c r="Y3" s="190">
        <v>0.003</v>
      </c>
      <c r="Z3" s="190">
        <f t="shared" ref="Z3:Z8" si="5">ROUND(V3*Y3,2)</f>
        <v>9.9</v>
      </c>
      <c r="AA3" s="190"/>
      <c r="AB3" s="190"/>
      <c r="AC3" s="190"/>
      <c r="AD3" s="190">
        <v>3300</v>
      </c>
      <c r="AE3" s="190">
        <v>0.002</v>
      </c>
      <c r="AF3" s="190">
        <f t="shared" ref="AF3:AF15" si="6">ROUND(AD3*AE3,2)</f>
        <v>6.6</v>
      </c>
      <c r="AG3" s="190">
        <v>3000</v>
      </c>
      <c r="AH3" s="190">
        <v>0.1</v>
      </c>
      <c r="AI3" s="190">
        <f>ROUND(AG3*AH3,2)</f>
        <v>300</v>
      </c>
      <c r="AJ3" s="190">
        <v>0.06</v>
      </c>
      <c r="AK3" s="190">
        <f>ROUND(AG3*AJ3,2)</f>
        <v>180</v>
      </c>
      <c r="AL3" s="217"/>
      <c r="AM3" s="190"/>
      <c r="AN3" s="190"/>
      <c r="AO3" s="190"/>
      <c r="AP3" s="161" t="s">
        <v>142</v>
      </c>
      <c r="AQ3" s="221">
        <v>5</v>
      </c>
      <c r="AR3" s="190"/>
      <c r="AS3" s="222">
        <f t="shared" ref="AS3:AS15" si="7">N3+S3+X3+AC3+AF3+AN3+AQ3</f>
        <v>826.7</v>
      </c>
      <c r="AT3" s="222">
        <f t="shared" ref="AT3:AT15" si="8">P3+U3+Z3</f>
        <v>339.9</v>
      </c>
      <c r="AU3" s="222">
        <f t="shared" ref="AU3:AU15" si="9">AI3</f>
        <v>300</v>
      </c>
      <c r="AV3" s="222">
        <f t="shared" ref="AV3:AV15" si="10">AK3</f>
        <v>180</v>
      </c>
      <c r="AW3" s="222">
        <f t="shared" ref="AW3:AW15" si="11">AV3+AS3+AT3+AU3</f>
        <v>1646.6</v>
      </c>
      <c r="AX3" s="229">
        <f t="shared" ref="AX3:AX15" si="12">AS3+AT3</f>
        <v>1166.6</v>
      </c>
      <c r="AY3" s="229"/>
      <c r="AZ3" s="229">
        <f t="shared" ref="AZ3:AZ8" si="13">AU3+AV3</f>
        <v>480</v>
      </c>
      <c r="BA3" s="229"/>
      <c r="BB3" s="230">
        <v>80</v>
      </c>
      <c r="BC3" s="229">
        <f t="shared" ref="BC3:BC15" si="14">AX3+AZ3+BB3</f>
        <v>1726.6</v>
      </c>
      <c r="BD3" s="231"/>
      <c r="BE3" s="265"/>
      <c r="BF3" s="266"/>
      <c r="BG3" s="266"/>
      <c r="BH3" s="267" t="s">
        <v>142</v>
      </c>
    </row>
    <row r="4" s="180" customFormat="1" ht="18" customHeight="1" spans="1:60">
      <c r="A4" s="190"/>
      <c r="B4" s="161" t="s">
        <v>136</v>
      </c>
      <c r="C4" s="150" t="s">
        <v>137</v>
      </c>
      <c r="D4" s="160" t="s">
        <v>138</v>
      </c>
      <c r="E4" s="161" t="s">
        <v>139</v>
      </c>
      <c r="F4" s="162" t="s">
        <v>86</v>
      </c>
      <c r="G4" s="163" t="s">
        <v>88</v>
      </c>
      <c r="H4" s="160" t="s">
        <v>140</v>
      </c>
      <c r="I4" s="160" t="s">
        <v>140</v>
      </c>
      <c r="J4" s="160" t="s">
        <v>143</v>
      </c>
      <c r="K4" s="160" t="s">
        <v>143</v>
      </c>
      <c r="L4" s="190">
        <v>3300</v>
      </c>
      <c r="M4" s="190">
        <v>0.16</v>
      </c>
      <c r="N4" s="190">
        <f t="shared" si="0"/>
        <v>528</v>
      </c>
      <c r="O4" s="190">
        <v>0.08</v>
      </c>
      <c r="P4" s="190">
        <f t="shared" si="1"/>
        <v>264</v>
      </c>
      <c r="Q4" s="190">
        <v>3300</v>
      </c>
      <c r="R4" s="190">
        <v>0.08</v>
      </c>
      <c r="S4" s="190">
        <f t="shared" si="2"/>
        <v>264</v>
      </c>
      <c r="T4" s="190">
        <v>0.02</v>
      </c>
      <c r="U4" s="190">
        <f t="shared" si="3"/>
        <v>66</v>
      </c>
      <c r="V4" s="190">
        <v>3300</v>
      </c>
      <c r="W4" s="190">
        <v>0.007</v>
      </c>
      <c r="X4" s="190">
        <f t="shared" si="4"/>
        <v>23.1</v>
      </c>
      <c r="Y4" s="190">
        <v>0.003</v>
      </c>
      <c r="Z4" s="190">
        <f t="shared" si="5"/>
        <v>9.9</v>
      </c>
      <c r="AA4" s="190"/>
      <c r="AB4" s="190"/>
      <c r="AC4" s="190"/>
      <c r="AD4" s="190">
        <v>3300</v>
      </c>
      <c r="AE4" s="190">
        <v>0.002</v>
      </c>
      <c r="AF4" s="190">
        <f t="shared" si="6"/>
        <v>6.6</v>
      </c>
      <c r="AG4" s="190">
        <v>3000</v>
      </c>
      <c r="AH4" s="190">
        <v>0.1</v>
      </c>
      <c r="AI4" s="190">
        <f>ROUND(AG4*AH4,2)</f>
        <v>300</v>
      </c>
      <c r="AJ4" s="190">
        <v>0.06</v>
      </c>
      <c r="AK4" s="190">
        <f>ROUND(AG4*AJ4,2)</f>
        <v>180</v>
      </c>
      <c r="AL4" s="217"/>
      <c r="AM4" s="190"/>
      <c r="AN4" s="190"/>
      <c r="AO4" s="190"/>
      <c r="AP4" s="161" t="s">
        <v>142</v>
      </c>
      <c r="AQ4" s="221">
        <v>5</v>
      </c>
      <c r="AR4" s="190"/>
      <c r="AS4" s="222">
        <f t="shared" si="7"/>
        <v>826.7</v>
      </c>
      <c r="AT4" s="222">
        <f t="shared" si="8"/>
        <v>339.9</v>
      </c>
      <c r="AU4" s="222">
        <f t="shared" si="9"/>
        <v>300</v>
      </c>
      <c r="AV4" s="222">
        <f t="shared" si="10"/>
        <v>180</v>
      </c>
      <c r="AW4" s="222">
        <f t="shared" si="11"/>
        <v>1646.6</v>
      </c>
      <c r="AX4" s="229">
        <f t="shared" si="12"/>
        <v>1166.6</v>
      </c>
      <c r="AY4" s="229"/>
      <c r="AZ4" s="229">
        <f t="shared" si="13"/>
        <v>480</v>
      </c>
      <c r="BA4" s="229"/>
      <c r="BB4" s="230">
        <v>80</v>
      </c>
      <c r="BC4" s="229">
        <f t="shared" si="14"/>
        <v>1726.6</v>
      </c>
      <c r="BD4" s="231"/>
      <c r="BE4" s="265"/>
      <c r="BF4" s="266"/>
      <c r="BG4" s="266"/>
      <c r="BH4" s="267" t="s">
        <v>142</v>
      </c>
    </row>
    <row r="5" s="180" customFormat="1" ht="18" customHeight="1" spans="1:60">
      <c r="A5" s="190"/>
      <c r="B5" s="161" t="s">
        <v>136</v>
      </c>
      <c r="C5" s="150" t="s">
        <v>137</v>
      </c>
      <c r="D5" s="160" t="s">
        <v>138</v>
      </c>
      <c r="E5" s="161" t="s">
        <v>139</v>
      </c>
      <c r="F5" s="162" t="s">
        <v>86</v>
      </c>
      <c r="G5" s="163" t="s">
        <v>88</v>
      </c>
      <c r="H5" s="160" t="s">
        <v>140</v>
      </c>
      <c r="I5" s="160" t="s">
        <v>140</v>
      </c>
      <c r="J5" s="160" t="s">
        <v>144</v>
      </c>
      <c r="K5" s="160" t="s">
        <v>144</v>
      </c>
      <c r="L5" s="190">
        <v>3300</v>
      </c>
      <c r="M5" s="190">
        <v>0.16</v>
      </c>
      <c r="N5" s="190">
        <f t="shared" si="0"/>
        <v>528</v>
      </c>
      <c r="O5" s="190">
        <v>0.08</v>
      </c>
      <c r="P5" s="190">
        <f t="shared" si="1"/>
        <v>264</v>
      </c>
      <c r="Q5" s="190">
        <v>3300</v>
      </c>
      <c r="R5" s="190">
        <v>0.08</v>
      </c>
      <c r="S5" s="190">
        <f t="shared" si="2"/>
        <v>264</v>
      </c>
      <c r="T5" s="190">
        <v>0.02</v>
      </c>
      <c r="U5" s="190">
        <f t="shared" si="3"/>
        <v>66</v>
      </c>
      <c r="V5" s="190">
        <v>3300</v>
      </c>
      <c r="W5" s="190">
        <v>0.007</v>
      </c>
      <c r="X5" s="190">
        <f t="shared" si="4"/>
        <v>23.1</v>
      </c>
      <c r="Y5" s="190">
        <v>0.003</v>
      </c>
      <c r="Z5" s="190">
        <f t="shared" si="5"/>
        <v>9.9</v>
      </c>
      <c r="AA5" s="190"/>
      <c r="AB5" s="190"/>
      <c r="AC5" s="190"/>
      <c r="AD5" s="190">
        <v>3300</v>
      </c>
      <c r="AE5" s="190">
        <v>0.002</v>
      </c>
      <c r="AF5" s="190">
        <f t="shared" si="6"/>
        <v>6.6</v>
      </c>
      <c r="AG5" s="190">
        <v>3000</v>
      </c>
      <c r="AH5" s="190">
        <v>0.1</v>
      </c>
      <c r="AI5" s="190">
        <f>ROUND(AG5*AH5,2)</f>
        <v>300</v>
      </c>
      <c r="AJ5" s="190">
        <v>0.06</v>
      </c>
      <c r="AK5" s="190">
        <f>ROUND(AG5*AJ5,2)</f>
        <v>180</v>
      </c>
      <c r="AL5" s="217"/>
      <c r="AM5" s="190"/>
      <c r="AN5" s="190"/>
      <c r="AO5" s="190"/>
      <c r="AP5" s="161" t="s">
        <v>142</v>
      </c>
      <c r="AQ5" s="221">
        <v>5</v>
      </c>
      <c r="AR5" s="190"/>
      <c r="AS5" s="222">
        <f t="shared" si="7"/>
        <v>826.7</v>
      </c>
      <c r="AT5" s="222">
        <f t="shared" si="8"/>
        <v>339.9</v>
      </c>
      <c r="AU5" s="222">
        <f t="shared" si="9"/>
        <v>300</v>
      </c>
      <c r="AV5" s="222">
        <f t="shared" si="10"/>
        <v>180</v>
      </c>
      <c r="AW5" s="222">
        <f t="shared" si="11"/>
        <v>1646.6</v>
      </c>
      <c r="AX5" s="229">
        <f t="shared" si="12"/>
        <v>1166.6</v>
      </c>
      <c r="AY5" s="229"/>
      <c r="AZ5" s="229">
        <f t="shared" si="13"/>
        <v>480</v>
      </c>
      <c r="BA5" s="229"/>
      <c r="BB5" s="230">
        <v>80</v>
      </c>
      <c r="BC5" s="229">
        <f t="shared" si="14"/>
        <v>1726.6</v>
      </c>
      <c r="BD5" s="231"/>
      <c r="BE5" s="265"/>
      <c r="BF5" s="266"/>
      <c r="BG5" s="266"/>
      <c r="BH5" s="267" t="s">
        <v>142</v>
      </c>
    </row>
    <row r="6" s="180" customFormat="1" ht="18" customHeight="1" spans="1:60">
      <c r="A6" s="190">
        <v>2</v>
      </c>
      <c r="B6" s="161" t="s">
        <v>136</v>
      </c>
      <c r="C6" s="150" t="s">
        <v>145</v>
      </c>
      <c r="D6" s="160" t="s">
        <v>138</v>
      </c>
      <c r="E6" s="161" t="s">
        <v>146</v>
      </c>
      <c r="F6" s="162" t="s">
        <v>89</v>
      </c>
      <c r="G6" s="373" t="s">
        <v>90</v>
      </c>
      <c r="H6" s="160" t="s">
        <v>140</v>
      </c>
      <c r="I6" s="160" t="s">
        <v>147</v>
      </c>
      <c r="J6" s="160" t="s">
        <v>141</v>
      </c>
      <c r="K6" s="160" t="s">
        <v>147</v>
      </c>
      <c r="L6" s="190">
        <v>3803</v>
      </c>
      <c r="M6" s="190">
        <v>0.14</v>
      </c>
      <c r="N6" s="190">
        <f t="shared" si="0"/>
        <v>532.42</v>
      </c>
      <c r="O6" s="190">
        <v>0.08</v>
      </c>
      <c r="P6" s="190">
        <f t="shared" si="1"/>
        <v>304.24</v>
      </c>
      <c r="Q6" s="190">
        <v>6175</v>
      </c>
      <c r="R6" s="190">
        <v>0.055</v>
      </c>
      <c r="S6" s="190">
        <f t="shared" si="2"/>
        <v>339.63</v>
      </c>
      <c r="T6" s="190">
        <v>0.02</v>
      </c>
      <c r="U6" s="190">
        <f t="shared" si="3"/>
        <v>123.5</v>
      </c>
      <c r="V6" s="190">
        <v>3803</v>
      </c>
      <c r="W6" s="190">
        <v>0.0032</v>
      </c>
      <c r="X6" s="190">
        <f t="shared" si="4"/>
        <v>12.17</v>
      </c>
      <c r="Y6" s="190">
        <v>0.002</v>
      </c>
      <c r="Z6" s="190">
        <f t="shared" si="5"/>
        <v>7.61</v>
      </c>
      <c r="AA6" s="190">
        <v>6175</v>
      </c>
      <c r="AB6" s="190">
        <v>0.0085</v>
      </c>
      <c r="AC6" s="190">
        <f t="shared" ref="AC6:AC8" si="15">ROUND(AA6*AB6,2)</f>
        <v>52.49</v>
      </c>
      <c r="AD6" s="190">
        <v>3803</v>
      </c>
      <c r="AE6" s="190">
        <v>0.0016</v>
      </c>
      <c r="AF6" s="190">
        <f t="shared" si="6"/>
        <v>6.08</v>
      </c>
      <c r="AG6" s="190"/>
      <c r="AH6" s="190"/>
      <c r="AI6" s="190"/>
      <c r="AJ6" s="190"/>
      <c r="AK6" s="190"/>
      <c r="AL6" s="217"/>
      <c r="AM6" s="190"/>
      <c r="AN6" s="190"/>
      <c r="AO6" s="190"/>
      <c r="AP6" s="161"/>
      <c r="AQ6" s="221">
        <v>26.76</v>
      </c>
      <c r="AR6" s="190"/>
      <c r="AS6" s="222">
        <f t="shared" si="7"/>
        <v>969.55</v>
      </c>
      <c r="AT6" s="222">
        <f t="shared" si="8"/>
        <v>435.35</v>
      </c>
      <c r="AU6" s="222">
        <f t="shared" si="9"/>
        <v>0</v>
      </c>
      <c r="AV6" s="222">
        <f t="shared" si="10"/>
        <v>0</v>
      </c>
      <c r="AW6" s="222">
        <f t="shared" si="11"/>
        <v>1404.9</v>
      </c>
      <c r="AX6" s="229">
        <f t="shared" si="12"/>
        <v>1404.9</v>
      </c>
      <c r="AY6" s="229"/>
      <c r="AZ6" s="229">
        <f t="shared" si="13"/>
        <v>0</v>
      </c>
      <c r="BA6" s="229"/>
      <c r="BB6" s="230">
        <v>80</v>
      </c>
      <c r="BC6" s="229">
        <f t="shared" si="14"/>
        <v>1484.9</v>
      </c>
      <c r="BD6" s="231"/>
      <c r="BE6" s="243"/>
      <c r="BF6" s="243"/>
      <c r="BG6" s="243"/>
      <c r="BH6" s="243"/>
    </row>
    <row r="7" s="180" customFormat="1" ht="18" customHeight="1" spans="1:60">
      <c r="A7" s="190"/>
      <c r="B7" s="161" t="s">
        <v>136</v>
      </c>
      <c r="C7" s="150" t="s">
        <v>145</v>
      </c>
      <c r="D7" s="160" t="s">
        <v>138</v>
      </c>
      <c r="E7" s="161" t="s">
        <v>146</v>
      </c>
      <c r="F7" s="162" t="s">
        <v>89</v>
      </c>
      <c r="G7" s="373" t="s">
        <v>90</v>
      </c>
      <c r="H7" s="160" t="s">
        <v>140</v>
      </c>
      <c r="I7" s="160" t="s">
        <v>147</v>
      </c>
      <c r="J7" s="160" t="s">
        <v>143</v>
      </c>
      <c r="K7" s="160" t="s">
        <v>147</v>
      </c>
      <c r="L7" s="190">
        <v>3803</v>
      </c>
      <c r="M7" s="190">
        <v>0.14</v>
      </c>
      <c r="N7" s="190">
        <f t="shared" si="0"/>
        <v>532.42</v>
      </c>
      <c r="O7" s="190">
        <v>0.08</v>
      </c>
      <c r="P7" s="190">
        <f t="shared" si="1"/>
        <v>304.24</v>
      </c>
      <c r="Q7" s="190">
        <v>6175</v>
      </c>
      <c r="R7" s="190">
        <v>0.055</v>
      </c>
      <c r="S7" s="190">
        <f t="shared" si="2"/>
        <v>339.63</v>
      </c>
      <c r="T7" s="190">
        <v>0.02</v>
      </c>
      <c r="U7" s="190">
        <f t="shared" si="3"/>
        <v>123.5</v>
      </c>
      <c r="V7" s="190">
        <v>3803</v>
      </c>
      <c r="W7" s="190">
        <v>0.0032</v>
      </c>
      <c r="X7" s="190">
        <f t="shared" si="4"/>
        <v>12.17</v>
      </c>
      <c r="Y7" s="190">
        <v>0.002</v>
      </c>
      <c r="Z7" s="190">
        <f t="shared" si="5"/>
        <v>7.61</v>
      </c>
      <c r="AA7" s="190">
        <v>6175</v>
      </c>
      <c r="AB7" s="190">
        <v>0.0085</v>
      </c>
      <c r="AC7" s="190">
        <f t="shared" si="15"/>
        <v>52.49</v>
      </c>
      <c r="AD7" s="190">
        <v>3803</v>
      </c>
      <c r="AE7" s="190">
        <v>0.0016</v>
      </c>
      <c r="AF7" s="190">
        <f t="shared" si="6"/>
        <v>6.08</v>
      </c>
      <c r="AG7" s="190"/>
      <c r="AH7" s="190"/>
      <c r="AI7" s="190"/>
      <c r="AJ7" s="190"/>
      <c r="AK7" s="190"/>
      <c r="AL7" s="217"/>
      <c r="AM7" s="190"/>
      <c r="AN7" s="190"/>
      <c r="AO7" s="190"/>
      <c r="AP7" s="161"/>
      <c r="AQ7" s="221">
        <v>26.76</v>
      </c>
      <c r="AR7" s="190"/>
      <c r="AS7" s="222">
        <f t="shared" si="7"/>
        <v>969.55</v>
      </c>
      <c r="AT7" s="222">
        <f t="shared" si="8"/>
        <v>435.35</v>
      </c>
      <c r="AU7" s="222">
        <f t="shared" si="9"/>
        <v>0</v>
      </c>
      <c r="AV7" s="222">
        <f t="shared" si="10"/>
        <v>0</v>
      </c>
      <c r="AW7" s="222">
        <f t="shared" si="11"/>
        <v>1404.9</v>
      </c>
      <c r="AX7" s="229">
        <f t="shared" si="12"/>
        <v>1404.9</v>
      </c>
      <c r="AY7" s="229"/>
      <c r="AZ7" s="229">
        <f t="shared" si="13"/>
        <v>0</v>
      </c>
      <c r="BA7" s="229"/>
      <c r="BB7" s="230">
        <v>80</v>
      </c>
      <c r="BC7" s="229">
        <f t="shared" si="14"/>
        <v>1484.9</v>
      </c>
      <c r="BD7" s="231"/>
      <c r="BE7" s="243"/>
      <c r="BF7" s="243"/>
      <c r="BG7" s="243"/>
      <c r="BH7" s="243"/>
    </row>
    <row r="8" s="180" customFormat="1" ht="18" customHeight="1" spans="1:60">
      <c r="A8" s="190"/>
      <c r="B8" s="161" t="s">
        <v>136</v>
      </c>
      <c r="C8" s="150" t="s">
        <v>145</v>
      </c>
      <c r="D8" s="160" t="s">
        <v>138</v>
      </c>
      <c r="E8" s="161" t="s">
        <v>146</v>
      </c>
      <c r="F8" s="162" t="s">
        <v>89</v>
      </c>
      <c r="G8" s="373" t="s">
        <v>90</v>
      </c>
      <c r="H8" s="160" t="s">
        <v>140</v>
      </c>
      <c r="I8" s="160" t="s">
        <v>147</v>
      </c>
      <c r="J8" s="160" t="s">
        <v>144</v>
      </c>
      <c r="K8" s="160" t="s">
        <v>147</v>
      </c>
      <c r="L8" s="190">
        <v>3803</v>
      </c>
      <c r="M8" s="190">
        <v>0.14</v>
      </c>
      <c r="N8" s="190">
        <f t="shared" si="0"/>
        <v>532.42</v>
      </c>
      <c r="O8" s="190">
        <v>0.08</v>
      </c>
      <c r="P8" s="190">
        <f t="shared" si="1"/>
        <v>304.24</v>
      </c>
      <c r="Q8" s="190">
        <v>6175</v>
      </c>
      <c r="R8" s="190">
        <v>0.055</v>
      </c>
      <c r="S8" s="190">
        <f t="shared" si="2"/>
        <v>339.63</v>
      </c>
      <c r="T8" s="190">
        <v>0.02</v>
      </c>
      <c r="U8" s="190">
        <f t="shared" si="3"/>
        <v>123.5</v>
      </c>
      <c r="V8" s="190">
        <v>3803</v>
      </c>
      <c r="W8" s="190">
        <v>0.0032</v>
      </c>
      <c r="X8" s="190">
        <f t="shared" si="4"/>
        <v>12.17</v>
      </c>
      <c r="Y8" s="190">
        <v>0.002</v>
      </c>
      <c r="Z8" s="190">
        <f t="shared" si="5"/>
        <v>7.61</v>
      </c>
      <c r="AA8" s="190">
        <v>6175</v>
      </c>
      <c r="AB8" s="190">
        <v>0.0085</v>
      </c>
      <c r="AC8" s="190">
        <f t="shared" si="15"/>
        <v>52.49</v>
      </c>
      <c r="AD8" s="190">
        <v>3803</v>
      </c>
      <c r="AE8" s="190">
        <v>0.0016</v>
      </c>
      <c r="AF8" s="190">
        <f t="shared" si="6"/>
        <v>6.08</v>
      </c>
      <c r="AG8" s="190"/>
      <c r="AH8" s="190"/>
      <c r="AI8" s="190"/>
      <c r="AJ8" s="190"/>
      <c r="AK8" s="190"/>
      <c r="AL8" s="217"/>
      <c r="AM8" s="190"/>
      <c r="AN8" s="190"/>
      <c r="AO8" s="190"/>
      <c r="AP8" s="161"/>
      <c r="AQ8" s="221">
        <v>26.76</v>
      </c>
      <c r="AR8" s="190"/>
      <c r="AS8" s="222">
        <f t="shared" si="7"/>
        <v>969.55</v>
      </c>
      <c r="AT8" s="222">
        <f t="shared" si="8"/>
        <v>435.35</v>
      </c>
      <c r="AU8" s="222">
        <f t="shared" si="9"/>
        <v>0</v>
      </c>
      <c r="AV8" s="222">
        <f t="shared" si="10"/>
        <v>0</v>
      </c>
      <c r="AW8" s="222">
        <f t="shared" si="11"/>
        <v>1404.9</v>
      </c>
      <c r="AX8" s="229">
        <f t="shared" si="12"/>
        <v>1404.9</v>
      </c>
      <c r="AY8" s="229"/>
      <c r="AZ8" s="229">
        <f t="shared" si="13"/>
        <v>0</v>
      </c>
      <c r="BA8" s="229"/>
      <c r="BB8" s="230">
        <v>80</v>
      </c>
      <c r="BC8" s="229">
        <f t="shared" si="14"/>
        <v>1484.9</v>
      </c>
      <c r="BD8" s="231"/>
      <c r="BE8" s="243"/>
      <c r="BF8" s="243"/>
      <c r="BG8" s="243"/>
      <c r="BH8" s="243"/>
    </row>
    <row r="9" s="252" customFormat="1" ht="18" customHeight="1" spans="1:60">
      <c r="A9" s="253" t="s">
        <v>148</v>
      </c>
      <c r="B9" s="254" t="s">
        <v>136</v>
      </c>
      <c r="C9" s="145" t="s">
        <v>145</v>
      </c>
      <c r="D9" s="255" t="s">
        <v>138</v>
      </c>
      <c r="E9" s="254" t="s">
        <v>146</v>
      </c>
      <c r="F9" s="256" t="s">
        <v>89</v>
      </c>
      <c r="G9" s="374" t="s">
        <v>90</v>
      </c>
      <c r="H9" s="255" t="s">
        <v>140</v>
      </c>
      <c r="I9" s="255" t="s">
        <v>147</v>
      </c>
      <c r="J9" s="255" t="s">
        <v>149</v>
      </c>
      <c r="K9" s="255" t="s">
        <v>147</v>
      </c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8">
        <f t="shared" ref="AD9:AD11" si="16">3803-3000</f>
        <v>803</v>
      </c>
      <c r="AE9" s="258">
        <v>0.0016</v>
      </c>
      <c r="AF9" s="258">
        <f t="shared" si="6"/>
        <v>1.28</v>
      </c>
      <c r="AG9" s="253"/>
      <c r="AH9" s="253"/>
      <c r="AI9" s="253"/>
      <c r="AJ9" s="253"/>
      <c r="AK9" s="253"/>
      <c r="AL9" s="259"/>
      <c r="AM9" s="253"/>
      <c r="AN9" s="253"/>
      <c r="AO9" s="253"/>
      <c r="AP9" s="254"/>
      <c r="AQ9" s="260"/>
      <c r="AR9" s="253"/>
      <c r="AS9" s="261">
        <f t="shared" si="7"/>
        <v>1.28</v>
      </c>
      <c r="AT9" s="261">
        <f t="shared" si="8"/>
        <v>0</v>
      </c>
      <c r="AU9" s="261">
        <f t="shared" si="9"/>
        <v>0</v>
      </c>
      <c r="AV9" s="261">
        <f t="shared" si="10"/>
        <v>0</v>
      </c>
      <c r="AW9" s="261">
        <f t="shared" si="11"/>
        <v>1.28</v>
      </c>
      <c r="AX9" s="262">
        <f t="shared" si="12"/>
        <v>1.28</v>
      </c>
      <c r="AY9" s="262"/>
      <c r="AZ9" s="262"/>
      <c r="BA9" s="262"/>
      <c r="BB9" s="263"/>
      <c r="BC9" s="262">
        <f t="shared" si="14"/>
        <v>1.28</v>
      </c>
      <c r="BD9" s="264" t="s">
        <v>150</v>
      </c>
      <c r="BE9" s="268"/>
      <c r="BF9" s="268"/>
      <c r="BG9" s="268"/>
      <c r="BH9" s="268"/>
    </row>
    <row r="10" s="252" customFormat="1" ht="18" customHeight="1" spans="1:60">
      <c r="A10" s="253" t="s">
        <v>148</v>
      </c>
      <c r="B10" s="254" t="s">
        <v>136</v>
      </c>
      <c r="C10" s="145" t="s">
        <v>145</v>
      </c>
      <c r="D10" s="255" t="s">
        <v>138</v>
      </c>
      <c r="E10" s="254" t="s">
        <v>146</v>
      </c>
      <c r="F10" s="256" t="s">
        <v>89</v>
      </c>
      <c r="G10" s="374" t="s">
        <v>90</v>
      </c>
      <c r="H10" s="255" t="s">
        <v>140</v>
      </c>
      <c r="I10" s="255" t="s">
        <v>147</v>
      </c>
      <c r="J10" s="255" t="s">
        <v>151</v>
      </c>
      <c r="K10" s="255" t="s">
        <v>147</v>
      </c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8">
        <f t="shared" si="16"/>
        <v>803</v>
      </c>
      <c r="AE10" s="258">
        <v>0.0016</v>
      </c>
      <c r="AF10" s="258">
        <f t="shared" si="6"/>
        <v>1.28</v>
      </c>
      <c r="AG10" s="253"/>
      <c r="AH10" s="253"/>
      <c r="AI10" s="253"/>
      <c r="AJ10" s="253"/>
      <c r="AK10" s="253"/>
      <c r="AL10" s="259"/>
      <c r="AM10" s="253"/>
      <c r="AN10" s="253"/>
      <c r="AO10" s="253"/>
      <c r="AP10" s="254"/>
      <c r="AQ10" s="260"/>
      <c r="AR10" s="253"/>
      <c r="AS10" s="261">
        <f t="shared" si="7"/>
        <v>1.28</v>
      </c>
      <c r="AT10" s="261">
        <f t="shared" si="8"/>
        <v>0</v>
      </c>
      <c r="AU10" s="261">
        <f t="shared" si="9"/>
        <v>0</v>
      </c>
      <c r="AV10" s="261">
        <f t="shared" si="10"/>
        <v>0</v>
      </c>
      <c r="AW10" s="261">
        <f t="shared" si="11"/>
        <v>1.28</v>
      </c>
      <c r="AX10" s="262">
        <f t="shared" si="12"/>
        <v>1.28</v>
      </c>
      <c r="AY10" s="262"/>
      <c r="AZ10" s="262"/>
      <c r="BA10" s="262"/>
      <c r="BB10" s="263"/>
      <c r="BC10" s="262">
        <f t="shared" si="14"/>
        <v>1.28</v>
      </c>
      <c r="BD10" s="264" t="s">
        <v>150</v>
      </c>
      <c r="BE10" s="268"/>
      <c r="BF10" s="268"/>
      <c r="BG10" s="268"/>
      <c r="BH10" s="268"/>
    </row>
    <row r="11" s="252" customFormat="1" ht="18" customHeight="1" spans="1:60">
      <c r="A11" s="253" t="s">
        <v>148</v>
      </c>
      <c r="B11" s="254" t="s">
        <v>136</v>
      </c>
      <c r="C11" s="145" t="s">
        <v>145</v>
      </c>
      <c r="D11" s="255" t="s">
        <v>138</v>
      </c>
      <c r="E11" s="254" t="s">
        <v>146</v>
      </c>
      <c r="F11" s="256" t="s">
        <v>89</v>
      </c>
      <c r="G11" s="374" t="s">
        <v>90</v>
      </c>
      <c r="H11" s="255" t="s">
        <v>140</v>
      </c>
      <c r="I11" s="255" t="s">
        <v>147</v>
      </c>
      <c r="J11" s="255" t="s">
        <v>152</v>
      </c>
      <c r="K11" s="255" t="s">
        <v>147</v>
      </c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8">
        <f t="shared" si="16"/>
        <v>803</v>
      </c>
      <c r="AE11" s="258">
        <v>0.0016</v>
      </c>
      <c r="AF11" s="258">
        <f t="shared" si="6"/>
        <v>1.28</v>
      </c>
      <c r="AG11" s="253"/>
      <c r="AH11" s="253"/>
      <c r="AI11" s="253"/>
      <c r="AJ11" s="253"/>
      <c r="AK11" s="253"/>
      <c r="AL11" s="259"/>
      <c r="AM11" s="253"/>
      <c r="AN11" s="253"/>
      <c r="AO11" s="253"/>
      <c r="AP11" s="254"/>
      <c r="AQ11" s="260"/>
      <c r="AR11" s="253"/>
      <c r="AS11" s="261">
        <f t="shared" si="7"/>
        <v>1.28</v>
      </c>
      <c r="AT11" s="261">
        <f t="shared" si="8"/>
        <v>0</v>
      </c>
      <c r="AU11" s="261">
        <f t="shared" si="9"/>
        <v>0</v>
      </c>
      <c r="AV11" s="261">
        <f t="shared" si="10"/>
        <v>0</v>
      </c>
      <c r="AW11" s="261">
        <f t="shared" si="11"/>
        <v>1.28</v>
      </c>
      <c r="AX11" s="262">
        <f t="shared" si="12"/>
        <v>1.28</v>
      </c>
      <c r="AY11" s="262"/>
      <c r="AZ11" s="262"/>
      <c r="BA11" s="262"/>
      <c r="BB11" s="263"/>
      <c r="BC11" s="262">
        <f t="shared" si="14"/>
        <v>1.28</v>
      </c>
      <c r="BD11" s="264" t="s">
        <v>150</v>
      </c>
      <c r="BE11" s="268"/>
      <c r="BF11" s="268"/>
      <c r="BG11" s="268"/>
      <c r="BH11" s="268"/>
    </row>
    <row r="12" s="180" customFormat="1" ht="18" customHeight="1" spans="1:60">
      <c r="A12" s="190">
        <v>3</v>
      </c>
      <c r="B12" s="161" t="s">
        <v>136</v>
      </c>
      <c r="C12" s="150" t="s">
        <v>153</v>
      </c>
      <c r="D12" s="160" t="s">
        <v>138</v>
      </c>
      <c r="E12" s="161" t="s">
        <v>146</v>
      </c>
      <c r="F12" s="162" t="s">
        <v>154</v>
      </c>
      <c r="G12" s="163" t="s">
        <v>155</v>
      </c>
      <c r="H12" s="160" t="s">
        <v>156</v>
      </c>
      <c r="I12" s="160" t="s">
        <v>156</v>
      </c>
      <c r="J12" s="160" t="s">
        <v>143</v>
      </c>
      <c r="K12" s="160" t="s">
        <v>143</v>
      </c>
      <c r="L12" s="190">
        <v>3053.05</v>
      </c>
      <c r="M12" s="190">
        <v>0.16</v>
      </c>
      <c r="N12" s="190">
        <f t="shared" ref="N12:N15" si="17">ROUND(L12*M12,2)</f>
        <v>488.49</v>
      </c>
      <c r="O12" s="190">
        <v>0.08</v>
      </c>
      <c r="P12" s="190">
        <f t="shared" ref="P12:P15" si="18">ROUND(L12*O12,2)</f>
        <v>244.24</v>
      </c>
      <c r="Q12" s="190">
        <v>3053.05</v>
      </c>
      <c r="R12" s="190">
        <v>0.06</v>
      </c>
      <c r="S12" s="190">
        <f t="shared" ref="S12:S15" si="19">ROUND(Q12*R12,2)</f>
        <v>183.18</v>
      </c>
      <c r="T12" s="190">
        <v>0.02</v>
      </c>
      <c r="U12" s="190">
        <f t="shared" ref="U12:U15" si="20">ROUND(Q12*T12,2)</f>
        <v>61.06</v>
      </c>
      <c r="V12" s="190">
        <v>3053.05</v>
      </c>
      <c r="W12" s="190">
        <v>0.007</v>
      </c>
      <c r="X12" s="190">
        <f t="shared" ref="X12:X15" si="21">ROUND(V12*W12,2)</f>
        <v>21.37</v>
      </c>
      <c r="Y12" s="190">
        <v>0.003</v>
      </c>
      <c r="Z12" s="190">
        <f t="shared" ref="Z12:Z15" si="22">ROUND(V12*Y12,2)</f>
        <v>9.16</v>
      </c>
      <c r="AA12" s="190">
        <v>3053.05</v>
      </c>
      <c r="AB12" s="190">
        <v>0.007</v>
      </c>
      <c r="AC12" s="190">
        <f t="shared" ref="AC12:AC15" si="23">ROUND(AA12*AB12,2)</f>
        <v>21.37</v>
      </c>
      <c r="AD12" s="190">
        <v>3053.05</v>
      </c>
      <c r="AE12" s="190">
        <v>0.002</v>
      </c>
      <c r="AF12" s="190">
        <f t="shared" si="6"/>
        <v>6.11</v>
      </c>
      <c r="AG12" s="190" t="s">
        <v>157</v>
      </c>
      <c r="AH12" s="190">
        <v>0.05</v>
      </c>
      <c r="AI12" s="190">
        <f t="shared" ref="AI12:AI15" si="24">ROUND(AG12*AH12,2)</f>
        <v>79</v>
      </c>
      <c r="AJ12" s="190">
        <v>0.05</v>
      </c>
      <c r="AK12" s="190">
        <f t="shared" ref="AK12:AK15" si="25">ROUND(AG12*AJ12,2)</f>
        <v>79</v>
      </c>
      <c r="AL12" s="217"/>
      <c r="AM12" s="190"/>
      <c r="AN12" s="190"/>
      <c r="AO12" s="190"/>
      <c r="AP12" s="161"/>
      <c r="AQ12" s="221"/>
      <c r="AR12" s="190">
        <v>96</v>
      </c>
      <c r="AS12" s="222">
        <f t="shared" si="7"/>
        <v>720.52</v>
      </c>
      <c r="AT12" s="222">
        <f t="shared" si="8"/>
        <v>314.46</v>
      </c>
      <c r="AU12" s="222">
        <f t="shared" si="9"/>
        <v>79</v>
      </c>
      <c r="AV12" s="222">
        <f t="shared" si="10"/>
        <v>79</v>
      </c>
      <c r="AW12" s="222">
        <f t="shared" si="11"/>
        <v>1192.98</v>
      </c>
      <c r="AX12" s="229">
        <f t="shared" si="12"/>
        <v>1034.98</v>
      </c>
      <c r="AY12" s="229"/>
      <c r="AZ12" s="229">
        <f t="shared" ref="AZ12:AZ15" si="26">AU12+AV12</f>
        <v>158</v>
      </c>
      <c r="BA12" s="229"/>
      <c r="BB12" s="230">
        <v>80</v>
      </c>
      <c r="BC12" s="229">
        <f t="shared" si="14"/>
        <v>1272.98</v>
      </c>
      <c r="BD12" s="231"/>
      <c r="BE12" s="243"/>
      <c r="BF12" s="243"/>
      <c r="BG12" s="243"/>
      <c r="BH12" s="243"/>
    </row>
    <row r="13" s="180" customFormat="1" ht="18" customHeight="1" spans="1:60">
      <c r="A13" s="190"/>
      <c r="B13" s="161" t="s">
        <v>136</v>
      </c>
      <c r="C13" s="150" t="s">
        <v>153</v>
      </c>
      <c r="D13" s="160" t="s">
        <v>138</v>
      </c>
      <c r="E13" s="161" t="s">
        <v>146</v>
      </c>
      <c r="F13" s="162" t="s">
        <v>154</v>
      </c>
      <c r="G13" s="163" t="s">
        <v>155</v>
      </c>
      <c r="H13" s="160" t="s">
        <v>156</v>
      </c>
      <c r="I13" s="160" t="s">
        <v>156</v>
      </c>
      <c r="J13" s="160" t="s">
        <v>144</v>
      </c>
      <c r="K13" s="160" t="s">
        <v>144</v>
      </c>
      <c r="L13" s="190">
        <v>3053.05</v>
      </c>
      <c r="M13" s="190">
        <v>0.16</v>
      </c>
      <c r="N13" s="190">
        <f t="shared" si="17"/>
        <v>488.49</v>
      </c>
      <c r="O13" s="190">
        <v>0.08</v>
      </c>
      <c r="P13" s="190">
        <f t="shared" si="18"/>
        <v>244.24</v>
      </c>
      <c r="Q13" s="190">
        <v>3053.05</v>
      </c>
      <c r="R13" s="190">
        <v>0.06</v>
      </c>
      <c r="S13" s="190">
        <f t="shared" si="19"/>
        <v>183.18</v>
      </c>
      <c r="T13" s="190">
        <v>0.02</v>
      </c>
      <c r="U13" s="190">
        <f t="shared" si="20"/>
        <v>61.06</v>
      </c>
      <c r="V13" s="190">
        <v>3053.05</v>
      </c>
      <c r="W13" s="190">
        <v>0.007</v>
      </c>
      <c r="X13" s="190">
        <f t="shared" si="21"/>
        <v>21.37</v>
      </c>
      <c r="Y13" s="190">
        <v>0.003</v>
      </c>
      <c r="Z13" s="190">
        <f t="shared" si="22"/>
        <v>9.16</v>
      </c>
      <c r="AA13" s="190">
        <v>3053.05</v>
      </c>
      <c r="AB13" s="190">
        <v>0.007</v>
      </c>
      <c r="AC13" s="190">
        <f t="shared" si="23"/>
        <v>21.37</v>
      </c>
      <c r="AD13" s="190">
        <v>3053.05</v>
      </c>
      <c r="AE13" s="190">
        <v>0.002</v>
      </c>
      <c r="AF13" s="190">
        <f t="shared" si="6"/>
        <v>6.11</v>
      </c>
      <c r="AG13" s="190" t="s">
        <v>157</v>
      </c>
      <c r="AH13" s="190">
        <v>0.05</v>
      </c>
      <c r="AI13" s="190">
        <f t="shared" si="24"/>
        <v>79</v>
      </c>
      <c r="AJ13" s="190">
        <v>0.05</v>
      </c>
      <c r="AK13" s="190">
        <f t="shared" si="25"/>
        <v>79</v>
      </c>
      <c r="AL13" s="217"/>
      <c r="AM13" s="190"/>
      <c r="AN13" s="190"/>
      <c r="AO13" s="190"/>
      <c r="AP13" s="161"/>
      <c r="AQ13" s="221"/>
      <c r="AR13" s="221"/>
      <c r="AS13" s="222">
        <f t="shared" si="7"/>
        <v>720.52</v>
      </c>
      <c r="AT13" s="222">
        <f t="shared" si="8"/>
        <v>314.46</v>
      </c>
      <c r="AU13" s="222">
        <f t="shared" si="9"/>
        <v>79</v>
      </c>
      <c r="AV13" s="222">
        <f t="shared" si="10"/>
        <v>79</v>
      </c>
      <c r="AW13" s="222">
        <f t="shared" si="11"/>
        <v>1192.98</v>
      </c>
      <c r="AX13" s="229">
        <f t="shared" si="12"/>
        <v>1034.98</v>
      </c>
      <c r="AY13" s="229"/>
      <c r="AZ13" s="229">
        <f t="shared" si="26"/>
        <v>158</v>
      </c>
      <c r="BA13" s="229"/>
      <c r="BB13" s="230">
        <v>80</v>
      </c>
      <c r="BC13" s="229">
        <f t="shared" si="14"/>
        <v>1272.98</v>
      </c>
      <c r="BD13" s="231"/>
      <c r="BE13" s="243"/>
      <c r="BF13" s="243"/>
      <c r="BG13" s="243"/>
      <c r="BH13" s="243"/>
    </row>
    <row r="14" s="180" customFormat="1" ht="18" customHeight="1" spans="1:60">
      <c r="A14" s="190"/>
      <c r="B14" s="161" t="s">
        <v>136</v>
      </c>
      <c r="C14" s="150" t="s">
        <v>153</v>
      </c>
      <c r="D14" s="160" t="s">
        <v>138</v>
      </c>
      <c r="E14" s="161" t="s">
        <v>146</v>
      </c>
      <c r="F14" s="162" t="s">
        <v>154</v>
      </c>
      <c r="G14" s="163" t="s">
        <v>155</v>
      </c>
      <c r="H14" s="160" t="s">
        <v>156</v>
      </c>
      <c r="I14" s="160" t="s">
        <v>156</v>
      </c>
      <c r="J14" s="160" t="s">
        <v>158</v>
      </c>
      <c r="K14" s="160" t="s">
        <v>158</v>
      </c>
      <c r="L14" s="190">
        <v>3053.05</v>
      </c>
      <c r="M14" s="190">
        <v>0.16</v>
      </c>
      <c r="N14" s="190">
        <f t="shared" si="17"/>
        <v>488.49</v>
      </c>
      <c r="O14" s="190">
        <v>0.08</v>
      </c>
      <c r="P14" s="190">
        <f t="shared" si="18"/>
        <v>244.24</v>
      </c>
      <c r="Q14" s="190">
        <v>3053.05</v>
      </c>
      <c r="R14" s="190">
        <v>0.06</v>
      </c>
      <c r="S14" s="190">
        <f t="shared" si="19"/>
        <v>183.18</v>
      </c>
      <c r="T14" s="190">
        <v>0.02</v>
      </c>
      <c r="U14" s="190">
        <f t="shared" si="20"/>
        <v>61.06</v>
      </c>
      <c r="V14" s="190">
        <v>3053.05</v>
      </c>
      <c r="W14" s="190">
        <v>0.007</v>
      </c>
      <c r="X14" s="190">
        <f t="shared" si="21"/>
        <v>21.37</v>
      </c>
      <c r="Y14" s="190">
        <v>0.003</v>
      </c>
      <c r="Z14" s="190">
        <f t="shared" si="22"/>
        <v>9.16</v>
      </c>
      <c r="AA14" s="190">
        <v>3053.05</v>
      </c>
      <c r="AB14" s="190">
        <v>0.007</v>
      </c>
      <c r="AC14" s="190">
        <f t="shared" si="23"/>
        <v>21.37</v>
      </c>
      <c r="AD14" s="190">
        <v>3053.05</v>
      </c>
      <c r="AE14" s="190">
        <v>0.002</v>
      </c>
      <c r="AF14" s="190">
        <f t="shared" si="6"/>
        <v>6.11</v>
      </c>
      <c r="AG14" s="190" t="s">
        <v>157</v>
      </c>
      <c r="AH14" s="190">
        <v>0.05</v>
      </c>
      <c r="AI14" s="190">
        <f t="shared" si="24"/>
        <v>79</v>
      </c>
      <c r="AJ14" s="190">
        <v>0.05</v>
      </c>
      <c r="AK14" s="190">
        <f t="shared" si="25"/>
        <v>79</v>
      </c>
      <c r="AL14" s="217"/>
      <c r="AM14" s="190"/>
      <c r="AN14" s="190"/>
      <c r="AO14" s="190"/>
      <c r="AP14" s="161"/>
      <c r="AQ14" s="221"/>
      <c r="AR14" s="221"/>
      <c r="AS14" s="222">
        <f t="shared" si="7"/>
        <v>720.52</v>
      </c>
      <c r="AT14" s="222">
        <f t="shared" si="8"/>
        <v>314.46</v>
      </c>
      <c r="AU14" s="222">
        <f t="shared" si="9"/>
        <v>79</v>
      </c>
      <c r="AV14" s="222">
        <f t="shared" si="10"/>
        <v>79</v>
      </c>
      <c r="AW14" s="222">
        <f t="shared" si="11"/>
        <v>1192.98</v>
      </c>
      <c r="AX14" s="229">
        <f t="shared" si="12"/>
        <v>1034.98</v>
      </c>
      <c r="AY14" s="229"/>
      <c r="AZ14" s="229">
        <f t="shared" si="26"/>
        <v>158</v>
      </c>
      <c r="BA14" s="229"/>
      <c r="BB14" s="230">
        <v>80</v>
      </c>
      <c r="BC14" s="229">
        <f t="shared" si="14"/>
        <v>1272.98</v>
      </c>
      <c r="BD14" s="231"/>
      <c r="BE14" s="243"/>
      <c r="BF14" s="243"/>
      <c r="BG14" s="243"/>
      <c r="BH14" s="243"/>
    </row>
    <row r="15" s="252" customFormat="1" ht="18" customHeight="1" spans="1:60">
      <c r="A15" s="253" t="s">
        <v>148</v>
      </c>
      <c r="B15" s="254" t="s">
        <v>136</v>
      </c>
      <c r="C15" s="145" t="s">
        <v>153</v>
      </c>
      <c r="D15" s="255" t="s">
        <v>138</v>
      </c>
      <c r="E15" s="254" t="s">
        <v>146</v>
      </c>
      <c r="F15" s="256" t="s">
        <v>154</v>
      </c>
      <c r="G15" s="257" t="s">
        <v>155</v>
      </c>
      <c r="H15" s="255" t="s">
        <v>156</v>
      </c>
      <c r="I15" s="255" t="s">
        <v>156</v>
      </c>
      <c r="J15" s="255" t="s">
        <v>156</v>
      </c>
      <c r="K15" s="255" t="s">
        <v>156</v>
      </c>
      <c r="L15" s="253">
        <v>3053.05</v>
      </c>
      <c r="M15" s="253">
        <v>0.16</v>
      </c>
      <c r="N15" s="253">
        <f t="shared" si="17"/>
        <v>488.49</v>
      </c>
      <c r="O15" s="253">
        <v>0.08</v>
      </c>
      <c r="P15" s="253">
        <f t="shared" si="18"/>
        <v>244.24</v>
      </c>
      <c r="Q15" s="253">
        <v>3053.05</v>
      </c>
      <c r="R15" s="253">
        <v>0.06</v>
      </c>
      <c r="S15" s="253">
        <f t="shared" si="19"/>
        <v>183.18</v>
      </c>
      <c r="T15" s="253">
        <v>0.02</v>
      </c>
      <c r="U15" s="253">
        <f t="shared" si="20"/>
        <v>61.06</v>
      </c>
      <c r="V15" s="253">
        <v>3053.05</v>
      </c>
      <c r="W15" s="253">
        <v>0.007</v>
      </c>
      <c r="X15" s="253">
        <f t="shared" si="21"/>
        <v>21.37</v>
      </c>
      <c r="Y15" s="253">
        <v>0.003</v>
      </c>
      <c r="Z15" s="253">
        <f t="shared" si="22"/>
        <v>9.16</v>
      </c>
      <c r="AA15" s="253">
        <v>3053.05</v>
      </c>
      <c r="AB15" s="253">
        <v>0.007</v>
      </c>
      <c r="AC15" s="253">
        <f t="shared" si="23"/>
        <v>21.37</v>
      </c>
      <c r="AD15" s="253">
        <v>3053.05</v>
      </c>
      <c r="AE15" s="253">
        <v>0.002</v>
      </c>
      <c r="AF15" s="253">
        <f t="shared" si="6"/>
        <v>6.11</v>
      </c>
      <c r="AG15" s="253" t="s">
        <v>157</v>
      </c>
      <c r="AH15" s="253">
        <v>0.05</v>
      </c>
      <c r="AI15" s="253">
        <f t="shared" si="24"/>
        <v>79</v>
      </c>
      <c r="AJ15" s="253">
        <v>0.05</v>
      </c>
      <c r="AK15" s="253">
        <f t="shared" si="25"/>
        <v>79</v>
      </c>
      <c r="AL15" s="259"/>
      <c r="AM15" s="253"/>
      <c r="AN15" s="253"/>
      <c r="AO15" s="253"/>
      <c r="AP15" s="254"/>
      <c r="AQ15" s="260"/>
      <c r="AR15" s="260"/>
      <c r="AS15" s="261">
        <f t="shared" si="7"/>
        <v>720.52</v>
      </c>
      <c r="AT15" s="261">
        <f t="shared" si="8"/>
        <v>314.46</v>
      </c>
      <c r="AU15" s="261">
        <f t="shared" si="9"/>
        <v>79</v>
      </c>
      <c r="AV15" s="261">
        <f t="shared" si="10"/>
        <v>79</v>
      </c>
      <c r="AW15" s="261">
        <f t="shared" si="11"/>
        <v>1192.98</v>
      </c>
      <c r="AX15" s="262">
        <f t="shared" si="12"/>
        <v>1034.98</v>
      </c>
      <c r="AY15" s="262"/>
      <c r="AZ15" s="262">
        <f t="shared" si="26"/>
        <v>158</v>
      </c>
      <c r="BA15" s="262"/>
      <c r="BB15" s="263">
        <v>80</v>
      </c>
      <c r="BC15" s="262">
        <f t="shared" si="14"/>
        <v>1272.98</v>
      </c>
      <c r="BD15" s="264"/>
      <c r="BE15" s="268"/>
      <c r="BF15" s="268"/>
      <c r="BG15" s="268"/>
      <c r="BH15" s="268"/>
    </row>
    <row r="16" s="181" customFormat="1" ht="18" customHeight="1" spans="1:60">
      <c r="A16" s="192"/>
      <c r="B16" s="193"/>
      <c r="C16" s="194"/>
      <c r="D16" s="195"/>
      <c r="E16" s="196"/>
      <c r="F16" s="197"/>
      <c r="G16" s="198"/>
      <c r="H16" s="199"/>
      <c r="I16" s="195"/>
      <c r="J16" s="199"/>
      <c r="K16" s="199"/>
      <c r="L16" s="212"/>
      <c r="M16" s="212"/>
      <c r="N16" s="213"/>
      <c r="O16" s="212"/>
      <c r="P16" s="212"/>
      <c r="Q16" s="212"/>
      <c r="R16" s="212"/>
      <c r="S16" s="212"/>
      <c r="T16" s="212"/>
      <c r="U16" s="212"/>
      <c r="V16" s="215"/>
      <c r="W16" s="215"/>
      <c r="X16" s="216"/>
      <c r="Y16" s="215"/>
      <c r="Z16" s="212"/>
      <c r="AA16" s="212"/>
      <c r="AB16" s="212"/>
      <c r="AC16" s="212"/>
      <c r="AD16" s="212"/>
      <c r="AE16" s="212"/>
      <c r="AF16" s="213"/>
      <c r="AG16" s="212"/>
      <c r="AH16" s="212"/>
      <c r="AI16" s="212"/>
      <c r="AJ16" s="212"/>
      <c r="AK16" s="212"/>
      <c r="AL16" s="218"/>
      <c r="AM16" s="212"/>
      <c r="AN16" s="212"/>
      <c r="AO16" s="212"/>
      <c r="AP16" s="223"/>
      <c r="AQ16" s="224"/>
      <c r="AR16" s="212"/>
      <c r="AS16" s="225"/>
      <c r="AT16" s="225"/>
      <c r="AU16" s="225"/>
      <c r="AV16" s="225"/>
      <c r="AW16" s="225"/>
      <c r="AX16" s="232"/>
      <c r="AY16" s="233"/>
      <c r="AZ16" s="232"/>
      <c r="BA16" s="233"/>
      <c r="BB16" s="234"/>
      <c r="BC16" s="232"/>
      <c r="BD16" s="236"/>
      <c r="BE16" s="179"/>
      <c r="BF16" s="179"/>
      <c r="BG16" s="179"/>
      <c r="BH16" s="179"/>
    </row>
    <row r="17" s="179" customFormat="1" ht="14.25" spans="1:56">
      <c r="A17" s="200" t="s">
        <v>159</v>
      </c>
      <c r="B17" s="201"/>
      <c r="C17" s="202"/>
      <c r="D17" s="202"/>
      <c r="E17" s="203"/>
      <c r="F17" s="202"/>
      <c r="G17" s="202"/>
      <c r="H17" s="202"/>
      <c r="I17" s="202"/>
      <c r="J17" s="202"/>
      <c r="K17" s="202"/>
      <c r="L17" s="203">
        <f t="shared" ref="L17:BC17" si="27">SUM(L3:L15)</f>
        <v>33521.2</v>
      </c>
      <c r="M17" s="203">
        <f t="shared" si="27"/>
        <v>1.54</v>
      </c>
      <c r="N17" s="203">
        <f t="shared" si="27"/>
        <v>5135.22</v>
      </c>
      <c r="O17" s="203">
        <f t="shared" si="27"/>
        <v>0.8</v>
      </c>
      <c r="P17" s="203">
        <f t="shared" si="27"/>
        <v>2681.68</v>
      </c>
      <c r="Q17" s="203">
        <f t="shared" si="27"/>
        <v>40637.2</v>
      </c>
      <c r="R17" s="203">
        <f t="shared" si="27"/>
        <v>0.645</v>
      </c>
      <c r="S17" s="203">
        <f t="shared" si="27"/>
        <v>2543.61</v>
      </c>
      <c r="T17" s="203">
        <f t="shared" si="27"/>
        <v>0.2</v>
      </c>
      <c r="U17" s="203">
        <f t="shared" si="27"/>
        <v>812.74</v>
      </c>
      <c r="V17" s="203">
        <f t="shared" si="27"/>
        <v>33521.2</v>
      </c>
      <c r="W17" s="203">
        <f t="shared" si="27"/>
        <v>0.0586</v>
      </c>
      <c r="X17" s="203">
        <f t="shared" si="27"/>
        <v>191.29</v>
      </c>
      <c r="Y17" s="203">
        <f t="shared" si="27"/>
        <v>0.027</v>
      </c>
      <c r="Z17" s="203">
        <f t="shared" si="27"/>
        <v>89.17</v>
      </c>
      <c r="AA17" s="203">
        <f t="shared" si="27"/>
        <v>30737.2</v>
      </c>
      <c r="AB17" s="203">
        <f t="shared" si="27"/>
        <v>0.0535</v>
      </c>
      <c r="AC17" s="203">
        <f t="shared" si="27"/>
        <v>242.95</v>
      </c>
      <c r="AD17" s="203">
        <f t="shared" si="27"/>
        <v>35930.2</v>
      </c>
      <c r="AE17" s="203">
        <f t="shared" si="27"/>
        <v>0.0236</v>
      </c>
      <c r="AF17" s="203">
        <f t="shared" si="27"/>
        <v>66.32</v>
      </c>
      <c r="AG17" s="203">
        <f t="shared" si="27"/>
        <v>9000</v>
      </c>
      <c r="AH17" s="203">
        <f t="shared" si="27"/>
        <v>0.5</v>
      </c>
      <c r="AI17" s="203">
        <f t="shared" si="27"/>
        <v>1216</v>
      </c>
      <c r="AJ17" s="203">
        <f t="shared" si="27"/>
        <v>0.38</v>
      </c>
      <c r="AK17" s="203">
        <f t="shared" si="27"/>
        <v>856</v>
      </c>
      <c r="AL17" s="203">
        <f t="shared" si="27"/>
        <v>0</v>
      </c>
      <c r="AM17" s="203">
        <f t="shared" si="27"/>
        <v>0</v>
      </c>
      <c r="AN17" s="203">
        <f t="shared" si="27"/>
        <v>0</v>
      </c>
      <c r="AO17" s="203">
        <f t="shared" si="27"/>
        <v>0</v>
      </c>
      <c r="AP17" s="203">
        <f t="shared" si="27"/>
        <v>0</v>
      </c>
      <c r="AQ17" s="203">
        <f t="shared" si="27"/>
        <v>95.28</v>
      </c>
      <c r="AR17" s="203">
        <f t="shared" si="27"/>
        <v>96</v>
      </c>
      <c r="AS17" s="203">
        <f t="shared" si="27"/>
        <v>8274.67</v>
      </c>
      <c r="AT17" s="203">
        <f t="shared" si="27"/>
        <v>3583.59</v>
      </c>
      <c r="AU17" s="203">
        <f t="shared" si="27"/>
        <v>1216</v>
      </c>
      <c r="AV17" s="203">
        <f t="shared" si="27"/>
        <v>856</v>
      </c>
      <c r="AW17" s="203">
        <f t="shared" si="27"/>
        <v>13930.26</v>
      </c>
      <c r="AX17" s="203">
        <f t="shared" si="27"/>
        <v>11858.26</v>
      </c>
      <c r="AY17" s="203">
        <f t="shared" si="27"/>
        <v>0</v>
      </c>
      <c r="AZ17" s="203">
        <f t="shared" si="27"/>
        <v>2072</v>
      </c>
      <c r="BA17" s="203">
        <f t="shared" si="27"/>
        <v>0</v>
      </c>
      <c r="BB17" s="203">
        <f t="shared" si="27"/>
        <v>800</v>
      </c>
      <c r="BC17" s="203">
        <f t="shared" si="27"/>
        <v>14730.26</v>
      </c>
      <c r="BD17" s="237"/>
    </row>
    <row r="18" s="179" customFormat="1" ht="15" spans="1:56">
      <c r="A18" s="204" t="s">
        <v>93</v>
      </c>
      <c r="B18" s="205"/>
      <c r="C18" s="206"/>
      <c r="D18" s="206"/>
      <c r="E18" s="207"/>
      <c r="F18" s="207"/>
      <c r="G18" s="207"/>
      <c r="H18" s="207"/>
      <c r="I18" s="207"/>
      <c r="J18" s="207"/>
      <c r="K18" s="207"/>
      <c r="L18" s="214">
        <f t="shared" ref="L18:AX18" si="28">SUM(L17:L17)</f>
        <v>33521.2</v>
      </c>
      <c r="M18" s="214">
        <f t="shared" si="28"/>
        <v>1.54</v>
      </c>
      <c r="N18" s="214">
        <f t="shared" si="28"/>
        <v>5135.22</v>
      </c>
      <c r="O18" s="214">
        <f t="shared" si="28"/>
        <v>0.8</v>
      </c>
      <c r="P18" s="214">
        <f t="shared" si="28"/>
        <v>2681.68</v>
      </c>
      <c r="Q18" s="214">
        <f t="shared" si="28"/>
        <v>40637.2</v>
      </c>
      <c r="R18" s="214">
        <f t="shared" si="28"/>
        <v>0.645</v>
      </c>
      <c r="S18" s="214">
        <f t="shared" si="28"/>
        <v>2543.61</v>
      </c>
      <c r="T18" s="214">
        <f t="shared" si="28"/>
        <v>0.2</v>
      </c>
      <c r="U18" s="214">
        <f t="shared" si="28"/>
        <v>812.74</v>
      </c>
      <c r="V18" s="214">
        <f t="shared" si="28"/>
        <v>33521.2</v>
      </c>
      <c r="W18" s="214">
        <f t="shared" si="28"/>
        <v>0.0586</v>
      </c>
      <c r="X18" s="214">
        <f t="shared" si="28"/>
        <v>191.29</v>
      </c>
      <c r="Y18" s="214">
        <f t="shared" si="28"/>
        <v>0.027</v>
      </c>
      <c r="Z18" s="214">
        <f t="shared" si="28"/>
        <v>89.17</v>
      </c>
      <c r="AA18" s="214">
        <f t="shared" si="28"/>
        <v>30737.2</v>
      </c>
      <c r="AB18" s="214">
        <f t="shared" si="28"/>
        <v>0.0535</v>
      </c>
      <c r="AC18" s="214">
        <f t="shared" si="28"/>
        <v>242.95</v>
      </c>
      <c r="AD18" s="214">
        <f t="shared" si="28"/>
        <v>35930.2</v>
      </c>
      <c r="AE18" s="214">
        <f t="shared" si="28"/>
        <v>0.0236</v>
      </c>
      <c r="AF18" s="214">
        <f t="shared" si="28"/>
        <v>66.32</v>
      </c>
      <c r="AG18" s="214">
        <f t="shared" si="28"/>
        <v>9000</v>
      </c>
      <c r="AH18" s="214">
        <f t="shared" si="28"/>
        <v>0.5</v>
      </c>
      <c r="AI18" s="214">
        <f t="shared" si="28"/>
        <v>1216</v>
      </c>
      <c r="AJ18" s="214">
        <f t="shared" si="28"/>
        <v>0.38</v>
      </c>
      <c r="AK18" s="214">
        <f t="shared" si="28"/>
        <v>856</v>
      </c>
      <c r="AL18" s="214">
        <f t="shared" si="28"/>
        <v>0</v>
      </c>
      <c r="AM18" s="214">
        <f t="shared" si="28"/>
        <v>0</v>
      </c>
      <c r="AN18" s="214">
        <f t="shared" si="28"/>
        <v>0</v>
      </c>
      <c r="AO18" s="214">
        <f t="shared" si="28"/>
        <v>0</v>
      </c>
      <c r="AP18" s="214">
        <f t="shared" si="28"/>
        <v>0</v>
      </c>
      <c r="AQ18" s="214">
        <f t="shared" si="28"/>
        <v>95.28</v>
      </c>
      <c r="AR18" s="214">
        <f t="shared" si="28"/>
        <v>96</v>
      </c>
      <c r="AS18" s="226">
        <f t="shared" si="28"/>
        <v>8274.67</v>
      </c>
      <c r="AT18" s="226">
        <f t="shared" si="28"/>
        <v>3583.59</v>
      </c>
      <c r="AU18" s="226">
        <f t="shared" si="28"/>
        <v>1216</v>
      </c>
      <c r="AV18" s="226">
        <f t="shared" si="28"/>
        <v>856</v>
      </c>
      <c r="AW18" s="226">
        <f t="shared" si="28"/>
        <v>13930.26</v>
      </c>
      <c r="AX18" s="238">
        <f t="shared" si="28"/>
        <v>11858.26</v>
      </c>
      <c r="AY18" s="238"/>
      <c r="AZ18" s="238">
        <f t="shared" ref="AZ18:BC18" si="29">SUM(AZ17:AZ17)</f>
        <v>2072</v>
      </c>
      <c r="BA18" s="238"/>
      <c r="BB18" s="214">
        <f t="shared" si="29"/>
        <v>800</v>
      </c>
      <c r="BC18" s="214">
        <f t="shared" si="29"/>
        <v>14730.26</v>
      </c>
      <c r="BD18" s="239"/>
    </row>
    <row r="19" s="182" customFormat="1" spans="1:56">
      <c r="A19" s="208"/>
      <c r="B19" s="208"/>
      <c r="C19" s="208"/>
      <c r="D19" s="208"/>
      <c r="E19" s="208"/>
      <c r="F19" s="209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27"/>
      <c r="AT19" s="227"/>
      <c r="AU19" s="227"/>
      <c r="AV19" s="227"/>
      <c r="AW19" s="227"/>
      <c r="AX19" s="208"/>
      <c r="AY19" s="208"/>
      <c r="AZ19" s="208"/>
      <c r="BA19" s="208"/>
      <c r="BB19" s="208"/>
      <c r="BC19" s="208"/>
      <c r="BD19" s="240"/>
    </row>
    <row r="20" s="183" customFormat="1" spans="1:56">
      <c r="A20" s="179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179"/>
      <c r="AK20" s="179"/>
      <c r="AL20" s="179"/>
      <c r="AM20" s="179"/>
      <c r="AN20" s="179"/>
      <c r="AO20" s="179"/>
      <c r="AP20" s="179"/>
      <c r="AQ20" s="179"/>
      <c r="AR20" s="179"/>
      <c r="AS20" s="184"/>
      <c r="AT20" s="184"/>
      <c r="AU20" s="184"/>
      <c r="AV20" s="184"/>
      <c r="AW20" s="184"/>
      <c r="AX20" s="179"/>
      <c r="AY20" s="179"/>
      <c r="AZ20" s="179"/>
      <c r="BA20" s="179"/>
      <c r="BB20" s="179"/>
      <c r="BC20" s="179"/>
      <c r="BD20" s="185"/>
    </row>
    <row r="21" s="179" customFormat="1" spans="45:56">
      <c r="AS21" s="184"/>
      <c r="AT21" s="184"/>
      <c r="AU21" s="184"/>
      <c r="AV21" s="184"/>
      <c r="AW21" s="184"/>
      <c r="BD21" s="185"/>
    </row>
    <row r="22" spans="50:55">
      <c r="AX22" s="241"/>
      <c r="AY22" s="241"/>
      <c r="BC22" s="242"/>
    </row>
    <row r="23" s="179" customFormat="1" spans="45:56">
      <c r="AS23" s="184"/>
      <c r="AT23" s="184"/>
      <c r="AU23" s="184"/>
      <c r="AV23" s="184"/>
      <c r="AW23" s="184"/>
      <c r="BD23" s="185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4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4" priority="3" stopIfTrue="1"/>
  </conditionalFormatting>
  <conditionalFormatting sqref="Q1">
    <cfRule type="duplicateValues" dxfId="4" priority="4" stopIfTrue="1"/>
  </conditionalFormatting>
  <conditionalFormatting sqref="V1">
    <cfRule type="duplicateValues" dxfId="4" priority="5" stopIfTrue="1"/>
  </conditionalFormatting>
  <conditionalFormatting sqref="AG1">
    <cfRule type="duplicateValues" dxfId="4" priority="6" stopIfTrue="1"/>
  </conditionalFormatting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3"/>
  <sheetViews>
    <sheetView workbookViewId="0">
      <pane xSplit="6" ySplit="3" topLeftCell="AK4" activePane="bottomRight" state="frozen"/>
      <selection/>
      <selection pane="topRight"/>
      <selection pane="bottomLeft"/>
      <selection pane="bottomRight" activeCell="X5" sqref="X5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9.87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1.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4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7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8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9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244" t="s">
        <v>86</v>
      </c>
      <c r="D4" s="56" t="s">
        <v>87</v>
      </c>
      <c r="E4" s="245" t="s">
        <v>88</v>
      </c>
      <c r="F4" s="57" t="str">
        <f>IF(MOD(MID(E4,17,1),2)=1,"男","女")</f>
        <v>男</v>
      </c>
      <c r="G4" s="246">
        <v>18035163638</v>
      </c>
      <c r="H4" s="247"/>
      <c r="I4" s="247"/>
      <c r="J4" s="249"/>
      <c r="K4" s="247"/>
      <c r="L4" s="250">
        <v>7700</v>
      </c>
      <c r="M4" s="250">
        <v>264</v>
      </c>
      <c r="N4" s="250">
        <v>66</v>
      </c>
      <c r="O4" s="250">
        <v>9.9</v>
      </c>
      <c r="P4" s="250">
        <v>180</v>
      </c>
      <c r="Q4" s="108">
        <f>ROUND(SUM(M4:P4),2)</f>
        <v>519.9</v>
      </c>
      <c r="R4" s="89">
        <v>0</v>
      </c>
      <c r="S4" s="109">
        <f>L4+IFERROR(VLOOKUP($E:$E,'（居民）工资表-3月'!$E:$S,15,0),0)</f>
        <v>24680</v>
      </c>
      <c r="T4" s="110">
        <f>5000+IFERROR(VLOOKUP($E:$E,'（居民）工资表-3月'!$E:$T,16,0),0)</f>
        <v>20000</v>
      </c>
      <c r="U4" s="110">
        <f>Q4+IFERROR(VLOOKUP($E:$E,'（居民）工资表-3月'!$E:$U,17,0),0)</f>
        <v>2079.6</v>
      </c>
      <c r="V4" s="89"/>
      <c r="W4" s="89"/>
      <c r="X4" s="89">
        <v>4000</v>
      </c>
      <c r="Y4" s="89"/>
      <c r="Z4" s="89"/>
      <c r="AA4" s="89"/>
      <c r="AB4" s="109">
        <f>ROUND(SUM(V4:AA4),2)</f>
        <v>4000</v>
      </c>
      <c r="AC4" s="109">
        <f>R4+IFERROR(VLOOKUP($E:$E,'（居民）工资表-3月'!$E:$AC,25,0),0)</f>
        <v>0</v>
      </c>
      <c r="AD4" s="112">
        <f>ROUND(S4-T4-U4-AB4-AC4,2)</f>
        <v>-1399.6</v>
      </c>
      <c r="AE4" s="113">
        <f>ROUND(MAX((AD4)*{0.03;0.1;0.2;0.25;0.3;0.35;0.45}-{0;2520;16920;31920;52920;85920;181920},0),2)</f>
        <v>0</v>
      </c>
      <c r="AF4" s="114">
        <f>IFERROR(VLOOKUP(E:E,'（居民）工资表-3月'!E:AF,28,0)+VLOOKUP(E:E,'（居民）工资表-3月'!E:AG,29,0),0)</f>
        <v>52.8</v>
      </c>
      <c r="AG4" s="114">
        <f>IF((AE4-AF4)&lt;0,0,AE4-AF4)</f>
        <v>0</v>
      </c>
      <c r="AH4" s="121">
        <f>ROUND(IF((L4-Q4-AG4)&lt;0,0,(L4-Q4-AG4)),2)</f>
        <v>7180.1</v>
      </c>
      <c r="AI4" s="122"/>
      <c r="AJ4" s="121">
        <f>AH4+AI4</f>
        <v>7180.1</v>
      </c>
      <c r="AK4" s="123"/>
      <c r="AL4" s="121">
        <f>AJ4+AG4+AK4</f>
        <v>7180.1</v>
      </c>
      <c r="AM4" s="123"/>
      <c r="AN4" s="123"/>
      <c r="AO4" s="123"/>
      <c r="AP4" s="123"/>
      <c r="AQ4" s="123"/>
      <c r="AR4" s="13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30" t="str">
        <f>IF(SUMPRODUCT(N(E$1:E$6=E4))&gt;1,"重复","不")</f>
        <v>不</v>
      </c>
      <c r="AT4" s="130" t="str">
        <f>IF(SUMPRODUCT(N(AO$1:AO$6=AO4))&gt;1,"重复","不")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248" t="s">
        <v>89</v>
      </c>
      <c r="D5" s="56" t="s">
        <v>87</v>
      </c>
      <c r="E5" s="372" t="s">
        <v>90</v>
      </c>
      <c r="F5" s="57" t="str">
        <f>IF(MOD(MID(E5,17,1),2)=1,"男","女")</f>
        <v>女</v>
      </c>
      <c r="G5" s="246">
        <v>13926009696</v>
      </c>
      <c r="H5" s="247"/>
      <c r="I5" s="247"/>
      <c r="J5" s="249"/>
      <c r="K5" s="247"/>
      <c r="L5" s="250">
        <v>5800</v>
      </c>
      <c r="M5" s="250">
        <v>304.24</v>
      </c>
      <c r="N5" s="250">
        <v>123.5</v>
      </c>
      <c r="O5" s="250">
        <v>7.61</v>
      </c>
      <c r="P5" s="250">
        <v>0</v>
      </c>
      <c r="Q5" s="108">
        <f>ROUND(SUM(M5:P5),2)</f>
        <v>435.35</v>
      </c>
      <c r="R5" s="89">
        <v>0</v>
      </c>
      <c r="S5" s="109">
        <f>L5+IFERROR(VLOOKUP($E:$E,'（居民）工资表-3月'!$E:$S,15,0),0)</f>
        <v>11600</v>
      </c>
      <c r="T5" s="110">
        <f>5000+IFERROR(VLOOKUP($E:$E,'（居民）工资表-3月'!$E:$T,16,0),0)</f>
        <v>10000</v>
      </c>
      <c r="U5" s="110">
        <f>Q5+IFERROR(VLOOKUP($E:$E,'（居民）工资表-3月'!$E:$U,17,0),0)</f>
        <v>870.7</v>
      </c>
      <c r="V5" s="89"/>
      <c r="W5" s="89"/>
      <c r="X5" s="89"/>
      <c r="Y5" s="89"/>
      <c r="Z5" s="89"/>
      <c r="AA5" s="89"/>
      <c r="AB5" s="109">
        <f>ROUND(SUM(V5:AA5),2)</f>
        <v>0</v>
      </c>
      <c r="AC5" s="109">
        <f>R5+IFERROR(VLOOKUP($E:$E,'（居民）工资表-3月'!$E:$AC,25,0),0)</f>
        <v>0</v>
      </c>
      <c r="AD5" s="112">
        <f>ROUND(S5-T5-U5-AB5-AC5,2)</f>
        <v>729.3</v>
      </c>
      <c r="AE5" s="113">
        <f>ROUND(MAX((AD5)*{0.03;0.1;0.2;0.25;0.3;0.35;0.45}-{0;2520;16920;31920;52920;85920;181920},0),2)</f>
        <v>21.88</v>
      </c>
      <c r="AF5" s="114">
        <f>IFERROR(VLOOKUP(E:E,'（居民）工资表-3月'!E:AF,28,0)+VLOOKUP(E:E,'（居民）工资表-3月'!E:AG,29,0),0)</f>
        <v>10.94</v>
      </c>
      <c r="AG5" s="114">
        <f>IF((AE5-AF5)&lt;0,0,AE5-AF5)</f>
        <v>10.94</v>
      </c>
      <c r="AH5" s="121">
        <f>ROUND(IF((L5-Q5-AG5)&lt;0,0,(L5-Q5-AG5)),2)</f>
        <v>5353.71</v>
      </c>
      <c r="AI5" s="122"/>
      <c r="AJ5" s="121">
        <f>AH5+AI5</f>
        <v>5353.71</v>
      </c>
      <c r="AK5" s="123"/>
      <c r="AL5" s="121">
        <f>AJ5+AG5+AK5</f>
        <v>5364.65</v>
      </c>
      <c r="AM5" s="123"/>
      <c r="AN5" s="123"/>
      <c r="AO5" s="123"/>
      <c r="AP5" s="123"/>
      <c r="AQ5" s="123"/>
      <c r="AR5" s="130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30" t="str">
        <f>IF(SUMPRODUCT(N(E$1:E$6=E5))&gt;1,"重复","不")</f>
        <v>不</v>
      </c>
      <c r="AT5" s="130" t="str">
        <f>IF(SUMPRODUCT(N(AO$1:AO$6=AO5))&gt;1,"重复","不")</f>
        <v>重复</v>
      </c>
    </row>
    <row r="6" s="31" customFormat="1" ht="18" customHeight="1" spans="1:46">
      <c r="A6" s="55">
        <v>3</v>
      </c>
      <c r="B6" s="56" t="s">
        <v>85</v>
      </c>
      <c r="C6" s="56" t="s">
        <v>154</v>
      </c>
      <c r="D6" s="56" t="s">
        <v>87</v>
      </c>
      <c r="E6" s="56" t="s">
        <v>155</v>
      </c>
      <c r="F6" s="57" t="str">
        <f>IF(MOD(MID(E6,17,1),2)=1,"男","女")</f>
        <v>男</v>
      </c>
      <c r="G6" s="58">
        <v>13944441728</v>
      </c>
      <c r="H6" s="59"/>
      <c r="I6" s="59"/>
      <c r="J6" s="88"/>
      <c r="K6" s="59"/>
      <c r="L6" s="89">
        <v>4900</v>
      </c>
      <c r="M6" s="90"/>
      <c r="N6" s="90"/>
      <c r="O6" s="90"/>
      <c r="P6" s="90"/>
      <c r="Q6" s="108">
        <f>ROUND(SUM(M6:P6),2)</f>
        <v>0</v>
      </c>
      <c r="R6" s="89">
        <v>0</v>
      </c>
      <c r="S6" s="109">
        <f>L6+IFERROR(VLOOKUP($E:$E,'（居民）工资表-3月'!$E:$S,15,0),0)</f>
        <v>4900</v>
      </c>
      <c r="T6" s="110">
        <f>5000+IFERROR(VLOOKUP($E:$E,'（居民）工资表-3月'!$E:$T,16,0),0)</f>
        <v>5000</v>
      </c>
      <c r="U6" s="110">
        <f>Q6+IFERROR(VLOOKUP($E:$E,'（居民）工资表-3月'!$E:$U,17,0),0)</f>
        <v>0</v>
      </c>
      <c r="V6" s="89"/>
      <c r="W6" s="89"/>
      <c r="X6" s="89"/>
      <c r="Y6" s="89"/>
      <c r="Z6" s="89"/>
      <c r="AA6" s="89"/>
      <c r="AB6" s="109">
        <f>ROUND(SUM(V6:AA6),2)</f>
        <v>0</v>
      </c>
      <c r="AC6" s="109">
        <f>R6+IFERROR(VLOOKUP($E:$E,'（居民）工资表-3月'!$E:$AC,25,0),0)</f>
        <v>0</v>
      </c>
      <c r="AD6" s="112">
        <f>ROUND(S6-T6-U6-AB6-AC6,2)</f>
        <v>-100</v>
      </c>
      <c r="AE6" s="113">
        <f>ROUND(MAX((AD6)*{0.03;0.1;0.2;0.25;0.3;0.35;0.45}-{0;2520;16920;31920;52920;85920;181920},0),2)</f>
        <v>0</v>
      </c>
      <c r="AF6" s="114">
        <f>IFERROR(VLOOKUP(E:E,'（居民）工资表-3月'!E:AF,28,0)+VLOOKUP(E:E,'（居民）工资表-3月'!E:AG,29,0),0)</f>
        <v>0</v>
      </c>
      <c r="AG6" s="114">
        <f>IF((AE6-AF6)&lt;0,0,AE6-AF6)</f>
        <v>0</v>
      </c>
      <c r="AH6" s="121">
        <f>ROUND(IF((L6-Q6-AG6)&lt;0,0,(L6-Q6-AG6)),2)</f>
        <v>4900</v>
      </c>
      <c r="AI6" s="122"/>
      <c r="AJ6" s="121">
        <f>AH6+AI6</f>
        <v>4900</v>
      </c>
      <c r="AK6" s="123"/>
      <c r="AL6" s="121">
        <f>AJ6+AG6+AK6</f>
        <v>4900</v>
      </c>
      <c r="AM6" s="123"/>
      <c r="AN6" s="123"/>
      <c r="AO6" s="123"/>
      <c r="AP6" s="123"/>
      <c r="AQ6" s="123"/>
      <c r="AR6" s="130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30" t="str">
        <f>IF(SUMPRODUCT(N(E$1:E$6=E6))&gt;1,"重复","不")</f>
        <v>不</v>
      </c>
      <c r="AT6" s="130" t="str">
        <f>IF(SUMPRODUCT(N(AO$1:AO$6=AO6))&gt;1,"重复","不")</f>
        <v>重复</v>
      </c>
    </row>
    <row r="7" s="32" customFormat="1" ht="18" customHeight="1" spans="1:46">
      <c r="A7" s="60"/>
      <c r="B7" s="61" t="s">
        <v>91</v>
      </c>
      <c r="C7" s="61"/>
      <c r="D7" s="62"/>
      <c r="E7" s="63"/>
      <c r="F7" s="64"/>
      <c r="G7" s="65"/>
      <c r="H7" s="64"/>
      <c r="I7" s="91"/>
      <c r="J7" s="92"/>
      <c r="K7" s="91"/>
      <c r="L7" s="93">
        <f t="shared" ref="L7:AL7" si="0">SUM(L4:L6)</f>
        <v>18400</v>
      </c>
      <c r="M7" s="93">
        <f t="shared" si="0"/>
        <v>568.24</v>
      </c>
      <c r="N7" s="93">
        <f t="shared" si="0"/>
        <v>189.5</v>
      </c>
      <c r="O7" s="93">
        <f t="shared" si="0"/>
        <v>17.51</v>
      </c>
      <c r="P7" s="93">
        <f t="shared" si="0"/>
        <v>180</v>
      </c>
      <c r="Q7" s="93">
        <f t="shared" si="0"/>
        <v>955.25</v>
      </c>
      <c r="R7" s="93">
        <f t="shared" si="0"/>
        <v>0</v>
      </c>
      <c r="S7" s="93">
        <f t="shared" si="0"/>
        <v>41180</v>
      </c>
      <c r="T7" s="93">
        <f t="shared" si="0"/>
        <v>35000</v>
      </c>
      <c r="U7" s="93">
        <f t="shared" si="0"/>
        <v>2950.3</v>
      </c>
      <c r="V7" s="93">
        <f t="shared" si="0"/>
        <v>0</v>
      </c>
      <c r="W7" s="93">
        <f t="shared" si="0"/>
        <v>0</v>
      </c>
      <c r="X7" s="93">
        <f t="shared" si="0"/>
        <v>4000</v>
      </c>
      <c r="Y7" s="93">
        <f t="shared" si="0"/>
        <v>0</v>
      </c>
      <c r="Z7" s="93">
        <f t="shared" si="0"/>
        <v>0</v>
      </c>
      <c r="AA7" s="93">
        <f t="shared" si="0"/>
        <v>0</v>
      </c>
      <c r="AB7" s="93">
        <f t="shared" si="0"/>
        <v>4000</v>
      </c>
      <c r="AC7" s="93">
        <f t="shared" si="0"/>
        <v>0</v>
      </c>
      <c r="AD7" s="93">
        <f t="shared" si="0"/>
        <v>-770.3</v>
      </c>
      <c r="AE7" s="93">
        <f t="shared" si="0"/>
        <v>21.88</v>
      </c>
      <c r="AF7" s="93">
        <f t="shared" si="0"/>
        <v>63.74</v>
      </c>
      <c r="AG7" s="93">
        <f t="shared" si="0"/>
        <v>10.94</v>
      </c>
      <c r="AH7" s="93">
        <f t="shared" si="0"/>
        <v>17433.81</v>
      </c>
      <c r="AI7" s="124">
        <f t="shared" si="0"/>
        <v>0</v>
      </c>
      <c r="AJ7" s="93">
        <f t="shared" si="0"/>
        <v>17433.81</v>
      </c>
      <c r="AK7" s="93">
        <f t="shared" si="0"/>
        <v>0</v>
      </c>
      <c r="AL7" s="93">
        <f t="shared" si="0"/>
        <v>17444.75</v>
      </c>
      <c r="AM7" s="125"/>
      <c r="AN7" s="125"/>
      <c r="AO7" s="125"/>
      <c r="AP7" s="125"/>
      <c r="AQ7" s="125"/>
      <c r="AR7" s="64"/>
      <c r="AS7" s="64"/>
      <c r="AT7" s="131"/>
    </row>
    <row r="10" spans="30:30">
      <c r="AD10" s="115"/>
    </row>
    <row r="11" ht="18.75" customHeight="1" spans="2:33">
      <c r="B11" s="66" t="s">
        <v>64</v>
      </c>
      <c r="C11" s="66" t="s">
        <v>92</v>
      </c>
      <c r="D11" s="66" t="s">
        <v>65</v>
      </c>
      <c r="E11" s="66" t="s">
        <v>93</v>
      </c>
      <c r="AD11" s="29"/>
      <c r="AG11" s="251"/>
    </row>
    <row r="12" ht="18.75" customHeight="1" spans="2:5">
      <c r="B12" s="67">
        <f>AJ7</f>
        <v>17433.81</v>
      </c>
      <c r="C12" s="67">
        <f>AG7</f>
        <v>10.94</v>
      </c>
      <c r="D12" s="67">
        <f>AK7</f>
        <v>0</v>
      </c>
      <c r="E12" s="67">
        <f>B12+C12+D12</f>
        <v>17444.75</v>
      </c>
    </row>
    <row r="13" spans="2:5">
      <c r="B13" s="68"/>
      <c r="C13" s="68"/>
      <c r="D13" s="68"/>
      <c r="E13" s="68">
        <f>社保!BC18</f>
        <v>14730.26</v>
      </c>
    </row>
    <row r="14" s="33" customFormat="1" spans="1:35">
      <c r="A14" s="69" t="s">
        <v>94</v>
      </c>
      <c r="B14" s="70" t="s">
        <v>95</v>
      </c>
      <c r="C14" s="71"/>
      <c r="D14" s="71"/>
      <c r="E14" s="71"/>
      <c r="G14" s="72"/>
      <c r="J14" s="94"/>
      <c r="M14" s="95"/>
      <c r="AI14" s="126"/>
    </row>
    <row r="15" s="33" customFormat="1" spans="1:35">
      <c r="A15" s="73"/>
      <c r="B15" s="74" t="s">
        <v>96</v>
      </c>
      <c r="C15" s="71"/>
      <c r="D15" s="71"/>
      <c r="E15" s="71"/>
      <c r="G15" s="72"/>
      <c r="J15" s="94"/>
      <c r="M15" s="95"/>
      <c r="AI15" s="126"/>
    </row>
    <row r="16" s="33" customFormat="1" spans="1:35">
      <c r="A16" s="70"/>
      <c r="B16" s="74" t="s">
        <v>97</v>
      </c>
      <c r="C16" s="75"/>
      <c r="D16" s="75"/>
      <c r="E16" s="75"/>
      <c r="F16" s="75"/>
      <c r="G16" s="75"/>
      <c r="H16" s="75"/>
      <c r="I16" s="75"/>
      <c r="J16" s="96"/>
      <c r="K16" s="75"/>
      <c r="L16" s="75"/>
      <c r="M16" s="97"/>
      <c r="N16" s="75"/>
      <c r="O16" s="75"/>
      <c r="P16" s="75"/>
      <c r="AI16" s="126"/>
    </row>
    <row r="17" s="33" customFormat="1" customHeight="1" spans="1:35">
      <c r="A17" s="74"/>
      <c r="B17" s="74" t="s">
        <v>98</v>
      </c>
      <c r="C17" s="76"/>
      <c r="D17" s="76"/>
      <c r="E17" s="76"/>
      <c r="F17" s="76"/>
      <c r="G17" s="76"/>
      <c r="H17" s="76"/>
      <c r="I17" s="98"/>
      <c r="J17" s="99"/>
      <c r="K17" s="98"/>
      <c r="L17" s="98"/>
      <c r="M17" s="100"/>
      <c r="N17" s="98"/>
      <c r="O17" s="98"/>
      <c r="P17" s="98"/>
      <c r="AI17" s="126"/>
    </row>
    <row r="18" s="33" customFormat="1" customHeight="1" spans="1:35">
      <c r="A18" s="74"/>
      <c r="B18" s="74" t="s">
        <v>99</v>
      </c>
      <c r="C18" s="76"/>
      <c r="D18" s="76"/>
      <c r="E18" s="76"/>
      <c r="F18" s="76"/>
      <c r="G18" s="76"/>
      <c r="H18" s="76"/>
      <c r="I18" s="76"/>
      <c r="J18" s="101"/>
      <c r="K18" s="76"/>
      <c r="L18" s="98"/>
      <c r="M18" s="100"/>
      <c r="N18" s="98"/>
      <c r="O18" s="98"/>
      <c r="P18" s="98"/>
      <c r="AI18" s="126"/>
    </row>
    <row r="19" s="33" customFormat="1" customHeight="1" spans="1:35">
      <c r="A19" s="74"/>
      <c r="B19" s="74" t="s">
        <v>100</v>
      </c>
      <c r="C19" s="76"/>
      <c r="D19" s="76"/>
      <c r="E19" s="76"/>
      <c r="F19" s="76"/>
      <c r="G19" s="76"/>
      <c r="H19" s="76"/>
      <c r="I19" s="98"/>
      <c r="J19" s="99"/>
      <c r="K19" s="98"/>
      <c r="L19" s="98"/>
      <c r="M19" s="100"/>
      <c r="N19" s="98"/>
      <c r="O19" s="98"/>
      <c r="P19" s="98"/>
      <c r="AI19" s="126"/>
    </row>
    <row r="21" ht="11.25" customHeight="1" spans="2:2">
      <c r="B21" s="77" t="s">
        <v>101</v>
      </c>
    </row>
    <row r="22" spans="2:2">
      <c r="B22" s="78" t="s">
        <v>102</v>
      </c>
    </row>
    <row r="23" spans="2:2">
      <c r="B23" s="78" t="s">
        <v>103</v>
      </c>
    </row>
  </sheetData>
  <autoFilter ref="A3:AT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9">
    <cfRule type="duplicateValues" dxfId="2" priority="2" stopIfTrue="1"/>
  </conditionalFormatting>
  <conditionalFormatting sqref="B14:B18">
    <cfRule type="duplicateValues" dxfId="2" priority="3" stopIfTrue="1"/>
  </conditionalFormatting>
  <conditionalFormatting sqref="B22:B23">
    <cfRule type="duplicateValues" dxfId="2" priority="1" stopIfTrue="1"/>
  </conditionalFormatting>
  <conditionalFormatting sqref="C11:C13">
    <cfRule type="duplicateValues" dxfId="2" priority="4" stopIfTrue="1"/>
    <cfRule type="expression" dxfId="3" priority="5" stopIfTrue="1">
      <formula>AND(COUNTIF($B$7:$B$65443,C11)+COUNTIF($B$1:$B$3,C11)&gt;1,NOT(ISBLANK(C11)))</formula>
    </cfRule>
    <cfRule type="expression" dxfId="3" priority="6" stopIfTrue="1">
      <formula>AND(COUNTIF($B$18:$B$65394,C11)+COUNTIF($B$1:$B$17,C11)&gt;1,NOT(ISBLANK(C11)))</formula>
    </cfRule>
    <cfRule type="expression" dxfId="3" priority="7" stopIfTrue="1">
      <formula>AND(COUNTIF($B$7:$B$65432,C11)+COUNTIF($B$1:$B$3,C11)&gt;1,NOT(ISBLANK(C11)))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19" sqref="N19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9.7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4.12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4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7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8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9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244" t="s">
        <v>86</v>
      </c>
      <c r="D4" s="56" t="s">
        <v>87</v>
      </c>
      <c r="E4" s="245" t="s">
        <v>88</v>
      </c>
      <c r="F4" s="57" t="str">
        <f t="shared" ref="F4:F7" si="0">IF(MOD(MID(E4,17,1),2)=1,"男","女")</f>
        <v>男</v>
      </c>
      <c r="G4" s="246">
        <v>18035163638</v>
      </c>
      <c r="H4" s="247"/>
      <c r="I4" s="247"/>
      <c r="J4" s="249"/>
      <c r="K4" s="247"/>
      <c r="L4" s="250">
        <v>7700</v>
      </c>
      <c r="M4" s="250">
        <v>264</v>
      </c>
      <c r="N4" s="250">
        <v>66</v>
      </c>
      <c r="O4" s="250">
        <v>9.9</v>
      </c>
      <c r="P4" s="250">
        <v>180</v>
      </c>
      <c r="Q4" s="108">
        <f t="shared" ref="Q4:Q7" si="1">ROUND(SUM(M4:P4),2)</f>
        <v>519.9</v>
      </c>
      <c r="R4" s="89">
        <v>0</v>
      </c>
      <c r="S4" s="109">
        <f>L4+IFERROR(VLOOKUP($E:$E,'（居民）工资表-4月'!$E:$S,15,0),0)</f>
        <v>32380</v>
      </c>
      <c r="T4" s="110">
        <f>5000+IFERROR(VLOOKUP($E:$E,'（居民）工资表-4月'!$E:$T,16,0),0)</f>
        <v>25000</v>
      </c>
      <c r="U4" s="110">
        <f>Q4+IFERROR(VLOOKUP($E:$E,'（居民）工资表-4月'!$E:$U,17,0),0)</f>
        <v>2599.5</v>
      </c>
      <c r="V4" s="89"/>
      <c r="W4" s="89"/>
      <c r="X4" s="89">
        <v>5000</v>
      </c>
      <c r="Y4" s="89"/>
      <c r="Z4" s="89"/>
      <c r="AA4" s="89"/>
      <c r="AB4" s="109">
        <f t="shared" ref="AB4:AB7" si="2">ROUND(SUM(V4:AA4),2)</f>
        <v>5000</v>
      </c>
      <c r="AC4" s="109">
        <f>R4+IFERROR(VLOOKUP($E:$E,'（居民）工资表-4月'!$E:$AC,25,0),0)</f>
        <v>0</v>
      </c>
      <c r="AD4" s="112">
        <f t="shared" ref="AD4:AD7" si="3">ROUND(S4-T4-U4-AB4-AC4,2)</f>
        <v>-219.5</v>
      </c>
      <c r="AE4" s="113">
        <f>ROUND(MAX((AD4)*{0.03;0.1;0.2;0.25;0.3;0.35;0.45}-{0;2520;16920;31920;52920;85920;181920},0),2)</f>
        <v>0</v>
      </c>
      <c r="AF4" s="114">
        <f>IFERROR(VLOOKUP(E:E,'（居民）工资表-4月'!E:AF,28,0)+VLOOKUP(E:E,'（居民）工资表-4月'!E:AG,29,0),0)</f>
        <v>52.8</v>
      </c>
      <c r="AG4" s="114">
        <f t="shared" ref="AG4:AG7" si="4">IF((AE4-AF4)&lt;0,0,AE4-AF4)</f>
        <v>0</v>
      </c>
      <c r="AH4" s="121">
        <f t="shared" ref="AH4:AH7" si="5">ROUND(IF((L4-Q4-AG4)&lt;0,0,(L4-Q4-AG4)),2)</f>
        <v>7180.1</v>
      </c>
      <c r="AI4" s="122"/>
      <c r="AJ4" s="121">
        <f t="shared" ref="AJ4:AJ7" si="6">AH4+AI4</f>
        <v>7180.1</v>
      </c>
      <c r="AK4" s="123"/>
      <c r="AL4" s="121">
        <f t="shared" ref="AL4:AL7" si="7">AJ4+AG4+AK4</f>
        <v>7180.1</v>
      </c>
      <c r="AM4" s="123"/>
      <c r="AN4" s="123"/>
      <c r="AO4" s="123"/>
      <c r="AP4" s="123"/>
      <c r="AQ4" s="123"/>
      <c r="AR4" s="130" t="str">
        <f t="shared" ref="AR4:AR7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30" t="str">
        <f>IF(SUMPRODUCT(N(E$1:E$7=E4))&gt;1,"重复","不")</f>
        <v>不</v>
      </c>
      <c r="AT4" s="130" t="str">
        <f>IF(SUMPRODUCT(N(AO$1:AO$7=AO4))&gt;1,"重复","不")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248" t="s">
        <v>89</v>
      </c>
      <c r="D5" s="56" t="s">
        <v>87</v>
      </c>
      <c r="E5" s="372" t="s">
        <v>90</v>
      </c>
      <c r="F5" s="57" t="str">
        <f t="shared" si="0"/>
        <v>女</v>
      </c>
      <c r="G5" s="246">
        <v>13926009696</v>
      </c>
      <c r="H5" s="247"/>
      <c r="I5" s="247"/>
      <c r="J5" s="249"/>
      <c r="K5" s="247"/>
      <c r="L5" s="250">
        <v>5800</v>
      </c>
      <c r="M5" s="250">
        <v>304.24</v>
      </c>
      <c r="N5" s="250">
        <v>123.5</v>
      </c>
      <c r="O5" s="250">
        <v>7.61</v>
      </c>
      <c r="P5" s="250">
        <v>0</v>
      </c>
      <c r="Q5" s="108">
        <f t="shared" si="1"/>
        <v>435.35</v>
      </c>
      <c r="R5" s="89">
        <v>0</v>
      </c>
      <c r="S5" s="109">
        <f>L5+IFERROR(VLOOKUP($E:$E,'（居民）工资表-4月'!$E:$S,15,0),0)</f>
        <v>17400</v>
      </c>
      <c r="T5" s="110">
        <f>5000+IFERROR(VLOOKUP($E:$E,'（居民）工资表-4月'!$E:$T,16,0),0)</f>
        <v>15000</v>
      </c>
      <c r="U5" s="110">
        <f>Q5+IFERROR(VLOOKUP($E:$E,'（居民）工资表-4月'!$E:$U,17,0),0)</f>
        <v>1306.05</v>
      </c>
      <c r="V5" s="89"/>
      <c r="W5" s="89"/>
      <c r="X5" s="89"/>
      <c r="Y5" s="89"/>
      <c r="Z5" s="89"/>
      <c r="AA5" s="89"/>
      <c r="AB5" s="109">
        <f t="shared" si="2"/>
        <v>0</v>
      </c>
      <c r="AC5" s="109">
        <f>R5+IFERROR(VLOOKUP($E:$E,'（居民）工资表-4月'!$E:$AC,25,0),0)</f>
        <v>0</v>
      </c>
      <c r="AD5" s="112">
        <f t="shared" si="3"/>
        <v>1093.95</v>
      </c>
      <c r="AE5" s="113">
        <f>ROUND(MAX((AD5)*{0.03;0.1;0.2;0.25;0.3;0.35;0.45}-{0;2520;16920;31920;52920;85920;181920},0),2)</f>
        <v>32.82</v>
      </c>
      <c r="AF5" s="114">
        <f>IFERROR(VLOOKUP(E:E,'（居民）工资表-4月'!E:AF,28,0)+VLOOKUP(E:E,'（居民）工资表-4月'!E:AG,29,0),0)</f>
        <v>21.88</v>
      </c>
      <c r="AG5" s="114">
        <f t="shared" si="4"/>
        <v>10.94</v>
      </c>
      <c r="AH5" s="121">
        <f t="shared" si="5"/>
        <v>5353.71</v>
      </c>
      <c r="AI5" s="122"/>
      <c r="AJ5" s="121">
        <f t="shared" si="6"/>
        <v>5353.71</v>
      </c>
      <c r="AK5" s="123"/>
      <c r="AL5" s="121">
        <f t="shared" si="7"/>
        <v>5364.65</v>
      </c>
      <c r="AM5" s="123"/>
      <c r="AN5" s="123"/>
      <c r="AO5" s="123"/>
      <c r="AP5" s="123"/>
      <c r="AQ5" s="123"/>
      <c r="AR5" s="130" t="str">
        <f t="shared" si="8"/>
        <v>正确</v>
      </c>
      <c r="AS5" s="130" t="str">
        <f>IF(SUMPRODUCT(N(E$1:E$7=E5))&gt;1,"重复","不")</f>
        <v>不</v>
      </c>
      <c r="AT5" s="130" t="str">
        <f>IF(SUMPRODUCT(N(AO$1:AO$7=AO5))&gt;1,"重复","不")</f>
        <v>重复</v>
      </c>
    </row>
    <row r="6" s="31" customFormat="1" ht="18" customHeight="1" spans="1:46">
      <c r="A6" s="55">
        <v>3</v>
      </c>
      <c r="B6" s="56" t="s">
        <v>85</v>
      </c>
      <c r="C6" s="56" t="s">
        <v>154</v>
      </c>
      <c r="D6" s="56" t="s">
        <v>87</v>
      </c>
      <c r="E6" s="56" t="s">
        <v>155</v>
      </c>
      <c r="F6" s="57" t="str">
        <f t="shared" si="0"/>
        <v>男</v>
      </c>
      <c r="G6" s="58">
        <v>13944441728</v>
      </c>
      <c r="H6" s="59"/>
      <c r="I6" s="59"/>
      <c r="J6" s="88"/>
      <c r="K6" s="59"/>
      <c r="L6" s="89">
        <v>8120</v>
      </c>
      <c r="M6" s="90">
        <f>244.24*2</f>
        <v>488.48</v>
      </c>
      <c r="N6" s="90">
        <f>61.06*2</f>
        <v>122.12</v>
      </c>
      <c r="O6" s="90">
        <f>9.16*2</f>
        <v>18.32</v>
      </c>
      <c r="P6" s="90">
        <f>79*2</f>
        <v>158</v>
      </c>
      <c r="Q6" s="108">
        <f t="shared" si="1"/>
        <v>786.92</v>
      </c>
      <c r="R6" s="89">
        <v>0</v>
      </c>
      <c r="S6" s="109">
        <f>L6+IFERROR(VLOOKUP($E:$E,'（居民）工资表-4月'!$E:$S,15,0),0)</f>
        <v>13020</v>
      </c>
      <c r="T6" s="110">
        <f>5000+IFERROR(VLOOKUP($E:$E,'（居民）工资表-4月'!$E:$T,16,0),0)</f>
        <v>10000</v>
      </c>
      <c r="U6" s="110">
        <f>Q6+IFERROR(VLOOKUP($E:$E,'（居民）工资表-4月'!$E:$U,17,0),0)</f>
        <v>786.92</v>
      </c>
      <c r="V6" s="89"/>
      <c r="W6" s="89"/>
      <c r="X6" s="89"/>
      <c r="Y6" s="89"/>
      <c r="Z6" s="89"/>
      <c r="AA6" s="89"/>
      <c r="AB6" s="109">
        <f t="shared" si="2"/>
        <v>0</v>
      </c>
      <c r="AC6" s="109">
        <f>R6+IFERROR(VLOOKUP($E:$E,'（居民）工资表-4月'!$E:$AC,25,0),0)</f>
        <v>0</v>
      </c>
      <c r="AD6" s="112">
        <f t="shared" si="3"/>
        <v>2233.08</v>
      </c>
      <c r="AE6" s="113">
        <f>ROUND(MAX((AD6)*{0.03;0.1;0.2;0.25;0.3;0.35;0.45}-{0;2520;16920;31920;52920;85920;181920},0),2)</f>
        <v>66.99</v>
      </c>
      <c r="AF6" s="114">
        <f>IFERROR(VLOOKUP(E:E,'（居民）工资表-4月'!E:AF,28,0)+VLOOKUP(E:E,'（居民）工资表-4月'!E:AG,29,0),0)</f>
        <v>0</v>
      </c>
      <c r="AG6" s="114">
        <f t="shared" si="4"/>
        <v>66.99</v>
      </c>
      <c r="AH6" s="121">
        <f t="shared" si="5"/>
        <v>7266.09</v>
      </c>
      <c r="AI6" s="122"/>
      <c r="AJ6" s="121">
        <f t="shared" si="6"/>
        <v>7266.09</v>
      </c>
      <c r="AK6" s="123"/>
      <c r="AL6" s="121">
        <f t="shared" si="7"/>
        <v>7333.08</v>
      </c>
      <c r="AM6" s="123"/>
      <c r="AN6" s="123"/>
      <c r="AO6" s="123"/>
      <c r="AP6" s="123"/>
      <c r="AQ6" s="123"/>
      <c r="AR6" s="130" t="str">
        <f t="shared" si="8"/>
        <v>正确</v>
      </c>
      <c r="AS6" s="130" t="str">
        <f>IF(SUMPRODUCT(N(E$1:E$7=E6))&gt;1,"重复","不")</f>
        <v>不</v>
      </c>
      <c r="AT6" s="130" t="str">
        <f>IF(SUMPRODUCT(N(AO$1:AO$7=AO6))&gt;1,"重复","不")</f>
        <v>重复</v>
      </c>
    </row>
    <row r="7" s="31" customFormat="1" ht="18" customHeight="1" spans="1:46">
      <c r="A7" s="55">
        <v>4</v>
      </c>
      <c r="B7" s="56" t="s">
        <v>85</v>
      </c>
      <c r="C7" s="56" t="s">
        <v>160</v>
      </c>
      <c r="D7" s="56" t="s">
        <v>87</v>
      </c>
      <c r="E7" s="375" t="s">
        <v>161</v>
      </c>
      <c r="F7" s="57" t="str">
        <f t="shared" si="0"/>
        <v>男</v>
      </c>
      <c r="G7" s="58"/>
      <c r="H7" s="59"/>
      <c r="I7" s="59"/>
      <c r="J7" s="88"/>
      <c r="K7" s="59"/>
      <c r="L7" s="89">
        <v>11904.76</v>
      </c>
      <c r="M7" s="90"/>
      <c r="N7" s="90"/>
      <c r="O7" s="90"/>
      <c r="P7" s="90"/>
      <c r="Q7" s="108">
        <f t="shared" si="1"/>
        <v>0</v>
      </c>
      <c r="R7" s="89">
        <v>0</v>
      </c>
      <c r="S7" s="109">
        <f>L7+IFERROR(VLOOKUP($E:$E,'（居民）工资表-4月'!$E:$S,15,0),0)</f>
        <v>11904.76</v>
      </c>
      <c r="T7" s="110">
        <f>5000+IFERROR(VLOOKUP($E:$E,'（居民）工资表-4月'!$E:$T,16,0),0)</f>
        <v>5000</v>
      </c>
      <c r="U7" s="110">
        <f>Q7+IFERROR(VLOOKUP($E:$E,'（居民）工资表-4月'!$E:$U,17,0),0)</f>
        <v>0</v>
      </c>
      <c r="V7" s="89"/>
      <c r="W7" s="89"/>
      <c r="X7" s="89"/>
      <c r="Y7" s="89"/>
      <c r="Z7" s="89"/>
      <c r="AA7" s="89"/>
      <c r="AB7" s="109">
        <f t="shared" si="2"/>
        <v>0</v>
      </c>
      <c r="AC7" s="109">
        <f>R7+IFERROR(VLOOKUP($E:$E,'（居民）工资表-4月'!$E:$AC,25,0),0)</f>
        <v>0</v>
      </c>
      <c r="AD7" s="112">
        <f t="shared" si="3"/>
        <v>6904.76</v>
      </c>
      <c r="AE7" s="113">
        <f>ROUND(MAX((AD7)*{0.03;0.1;0.2;0.25;0.3;0.35;0.45}-{0;2520;16920;31920;52920;85920;181920},0),2)</f>
        <v>207.14</v>
      </c>
      <c r="AF7" s="114">
        <f>IFERROR(VLOOKUP(E:E,'（居民）工资表-4月'!E:AF,28,0)+VLOOKUP(E:E,'（居民）工资表-4月'!E:AG,29,0),0)</f>
        <v>0</v>
      </c>
      <c r="AG7" s="114">
        <f t="shared" si="4"/>
        <v>207.14</v>
      </c>
      <c r="AH7" s="121">
        <f t="shared" si="5"/>
        <v>11697.62</v>
      </c>
      <c r="AI7" s="122"/>
      <c r="AJ7" s="121">
        <f t="shared" si="6"/>
        <v>11697.62</v>
      </c>
      <c r="AK7" s="123"/>
      <c r="AL7" s="121">
        <f t="shared" si="7"/>
        <v>11904.76</v>
      </c>
      <c r="AM7" s="123"/>
      <c r="AN7" s="123"/>
      <c r="AO7" s="123"/>
      <c r="AP7" s="123"/>
      <c r="AQ7" s="123"/>
      <c r="AR7" s="130" t="str">
        <f t="shared" si="8"/>
        <v>正确</v>
      </c>
      <c r="AS7" s="130" t="str">
        <f>IF(SUMPRODUCT(N(E$1:E$7=E7))&gt;1,"重复","不")</f>
        <v>不</v>
      </c>
      <c r="AT7" s="130" t="str">
        <f>IF(SUMPRODUCT(N(AO$1:AO$7=AO7))&gt;1,"重复","不")</f>
        <v>重复</v>
      </c>
    </row>
    <row r="8" s="32" customFormat="1" ht="18" customHeight="1" spans="1:46">
      <c r="A8" s="60"/>
      <c r="B8" s="61" t="s">
        <v>91</v>
      </c>
      <c r="C8" s="61"/>
      <c r="D8" s="62"/>
      <c r="E8" s="63"/>
      <c r="F8" s="64"/>
      <c r="G8" s="65"/>
      <c r="H8" s="64"/>
      <c r="I8" s="91"/>
      <c r="J8" s="92"/>
      <c r="K8" s="91"/>
      <c r="L8" s="93">
        <f t="shared" ref="L8:AL8" si="9">SUM(L4:L7)</f>
        <v>33524.76</v>
      </c>
      <c r="M8" s="93">
        <f t="shared" si="9"/>
        <v>1056.72</v>
      </c>
      <c r="N8" s="93">
        <f t="shared" si="9"/>
        <v>311.62</v>
      </c>
      <c r="O8" s="93">
        <f t="shared" si="9"/>
        <v>35.83</v>
      </c>
      <c r="P8" s="93">
        <f t="shared" si="9"/>
        <v>338</v>
      </c>
      <c r="Q8" s="93">
        <f t="shared" si="9"/>
        <v>1742.17</v>
      </c>
      <c r="R8" s="93">
        <f t="shared" si="9"/>
        <v>0</v>
      </c>
      <c r="S8" s="93">
        <f t="shared" si="9"/>
        <v>74704.76</v>
      </c>
      <c r="T8" s="93">
        <f t="shared" si="9"/>
        <v>55000</v>
      </c>
      <c r="U8" s="93">
        <f t="shared" si="9"/>
        <v>4692.47</v>
      </c>
      <c r="V8" s="93">
        <f t="shared" si="9"/>
        <v>0</v>
      </c>
      <c r="W8" s="93">
        <f t="shared" si="9"/>
        <v>0</v>
      </c>
      <c r="X8" s="93">
        <f t="shared" si="9"/>
        <v>5000</v>
      </c>
      <c r="Y8" s="93">
        <f t="shared" si="9"/>
        <v>0</v>
      </c>
      <c r="Z8" s="93">
        <f t="shared" si="9"/>
        <v>0</v>
      </c>
      <c r="AA8" s="93">
        <f t="shared" si="9"/>
        <v>0</v>
      </c>
      <c r="AB8" s="93">
        <f t="shared" si="9"/>
        <v>5000</v>
      </c>
      <c r="AC8" s="93">
        <f t="shared" si="9"/>
        <v>0</v>
      </c>
      <c r="AD8" s="93">
        <f t="shared" si="9"/>
        <v>10012.29</v>
      </c>
      <c r="AE8" s="93">
        <f t="shared" si="9"/>
        <v>306.95</v>
      </c>
      <c r="AF8" s="93">
        <f t="shared" si="9"/>
        <v>74.68</v>
      </c>
      <c r="AG8" s="93">
        <f t="shared" si="9"/>
        <v>285.07</v>
      </c>
      <c r="AH8" s="93">
        <f t="shared" si="9"/>
        <v>31497.52</v>
      </c>
      <c r="AI8" s="124">
        <f t="shared" si="9"/>
        <v>0</v>
      </c>
      <c r="AJ8" s="93">
        <f t="shared" si="9"/>
        <v>31497.52</v>
      </c>
      <c r="AK8" s="93">
        <f t="shared" si="9"/>
        <v>0</v>
      </c>
      <c r="AL8" s="93">
        <f t="shared" si="9"/>
        <v>31782.59</v>
      </c>
      <c r="AM8" s="125"/>
      <c r="AN8" s="125"/>
      <c r="AO8" s="125"/>
      <c r="AP8" s="125"/>
      <c r="AQ8" s="125"/>
      <c r="AR8" s="64"/>
      <c r="AS8" s="64"/>
      <c r="AT8" s="131"/>
    </row>
    <row r="11" spans="30:30">
      <c r="AD11" s="115"/>
    </row>
    <row r="12" ht="18.75" customHeight="1" spans="2:33">
      <c r="B12" s="66" t="s">
        <v>64</v>
      </c>
      <c r="C12" s="66" t="s">
        <v>92</v>
      </c>
      <c r="D12" s="66" t="s">
        <v>65</v>
      </c>
      <c r="E12" s="66" t="s">
        <v>93</v>
      </c>
      <c r="AD12" s="29"/>
      <c r="AG12" s="38"/>
    </row>
    <row r="13" ht="18.75" customHeight="1" spans="2:5">
      <c r="B13" s="67">
        <f>AJ8</f>
        <v>31497.52</v>
      </c>
      <c r="C13" s="67">
        <f>AG8</f>
        <v>285.07</v>
      </c>
      <c r="D13" s="67">
        <f>AK8</f>
        <v>0</v>
      </c>
      <c r="E13" s="67">
        <f>B13+C13+D13</f>
        <v>31782.59</v>
      </c>
    </row>
    <row r="14" spans="2:5">
      <c r="B14" s="68"/>
      <c r="C14" s="68"/>
      <c r="D14" s="68"/>
      <c r="E14" s="68"/>
    </row>
    <row r="15" s="33" customFormat="1" spans="1:35">
      <c r="A15" s="69" t="s">
        <v>94</v>
      </c>
      <c r="B15" s="70" t="s">
        <v>95</v>
      </c>
      <c r="C15" s="71"/>
      <c r="D15" s="71"/>
      <c r="E15" s="71"/>
      <c r="G15" s="72"/>
      <c r="J15" s="94"/>
      <c r="M15" s="95"/>
      <c r="AI15" s="126"/>
    </row>
    <row r="16" s="33" customFormat="1" spans="1:35">
      <c r="A16" s="73"/>
      <c r="B16" s="74" t="s">
        <v>96</v>
      </c>
      <c r="C16" s="71"/>
      <c r="D16" s="71"/>
      <c r="E16" s="71"/>
      <c r="G16" s="72"/>
      <c r="J16" s="94"/>
      <c r="M16" s="95"/>
      <c r="AI16" s="126"/>
    </row>
    <row r="17" s="33" customFormat="1" spans="1:35">
      <c r="A17" s="70"/>
      <c r="B17" s="74" t="s">
        <v>97</v>
      </c>
      <c r="C17" s="75"/>
      <c r="D17" s="75"/>
      <c r="E17" s="75"/>
      <c r="F17" s="75"/>
      <c r="G17" s="75"/>
      <c r="H17" s="75"/>
      <c r="I17" s="75"/>
      <c r="J17" s="96"/>
      <c r="K17" s="75"/>
      <c r="L17" s="75"/>
      <c r="M17" s="97"/>
      <c r="N17" s="75"/>
      <c r="O17" s="75"/>
      <c r="P17" s="75"/>
      <c r="AI17" s="126"/>
    </row>
    <row r="18" s="33" customFormat="1" customHeight="1" spans="1:35">
      <c r="A18" s="74"/>
      <c r="B18" s="74" t="s">
        <v>98</v>
      </c>
      <c r="C18" s="76"/>
      <c r="D18" s="76"/>
      <c r="E18" s="76"/>
      <c r="F18" s="76"/>
      <c r="G18" s="76"/>
      <c r="H18" s="76"/>
      <c r="I18" s="98"/>
      <c r="J18" s="99"/>
      <c r="K18" s="98"/>
      <c r="L18" s="98"/>
      <c r="M18" s="100"/>
      <c r="N18" s="98"/>
      <c r="O18" s="98"/>
      <c r="P18" s="98"/>
      <c r="AI18" s="126"/>
    </row>
    <row r="19" s="33" customFormat="1" customHeight="1" spans="1:35">
      <c r="A19" s="74"/>
      <c r="B19" s="74" t="s">
        <v>99</v>
      </c>
      <c r="C19" s="76"/>
      <c r="D19" s="76"/>
      <c r="E19" s="76"/>
      <c r="F19" s="76"/>
      <c r="G19" s="76"/>
      <c r="H19" s="76"/>
      <c r="I19" s="76"/>
      <c r="J19" s="101"/>
      <c r="K19" s="76"/>
      <c r="L19" s="98"/>
      <c r="M19" s="100"/>
      <c r="N19" s="98"/>
      <c r="O19" s="98"/>
      <c r="P19" s="98"/>
      <c r="AI19" s="126"/>
    </row>
    <row r="20" s="33" customFormat="1" customHeight="1" spans="1:35">
      <c r="A20" s="74"/>
      <c r="B20" s="74" t="s">
        <v>100</v>
      </c>
      <c r="C20" s="76"/>
      <c r="D20" s="76"/>
      <c r="E20" s="76"/>
      <c r="F20" s="76"/>
      <c r="G20" s="76"/>
      <c r="H20" s="76"/>
      <c r="I20" s="98"/>
      <c r="J20" s="99"/>
      <c r="K20" s="98"/>
      <c r="L20" s="98"/>
      <c r="M20" s="100"/>
      <c r="N20" s="98"/>
      <c r="O20" s="98"/>
      <c r="P20" s="98"/>
      <c r="AI20" s="126"/>
    </row>
    <row r="22" ht="11.25" customHeight="1" spans="2:2">
      <c r="B22" s="77" t="s">
        <v>101</v>
      </c>
    </row>
    <row r="23" spans="2:2">
      <c r="B23" s="78" t="s">
        <v>102</v>
      </c>
    </row>
    <row r="24" spans="2:2">
      <c r="B24" s="78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0"/>
  <sheetViews>
    <sheetView workbookViewId="0">
      <pane xSplit="11" ySplit="2" topLeftCell="L3" activePane="bottomRight" state="frozen"/>
      <selection/>
      <selection pane="topRight"/>
      <selection pane="bottomLeft"/>
      <selection pane="bottomRight" activeCell="AJ21" sqref="AJ21"/>
    </sheetView>
  </sheetViews>
  <sheetFormatPr defaultColWidth="9" defaultRowHeight="16.5"/>
  <cols>
    <col min="1" max="1" width="3.25" style="179" customWidth="1"/>
    <col min="2" max="2" width="19.25" style="179" customWidth="1"/>
    <col min="3" max="3" width="6" style="179" customWidth="1"/>
    <col min="4" max="4" width="8.5" style="179" hidden="1" customWidth="1"/>
    <col min="5" max="5" width="8.25" style="179" hidden="1" customWidth="1"/>
    <col min="6" max="6" width="11.875" style="179" customWidth="1"/>
    <col min="7" max="7" width="16.375" style="179" customWidth="1"/>
    <col min="8" max="11" width="8.5" style="179" customWidth="1"/>
    <col min="12" max="12" width="9.125" style="179" customWidth="1"/>
    <col min="13" max="14" width="9.25" style="179" customWidth="1"/>
    <col min="15" max="15" width="7.5" style="179" customWidth="1"/>
    <col min="16" max="16" width="11.25" style="179" customWidth="1"/>
    <col min="17" max="17" width="9.125" style="179" customWidth="1"/>
    <col min="18" max="21" width="9.25" style="179" customWidth="1"/>
    <col min="22" max="22" width="9.125" style="179" customWidth="1"/>
    <col min="23" max="26" width="9.25" style="179" customWidth="1"/>
    <col min="27" max="28" width="9.125" style="179" customWidth="1"/>
    <col min="29" max="29" width="9" style="179" customWidth="1"/>
    <col min="30" max="30" width="9.125" style="179" customWidth="1"/>
    <col min="31" max="31" width="9.25" style="179" customWidth="1"/>
    <col min="32" max="32" width="8.875" style="179" customWidth="1"/>
    <col min="33" max="33" width="9.125" style="179" customWidth="1"/>
    <col min="34" max="34" width="9.25" style="179" customWidth="1"/>
    <col min="35" max="35" width="11.125" style="179" customWidth="1"/>
    <col min="36" max="36" width="9.25" style="179" customWidth="1"/>
    <col min="37" max="37" width="8.25" style="179" customWidth="1"/>
    <col min="38" max="38" width="9.125" style="179" hidden="1" customWidth="1"/>
    <col min="39" max="39" width="9.25" style="179" hidden="1" customWidth="1"/>
    <col min="40" max="40" width="9.25" style="179" customWidth="1"/>
    <col min="41" max="42" width="9.25" style="179" hidden="1" customWidth="1"/>
    <col min="43" max="43" width="9.875" style="179" customWidth="1"/>
    <col min="44" max="44" width="9.375" style="179" customWidth="1"/>
    <col min="45" max="45" width="10.25" style="184" customWidth="1"/>
    <col min="46" max="46" width="10" style="184" customWidth="1"/>
    <col min="47" max="49" width="9.25" style="184" customWidth="1"/>
    <col min="50" max="50" width="9.25" style="179" customWidth="1"/>
    <col min="51" max="51" width="5.875" style="179" customWidth="1"/>
    <col min="52" max="52" width="8.375" style="179" customWidth="1"/>
    <col min="53" max="53" width="5.875" style="179" customWidth="1"/>
    <col min="54" max="54" width="8.875" style="179" customWidth="1"/>
    <col min="55" max="55" width="10.875" style="179" customWidth="1"/>
    <col min="56" max="56" width="40.25" style="185" customWidth="1"/>
    <col min="57" max="57" width="10.625" style="179" customWidth="1"/>
    <col min="58" max="16384" width="9" style="179"/>
  </cols>
  <sheetData>
    <row r="1" s="178" customFormat="1" ht="22.5" customHeight="1" spans="1:56">
      <c r="A1" s="186" t="s">
        <v>18</v>
      </c>
      <c r="B1" s="187" t="s">
        <v>104</v>
      </c>
      <c r="C1" s="187" t="s">
        <v>105</v>
      </c>
      <c r="D1" s="186" t="s">
        <v>106</v>
      </c>
      <c r="E1" s="187" t="s">
        <v>107</v>
      </c>
      <c r="F1" s="187" t="s">
        <v>108</v>
      </c>
      <c r="G1" s="187" t="s">
        <v>109</v>
      </c>
      <c r="H1" s="187" t="s">
        <v>110</v>
      </c>
      <c r="I1" s="187" t="s">
        <v>111</v>
      </c>
      <c r="J1" s="187" t="s">
        <v>112</v>
      </c>
      <c r="K1" s="187" t="s">
        <v>113</v>
      </c>
      <c r="L1" s="210" t="s">
        <v>114</v>
      </c>
      <c r="M1" s="210"/>
      <c r="N1" s="210"/>
      <c r="O1" s="210"/>
      <c r="P1" s="210"/>
      <c r="Q1" s="210" t="s">
        <v>115</v>
      </c>
      <c r="R1" s="210"/>
      <c r="S1" s="210"/>
      <c r="T1" s="210"/>
      <c r="U1" s="210"/>
      <c r="V1" s="210" t="s">
        <v>116</v>
      </c>
      <c r="W1" s="210"/>
      <c r="X1" s="210"/>
      <c r="Y1" s="210"/>
      <c r="Z1" s="210"/>
      <c r="AA1" s="186" t="s">
        <v>117</v>
      </c>
      <c r="AB1" s="186"/>
      <c r="AC1" s="186"/>
      <c r="AD1" s="186" t="s">
        <v>118</v>
      </c>
      <c r="AE1" s="186"/>
      <c r="AF1" s="186"/>
      <c r="AG1" s="210" t="s">
        <v>119</v>
      </c>
      <c r="AH1" s="210"/>
      <c r="AI1" s="210"/>
      <c r="AJ1" s="210"/>
      <c r="AK1" s="210"/>
      <c r="AL1" s="186" t="s">
        <v>120</v>
      </c>
      <c r="AM1" s="186"/>
      <c r="AN1" s="186"/>
      <c r="AO1" s="186"/>
      <c r="AP1" s="186"/>
      <c r="AQ1" s="186" t="s">
        <v>121</v>
      </c>
      <c r="AR1" s="186"/>
      <c r="AS1" s="219" t="s">
        <v>122</v>
      </c>
      <c r="AT1" s="219"/>
      <c r="AU1" s="219"/>
      <c r="AV1" s="219"/>
      <c r="AW1" s="219"/>
      <c r="AX1" s="186" t="s">
        <v>123</v>
      </c>
      <c r="AY1" s="186"/>
      <c r="AZ1" s="186" t="s">
        <v>124</v>
      </c>
      <c r="BA1" s="186"/>
      <c r="BB1" s="186" t="s">
        <v>65</v>
      </c>
      <c r="BC1" s="186" t="s">
        <v>93</v>
      </c>
      <c r="BD1" s="228" t="s">
        <v>23</v>
      </c>
    </row>
    <row r="2" s="179" customFormat="1" ht="22.5" customHeight="1" spans="1:56">
      <c r="A2" s="186"/>
      <c r="B2" s="188"/>
      <c r="C2" s="187"/>
      <c r="D2" s="186"/>
      <c r="E2" s="187"/>
      <c r="F2" s="189"/>
      <c r="G2" s="189"/>
      <c r="H2" s="187"/>
      <c r="I2" s="187"/>
      <c r="J2" s="187"/>
      <c r="K2" s="187"/>
      <c r="L2" s="211" t="s">
        <v>125</v>
      </c>
      <c r="M2" s="211" t="s">
        <v>126</v>
      </c>
      <c r="N2" s="211" t="s">
        <v>127</v>
      </c>
      <c r="O2" s="211" t="s">
        <v>128</v>
      </c>
      <c r="P2" s="211" t="s">
        <v>129</v>
      </c>
      <c r="Q2" s="211" t="s">
        <v>125</v>
      </c>
      <c r="R2" s="211" t="s">
        <v>126</v>
      </c>
      <c r="S2" s="211" t="s">
        <v>127</v>
      </c>
      <c r="T2" s="211" t="s">
        <v>128</v>
      </c>
      <c r="U2" s="211" t="s">
        <v>129</v>
      </c>
      <c r="V2" s="211" t="s">
        <v>125</v>
      </c>
      <c r="W2" s="211" t="s">
        <v>126</v>
      </c>
      <c r="X2" s="211" t="s">
        <v>127</v>
      </c>
      <c r="Y2" s="211" t="s">
        <v>128</v>
      </c>
      <c r="Z2" s="211" t="s">
        <v>129</v>
      </c>
      <c r="AA2" s="211" t="s">
        <v>125</v>
      </c>
      <c r="AB2" s="211" t="s">
        <v>130</v>
      </c>
      <c r="AC2" s="211" t="s">
        <v>22</v>
      </c>
      <c r="AD2" s="211" t="s">
        <v>125</v>
      </c>
      <c r="AE2" s="211" t="s">
        <v>130</v>
      </c>
      <c r="AF2" s="211" t="s">
        <v>22</v>
      </c>
      <c r="AG2" s="211" t="s">
        <v>125</v>
      </c>
      <c r="AH2" s="211" t="s">
        <v>126</v>
      </c>
      <c r="AI2" s="211" t="s">
        <v>127</v>
      </c>
      <c r="AJ2" s="211" t="s">
        <v>128</v>
      </c>
      <c r="AK2" s="211" t="s">
        <v>129</v>
      </c>
      <c r="AL2" s="211" t="s">
        <v>125</v>
      </c>
      <c r="AM2" s="211" t="s">
        <v>126</v>
      </c>
      <c r="AN2" s="211" t="s">
        <v>127</v>
      </c>
      <c r="AO2" s="211" t="s">
        <v>128</v>
      </c>
      <c r="AP2" s="211" t="s">
        <v>129</v>
      </c>
      <c r="AQ2" s="211" t="s">
        <v>131</v>
      </c>
      <c r="AR2" s="211" t="s">
        <v>132</v>
      </c>
      <c r="AS2" s="220" t="s">
        <v>133</v>
      </c>
      <c r="AT2" s="220" t="s">
        <v>134</v>
      </c>
      <c r="AU2" s="220" t="s">
        <v>135</v>
      </c>
      <c r="AV2" s="220" t="s">
        <v>78</v>
      </c>
      <c r="AW2" s="220" t="s">
        <v>30</v>
      </c>
      <c r="AX2" s="186"/>
      <c r="AY2" s="186"/>
      <c r="AZ2" s="186"/>
      <c r="BA2" s="186"/>
      <c r="BB2" s="186"/>
      <c r="BC2" s="186"/>
      <c r="BD2" s="228"/>
    </row>
    <row r="3" s="180" customFormat="1" ht="18" customHeight="1" spans="1:60">
      <c r="A3" s="190">
        <v>1</v>
      </c>
      <c r="B3" s="191" t="s">
        <v>162</v>
      </c>
      <c r="C3" s="150" t="s">
        <v>163</v>
      </c>
      <c r="D3" s="160" t="s">
        <v>138</v>
      </c>
      <c r="E3" s="161" t="s">
        <v>146</v>
      </c>
      <c r="F3" s="162" t="s">
        <v>164</v>
      </c>
      <c r="G3" s="163" t="s">
        <v>165</v>
      </c>
      <c r="H3" s="160" t="s">
        <v>166</v>
      </c>
      <c r="I3" s="160" t="s">
        <v>166</v>
      </c>
      <c r="J3" s="160" t="s">
        <v>166</v>
      </c>
      <c r="K3" s="160" t="s">
        <v>166</v>
      </c>
      <c r="L3" s="190">
        <v>2075</v>
      </c>
      <c r="M3" s="190">
        <v>0.16</v>
      </c>
      <c r="N3" s="190">
        <f>ROUND(L3*M3,2)</f>
        <v>332</v>
      </c>
      <c r="O3" s="190">
        <v>0.08</v>
      </c>
      <c r="P3" s="190">
        <f>ROUND(L3*O3,2)</f>
        <v>166</v>
      </c>
      <c r="Q3" s="190">
        <v>3676</v>
      </c>
      <c r="R3" s="190">
        <v>0.08</v>
      </c>
      <c r="S3" s="190">
        <f>ROUND(Q3*R3,2)</f>
        <v>294.08</v>
      </c>
      <c r="T3" s="190">
        <v>0.02</v>
      </c>
      <c r="U3" s="190">
        <f>ROUND(Q3*T3,2)</f>
        <v>73.52</v>
      </c>
      <c r="V3" s="190">
        <v>2075</v>
      </c>
      <c r="W3" s="190">
        <v>0.005</v>
      </c>
      <c r="X3" s="190">
        <f>ROUND(V3*W3,2)</f>
        <v>10.38</v>
      </c>
      <c r="Y3" s="190">
        <v>0.005</v>
      </c>
      <c r="Z3" s="190">
        <f>ROUND(V3*Y3,2)</f>
        <v>10.38</v>
      </c>
      <c r="AA3" s="190">
        <v>3676</v>
      </c>
      <c r="AB3" s="190">
        <v>0.007</v>
      </c>
      <c r="AC3" s="190">
        <f>ROUND(AA3*AB3,2)</f>
        <v>25.73</v>
      </c>
      <c r="AD3" s="190">
        <v>3488.4</v>
      </c>
      <c r="AE3" s="190">
        <v>0.0035</v>
      </c>
      <c r="AF3" s="190">
        <f>ROUND(AD3*AE3,2)</f>
        <v>12.21</v>
      </c>
      <c r="AG3" s="190">
        <v>1720</v>
      </c>
      <c r="AH3" s="190">
        <v>0.05</v>
      </c>
      <c r="AI3" s="190">
        <f>ROUND(AG3*AH3,2)</f>
        <v>86</v>
      </c>
      <c r="AJ3" s="190">
        <v>0.05</v>
      </c>
      <c r="AK3" s="190">
        <f>ROUND(AG3*AJ3,2)</f>
        <v>86</v>
      </c>
      <c r="AL3" s="217"/>
      <c r="AM3" s="190"/>
      <c r="AN3" s="190"/>
      <c r="AO3" s="190"/>
      <c r="AP3" s="161"/>
      <c r="AQ3" s="221"/>
      <c r="AR3" s="221"/>
      <c r="AS3" s="222">
        <f>N3+S3+X3+AC3+AF3+AN3+AQ3</f>
        <v>674.4</v>
      </c>
      <c r="AT3" s="222">
        <f>P3+U3+Z3</f>
        <v>249.9</v>
      </c>
      <c r="AU3" s="222">
        <f>AI3</f>
        <v>86</v>
      </c>
      <c r="AV3" s="222">
        <f>AK3</f>
        <v>86</v>
      </c>
      <c r="AW3" s="222">
        <f>AV3+AS3+AT3+AU3</f>
        <v>1096.3</v>
      </c>
      <c r="AX3" s="229">
        <f>AS3+AT3</f>
        <v>924.3</v>
      </c>
      <c r="AY3" s="229"/>
      <c r="AZ3" s="229">
        <f>AU3+AV3</f>
        <v>172</v>
      </c>
      <c r="BA3" s="229"/>
      <c r="BB3" s="230">
        <v>80</v>
      </c>
      <c r="BC3" s="229">
        <f>AX3+AZ3+BB3</f>
        <v>1176.3</v>
      </c>
      <c r="BD3" s="231"/>
      <c r="BE3" s="243"/>
      <c r="BF3" s="243"/>
      <c r="BG3" s="243"/>
      <c r="BH3" s="243"/>
    </row>
    <row r="4" s="180" customFormat="1" ht="18" customHeight="1" spans="1:60">
      <c r="A4" s="190">
        <v>2</v>
      </c>
      <c r="B4" s="191" t="s">
        <v>162</v>
      </c>
      <c r="C4" s="150" t="s">
        <v>167</v>
      </c>
      <c r="D4" s="160" t="s">
        <v>138</v>
      </c>
      <c r="E4" s="161" t="s">
        <v>146</v>
      </c>
      <c r="F4" s="162" t="s">
        <v>168</v>
      </c>
      <c r="G4" s="163" t="s">
        <v>169</v>
      </c>
      <c r="H4" s="160" t="s">
        <v>166</v>
      </c>
      <c r="I4" s="160" t="s">
        <v>166</v>
      </c>
      <c r="J4" s="160" t="s">
        <v>166</v>
      </c>
      <c r="K4" s="160" t="s">
        <v>166</v>
      </c>
      <c r="L4" s="190">
        <v>3430</v>
      </c>
      <c r="M4" s="190">
        <v>0.16</v>
      </c>
      <c r="N4" s="190">
        <f>ROUND(L4*M4,2)</f>
        <v>548.8</v>
      </c>
      <c r="O4" s="190">
        <v>0.08</v>
      </c>
      <c r="P4" s="190">
        <f>ROUND(L4*O4,2)</f>
        <v>274.4</v>
      </c>
      <c r="Q4" s="190">
        <v>3430</v>
      </c>
      <c r="R4" s="190">
        <v>0.064</v>
      </c>
      <c r="S4" s="190">
        <f>ROUND(Q4*R4,2)</f>
        <v>219.52</v>
      </c>
      <c r="T4" s="190">
        <v>0.02</v>
      </c>
      <c r="U4" s="190">
        <f>ROUND(Q4*T4,2)</f>
        <v>68.6</v>
      </c>
      <c r="V4" s="190">
        <v>3430</v>
      </c>
      <c r="W4" s="190">
        <v>0.005</v>
      </c>
      <c r="X4" s="190">
        <f>ROUND(V4*W4,2)</f>
        <v>17.15</v>
      </c>
      <c r="Y4" s="190">
        <v>0.005</v>
      </c>
      <c r="Z4" s="190">
        <f>ROUND(V4*Y4,2)</f>
        <v>17.15</v>
      </c>
      <c r="AA4" s="190"/>
      <c r="AB4" s="190"/>
      <c r="AC4" s="190"/>
      <c r="AD4" s="190">
        <v>3430</v>
      </c>
      <c r="AE4" s="190">
        <v>0.002</v>
      </c>
      <c r="AF4" s="190">
        <f>ROUND(AD4*AE4,2)</f>
        <v>6.86</v>
      </c>
      <c r="AG4" s="190">
        <v>1650</v>
      </c>
      <c r="AH4" s="190">
        <v>0.05</v>
      </c>
      <c r="AI4" s="190">
        <f>ROUND(AG4*AH4,2)</f>
        <v>82.5</v>
      </c>
      <c r="AJ4" s="190">
        <v>0.05</v>
      </c>
      <c r="AK4" s="190">
        <f>ROUND(AG4*AJ4,2)</f>
        <v>82.5</v>
      </c>
      <c r="AL4" s="217"/>
      <c r="AM4" s="190"/>
      <c r="AN4" s="190"/>
      <c r="AO4" s="190"/>
      <c r="AP4" s="161"/>
      <c r="AQ4" s="221">
        <v>15</v>
      </c>
      <c r="AR4" s="221"/>
      <c r="AS4" s="222">
        <f>N4+S4+X4+AC4+AF4+AN4+AQ4</f>
        <v>807.33</v>
      </c>
      <c r="AT4" s="222">
        <f>P4+U4+Z4</f>
        <v>360.15</v>
      </c>
      <c r="AU4" s="222">
        <f>AI4</f>
        <v>82.5</v>
      </c>
      <c r="AV4" s="222">
        <f>AK4</f>
        <v>82.5</v>
      </c>
      <c r="AW4" s="222">
        <f>AV4+AS4+AT4+AU4</f>
        <v>1332.48</v>
      </c>
      <c r="AX4" s="229">
        <f>AS4+AT4</f>
        <v>1167.48</v>
      </c>
      <c r="AY4" s="229"/>
      <c r="AZ4" s="229">
        <f>AU4+AV4</f>
        <v>165</v>
      </c>
      <c r="BA4" s="229"/>
      <c r="BB4" s="230">
        <v>80</v>
      </c>
      <c r="BC4" s="229">
        <f>AX4+AZ4+BB4</f>
        <v>1412.48</v>
      </c>
      <c r="BD4" s="231"/>
      <c r="BE4" s="243"/>
      <c r="BF4" s="243"/>
      <c r="BG4" s="243"/>
      <c r="BH4" s="243"/>
    </row>
    <row r="5" s="180" customFormat="1" ht="18" customHeight="1" spans="1:60">
      <c r="A5" s="190">
        <v>3</v>
      </c>
      <c r="B5" s="191" t="s">
        <v>162</v>
      </c>
      <c r="C5" s="150" t="s">
        <v>167</v>
      </c>
      <c r="D5" s="160" t="s">
        <v>138</v>
      </c>
      <c r="E5" s="161" t="s">
        <v>146</v>
      </c>
      <c r="F5" s="162" t="s">
        <v>170</v>
      </c>
      <c r="G5" s="163" t="s">
        <v>171</v>
      </c>
      <c r="H5" s="160" t="s">
        <v>166</v>
      </c>
      <c r="I5" s="160" t="s">
        <v>166</v>
      </c>
      <c r="J5" s="160" t="s">
        <v>166</v>
      </c>
      <c r="K5" s="160" t="s">
        <v>166</v>
      </c>
      <c r="L5" s="190">
        <v>3430</v>
      </c>
      <c r="M5" s="190">
        <v>0.16</v>
      </c>
      <c r="N5" s="190">
        <f t="shared" ref="N5:N23" si="0">ROUND(L5*M5,2)</f>
        <v>548.8</v>
      </c>
      <c r="O5" s="190">
        <v>0.08</v>
      </c>
      <c r="P5" s="190">
        <f t="shared" ref="P5:P23" si="1">ROUND(L5*O5,2)</f>
        <v>274.4</v>
      </c>
      <c r="Q5" s="190">
        <v>3430</v>
      </c>
      <c r="R5" s="190">
        <v>0.064</v>
      </c>
      <c r="S5" s="190">
        <f t="shared" ref="S5:S23" si="2">ROUND(Q5*R5,2)</f>
        <v>219.52</v>
      </c>
      <c r="T5" s="190">
        <v>0.02</v>
      </c>
      <c r="U5" s="190">
        <f t="shared" ref="U5:U23" si="3">ROUND(Q5*T5,2)</f>
        <v>68.6</v>
      </c>
      <c r="V5" s="190">
        <v>3430</v>
      </c>
      <c r="W5" s="190">
        <v>0.005</v>
      </c>
      <c r="X5" s="190">
        <f t="shared" ref="X5:X23" si="4">ROUND(V5*W5,2)</f>
        <v>17.15</v>
      </c>
      <c r="Y5" s="190">
        <v>0.005</v>
      </c>
      <c r="Z5" s="190">
        <f t="shared" ref="Z5:Z23" si="5">ROUND(V5*Y5,2)</f>
        <v>17.15</v>
      </c>
      <c r="AA5" s="190"/>
      <c r="AB5" s="190"/>
      <c r="AC5" s="190"/>
      <c r="AD5" s="190">
        <v>3430</v>
      </c>
      <c r="AE5" s="190">
        <v>0.002</v>
      </c>
      <c r="AF5" s="190">
        <f t="shared" ref="AF5:AF22" si="6">ROUND(AD5*AE5,2)</f>
        <v>6.86</v>
      </c>
      <c r="AG5" s="190">
        <v>1650</v>
      </c>
      <c r="AH5" s="190">
        <v>0.05</v>
      </c>
      <c r="AI5" s="190">
        <f t="shared" ref="AI5:AI22" si="7">ROUND(AG5*AH5,2)</f>
        <v>82.5</v>
      </c>
      <c r="AJ5" s="190">
        <v>0.05</v>
      </c>
      <c r="AK5" s="190">
        <f t="shared" ref="AK5:AK22" si="8">ROUND(AG5*AJ5,2)</f>
        <v>82.5</v>
      </c>
      <c r="AL5" s="217"/>
      <c r="AM5" s="190"/>
      <c r="AN5" s="190"/>
      <c r="AO5" s="190"/>
      <c r="AP5" s="161"/>
      <c r="AQ5" s="221">
        <v>15</v>
      </c>
      <c r="AR5" s="221"/>
      <c r="AS5" s="222">
        <f t="shared" ref="AS5:AS23" si="9">N5+S5+X5+AC5+AF5+AN5+AQ5</f>
        <v>807.33</v>
      </c>
      <c r="AT5" s="222">
        <f t="shared" ref="AT5:AT23" si="10">P5+U5+Z5</f>
        <v>360.15</v>
      </c>
      <c r="AU5" s="222">
        <f t="shared" ref="AU5:AU23" si="11">AI5</f>
        <v>82.5</v>
      </c>
      <c r="AV5" s="222">
        <f t="shared" ref="AV5:AV23" si="12">AK5</f>
        <v>82.5</v>
      </c>
      <c r="AW5" s="222">
        <f t="shared" ref="AW5:AW23" si="13">AV5+AS5+AT5+AU5</f>
        <v>1332.48</v>
      </c>
      <c r="AX5" s="229">
        <f t="shared" ref="AX5:AX23" si="14">AS5+AT5</f>
        <v>1167.48</v>
      </c>
      <c r="AY5" s="229"/>
      <c r="AZ5" s="229">
        <f t="shared" ref="AZ5:AZ23" si="15">AU5+AV5</f>
        <v>165</v>
      </c>
      <c r="BA5" s="229"/>
      <c r="BB5" s="230">
        <v>80</v>
      </c>
      <c r="BC5" s="229">
        <f t="shared" ref="BC5:BC23" si="16">AX5+AZ5+BB5</f>
        <v>1412.48</v>
      </c>
      <c r="BD5" s="231"/>
      <c r="BE5" s="243"/>
      <c r="BF5" s="243"/>
      <c r="BG5" s="243"/>
      <c r="BH5" s="243"/>
    </row>
    <row r="6" s="180" customFormat="1" ht="18" customHeight="1" spans="1:60">
      <c r="A6" s="190">
        <v>4</v>
      </c>
      <c r="B6" s="191" t="s">
        <v>162</v>
      </c>
      <c r="C6" s="150" t="s">
        <v>167</v>
      </c>
      <c r="D6" s="160" t="s">
        <v>138</v>
      </c>
      <c r="E6" s="161" t="s">
        <v>146</v>
      </c>
      <c r="F6" s="162" t="s">
        <v>172</v>
      </c>
      <c r="G6" s="163" t="s">
        <v>173</v>
      </c>
      <c r="H6" s="160" t="s">
        <v>166</v>
      </c>
      <c r="I6" s="160" t="s">
        <v>166</v>
      </c>
      <c r="J6" s="160" t="s">
        <v>166</v>
      </c>
      <c r="K6" s="160" t="s">
        <v>166</v>
      </c>
      <c r="L6" s="190">
        <v>3430</v>
      </c>
      <c r="M6" s="190">
        <v>0.16</v>
      </c>
      <c r="N6" s="190">
        <f t="shared" si="0"/>
        <v>548.8</v>
      </c>
      <c r="O6" s="190">
        <v>0.08</v>
      </c>
      <c r="P6" s="190">
        <f t="shared" si="1"/>
        <v>274.4</v>
      </c>
      <c r="Q6" s="190">
        <v>3430</v>
      </c>
      <c r="R6" s="190">
        <v>0.064</v>
      </c>
      <c r="S6" s="190">
        <f t="shared" si="2"/>
        <v>219.52</v>
      </c>
      <c r="T6" s="190">
        <v>0.02</v>
      </c>
      <c r="U6" s="190">
        <f t="shared" si="3"/>
        <v>68.6</v>
      </c>
      <c r="V6" s="190">
        <v>3430</v>
      </c>
      <c r="W6" s="190">
        <v>0.005</v>
      </c>
      <c r="X6" s="190">
        <f t="shared" si="4"/>
        <v>17.15</v>
      </c>
      <c r="Y6" s="190">
        <v>0.005</v>
      </c>
      <c r="Z6" s="190">
        <f t="shared" si="5"/>
        <v>17.15</v>
      </c>
      <c r="AA6" s="190"/>
      <c r="AB6" s="190"/>
      <c r="AC6" s="190"/>
      <c r="AD6" s="190">
        <v>3430</v>
      </c>
      <c r="AE6" s="190">
        <v>0.002</v>
      </c>
      <c r="AF6" s="190">
        <f t="shared" si="6"/>
        <v>6.86</v>
      </c>
      <c r="AG6" s="190">
        <v>1650</v>
      </c>
      <c r="AH6" s="190">
        <v>0.05</v>
      </c>
      <c r="AI6" s="190">
        <f t="shared" si="7"/>
        <v>82.5</v>
      </c>
      <c r="AJ6" s="190">
        <v>0.05</v>
      </c>
      <c r="AK6" s="190">
        <f t="shared" si="8"/>
        <v>82.5</v>
      </c>
      <c r="AL6" s="217"/>
      <c r="AM6" s="190"/>
      <c r="AN6" s="190"/>
      <c r="AO6" s="190"/>
      <c r="AP6" s="161"/>
      <c r="AQ6" s="221">
        <v>15</v>
      </c>
      <c r="AR6" s="221"/>
      <c r="AS6" s="222">
        <f t="shared" si="9"/>
        <v>807.33</v>
      </c>
      <c r="AT6" s="222">
        <f t="shared" si="10"/>
        <v>360.15</v>
      </c>
      <c r="AU6" s="222">
        <f t="shared" si="11"/>
        <v>82.5</v>
      </c>
      <c r="AV6" s="222">
        <f t="shared" si="12"/>
        <v>82.5</v>
      </c>
      <c r="AW6" s="222">
        <f t="shared" si="13"/>
        <v>1332.48</v>
      </c>
      <c r="AX6" s="229">
        <f t="shared" si="14"/>
        <v>1167.48</v>
      </c>
      <c r="AY6" s="229"/>
      <c r="AZ6" s="229">
        <f t="shared" si="15"/>
        <v>165</v>
      </c>
      <c r="BA6" s="229"/>
      <c r="BB6" s="230">
        <v>80</v>
      </c>
      <c r="BC6" s="229">
        <f t="shared" si="16"/>
        <v>1412.48</v>
      </c>
      <c r="BD6" s="231"/>
      <c r="BE6" s="243"/>
      <c r="BF6" s="243"/>
      <c r="BG6" s="243"/>
      <c r="BH6" s="243"/>
    </row>
    <row r="7" s="180" customFormat="1" ht="18" customHeight="1" spans="1:60">
      <c r="A7" s="190">
        <v>5</v>
      </c>
      <c r="B7" s="191" t="s">
        <v>162</v>
      </c>
      <c r="C7" s="150" t="s">
        <v>167</v>
      </c>
      <c r="D7" s="160" t="s">
        <v>138</v>
      </c>
      <c r="E7" s="161" t="s">
        <v>146</v>
      </c>
      <c r="F7" s="162" t="s">
        <v>174</v>
      </c>
      <c r="G7" s="163" t="s">
        <v>175</v>
      </c>
      <c r="H7" s="160" t="s">
        <v>166</v>
      </c>
      <c r="I7" s="160" t="s">
        <v>166</v>
      </c>
      <c r="J7" s="160" t="s">
        <v>166</v>
      </c>
      <c r="K7" s="160" t="s">
        <v>166</v>
      </c>
      <c r="L7" s="190">
        <v>3430</v>
      </c>
      <c r="M7" s="190">
        <v>0.16</v>
      </c>
      <c r="N7" s="190">
        <f t="shared" si="0"/>
        <v>548.8</v>
      </c>
      <c r="O7" s="190">
        <v>0.08</v>
      </c>
      <c r="P7" s="190">
        <f t="shared" si="1"/>
        <v>274.4</v>
      </c>
      <c r="Q7" s="190">
        <v>3430</v>
      </c>
      <c r="R7" s="190">
        <v>0.064</v>
      </c>
      <c r="S7" s="190">
        <f t="shared" si="2"/>
        <v>219.52</v>
      </c>
      <c r="T7" s="190">
        <v>0.02</v>
      </c>
      <c r="U7" s="190">
        <f t="shared" si="3"/>
        <v>68.6</v>
      </c>
      <c r="V7" s="190">
        <v>3430</v>
      </c>
      <c r="W7" s="190">
        <v>0.005</v>
      </c>
      <c r="X7" s="190">
        <f t="shared" si="4"/>
        <v>17.15</v>
      </c>
      <c r="Y7" s="190">
        <v>0.005</v>
      </c>
      <c r="Z7" s="190">
        <f t="shared" si="5"/>
        <v>17.15</v>
      </c>
      <c r="AA7" s="190"/>
      <c r="AB7" s="190"/>
      <c r="AC7" s="190"/>
      <c r="AD7" s="190">
        <v>3430</v>
      </c>
      <c r="AE7" s="190">
        <v>0.002</v>
      </c>
      <c r="AF7" s="190">
        <f t="shared" si="6"/>
        <v>6.86</v>
      </c>
      <c r="AG7" s="190">
        <v>1650</v>
      </c>
      <c r="AH7" s="190">
        <v>0.05</v>
      </c>
      <c r="AI7" s="190">
        <f t="shared" si="7"/>
        <v>82.5</v>
      </c>
      <c r="AJ7" s="190">
        <v>0.05</v>
      </c>
      <c r="AK7" s="190">
        <f t="shared" si="8"/>
        <v>82.5</v>
      </c>
      <c r="AL7" s="217"/>
      <c r="AM7" s="190"/>
      <c r="AN7" s="190"/>
      <c r="AO7" s="190"/>
      <c r="AP7" s="161"/>
      <c r="AQ7" s="221">
        <v>15</v>
      </c>
      <c r="AR7" s="221"/>
      <c r="AS7" s="222">
        <f t="shared" si="9"/>
        <v>807.33</v>
      </c>
      <c r="AT7" s="222">
        <f t="shared" si="10"/>
        <v>360.15</v>
      </c>
      <c r="AU7" s="222">
        <f t="shared" si="11"/>
        <v>82.5</v>
      </c>
      <c r="AV7" s="222">
        <f t="shared" si="12"/>
        <v>82.5</v>
      </c>
      <c r="AW7" s="222">
        <f t="shared" si="13"/>
        <v>1332.48</v>
      </c>
      <c r="AX7" s="229">
        <f t="shared" si="14"/>
        <v>1167.48</v>
      </c>
      <c r="AY7" s="229"/>
      <c r="AZ7" s="229">
        <f t="shared" si="15"/>
        <v>165</v>
      </c>
      <c r="BA7" s="229"/>
      <c r="BB7" s="230">
        <v>80</v>
      </c>
      <c r="BC7" s="229">
        <f t="shared" si="16"/>
        <v>1412.48</v>
      </c>
      <c r="BD7" s="231"/>
      <c r="BE7" s="243"/>
      <c r="BF7" s="243"/>
      <c r="BG7" s="243"/>
      <c r="BH7" s="243"/>
    </row>
    <row r="8" s="180" customFormat="1" ht="18" customHeight="1" spans="1:60">
      <c r="A8" s="190">
        <v>6</v>
      </c>
      <c r="B8" s="191" t="s">
        <v>162</v>
      </c>
      <c r="C8" s="150" t="s">
        <v>167</v>
      </c>
      <c r="D8" s="160" t="s">
        <v>138</v>
      </c>
      <c r="E8" s="161" t="s">
        <v>146</v>
      </c>
      <c r="F8" s="162" t="s">
        <v>176</v>
      </c>
      <c r="G8" s="163" t="s">
        <v>177</v>
      </c>
      <c r="H8" s="160" t="s">
        <v>166</v>
      </c>
      <c r="I8" s="160" t="s">
        <v>166</v>
      </c>
      <c r="J8" s="160" t="s">
        <v>166</v>
      </c>
      <c r="K8" s="160" t="s">
        <v>166</v>
      </c>
      <c r="L8" s="190">
        <v>3430</v>
      </c>
      <c r="M8" s="190">
        <v>0.16</v>
      </c>
      <c r="N8" s="190">
        <f t="shared" si="0"/>
        <v>548.8</v>
      </c>
      <c r="O8" s="190">
        <v>0.08</v>
      </c>
      <c r="P8" s="190">
        <f t="shared" si="1"/>
        <v>274.4</v>
      </c>
      <c r="Q8" s="190">
        <v>3430</v>
      </c>
      <c r="R8" s="190">
        <v>0.064</v>
      </c>
      <c r="S8" s="190">
        <f t="shared" si="2"/>
        <v>219.52</v>
      </c>
      <c r="T8" s="190">
        <v>0.02</v>
      </c>
      <c r="U8" s="190">
        <f t="shared" si="3"/>
        <v>68.6</v>
      </c>
      <c r="V8" s="190">
        <v>3430</v>
      </c>
      <c r="W8" s="190">
        <v>0.005</v>
      </c>
      <c r="X8" s="190">
        <f t="shared" si="4"/>
        <v>17.15</v>
      </c>
      <c r="Y8" s="190">
        <v>0.005</v>
      </c>
      <c r="Z8" s="190">
        <f t="shared" si="5"/>
        <v>17.15</v>
      </c>
      <c r="AA8" s="190"/>
      <c r="AB8" s="190"/>
      <c r="AC8" s="190"/>
      <c r="AD8" s="190">
        <v>3430</v>
      </c>
      <c r="AE8" s="190">
        <v>0.002</v>
      </c>
      <c r="AF8" s="190">
        <f t="shared" si="6"/>
        <v>6.86</v>
      </c>
      <c r="AG8" s="190">
        <v>1650</v>
      </c>
      <c r="AH8" s="190">
        <v>0.05</v>
      </c>
      <c r="AI8" s="190">
        <f t="shared" si="7"/>
        <v>82.5</v>
      </c>
      <c r="AJ8" s="190">
        <v>0.05</v>
      </c>
      <c r="AK8" s="190">
        <f t="shared" si="8"/>
        <v>82.5</v>
      </c>
      <c r="AL8" s="217"/>
      <c r="AM8" s="190"/>
      <c r="AN8" s="190"/>
      <c r="AO8" s="190"/>
      <c r="AP8" s="161"/>
      <c r="AQ8" s="221">
        <v>15</v>
      </c>
      <c r="AR8" s="221"/>
      <c r="AS8" s="222">
        <f t="shared" si="9"/>
        <v>807.33</v>
      </c>
      <c r="AT8" s="222">
        <f t="shared" si="10"/>
        <v>360.15</v>
      </c>
      <c r="AU8" s="222">
        <f t="shared" si="11"/>
        <v>82.5</v>
      </c>
      <c r="AV8" s="222">
        <f t="shared" si="12"/>
        <v>82.5</v>
      </c>
      <c r="AW8" s="222">
        <f t="shared" si="13"/>
        <v>1332.48</v>
      </c>
      <c r="AX8" s="229">
        <f t="shared" si="14"/>
        <v>1167.48</v>
      </c>
      <c r="AY8" s="229"/>
      <c r="AZ8" s="229">
        <f t="shared" si="15"/>
        <v>165</v>
      </c>
      <c r="BA8" s="229"/>
      <c r="BB8" s="230">
        <v>80</v>
      </c>
      <c r="BC8" s="229">
        <f t="shared" si="16"/>
        <v>1412.48</v>
      </c>
      <c r="BD8" s="231"/>
      <c r="BE8" s="243"/>
      <c r="BF8" s="243"/>
      <c r="BG8" s="243"/>
      <c r="BH8" s="243"/>
    </row>
    <row r="9" s="180" customFormat="1" ht="18" customHeight="1" spans="1:60">
      <c r="A9" s="190">
        <v>7</v>
      </c>
      <c r="B9" s="191" t="s">
        <v>162</v>
      </c>
      <c r="C9" s="150" t="s">
        <v>167</v>
      </c>
      <c r="D9" s="160" t="s">
        <v>138</v>
      </c>
      <c r="E9" s="161" t="s">
        <v>146</v>
      </c>
      <c r="F9" s="162" t="s">
        <v>178</v>
      </c>
      <c r="G9" s="163" t="s">
        <v>179</v>
      </c>
      <c r="H9" s="160" t="s">
        <v>166</v>
      </c>
      <c r="I9" s="160" t="s">
        <v>166</v>
      </c>
      <c r="J9" s="160" t="s">
        <v>166</v>
      </c>
      <c r="K9" s="160" t="s">
        <v>166</v>
      </c>
      <c r="L9" s="190">
        <v>3430</v>
      </c>
      <c r="M9" s="190">
        <v>0.16</v>
      </c>
      <c r="N9" s="190">
        <f t="shared" si="0"/>
        <v>548.8</v>
      </c>
      <c r="O9" s="190">
        <v>0.08</v>
      </c>
      <c r="P9" s="190">
        <f t="shared" si="1"/>
        <v>274.4</v>
      </c>
      <c r="Q9" s="190">
        <v>3430</v>
      </c>
      <c r="R9" s="190">
        <v>0.064</v>
      </c>
      <c r="S9" s="190">
        <f t="shared" si="2"/>
        <v>219.52</v>
      </c>
      <c r="T9" s="190">
        <v>0.02</v>
      </c>
      <c r="U9" s="190">
        <f t="shared" si="3"/>
        <v>68.6</v>
      </c>
      <c r="V9" s="190">
        <v>3430</v>
      </c>
      <c r="W9" s="190">
        <v>0.005</v>
      </c>
      <c r="X9" s="190">
        <f t="shared" si="4"/>
        <v>17.15</v>
      </c>
      <c r="Y9" s="190">
        <v>0.005</v>
      </c>
      <c r="Z9" s="190">
        <f t="shared" si="5"/>
        <v>17.15</v>
      </c>
      <c r="AA9" s="190"/>
      <c r="AB9" s="190"/>
      <c r="AC9" s="190"/>
      <c r="AD9" s="190">
        <v>3430</v>
      </c>
      <c r="AE9" s="190">
        <v>0.002</v>
      </c>
      <c r="AF9" s="190">
        <f t="shared" si="6"/>
        <v>6.86</v>
      </c>
      <c r="AG9" s="190">
        <v>11000</v>
      </c>
      <c r="AH9" s="190">
        <v>0.12</v>
      </c>
      <c r="AI9" s="190">
        <f t="shared" si="7"/>
        <v>1320</v>
      </c>
      <c r="AJ9" s="190">
        <v>0.12</v>
      </c>
      <c r="AK9" s="190">
        <f t="shared" si="8"/>
        <v>1320</v>
      </c>
      <c r="AL9" s="217"/>
      <c r="AM9" s="190"/>
      <c r="AN9" s="190"/>
      <c r="AO9" s="190"/>
      <c r="AP9" s="161"/>
      <c r="AQ9" s="221">
        <v>15</v>
      </c>
      <c r="AR9" s="221"/>
      <c r="AS9" s="222">
        <f t="shared" si="9"/>
        <v>807.33</v>
      </c>
      <c r="AT9" s="222">
        <f t="shared" si="10"/>
        <v>360.15</v>
      </c>
      <c r="AU9" s="222">
        <f t="shared" si="11"/>
        <v>1320</v>
      </c>
      <c r="AV9" s="222">
        <f t="shared" si="12"/>
        <v>1320</v>
      </c>
      <c r="AW9" s="222">
        <f t="shared" si="13"/>
        <v>3807.48</v>
      </c>
      <c r="AX9" s="229">
        <f t="shared" si="14"/>
        <v>1167.48</v>
      </c>
      <c r="AY9" s="229"/>
      <c r="AZ9" s="229">
        <f t="shared" si="15"/>
        <v>2640</v>
      </c>
      <c r="BA9" s="229"/>
      <c r="BB9" s="230">
        <v>80</v>
      </c>
      <c r="BC9" s="229">
        <f t="shared" si="16"/>
        <v>3887.48</v>
      </c>
      <c r="BD9" s="231"/>
      <c r="BE9" s="243"/>
      <c r="BF9" s="243"/>
      <c r="BG9" s="243"/>
      <c r="BH9" s="243"/>
    </row>
    <row r="10" s="180" customFormat="1" ht="18" customHeight="1" spans="1:60">
      <c r="A10" s="190">
        <v>8</v>
      </c>
      <c r="B10" s="191" t="s">
        <v>162</v>
      </c>
      <c r="C10" s="150" t="s">
        <v>167</v>
      </c>
      <c r="D10" s="160" t="s">
        <v>138</v>
      </c>
      <c r="E10" s="161" t="s">
        <v>146</v>
      </c>
      <c r="F10" s="162" t="s">
        <v>180</v>
      </c>
      <c r="G10" s="163" t="s">
        <v>181</v>
      </c>
      <c r="H10" s="160" t="s">
        <v>166</v>
      </c>
      <c r="I10" s="160" t="s">
        <v>166</v>
      </c>
      <c r="J10" s="160" t="s">
        <v>166</v>
      </c>
      <c r="K10" s="160" t="s">
        <v>166</v>
      </c>
      <c r="L10" s="190">
        <v>3430</v>
      </c>
      <c r="M10" s="190">
        <v>0.16</v>
      </c>
      <c r="N10" s="190">
        <f t="shared" si="0"/>
        <v>548.8</v>
      </c>
      <c r="O10" s="190">
        <v>0.08</v>
      </c>
      <c r="P10" s="190">
        <f t="shared" si="1"/>
        <v>274.4</v>
      </c>
      <c r="Q10" s="190">
        <v>3430</v>
      </c>
      <c r="R10" s="190">
        <v>0.064</v>
      </c>
      <c r="S10" s="190">
        <f t="shared" si="2"/>
        <v>219.52</v>
      </c>
      <c r="T10" s="190">
        <v>0.02</v>
      </c>
      <c r="U10" s="190">
        <f t="shared" si="3"/>
        <v>68.6</v>
      </c>
      <c r="V10" s="190">
        <v>3430</v>
      </c>
      <c r="W10" s="190">
        <v>0.005</v>
      </c>
      <c r="X10" s="190">
        <f t="shared" si="4"/>
        <v>17.15</v>
      </c>
      <c r="Y10" s="190">
        <v>0.005</v>
      </c>
      <c r="Z10" s="190">
        <f t="shared" si="5"/>
        <v>17.15</v>
      </c>
      <c r="AA10" s="190"/>
      <c r="AB10" s="190"/>
      <c r="AC10" s="190"/>
      <c r="AD10" s="190">
        <v>3430</v>
      </c>
      <c r="AE10" s="190">
        <v>0.002</v>
      </c>
      <c r="AF10" s="190">
        <f t="shared" si="6"/>
        <v>6.86</v>
      </c>
      <c r="AG10" s="190">
        <v>1650</v>
      </c>
      <c r="AH10" s="190">
        <v>0.05</v>
      </c>
      <c r="AI10" s="190">
        <f t="shared" si="7"/>
        <v>82.5</v>
      </c>
      <c r="AJ10" s="190">
        <v>0.05</v>
      </c>
      <c r="AK10" s="190">
        <f t="shared" si="8"/>
        <v>82.5</v>
      </c>
      <c r="AL10" s="217"/>
      <c r="AM10" s="190"/>
      <c r="AN10" s="190"/>
      <c r="AO10" s="190"/>
      <c r="AP10" s="161"/>
      <c r="AQ10" s="221">
        <v>15</v>
      </c>
      <c r="AR10" s="221"/>
      <c r="AS10" s="222">
        <f t="shared" si="9"/>
        <v>807.33</v>
      </c>
      <c r="AT10" s="222">
        <f t="shared" si="10"/>
        <v>360.15</v>
      </c>
      <c r="AU10" s="222">
        <f t="shared" si="11"/>
        <v>82.5</v>
      </c>
      <c r="AV10" s="222">
        <f t="shared" si="12"/>
        <v>82.5</v>
      </c>
      <c r="AW10" s="222">
        <f t="shared" si="13"/>
        <v>1332.48</v>
      </c>
      <c r="AX10" s="229">
        <f t="shared" si="14"/>
        <v>1167.48</v>
      </c>
      <c r="AY10" s="229"/>
      <c r="AZ10" s="229">
        <f t="shared" si="15"/>
        <v>165</v>
      </c>
      <c r="BA10" s="229"/>
      <c r="BB10" s="230">
        <v>80</v>
      </c>
      <c r="BC10" s="229">
        <f t="shared" si="16"/>
        <v>1412.48</v>
      </c>
      <c r="BD10" s="231"/>
      <c r="BE10" s="243"/>
      <c r="BF10" s="243"/>
      <c r="BG10" s="243"/>
      <c r="BH10" s="243"/>
    </row>
    <row r="11" s="180" customFormat="1" ht="18" customHeight="1" spans="1:60">
      <c r="A11" s="190">
        <v>9</v>
      </c>
      <c r="B11" s="191" t="s">
        <v>162</v>
      </c>
      <c r="C11" s="150" t="s">
        <v>167</v>
      </c>
      <c r="D11" s="160" t="s">
        <v>138</v>
      </c>
      <c r="E11" s="161" t="s">
        <v>146</v>
      </c>
      <c r="F11" s="162" t="s">
        <v>182</v>
      </c>
      <c r="G11" s="163" t="s">
        <v>183</v>
      </c>
      <c r="H11" s="160" t="s">
        <v>166</v>
      </c>
      <c r="I11" s="160" t="s">
        <v>166</v>
      </c>
      <c r="J11" s="160" t="s">
        <v>166</v>
      </c>
      <c r="K11" s="160" t="s">
        <v>166</v>
      </c>
      <c r="L11" s="190">
        <v>3430</v>
      </c>
      <c r="M11" s="190">
        <v>0.16</v>
      </c>
      <c r="N11" s="190">
        <f t="shared" si="0"/>
        <v>548.8</v>
      </c>
      <c r="O11" s="190">
        <v>0.08</v>
      </c>
      <c r="P11" s="190">
        <f t="shared" si="1"/>
        <v>274.4</v>
      </c>
      <c r="Q11" s="190">
        <v>3430</v>
      </c>
      <c r="R11" s="190">
        <v>0.064</v>
      </c>
      <c r="S11" s="190">
        <f t="shared" si="2"/>
        <v>219.52</v>
      </c>
      <c r="T11" s="190">
        <v>0.02</v>
      </c>
      <c r="U11" s="190">
        <f t="shared" si="3"/>
        <v>68.6</v>
      </c>
      <c r="V11" s="190">
        <v>3430</v>
      </c>
      <c r="W11" s="190">
        <v>0.005</v>
      </c>
      <c r="X11" s="190">
        <f t="shared" si="4"/>
        <v>17.15</v>
      </c>
      <c r="Y11" s="190">
        <v>0.005</v>
      </c>
      <c r="Z11" s="190">
        <f t="shared" si="5"/>
        <v>17.15</v>
      </c>
      <c r="AA11" s="190"/>
      <c r="AB11" s="190"/>
      <c r="AC11" s="190"/>
      <c r="AD11" s="190">
        <v>3430</v>
      </c>
      <c r="AE11" s="190">
        <v>0.002</v>
      </c>
      <c r="AF11" s="190">
        <f t="shared" si="6"/>
        <v>6.86</v>
      </c>
      <c r="AG11" s="190">
        <v>1650</v>
      </c>
      <c r="AH11" s="190">
        <v>0.05</v>
      </c>
      <c r="AI11" s="190">
        <f t="shared" si="7"/>
        <v>82.5</v>
      </c>
      <c r="AJ11" s="190">
        <v>0.05</v>
      </c>
      <c r="AK11" s="190">
        <f t="shared" si="8"/>
        <v>82.5</v>
      </c>
      <c r="AL11" s="217"/>
      <c r="AM11" s="190"/>
      <c r="AN11" s="190"/>
      <c r="AO11" s="190"/>
      <c r="AP11" s="161"/>
      <c r="AQ11" s="221">
        <v>15</v>
      </c>
      <c r="AR11" s="221"/>
      <c r="AS11" s="222">
        <f t="shared" si="9"/>
        <v>807.33</v>
      </c>
      <c r="AT11" s="222">
        <f t="shared" si="10"/>
        <v>360.15</v>
      </c>
      <c r="AU11" s="222">
        <f t="shared" si="11"/>
        <v>82.5</v>
      </c>
      <c r="AV11" s="222">
        <f t="shared" si="12"/>
        <v>82.5</v>
      </c>
      <c r="AW11" s="222">
        <f t="shared" si="13"/>
        <v>1332.48</v>
      </c>
      <c r="AX11" s="229">
        <f t="shared" si="14"/>
        <v>1167.48</v>
      </c>
      <c r="AY11" s="229"/>
      <c r="AZ11" s="229">
        <f t="shared" si="15"/>
        <v>165</v>
      </c>
      <c r="BA11" s="229"/>
      <c r="BB11" s="230">
        <v>80</v>
      </c>
      <c r="BC11" s="229">
        <f t="shared" si="16"/>
        <v>1412.48</v>
      </c>
      <c r="BD11" s="231"/>
      <c r="BE11" s="243"/>
      <c r="BF11" s="243"/>
      <c r="BG11" s="243"/>
      <c r="BH11" s="243"/>
    </row>
    <row r="12" s="180" customFormat="1" ht="18" customHeight="1" spans="1:60">
      <c r="A12" s="190">
        <v>10</v>
      </c>
      <c r="B12" s="191" t="s">
        <v>162</v>
      </c>
      <c r="C12" s="150" t="s">
        <v>167</v>
      </c>
      <c r="D12" s="160" t="s">
        <v>138</v>
      </c>
      <c r="E12" s="161" t="s">
        <v>146</v>
      </c>
      <c r="F12" s="162" t="s">
        <v>184</v>
      </c>
      <c r="G12" s="163" t="s">
        <v>185</v>
      </c>
      <c r="H12" s="160" t="s">
        <v>166</v>
      </c>
      <c r="I12" s="160" t="s">
        <v>166</v>
      </c>
      <c r="J12" s="160" t="s">
        <v>166</v>
      </c>
      <c r="K12" s="160" t="s">
        <v>166</v>
      </c>
      <c r="L12" s="190">
        <v>3430</v>
      </c>
      <c r="M12" s="190">
        <v>0.16</v>
      </c>
      <c r="N12" s="190">
        <f t="shared" si="0"/>
        <v>548.8</v>
      </c>
      <c r="O12" s="190">
        <v>0.08</v>
      </c>
      <c r="P12" s="190">
        <f t="shared" si="1"/>
        <v>274.4</v>
      </c>
      <c r="Q12" s="190">
        <v>3430</v>
      </c>
      <c r="R12" s="190">
        <v>0.064</v>
      </c>
      <c r="S12" s="190">
        <f t="shared" si="2"/>
        <v>219.52</v>
      </c>
      <c r="T12" s="190">
        <v>0.02</v>
      </c>
      <c r="U12" s="190">
        <f t="shared" si="3"/>
        <v>68.6</v>
      </c>
      <c r="V12" s="190">
        <v>3430</v>
      </c>
      <c r="W12" s="190">
        <v>0.005</v>
      </c>
      <c r="X12" s="190">
        <f t="shared" si="4"/>
        <v>17.15</v>
      </c>
      <c r="Y12" s="190">
        <v>0.005</v>
      </c>
      <c r="Z12" s="190">
        <f t="shared" si="5"/>
        <v>17.15</v>
      </c>
      <c r="AA12" s="190"/>
      <c r="AB12" s="190"/>
      <c r="AC12" s="190"/>
      <c r="AD12" s="190">
        <v>3430</v>
      </c>
      <c r="AE12" s="190">
        <v>0.002</v>
      </c>
      <c r="AF12" s="190">
        <f t="shared" si="6"/>
        <v>6.86</v>
      </c>
      <c r="AG12" s="190">
        <v>1650</v>
      </c>
      <c r="AH12" s="190">
        <v>0.05</v>
      </c>
      <c r="AI12" s="190">
        <f t="shared" si="7"/>
        <v>82.5</v>
      </c>
      <c r="AJ12" s="190">
        <v>0.05</v>
      </c>
      <c r="AK12" s="190">
        <f t="shared" si="8"/>
        <v>82.5</v>
      </c>
      <c r="AL12" s="217"/>
      <c r="AM12" s="190"/>
      <c r="AN12" s="190"/>
      <c r="AO12" s="190"/>
      <c r="AP12" s="161"/>
      <c r="AQ12" s="221">
        <v>15</v>
      </c>
      <c r="AR12" s="221"/>
      <c r="AS12" s="222">
        <f t="shared" si="9"/>
        <v>807.33</v>
      </c>
      <c r="AT12" s="222">
        <f t="shared" si="10"/>
        <v>360.15</v>
      </c>
      <c r="AU12" s="222">
        <f t="shared" si="11"/>
        <v>82.5</v>
      </c>
      <c r="AV12" s="222">
        <f t="shared" si="12"/>
        <v>82.5</v>
      </c>
      <c r="AW12" s="222">
        <f t="shared" si="13"/>
        <v>1332.48</v>
      </c>
      <c r="AX12" s="229">
        <f t="shared" si="14"/>
        <v>1167.48</v>
      </c>
      <c r="AY12" s="229"/>
      <c r="AZ12" s="229">
        <f t="shared" si="15"/>
        <v>165</v>
      </c>
      <c r="BA12" s="229"/>
      <c r="BB12" s="230">
        <v>80</v>
      </c>
      <c r="BC12" s="229">
        <f t="shared" si="16"/>
        <v>1412.48</v>
      </c>
      <c r="BD12" s="231"/>
      <c r="BE12" s="243"/>
      <c r="BF12" s="243"/>
      <c r="BG12" s="243"/>
      <c r="BH12" s="243"/>
    </row>
    <row r="13" s="181" customFormat="1" ht="18" customHeight="1" spans="1:60">
      <c r="A13" s="192"/>
      <c r="B13" s="193"/>
      <c r="C13" s="194"/>
      <c r="D13" s="195"/>
      <c r="E13" s="196"/>
      <c r="F13" s="197"/>
      <c r="G13" s="198"/>
      <c r="H13" s="199"/>
      <c r="I13" s="195"/>
      <c r="J13" s="199"/>
      <c r="K13" s="199"/>
      <c r="L13" s="212"/>
      <c r="M13" s="212"/>
      <c r="N13" s="213"/>
      <c r="O13" s="212"/>
      <c r="P13" s="212"/>
      <c r="Q13" s="212"/>
      <c r="R13" s="212"/>
      <c r="S13" s="212"/>
      <c r="T13" s="212"/>
      <c r="U13" s="212"/>
      <c r="V13" s="215"/>
      <c r="W13" s="215"/>
      <c r="X13" s="216"/>
      <c r="Y13" s="215"/>
      <c r="Z13" s="212"/>
      <c r="AA13" s="212"/>
      <c r="AB13" s="212"/>
      <c r="AC13" s="212"/>
      <c r="AD13" s="212"/>
      <c r="AE13" s="212"/>
      <c r="AF13" s="213"/>
      <c r="AG13" s="212"/>
      <c r="AH13" s="212"/>
      <c r="AI13" s="212"/>
      <c r="AJ13" s="212"/>
      <c r="AK13" s="212"/>
      <c r="AL13" s="218"/>
      <c r="AM13" s="212"/>
      <c r="AN13" s="212"/>
      <c r="AO13" s="212"/>
      <c r="AP13" s="223"/>
      <c r="AQ13" s="224"/>
      <c r="AR13" s="212"/>
      <c r="AS13" s="225"/>
      <c r="AT13" s="225"/>
      <c r="AU13" s="225"/>
      <c r="AV13" s="225"/>
      <c r="AW13" s="225"/>
      <c r="AX13" s="232"/>
      <c r="AY13" s="233"/>
      <c r="AZ13" s="232"/>
      <c r="BA13" s="233"/>
      <c r="BB13" s="234"/>
      <c r="BC13" s="235"/>
      <c r="BD13" s="236"/>
      <c r="BE13" s="179"/>
      <c r="BF13" s="179"/>
      <c r="BG13" s="179"/>
      <c r="BH13" s="179"/>
    </row>
    <row r="14" s="179" customFormat="1" ht="14.25" spans="1:56">
      <c r="A14" s="200" t="s">
        <v>159</v>
      </c>
      <c r="B14" s="201"/>
      <c r="C14" s="202"/>
      <c r="D14" s="202"/>
      <c r="E14" s="203"/>
      <c r="F14" s="202"/>
      <c r="G14" s="202"/>
      <c r="H14" s="202"/>
      <c r="I14" s="202"/>
      <c r="J14" s="202"/>
      <c r="K14" s="202"/>
      <c r="L14" s="203">
        <f t="shared" ref="L14:BC14" si="17">SUM(L3:L13)</f>
        <v>32945</v>
      </c>
      <c r="M14" s="203">
        <f t="shared" si="17"/>
        <v>1.6</v>
      </c>
      <c r="N14" s="203">
        <f t="shared" si="17"/>
        <v>5271.2</v>
      </c>
      <c r="O14" s="203">
        <f t="shared" si="17"/>
        <v>0.8</v>
      </c>
      <c r="P14" s="203">
        <f t="shared" si="17"/>
        <v>2635.6</v>
      </c>
      <c r="Q14" s="203">
        <f t="shared" si="17"/>
        <v>34546</v>
      </c>
      <c r="R14" s="203">
        <f t="shared" si="17"/>
        <v>0.656</v>
      </c>
      <c r="S14" s="203">
        <f t="shared" si="17"/>
        <v>2269.76</v>
      </c>
      <c r="T14" s="203">
        <f t="shared" si="17"/>
        <v>0.2</v>
      </c>
      <c r="U14" s="203">
        <f t="shared" si="17"/>
        <v>690.92</v>
      </c>
      <c r="V14" s="203">
        <f t="shared" si="17"/>
        <v>32945</v>
      </c>
      <c r="W14" s="203">
        <f t="shared" si="17"/>
        <v>0.05</v>
      </c>
      <c r="X14" s="203">
        <f t="shared" si="17"/>
        <v>164.73</v>
      </c>
      <c r="Y14" s="203">
        <f t="shared" si="17"/>
        <v>0.05</v>
      </c>
      <c r="Z14" s="203">
        <f t="shared" si="17"/>
        <v>164.73</v>
      </c>
      <c r="AA14" s="203">
        <f t="shared" si="17"/>
        <v>3676</v>
      </c>
      <c r="AB14" s="203">
        <f t="shared" si="17"/>
        <v>0.007</v>
      </c>
      <c r="AC14" s="203">
        <f t="shared" si="17"/>
        <v>25.73</v>
      </c>
      <c r="AD14" s="203">
        <f t="shared" si="17"/>
        <v>34358.4</v>
      </c>
      <c r="AE14" s="203">
        <f t="shared" si="17"/>
        <v>0.0215</v>
      </c>
      <c r="AF14" s="203">
        <f t="shared" si="17"/>
        <v>73.95</v>
      </c>
      <c r="AG14" s="203">
        <f t="shared" si="17"/>
        <v>25920</v>
      </c>
      <c r="AH14" s="203">
        <f t="shared" si="17"/>
        <v>0.57</v>
      </c>
      <c r="AI14" s="203">
        <f t="shared" si="17"/>
        <v>2066</v>
      </c>
      <c r="AJ14" s="203">
        <f t="shared" si="17"/>
        <v>0.57</v>
      </c>
      <c r="AK14" s="203">
        <f t="shared" si="17"/>
        <v>2066</v>
      </c>
      <c r="AL14" s="203">
        <f t="shared" si="17"/>
        <v>0</v>
      </c>
      <c r="AM14" s="203">
        <f t="shared" si="17"/>
        <v>0</v>
      </c>
      <c r="AN14" s="203">
        <f t="shared" si="17"/>
        <v>0</v>
      </c>
      <c r="AO14" s="203">
        <f t="shared" si="17"/>
        <v>0</v>
      </c>
      <c r="AP14" s="203">
        <f t="shared" si="17"/>
        <v>0</v>
      </c>
      <c r="AQ14" s="203">
        <f t="shared" si="17"/>
        <v>135</v>
      </c>
      <c r="AR14" s="203">
        <f t="shared" si="17"/>
        <v>0</v>
      </c>
      <c r="AS14" s="203">
        <f t="shared" si="17"/>
        <v>7940.37</v>
      </c>
      <c r="AT14" s="203">
        <f t="shared" si="17"/>
        <v>3491.25</v>
      </c>
      <c r="AU14" s="203">
        <f t="shared" si="17"/>
        <v>2066</v>
      </c>
      <c r="AV14" s="203">
        <f t="shared" si="17"/>
        <v>2066</v>
      </c>
      <c r="AW14" s="203">
        <f t="shared" si="17"/>
        <v>15563.62</v>
      </c>
      <c r="AX14" s="203">
        <f t="shared" si="17"/>
        <v>11431.62</v>
      </c>
      <c r="AY14" s="203">
        <f t="shared" si="17"/>
        <v>0</v>
      </c>
      <c r="AZ14" s="203">
        <f t="shared" si="17"/>
        <v>4132</v>
      </c>
      <c r="BA14" s="203">
        <f t="shared" si="17"/>
        <v>0</v>
      </c>
      <c r="BB14" s="203">
        <f t="shared" si="17"/>
        <v>800</v>
      </c>
      <c r="BC14" s="203">
        <f t="shared" si="17"/>
        <v>16363.62</v>
      </c>
      <c r="BD14" s="237"/>
    </row>
    <row r="15" s="179" customFormat="1" ht="15" spans="1:56">
      <c r="A15" s="204" t="s">
        <v>93</v>
      </c>
      <c r="B15" s="205"/>
      <c r="C15" s="206"/>
      <c r="D15" s="206"/>
      <c r="E15" s="207"/>
      <c r="F15" s="207"/>
      <c r="G15" s="207"/>
      <c r="H15" s="207"/>
      <c r="I15" s="207"/>
      <c r="J15" s="207"/>
      <c r="K15" s="207"/>
      <c r="L15" s="214">
        <f t="shared" ref="L15:AX15" si="18">SUM(L14:L14)</f>
        <v>32945</v>
      </c>
      <c r="M15" s="214">
        <f t="shared" si="18"/>
        <v>1.6</v>
      </c>
      <c r="N15" s="214">
        <f t="shared" si="18"/>
        <v>5271.2</v>
      </c>
      <c r="O15" s="214">
        <f t="shared" si="18"/>
        <v>0.8</v>
      </c>
      <c r="P15" s="214">
        <f t="shared" si="18"/>
        <v>2635.6</v>
      </c>
      <c r="Q15" s="214">
        <f t="shared" si="18"/>
        <v>34546</v>
      </c>
      <c r="R15" s="214">
        <f t="shared" si="18"/>
        <v>0.656</v>
      </c>
      <c r="S15" s="214">
        <f t="shared" si="18"/>
        <v>2269.76</v>
      </c>
      <c r="T15" s="214">
        <f t="shared" si="18"/>
        <v>0.2</v>
      </c>
      <c r="U15" s="214">
        <f t="shared" si="18"/>
        <v>690.92</v>
      </c>
      <c r="V15" s="214">
        <f t="shared" si="18"/>
        <v>32945</v>
      </c>
      <c r="W15" s="214">
        <f t="shared" si="18"/>
        <v>0.05</v>
      </c>
      <c r="X15" s="214">
        <f t="shared" si="18"/>
        <v>164.73</v>
      </c>
      <c r="Y15" s="214">
        <f t="shared" si="18"/>
        <v>0.05</v>
      </c>
      <c r="Z15" s="214">
        <f t="shared" si="18"/>
        <v>164.73</v>
      </c>
      <c r="AA15" s="214">
        <f t="shared" si="18"/>
        <v>3676</v>
      </c>
      <c r="AB15" s="214">
        <f t="shared" si="18"/>
        <v>0.007</v>
      </c>
      <c r="AC15" s="214">
        <f t="shared" si="18"/>
        <v>25.73</v>
      </c>
      <c r="AD15" s="214">
        <f t="shared" si="18"/>
        <v>34358.4</v>
      </c>
      <c r="AE15" s="214">
        <f t="shared" si="18"/>
        <v>0.0215</v>
      </c>
      <c r="AF15" s="214">
        <f t="shared" si="18"/>
        <v>73.95</v>
      </c>
      <c r="AG15" s="214">
        <f t="shared" si="18"/>
        <v>25920</v>
      </c>
      <c r="AH15" s="214">
        <f t="shared" si="18"/>
        <v>0.57</v>
      </c>
      <c r="AI15" s="214">
        <f t="shared" si="18"/>
        <v>2066</v>
      </c>
      <c r="AJ15" s="214">
        <f t="shared" si="18"/>
        <v>0.57</v>
      </c>
      <c r="AK15" s="214">
        <f t="shared" si="18"/>
        <v>2066</v>
      </c>
      <c r="AL15" s="214">
        <f t="shared" si="18"/>
        <v>0</v>
      </c>
      <c r="AM15" s="214">
        <f t="shared" si="18"/>
        <v>0</v>
      </c>
      <c r="AN15" s="214">
        <f t="shared" si="18"/>
        <v>0</v>
      </c>
      <c r="AO15" s="214">
        <f t="shared" si="18"/>
        <v>0</v>
      </c>
      <c r="AP15" s="214">
        <f t="shared" si="18"/>
        <v>0</v>
      </c>
      <c r="AQ15" s="214">
        <f t="shared" si="18"/>
        <v>135</v>
      </c>
      <c r="AR15" s="214">
        <f t="shared" si="18"/>
        <v>0</v>
      </c>
      <c r="AS15" s="226">
        <f t="shared" si="18"/>
        <v>7940.37</v>
      </c>
      <c r="AT15" s="226">
        <f t="shared" si="18"/>
        <v>3491.25</v>
      </c>
      <c r="AU15" s="226">
        <f t="shared" si="18"/>
        <v>2066</v>
      </c>
      <c r="AV15" s="226">
        <f t="shared" si="18"/>
        <v>2066</v>
      </c>
      <c r="AW15" s="226">
        <f t="shared" si="18"/>
        <v>15563.62</v>
      </c>
      <c r="AX15" s="238">
        <f t="shared" si="18"/>
        <v>11431.62</v>
      </c>
      <c r="AY15" s="238"/>
      <c r="AZ15" s="238">
        <f t="shared" ref="AZ15:BC15" si="19">SUM(AZ14:AZ14)</f>
        <v>4132</v>
      </c>
      <c r="BA15" s="238"/>
      <c r="BB15" s="214">
        <f t="shared" si="19"/>
        <v>800</v>
      </c>
      <c r="BC15" s="214">
        <f t="shared" si="19"/>
        <v>16363.62</v>
      </c>
      <c r="BD15" s="239"/>
    </row>
    <row r="16" s="182" customFormat="1" spans="1:56">
      <c r="A16" s="208"/>
      <c r="B16" s="208"/>
      <c r="C16" s="208"/>
      <c r="D16" s="208"/>
      <c r="E16" s="208"/>
      <c r="F16" s="209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27"/>
      <c r="AT16" s="227"/>
      <c r="AU16" s="227"/>
      <c r="AV16" s="227"/>
      <c r="AW16" s="227"/>
      <c r="AX16" s="208"/>
      <c r="AY16" s="208"/>
      <c r="AZ16" s="208"/>
      <c r="BA16" s="208"/>
      <c r="BB16" s="208"/>
      <c r="BC16" s="208">
        <f>'（居民）工资表-1月'!E14</f>
        <v>77156.09</v>
      </c>
      <c r="BD16" s="240"/>
    </row>
    <row r="17" s="183" customFormat="1" spans="1:56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179"/>
      <c r="AK17" s="179"/>
      <c r="AL17" s="179"/>
      <c r="AM17" s="179"/>
      <c r="AN17" s="179"/>
      <c r="AO17" s="179"/>
      <c r="AP17" s="179"/>
      <c r="AQ17" s="179"/>
      <c r="AR17" s="179"/>
      <c r="AS17" s="184"/>
      <c r="AT17" s="184"/>
      <c r="AU17" s="184"/>
      <c r="AV17" s="184"/>
      <c r="AW17" s="184"/>
      <c r="AX17" s="179"/>
      <c r="AY17" s="179"/>
      <c r="AZ17" s="179"/>
      <c r="BA17" s="179"/>
      <c r="BB17" s="179"/>
      <c r="BC17" s="179"/>
      <c r="BD17" s="185"/>
    </row>
    <row r="18" s="179" customFormat="1" spans="45:56">
      <c r="AS18" s="184"/>
      <c r="AT18" s="184"/>
      <c r="AU18" s="184"/>
      <c r="AV18" s="184"/>
      <c r="AW18" s="184"/>
      <c r="BD18" s="185"/>
    </row>
    <row r="19" s="179" customFormat="1" spans="45:56">
      <c r="AS19" s="184"/>
      <c r="AT19" s="184"/>
      <c r="AU19" s="184"/>
      <c r="AV19" s="184"/>
      <c r="AW19" s="184"/>
      <c r="AX19" s="241"/>
      <c r="AY19" s="241"/>
      <c r="BC19" s="242"/>
      <c r="BD19" s="185"/>
    </row>
    <row r="20" s="179" customFormat="1" spans="45:56">
      <c r="AS20" s="184"/>
      <c r="AT20" s="184"/>
      <c r="AU20" s="184"/>
      <c r="AV20" s="184"/>
      <c r="AW20" s="184"/>
      <c r="BD20" s="185"/>
    </row>
  </sheetData>
  <mergeCells count="48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5:AY15"/>
    <mergeCell ref="AZ15:BA15"/>
    <mergeCell ref="AX19:AY19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4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4" priority="3" stopIfTrue="1"/>
  </conditionalFormatting>
  <conditionalFormatting sqref="Q1">
    <cfRule type="duplicateValues" dxfId="4" priority="4" stopIfTrue="1"/>
  </conditionalFormatting>
  <conditionalFormatting sqref="V1">
    <cfRule type="duplicateValues" dxfId="4" priority="5" stopIfTrue="1"/>
  </conditionalFormatting>
  <conditionalFormatting sqref="AG1">
    <cfRule type="duplicateValues" dxfId="4" priority="6" stopIfTrue="1"/>
  </conditionalFormatting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M7" sqref="M7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12.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3.37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4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7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8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9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56" t="s">
        <v>86</v>
      </c>
      <c r="D4" s="56" t="s">
        <v>87</v>
      </c>
      <c r="E4" s="56" t="s">
        <v>88</v>
      </c>
      <c r="F4" s="57" t="s">
        <v>186</v>
      </c>
      <c r="G4" s="58">
        <v>18035163638</v>
      </c>
      <c r="H4" s="59"/>
      <c r="I4" s="59"/>
      <c r="J4" s="88"/>
      <c r="K4" s="59"/>
      <c r="L4" s="89">
        <v>8980</v>
      </c>
      <c r="M4" s="90">
        <v>264</v>
      </c>
      <c r="N4" s="90">
        <v>66</v>
      </c>
      <c r="O4" s="90">
        <v>9.9</v>
      </c>
      <c r="P4" s="90">
        <v>180</v>
      </c>
      <c r="Q4" s="108">
        <f>ROUND(SUM(M4:P4),2)</f>
        <v>519.9</v>
      </c>
      <c r="R4" s="89">
        <v>0</v>
      </c>
      <c r="S4" s="109">
        <f>L4+IFERROR(VLOOKUP($E:$E,'（居民）工资表-5月'!$E:$S,15,0),0)</f>
        <v>41360</v>
      </c>
      <c r="T4" s="110">
        <f>5000+IFERROR(VLOOKUP($E:$E,'（居民）工资表-5月'!$E:$T,16,0),0)</f>
        <v>30000</v>
      </c>
      <c r="U4" s="110">
        <f>Q4+IFERROR(VLOOKUP($E:$E,'（居民）工资表-5月'!$E:$U,17,0),0)</f>
        <v>3119.4</v>
      </c>
      <c r="V4" s="89"/>
      <c r="W4" s="89"/>
      <c r="X4" s="89">
        <v>6000</v>
      </c>
      <c r="Y4" s="89"/>
      <c r="Z4" s="89"/>
      <c r="AA4" s="89"/>
      <c r="AB4" s="109">
        <f>ROUND(SUM(V4:AA4),2)</f>
        <v>6000</v>
      </c>
      <c r="AC4" s="109">
        <f>R4+IFERROR(VLOOKUP($E:$E,'（居民）工资表-5月'!$E:$AC,25,0),0)</f>
        <v>0</v>
      </c>
      <c r="AD4" s="112">
        <f>ROUND(S4-T4-U4-AB4-AC4,2)</f>
        <v>2240.6</v>
      </c>
      <c r="AE4" s="113">
        <f>ROUND(MAX((AD4)*{0.03;0.1;0.2;0.25;0.3;0.35;0.45}-{0;2520;16920;31920;52920;85920;181920},0),2)</f>
        <v>67.22</v>
      </c>
      <c r="AF4" s="114">
        <f>IFERROR(VLOOKUP(E:E,'（居民）工资表-5月'!E:AF,28,0)+VLOOKUP(E:E,'（居民）工资表-5月'!E:AG,29,0),0)</f>
        <v>52.8</v>
      </c>
      <c r="AG4" s="114">
        <f>IF((AE4-AF4)&lt;0,0,AE4-AF4)</f>
        <v>14.42</v>
      </c>
      <c r="AH4" s="121">
        <f>ROUND(IF((L4-Q4-AG4)&lt;0,0,(L4-Q4-AG4)),2)</f>
        <v>8445.68</v>
      </c>
      <c r="AI4" s="122"/>
      <c r="AJ4" s="121">
        <f>AH4+AI4</f>
        <v>8445.68</v>
      </c>
      <c r="AK4" s="123"/>
      <c r="AL4" s="121">
        <f>AJ4+AG4+AK4</f>
        <v>8460.1</v>
      </c>
      <c r="AM4" s="123"/>
      <c r="AN4" s="123"/>
      <c r="AO4" s="123"/>
      <c r="AP4" s="123"/>
      <c r="AQ4" s="123"/>
      <c r="AR4" s="13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30" t="str">
        <f>IF(SUMPRODUCT(N(E$1:E$7=E4))&gt;1,"重复","不")</f>
        <v>不</v>
      </c>
      <c r="AT4" s="130" t="str">
        <f>IF(SUMPRODUCT(N(AO$1:AO$7=AO4))&gt;1,"重复","不")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56" t="s">
        <v>89</v>
      </c>
      <c r="D5" s="56" t="s">
        <v>87</v>
      </c>
      <c r="E5" s="375" t="s">
        <v>90</v>
      </c>
      <c r="F5" s="57" t="s">
        <v>187</v>
      </c>
      <c r="G5" s="58">
        <v>13926009696</v>
      </c>
      <c r="H5" s="59"/>
      <c r="I5" s="59"/>
      <c r="J5" s="88"/>
      <c r="K5" s="59"/>
      <c r="L5" s="89">
        <v>5800</v>
      </c>
      <c r="M5" s="90">
        <v>304.24</v>
      </c>
      <c r="N5" s="90">
        <v>123.5</v>
      </c>
      <c r="O5" s="90">
        <v>7.61</v>
      </c>
      <c r="P5" s="90">
        <v>0</v>
      </c>
      <c r="Q5" s="108">
        <f>ROUND(SUM(M5:P5),2)</f>
        <v>435.35</v>
      </c>
      <c r="R5" s="89">
        <v>0</v>
      </c>
      <c r="S5" s="109">
        <f>L5+IFERROR(VLOOKUP($E:$E,'（居民）工资表-5月'!$E:$S,15,0),0)</f>
        <v>23200</v>
      </c>
      <c r="T5" s="110">
        <f>5000+IFERROR(VLOOKUP($E:$E,'（居民）工资表-5月'!$E:$T,16,0),0)</f>
        <v>20000</v>
      </c>
      <c r="U5" s="110">
        <f>Q5+IFERROR(VLOOKUP($E:$E,'（居民）工资表-5月'!$E:$U,17,0),0)</f>
        <v>1741.4</v>
      </c>
      <c r="V5" s="89"/>
      <c r="W5" s="89"/>
      <c r="X5" s="89"/>
      <c r="Y5" s="89"/>
      <c r="Z5" s="89"/>
      <c r="AA5" s="89"/>
      <c r="AB5" s="109">
        <f>ROUND(SUM(V5:AA5),2)</f>
        <v>0</v>
      </c>
      <c r="AC5" s="109">
        <f>R5+IFERROR(VLOOKUP($E:$E,'（居民）工资表-5月'!$E:$AC,25,0),0)</f>
        <v>0</v>
      </c>
      <c r="AD5" s="112">
        <f>ROUND(S5-T5-U5-AB5-AC5,2)</f>
        <v>1458.6</v>
      </c>
      <c r="AE5" s="113">
        <f>ROUND(MAX((AD5)*{0.03;0.1;0.2;0.25;0.3;0.35;0.45}-{0;2520;16920;31920;52920;85920;181920},0),2)</f>
        <v>43.76</v>
      </c>
      <c r="AF5" s="114">
        <f>IFERROR(VLOOKUP(E:E,'（居民）工资表-5月'!E:AF,28,0)+VLOOKUP(E:E,'（居民）工资表-5月'!E:AG,29,0),0)</f>
        <v>32.82</v>
      </c>
      <c r="AG5" s="114">
        <f>IF((AE5-AF5)&lt;0,0,AE5-AF5)</f>
        <v>10.94</v>
      </c>
      <c r="AH5" s="121">
        <f>ROUND(IF((L5-Q5-AG5)&lt;0,0,(L5-Q5-AG5)),2)</f>
        <v>5353.71</v>
      </c>
      <c r="AI5" s="122"/>
      <c r="AJ5" s="121">
        <f>AH5+AI5</f>
        <v>5353.71</v>
      </c>
      <c r="AK5" s="123"/>
      <c r="AL5" s="121">
        <f>AJ5+AG5+AK5</f>
        <v>5364.65</v>
      </c>
      <c r="AM5" s="123"/>
      <c r="AN5" s="123"/>
      <c r="AO5" s="123"/>
      <c r="AP5" s="123"/>
      <c r="AQ5" s="123"/>
      <c r="AR5" s="130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30" t="str">
        <f>IF(SUMPRODUCT(N(E$1:E$7=E5))&gt;1,"重复","不")</f>
        <v>不</v>
      </c>
      <c r="AT5" s="130" t="str">
        <f>IF(SUMPRODUCT(N(AO$1:AO$7=AO5))&gt;1,"重复","不")</f>
        <v>重复</v>
      </c>
    </row>
    <row r="6" s="31" customFormat="1" ht="18" customHeight="1" spans="1:46">
      <c r="A6" s="55">
        <v>3</v>
      </c>
      <c r="B6" s="56" t="s">
        <v>85</v>
      </c>
      <c r="C6" s="56" t="s">
        <v>154</v>
      </c>
      <c r="D6" s="56" t="s">
        <v>87</v>
      </c>
      <c r="E6" s="56" t="s">
        <v>155</v>
      </c>
      <c r="F6" s="57" t="s">
        <v>186</v>
      </c>
      <c r="G6" s="58">
        <v>13944441728</v>
      </c>
      <c r="H6" s="59"/>
      <c r="I6" s="59"/>
      <c r="J6" s="88"/>
      <c r="K6" s="59"/>
      <c r="L6" s="89">
        <v>8120</v>
      </c>
      <c r="M6" s="90">
        <v>488.48</v>
      </c>
      <c r="N6" s="90">
        <v>122.12</v>
      </c>
      <c r="O6" s="90">
        <v>18.32</v>
      </c>
      <c r="P6" s="90">
        <v>158</v>
      </c>
      <c r="Q6" s="108">
        <f>ROUND(SUM(M6:P6),2)</f>
        <v>786.92</v>
      </c>
      <c r="R6" s="89">
        <v>0</v>
      </c>
      <c r="S6" s="109">
        <f>L6+IFERROR(VLOOKUP($E:$E,'（居民）工资表-5月'!$E:$S,15,0),0)</f>
        <v>21140</v>
      </c>
      <c r="T6" s="110">
        <f>5000+IFERROR(VLOOKUP($E:$E,'（居民）工资表-5月'!$E:$T,16,0),0)</f>
        <v>15000</v>
      </c>
      <c r="U6" s="110">
        <f>Q6+IFERROR(VLOOKUP($E:$E,'（居民）工资表-5月'!$E:$U,17,0),0)</f>
        <v>1573.84</v>
      </c>
      <c r="V6" s="89"/>
      <c r="W6" s="89"/>
      <c r="X6" s="89"/>
      <c r="Y6" s="89"/>
      <c r="Z6" s="89"/>
      <c r="AA6" s="89"/>
      <c r="AB6" s="109">
        <f>ROUND(SUM(V6:AA6),2)</f>
        <v>0</v>
      </c>
      <c r="AC6" s="109">
        <f>R6+IFERROR(VLOOKUP($E:$E,'（居民）工资表-5月'!$E:$AC,25,0),0)</f>
        <v>0</v>
      </c>
      <c r="AD6" s="112">
        <f>ROUND(S6-T6-U6-AB6-AC6,2)</f>
        <v>4566.16</v>
      </c>
      <c r="AE6" s="113">
        <f>ROUND(MAX((AD6)*{0.03;0.1;0.2;0.25;0.3;0.35;0.45}-{0;2520;16920;31920;52920;85920;181920},0),2)</f>
        <v>136.98</v>
      </c>
      <c r="AF6" s="114">
        <f>IFERROR(VLOOKUP(E:E,'（居民）工资表-5月'!E:AF,28,0)+VLOOKUP(E:E,'（居民）工资表-5月'!E:AG,29,0),0)</f>
        <v>66.99</v>
      </c>
      <c r="AG6" s="114">
        <f>IF((AE6-AF6)&lt;0,0,AE6-AF6)</f>
        <v>69.99</v>
      </c>
      <c r="AH6" s="121">
        <f>ROUND(IF((L6-Q6-AG6)&lt;0,0,(L6-Q6-AG6)),2)</f>
        <v>7263.09</v>
      </c>
      <c r="AI6" s="122"/>
      <c r="AJ6" s="121">
        <f>AH6+AI6</f>
        <v>7263.09</v>
      </c>
      <c r="AK6" s="123"/>
      <c r="AL6" s="121">
        <f>AJ6+AG6+AK6</f>
        <v>7333.08</v>
      </c>
      <c r="AM6" s="123"/>
      <c r="AN6" s="123"/>
      <c r="AO6" s="123"/>
      <c r="AP6" s="123"/>
      <c r="AQ6" s="123"/>
      <c r="AR6" s="130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30" t="str">
        <f>IF(SUMPRODUCT(N(E$1:E$7=E6))&gt;1,"重复","不")</f>
        <v>不</v>
      </c>
      <c r="AT6" s="130" t="str">
        <f>IF(SUMPRODUCT(N(AO$1:AO$7=AO6))&gt;1,"重复","不")</f>
        <v>重复</v>
      </c>
    </row>
    <row r="7" s="31" customFormat="1" ht="18" customHeight="1" spans="1:46">
      <c r="A7" s="55">
        <v>4</v>
      </c>
      <c r="B7" s="56" t="s">
        <v>85</v>
      </c>
      <c r="C7" s="56" t="s">
        <v>160</v>
      </c>
      <c r="D7" s="56" t="s">
        <v>87</v>
      </c>
      <c r="E7" s="375" t="s">
        <v>161</v>
      </c>
      <c r="F7" s="57" t="s">
        <v>186</v>
      </c>
      <c r="G7" s="58"/>
      <c r="H7" s="59"/>
      <c r="I7" s="59"/>
      <c r="J7" s="88"/>
      <c r="K7" s="59"/>
      <c r="L7" s="89">
        <v>25000</v>
      </c>
      <c r="M7" s="90">
        <f>320*2</f>
        <v>640</v>
      </c>
      <c r="N7" s="90">
        <f>80*2+86.67</f>
        <v>246.67</v>
      </c>
      <c r="O7" s="90">
        <f>12*2</f>
        <v>24</v>
      </c>
      <c r="P7" s="90">
        <v>400</v>
      </c>
      <c r="Q7" s="108">
        <f>ROUND(SUM(M7:P7),2)</f>
        <v>1310.67</v>
      </c>
      <c r="R7" s="89">
        <v>0</v>
      </c>
      <c r="S7" s="109">
        <f>L7+IFERROR(VLOOKUP($E:$E,'（居民）工资表-5月'!$E:$S,15,0),0)</f>
        <v>36904.76</v>
      </c>
      <c r="T7" s="110">
        <f>5000+IFERROR(VLOOKUP($E:$E,'（居民）工资表-5月'!$E:$T,16,0),0)</f>
        <v>10000</v>
      </c>
      <c r="U7" s="110">
        <f>Q7+IFERROR(VLOOKUP($E:$E,'（居民）工资表-5月'!$E:$U,17,0),0)</f>
        <v>1310.67</v>
      </c>
      <c r="V7" s="89"/>
      <c r="W7" s="89"/>
      <c r="X7" s="89"/>
      <c r="Y7" s="89"/>
      <c r="Z7" s="89"/>
      <c r="AA7" s="89"/>
      <c r="AB7" s="109">
        <f>ROUND(SUM(V7:AA7),2)</f>
        <v>0</v>
      </c>
      <c r="AC7" s="109">
        <f>R7+IFERROR(VLOOKUP($E:$E,'（居民）工资表-5月'!$E:$AC,25,0),0)</f>
        <v>0</v>
      </c>
      <c r="AD7" s="112">
        <f>ROUND(S7-T7-U7-AB7-AC7,2)</f>
        <v>25594.09</v>
      </c>
      <c r="AE7" s="113">
        <f>ROUND(MAX((AD7)*{0.03;0.1;0.2;0.25;0.3;0.35;0.45}-{0;2520;16920;31920;52920;85920;181920},0),2)</f>
        <v>767.82</v>
      </c>
      <c r="AF7" s="114">
        <f>IFERROR(VLOOKUP(E:E,'（居民）工资表-5月'!E:AF,28,0)+VLOOKUP(E:E,'（居民）工资表-5月'!E:AG,29,0),0)</f>
        <v>207.14</v>
      </c>
      <c r="AG7" s="114">
        <f>IF((AE7-AF7)&lt;0,0,AE7-AF7)</f>
        <v>560.68</v>
      </c>
      <c r="AH7" s="121">
        <f>ROUND(IF((L7-Q7-AG7)&lt;0,0,(L7-Q7-AG7)),2)</f>
        <v>23128.65</v>
      </c>
      <c r="AI7" s="122"/>
      <c r="AJ7" s="121">
        <f>AH7+AI7</f>
        <v>23128.65</v>
      </c>
      <c r="AK7" s="123"/>
      <c r="AL7" s="121">
        <f>AJ7+AG7+AK7</f>
        <v>23689.33</v>
      </c>
      <c r="AM7" s="123"/>
      <c r="AN7" s="123"/>
      <c r="AO7" s="123"/>
      <c r="AP7" s="123"/>
      <c r="AQ7" s="123"/>
      <c r="AR7" s="130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30" t="str">
        <f>IF(SUMPRODUCT(N(E$1:E$7=E7))&gt;1,"重复","不")</f>
        <v>不</v>
      </c>
      <c r="AT7" s="130" t="str">
        <f>IF(SUMPRODUCT(N(AO$1:AO$7=AO7))&gt;1,"重复","不")</f>
        <v>重复</v>
      </c>
    </row>
    <row r="8" s="32" customFormat="1" ht="18" customHeight="1" spans="1:46">
      <c r="A8" s="60"/>
      <c r="B8" s="61" t="s">
        <v>91</v>
      </c>
      <c r="C8" s="61"/>
      <c r="D8" s="62"/>
      <c r="E8" s="63"/>
      <c r="F8" s="64"/>
      <c r="G8" s="65"/>
      <c r="H8" s="64"/>
      <c r="I8" s="91"/>
      <c r="J8" s="92"/>
      <c r="K8" s="91"/>
      <c r="L8" s="93">
        <f t="shared" ref="L8:AL8" si="0">SUM(L4:L7)</f>
        <v>47900</v>
      </c>
      <c r="M8" s="93">
        <f t="shared" si="0"/>
        <v>1696.72</v>
      </c>
      <c r="N8" s="93">
        <f t="shared" si="0"/>
        <v>558.29</v>
      </c>
      <c r="O8" s="93">
        <f t="shared" si="0"/>
        <v>59.83</v>
      </c>
      <c r="P8" s="93">
        <f t="shared" si="0"/>
        <v>738</v>
      </c>
      <c r="Q8" s="93">
        <f t="shared" si="0"/>
        <v>3052.84</v>
      </c>
      <c r="R8" s="93">
        <f t="shared" si="0"/>
        <v>0</v>
      </c>
      <c r="S8" s="93">
        <f t="shared" si="0"/>
        <v>122604.76</v>
      </c>
      <c r="T8" s="93">
        <f t="shared" si="0"/>
        <v>75000</v>
      </c>
      <c r="U8" s="93">
        <f t="shared" si="0"/>
        <v>7745.31</v>
      </c>
      <c r="V8" s="93">
        <f t="shared" si="0"/>
        <v>0</v>
      </c>
      <c r="W8" s="93">
        <f t="shared" si="0"/>
        <v>0</v>
      </c>
      <c r="X8" s="93">
        <f t="shared" si="0"/>
        <v>6000</v>
      </c>
      <c r="Y8" s="93">
        <f t="shared" si="0"/>
        <v>0</v>
      </c>
      <c r="Z8" s="93">
        <f t="shared" si="0"/>
        <v>0</v>
      </c>
      <c r="AA8" s="93">
        <f t="shared" si="0"/>
        <v>0</v>
      </c>
      <c r="AB8" s="93">
        <f t="shared" si="0"/>
        <v>6000</v>
      </c>
      <c r="AC8" s="93">
        <f t="shared" si="0"/>
        <v>0</v>
      </c>
      <c r="AD8" s="93">
        <f t="shared" si="0"/>
        <v>33859.45</v>
      </c>
      <c r="AE8" s="93">
        <f t="shared" si="0"/>
        <v>1015.78</v>
      </c>
      <c r="AF8" s="93">
        <f t="shared" si="0"/>
        <v>359.75</v>
      </c>
      <c r="AG8" s="93">
        <f t="shared" si="0"/>
        <v>656.03</v>
      </c>
      <c r="AH8" s="93">
        <f t="shared" si="0"/>
        <v>44191.13</v>
      </c>
      <c r="AI8" s="124">
        <f t="shared" si="0"/>
        <v>0</v>
      </c>
      <c r="AJ8" s="93">
        <f t="shared" si="0"/>
        <v>44191.13</v>
      </c>
      <c r="AK8" s="93">
        <f t="shared" si="0"/>
        <v>0</v>
      </c>
      <c r="AL8" s="93">
        <f t="shared" si="0"/>
        <v>44847.16</v>
      </c>
      <c r="AM8" s="125"/>
      <c r="AN8" s="125"/>
      <c r="AO8" s="125"/>
      <c r="AP8" s="125"/>
      <c r="AQ8" s="125"/>
      <c r="AR8" s="64"/>
      <c r="AS8" s="64"/>
      <c r="AT8" s="131"/>
    </row>
    <row r="11" spans="30:30">
      <c r="AD11" s="115"/>
    </row>
    <row r="12" ht="18.75" customHeight="1" spans="2:30">
      <c r="B12" s="66" t="s">
        <v>64</v>
      </c>
      <c r="C12" s="66" t="s">
        <v>92</v>
      </c>
      <c r="D12" s="66" t="s">
        <v>65</v>
      </c>
      <c r="E12" s="66" t="s">
        <v>93</v>
      </c>
      <c r="AD12" s="29"/>
    </row>
    <row r="13" ht="18.75" customHeight="1" spans="2:5">
      <c r="B13" s="67">
        <f>AJ8</f>
        <v>44191.13</v>
      </c>
      <c r="C13" s="67">
        <f>AG8</f>
        <v>656.03</v>
      </c>
      <c r="D13" s="67">
        <f>AK8</f>
        <v>0</v>
      </c>
      <c r="E13" s="67">
        <f>B13+C13+D13</f>
        <v>44847.16</v>
      </c>
    </row>
    <row r="14" spans="2:5">
      <c r="B14" s="68"/>
      <c r="C14" s="68"/>
      <c r="D14" s="68"/>
      <c r="E14" s="68"/>
    </row>
    <row r="15" s="33" customFormat="1" spans="1:35">
      <c r="A15" s="69" t="s">
        <v>94</v>
      </c>
      <c r="B15" s="70" t="s">
        <v>95</v>
      </c>
      <c r="C15" s="71"/>
      <c r="D15" s="71"/>
      <c r="E15" s="71"/>
      <c r="G15" s="72"/>
      <c r="J15" s="94"/>
      <c r="M15" s="95"/>
      <c r="AI15" s="126"/>
    </row>
    <row r="16" s="33" customFormat="1" spans="1:35">
      <c r="A16" s="73"/>
      <c r="B16" s="74" t="s">
        <v>96</v>
      </c>
      <c r="C16" s="71"/>
      <c r="D16" s="71"/>
      <c r="E16" s="71"/>
      <c r="G16" s="72"/>
      <c r="J16" s="94"/>
      <c r="M16" s="95"/>
      <c r="AI16" s="126"/>
    </row>
    <row r="17" s="33" customFormat="1" spans="1:35">
      <c r="A17" s="70"/>
      <c r="B17" s="74" t="s">
        <v>97</v>
      </c>
      <c r="C17" s="75"/>
      <c r="D17" s="75"/>
      <c r="E17" s="75"/>
      <c r="F17" s="75"/>
      <c r="G17" s="75"/>
      <c r="H17" s="75"/>
      <c r="I17" s="75"/>
      <c r="J17" s="96"/>
      <c r="K17" s="75"/>
      <c r="L17" s="75"/>
      <c r="M17" s="97"/>
      <c r="N17" s="75"/>
      <c r="O17" s="75"/>
      <c r="P17" s="75"/>
      <c r="AI17" s="126"/>
    </row>
    <row r="18" s="33" customFormat="1" customHeight="1" spans="1:35">
      <c r="A18" s="74"/>
      <c r="B18" s="74" t="s">
        <v>98</v>
      </c>
      <c r="C18" s="76"/>
      <c r="D18" s="76"/>
      <c r="E18" s="76"/>
      <c r="F18" s="76"/>
      <c r="G18" s="76"/>
      <c r="H18" s="76"/>
      <c r="I18" s="98"/>
      <c r="J18" s="99"/>
      <c r="K18" s="98"/>
      <c r="L18" s="98"/>
      <c r="M18" s="100"/>
      <c r="N18" s="98"/>
      <c r="O18" s="98"/>
      <c r="P18" s="98"/>
      <c r="AI18" s="126"/>
    </row>
    <row r="19" s="33" customFormat="1" customHeight="1" spans="1:35">
      <c r="A19" s="74"/>
      <c r="B19" s="74" t="s">
        <v>99</v>
      </c>
      <c r="C19" s="76"/>
      <c r="D19" s="76"/>
      <c r="E19" s="76"/>
      <c r="F19" s="76"/>
      <c r="G19" s="76"/>
      <c r="H19" s="76"/>
      <c r="I19" s="76"/>
      <c r="J19" s="101"/>
      <c r="K19" s="76"/>
      <c r="L19" s="98"/>
      <c r="M19" s="100"/>
      <c r="N19" s="98"/>
      <c r="O19" s="98"/>
      <c r="P19" s="98"/>
      <c r="AI19" s="126"/>
    </row>
    <row r="20" s="33" customFormat="1" customHeight="1" spans="1:35">
      <c r="A20" s="74"/>
      <c r="B20" s="74" t="s">
        <v>100</v>
      </c>
      <c r="C20" s="76"/>
      <c r="D20" s="76"/>
      <c r="E20" s="76"/>
      <c r="F20" s="76"/>
      <c r="G20" s="76"/>
      <c r="H20" s="76"/>
      <c r="I20" s="98"/>
      <c r="J20" s="99"/>
      <c r="K20" s="98"/>
      <c r="L20" s="98"/>
      <c r="M20" s="100"/>
      <c r="N20" s="98"/>
      <c r="O20" s="98"/>
      <c r="P20" s="98"/>
      <c r="AI20" s="126"/>
    </row>
    <row r="22" ht="11.25" customHeight="1" spans="2:2">
      <c r="B22" s="77" t="s">
        <v>101</v>
      </c>
    </row>
    <row r="23" spans="2:2">
      <c r="B23" s="78" t="s">
        <v>102</v>
      </c>
    </row>
    <row r="24" spans="2:2">
      <c r="B24" s="78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/>
      <selection pane="topRight"/>
      <selection pane="bottomLeft"/>
      <selection pane="bottomRight" activeCell="B4" sqref="B4:P8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12.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3.37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4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7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8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9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56" t="s">
        <v>86</v>
      </c>
      <c r="D4" s="56" t="s">
        <v>87</v>
      </c>
      <c r="E4" s="56" t="s">
        <v>88</v>
      </c>
      <c r="F4" s="57" t="s">
        <v>186</v>
      </c>
      <c r="G4" s="58">
        <v>18035163638</v>
      </c>
      <c r="H4" s="59"/>
      <c r="I4" s="59"/>
      <c r="J4" s="88"/>
      <c r="K4" s="59"/>
      <c r="L4" s="89">
        <v>7700</v>
      </c>
      <c r="M4" s="90">
        <v>264</v>
      </c>
      <c r="N4" s="90">
        <v>66</v>
      </c>
      <c r="O4" s="90">
        <v>9.9</v>
      </c>
      <c r="P4" s="90">
        <v>180</v>
      </c>
      <c r="Q4" s="108">
        <f>ROUND(SUM(M4:P4),2)</f>
        <v>519.9</v>
      </c>
      <c r="R4" s="89">
        <v>0</v>
      </c>
      <c r="S4" s="109">
        <f>L4+IFERROR(VLOOKUP($E:$E,'（居民）工资表-6月'!$E:$S,15,0),0)</f>
        <v>49060</v>
      </c>
      <c r="T4" s="110">
        <f>5000+IFERROR(VLOOKUP($E:$E,'（居民）工资表-6月'!$E:$T,16,0),0)</f>
        <v>35000</v>
      </c>
      <c r="U4" s="110">
        <f>Q4+IFERROR(VLOOKUP($E:$E,'（居民）工资表-6月'!$E:$U,17,0),0)</f>
        <v>3639.3</v>
      </c>
      <c r="V4" s="89"/>
      <c r="W4" s="89"/>
      <c r="X4" s="89">
        <v>7000</v>
      </c>
      <c r="Y4" s="89"/>
      <c r="Z4" s="89"/>
      <c r="AA4" s="89"/>
      <c r="AB4" s="109">
        <f>ROUND(SUM(V4:AA4),2)</f>
        <v>7000</v>
      </c>
      <c r="AC4" s="109">
        <f>R4+IFERROR(VLOOKUP($E:$E,'（居民）工资表-6月'!$E:$AC,25,0),0)</f>
        <v>0</v>
      </c>
      <c r="AD4" s="112">
        <f>ROUND(S4-T4-U4-AB4-AC4,2)</f>
        <v>3420.7</v>
      </c>
      <c r="AE4" s="113">
        <f>ROUND(MAX((AD4)*{0.03;0.1;0.2;0.25;0.3;0.35;0.45}-{0;2520;16920;31920;52920;85920;181920},0),2)</f>
        <v>102.62</v>
      </c>
      <c r="AF4" s="114">
        <f>IFERROR(VLOOKUP(E:E,'（居民）工资表-6月'!E:AF,28,0)+VLOOKUP(E:E,'（居民）工资表-6月'!E:AG,29,0),0)</f>
        <v>67.22</v>
      </c>
      <c r="AG4" s="114">
        <f>IF((AE4-AF4)&lt;0,0,AE4-AF4)</f>
        <v>35.4</v>
      </c>
      <c r="AH4" s="121">
        <f>ROUND(IF((L4-Q4-AG4)&lt;0,0,(L4-Q4-AG4)),2)</f>
        <v>7144.7</v>
      </c>
      <c r="AI4" s="122"/>
      <c r="AJ4" s="121">
        <f>AH4+AI4</f>
        <v>7144.7</v>
      </c>
      <c r="AK4" s="123"/>
      <c r="AL4" s="121">
        <f>AJ4+AG4+AK4</f>
        <v>7180.1</v>
      </c>
      <c r="AM4" s="123"/>
      <c r="AN4" s="123"/>
      <c r="AO4" s="123"/>
      <c r="AP4" s="123"/>
      <c r="AQ4" s="123"/>
      <c r="AR4" s="13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30" t="str">
        <f>IF(SUMPRODUCT(N(E$1:E$8=E4))&gt;1,"重复","不")</f>
        <v>不</v>
      </c>
      <c r="AT4" s="130" t="str">
        <f>IF(SUMPRODUCT(N(AO$1:AO$8=AO4))&gt;1,"重复","不")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56" t="s">
        <v>89</v>
      </c>
      <c r="D5" s="56" t="s">
        <v>87</v>
      </c>
      <c r="E5" s="375" t="s">
        <v>90</v>
      </c>
      <c r="F5" s="57" t="s">
        <v>187</v>
      </c>
      <c r="G5" s="58">
        <v>13926009696</v>
      </c>
      <c r="H5" s="59"/>
      <c r="I5" s="59"/>
      <c r="J5" s="88"/>
      <c r="K5" s="59"/>
      <c r="L5" s="89">
        <v>4745.45454545455</v>
      </c>
      <c r="M5" s="90">
        <v>304.24</v>
      </c>
      <c r="N5" s="90">
        <v>123.5</v>
      </c>
      <c r="O5" s="90">
        <v>7.61</v>
      </c>
      <c r="P5" s="90">
        <v>0</v>
      </c>
      <c r="Q5" s="108">
        <f>ROUND(SUM(M5:P5),2)</f>
        <v>435.35</v>
      </c>
      <c r="R5" s="89">
        <v>0</v>
      </c>
      <c r="S5" s="109">
        <f>L5+IFERROR(VLOOKUP($E:$E,'（居民）工资表-6月'!$E:$S,15,0),0)</f>
        <v>27945.4545454546</v>
      </c>
      <c r="T5" s="110">
        <f>5000+IFERROR(VLOOKUP($E:$E,'（居民）工资表-6月'!$E:$T,16,0),0)</f>
        <v>25000</v>
      </c>
      <c r="U5" s="110">
        <f>Q5+IFERROR(VLOOKUP($E:$E,'（居民）工资表-6月'!$E:$U,17,0),0)</f>
        <v>2176.75</v>
      </c>
      <c r="V5" s="89"/>
      <c r="W5" s="89"/>
      <c r="X5" s="89"/>
      <c r="Y5" s="89"/>
      <c r="Z5" s="89"/>
      <c r="AA5" s="89"/>
      <c r="AB5" s="109">
        <f>ROUND(SUM(V5:AA5),2)</f>
        <v>0</v>
      </c>
      <c r="AC5" s="109">
        <f>R5+IFERROR(VLOOKUP($E:$E,'（居民）工资表-6月'!$E:$AC,25,0),0)</f>
        <v>0</v>
      </c>
      <c r="AD5" s="112">
        <f>ROUND(S5-T5-U5-AB5-AC5,2)</f>
        <v>768.7</v>
      </c>
      <c r="AE5" s="113">
        <f>ROUND(MAX((AD5)*{0.03;0.1;0.2;0.25;0.3;0.35;0.45}-{0;2520;16920;31920;52920;85920;181920},0),2)</f>
        <v>23.06</v>
      </c>
      <c r="AF5" s="114">
        <f>IFERROR(VLOOKUP(E:E,'（居民）工资表-6月'!E:AF,28,0)+VLOOKUP(E:E,'（居民）工资表-6月'!E:AG,29,0),0)</f>
        <v>43.76</v>
      </c>
      <c r="AG5" s="114">
        <f>IF((AE5-AF5)&lt;0,0,AE5-AF5)</f>
        <v>0</v>
      </c>
      <c r="AH5" s="121">
        <f>ROUND(IF((L5-Q5-AG5)&lt;0,0,(L5-Q5-AG5)),2)</f>
        <v>4310.1</v>
      </c>
      <c r="AI5" s="122"/>
      <c r="AJ5" s="121">
        <f>AH5+AI5</f>
        <v>4310.1</v>
      </c>
      <c r="AK5" s="123"/>
      <c r="AL5" s="121">
        <f>AJ5+AG5+AK5</f>
        <v>4310.1</v>
      </c>
      <c r="AM5" s="123"/>
      <c r="AN5" s="123"/>
      <c r="AO5" s="123"/>
      <c r="AP5" s="123"/>
      <c r="AQ5" s="123"/>
      <c r="AR5" s="130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30" t="str">
        <f>IF(SUMPRODUCT(N(E$1:E$8=E5))&gt;1,"重复","不")</f>
        <v>不</v>
      </c>
      <c r="AT5" s="130" t="str">
        <f>IF(SUMPRODUCT(N(AO$1:AO$8=AO5))&gt;1,"重复","不")</f>
        <v>重复</v>
      </c>
    </row>
    <row r="6" s="31" customFormat="1" ht="18" customHeight="1" spans="1:46">
      <c r="A6" s="55">
        <v>3</v>
      </c>
      <c r="B6" s="56" t="s">
        <v>85</v>
      </c>
      <c r="C6" s="56" t="s">
        <v>154</v>
      </c>
      <c r="D6" s="56" t="s">
        <v>87</v>
      </c>
      <c r="E6" s="56" t="s">
        <v>155</v>
      </c>
      <c r="F6" s="57" t="s">
        <v>186</v>
      </c>
      <c r="G6" s="58">
        <v>13944441728</v>
      </c>
      <c r="H6" s="59"/>
      <c r="I6" s="59"/>
      <c r="J6" s="88"/>
      <c r="K6" s="59"/>
      <c r="L6" s="89">
        <v>7000</v>
      </c>
      <c r="M6" s="90">
        <v>244.24</v>
      </c>
      <c r="N6" s="90">
        <v>61.06</v>
      </c>
      <c r="O6" s="90">
        <v>9.16</v>
      </c>
      <c r="P6" s="90">
        <v>79</v>
      </c>
      <c r="Q6" s="108">
        <f>ROUND(SUM(M6:P6),2)</f>
        <v>393.46</v>
      </c>
      <c r="R6" s="89">
        <v>0</v>
      </c>
      <c r="S6" s="109">
        <f>L6+IFERROR(VLOOKUP($E:$E,'（居民）工资表-6月'!$E:$S,15,0),0)</f>
        <v>28140</v>
      </c>
      <c r="T6" s="110">
        <f>5000+IFERROR(VLOOKUP($E:$E,'（居民）工资表-6月'!$E:$T,16,0),0)</f>
        <v>20000</v>
      </c>
      <c r="U6" s="110">
        <f>Q6+IFERROR(VLOOKUP($E:$E,'（居民）工资表-6月'!$E:$U,17,0),0)</f>
        <v>1967.3</v>
      </c>
      <c r="V6" s="89"/>
      <c r="W6" s="89"/>
      <c r="X6" s="89"/>
      <c r="Y6" s="89"/>
      <c r="Z6" s="89"/>
      <c r="AA6" s="89"/>
      <c r="AB6" s="109">
        <f>ROUND(SUM(V6:AA6),2)</f>
        <v>0</v>
      </c>
      <c r="AC6" s="109">
        <f>R6+IFERROR(VLOOKUP($E:$E,'（居民）工资表-6月'!$E:$AC,25,0),0)</f>
        <v>0</v>
      </c>
      <c r="AD6" s="112">
        <f>ROUND(S6-T6-U6-AB6-AC6,2)</f>
        <v>6172.7</v>
      </c>
      <c r="AE6" s="113">
        <f>ROUND(MAX((AD6)*{0.03;0.1;0.2;0.25;0.3;0.35;0.45}-{0;2520;16920;31920;52920;85920;181920},0),2)</f>
        <v>185.18</v>
      </c>
      <c r="AF6" s="114">
        <f>IFERROR(VLOOKUP(E:E,'（居民）工资表-6月'!E:AF,28,0)+VLOOKUP(E:E,'（居民）工资表-6月'!E:AG,29,0),0)</f>
        <v>136.98</v>
      </c>
      <c r="AG6" s="114">
        <f>IF((AE6-AF6)&lt;0,0,AE6-AF6)</f>
        <v>48.2</v>
      </c>
      <c r="AH6" s="121">
        <f>ROUND(IF((L6-Q6-AG6)&lt;0,0,(L6-Q6-AG6)),2)</f>
        <v>6558.34</v>
      </c>
      <c r="AI6" s="122"/>
      <c r="AJ6" s="121">
        <f>AH6+AI6</f>
        <v>6558.34</v>
      </c>
      <c r="AK6" s="123"/>
      <c r="AL6" s="121">
        <f>AJ6+AG6+AK6</f>
        <v>6606.54</v>
      </c>
      <c r="AM6" s="123"/>
      <c r="AN6" s="123"/>
      <c r="AO6" s="123"/>
      <c r="AP6" s="123"/>
      <c r="AQ6" s="123"/>
      <c r="AR6" s="130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30" t="str">
        <f>IF(SUMPRODUCT(N(E$1:E$8=E6))&gt;1,"重复","不")</f>
        <v>不</v>
      </c>
      <c r="AT6" s="130" t="str">
        <f>IF(SUMPRODUCT(N(AO$1:AO$8=AO6))&gt;1,"重复","不")</f>
        <v>重复</v>
      </c>
    </row>
    <row r="7" s="31" customFormat="1" ht="18" customHeight="1" spans="1:46">
      <c r="A7" s="55">
        <v>4</v>
      </c>
      <c r="B7" s="56" t="s">
        <v>85</v>
      </c>
      <c r="C7" s="56" t="s">
        <v>160</v>
      </c>
      <c r="D7" s="56" t="s">
        <v>87</v>
      </c>
      <c r="E7" s="375" t="s">
        <v>161</v>
      </c>
      <c r="F7" s="57" t="s">
        <v>186</v>
      </c>
      <c r="G7" s="58">
        <v>18607383005</v>
      </c>
      <c r="H7" s="59"/>
      <c r="I7" s="59"/>
      <c r="J7" s="88"/>
      <c r="K7" s="59"/>
      <c r="L7" s="89">
        <v>24800</v>
      </c>
      <c r="M7" s="90">
        <f>320</f>
        <v>320</v>
      </c>
      <c r="N7" s="90">
        <f>80</f>
        <v>80</v>
      </c>
      <c r="O7" s="90">
        <f>12</f>
        <v>12</v>
      </c>
      <c r="P7" s="90">
        <v>200</v>
      </c>
      <c r="Q7" s="108">
        <f>ROUND(SUM(M7:P7),2)</f>
        <v>612</v>
      </c>
      <c r="R7" s="89">
        <v>0</v>
      </c>
      <c r="S7" s="109">
        <f>L7+IFERROR(VLOOKUP($E:$E,'（居民）工资表-6月'!$E:$S,15,0),0)</f>
        <v>61704.76</v>
      </c>
      <c r="T7" s="110">
        <f>5000+IFERROR(VLOOKUP($E:$E,'（居民）工资表-6月'!$E:$T,16,0),0)</f>
        <v>15000</v>
      </c>
      <c r="U7" s="110">
        <f>Q7+IFERROR(VLOOKUP($E:$E,'（居民）工资表-6月'!$E:$U,17,0),0)</f>
        <v>1922.67</v>
      </c>
      <c r="V7" s="89"/>
      <c r="W7" s="89"/>
      <c r="X7" s="89"/>
      <c r="Y7" s="89"/>
      <c r="Z7" s="89"/>
      <c r="AA7" s="89"/>
      <c r="AB7" s="109">
        <f>ROUND(SUM(V7:AA7),2)</f>
        <v>0</v>
      </c>
      <c r="AC7" s="109">
        <f>R7+IFERROR(VLOOKUP($E:$E,'（居民）工资表-6月'!$E:$AC,25,0),0)</f>
        <v>0</v>
      </c>
      <c r="AD7" s="112">
        <f>ROUND(S7-T7-U7-AB7-AC7,2)</f>
        <v>44782.09</v>
      </c>
      <c r="AE7" s="113">
        <f>ROUND(MAX((AD7)*{0.03;0.1;0.2;0.25;0.3;0.35;0.45}-{0;2520;16920;31920;52920;85920;181920},0),2)</f>
        <v>1958.21</v>
      </c>
      <c r="AF7" s="114">
        <f>IFERROR(VLOOKUP(E:E,'（居民）工资表-6月'!E:AF,28,0)+VLOOKUP(E:E,'（居民）工资表-6月'!E:AG,29,0),0)</f>
        <v>767.82</v>
      </c>
      <c r="AG7" s="114">
        <f>IF((AE7-AF7)&lt;0,0,AE7-AF7)</f>
        <v>1190.39</v>
      </c>
      <c r="AH7" s="121">
        <f>ROUND(IF((L7-Q7-AG7)&lt;0,0,(L7-Q7-AG7)),2)</f>
        <v>22997.61</v>
      </c>
      <c r="AI7" s="122"/>
      <c r="AJ7" s="121">
        <f>AH7+AI7</f>
        <v>22997.61</v>
      </c>
      <c r="AK7" s="123"/>
      <c r="AL7" s="121">
        <f>AJ7+AG7+AK7</f>
        <v>24188</v>
      </c>
      <c r="AM7" s="123"/>
      <c r="AN7" s="123"/>
      <c r="AO7" s="123"/>
      <c r="AP7" s="123"/>
      <c r="AQ7" s="123"/>
      <c r="AR7" s="130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30" t="str">
        <f>IF(SUMPRODUCT(N(E$1:E$8=E7))&gt;1,"重复","不")</f>
        <v>不</v>
      </c>
      <c r="AT7" s="130" t="str">
        <f>IF(SUMPRODUCT(N(AO$1:AO$8=AO7))&gt;1,"重复","不")</f>
        <v>重复</v>
      </c>
    </row>
    <row r="8" s="31" customFormat="1" ht="18" customHeight="1" spans="1:46">
      <c r="A8" s="55">
        <v>5</v>
      </c>
      <c r="B8" s="56" t="s">
        <v>85</v>
      </c>
      <c r="C8" s="56" t="s">
        <v>188</v>
      </c>
      <c r="D8" s="56" t="s">
        <v>87</v>
      </c>
      <c r="E8" s="375" t="s">
        <v>189</v>
      </c>
      <c r="F8" s="57" t="str">
        <f>IF(MOD(MID(E8,17,1),2)=1,"男","女")</f>
        <v>女</v>
      </c>
      <c r="G8" s="58">
        <v>15360550807</v>
      </c>
      <c r="H8" s="59"/>
      <c r="I8" s="59"/>
      <c r="J8" s="88"/>
      <c r="K8" s="59"/>
      <c r="L8" s="89">
        <v>3523.63636363636</v>
      </c>
      <c r="M8" s="90"/>
      <c r="N8" s="90"/>
      <c r="O8" s="90"/>
      <c r="P8" s="90"/>
      <c r="Q8" s="108">
        <f>ROUND(SUM(M8:P8),2)</f>
        <v>0</v>
      </c>
      <c r="R8" s="89">
        <v>0</v>
      </c>
      <c r="S8" s="109">
        <f>L8+IFERROR(VLOOKUP($E:$E,'（居民）工资表-6月'!$E:$S,15,0),0)</f>
        <v>3523.63636363636</v>
      </c>
      <c r="T8" s="110">
        <f>5000+IFERROR(VLOOKUP($E:$E,'（居民）工资表-6月'!$E:$T,16,0),0)</f>
        <v>5000</v>
      </c>
      <c r="U8" s="110">
        <f>Q8+IFERROR(VLOOKUP($E:$E,'（居民）工资表-6月'!$E:$U,17,0),0)</f>
        <v>0</v>
      </c>
      <c r="V8" s="89"/>
      <c r="W8" s="89"/>
      <c r="X8" s="89"/>
      <c r="Y8" s="89"/>
      <c r="Z8" s="89"/>
      <c r="AA8" s="89"/>
      <c r="AB8" s="109">
        <f>ROUND(SUM(V8:AA8),2)</f>
        <v>0</v>
      </c>
      <c r="AC8" s="109">
        <f>R8+IFERROR(VLOOKUP($E:$E,'（居民）工资表-6月'!$E:$AC,25,0),0)</f>
        <v>0</v>
      </c>
      <c r="AD8" s="112">
        <f>ROUND(S8-T8-U8-AB8-AC8,2)</f>
        <v>-1476.36</v>
      </c>
      <c r="AE8" s="113">
        <f>ROUND(MAX((AD8)*{0.03;0.1;0.2;0.25;0.3;0.35;0.45}-{0;2520;16920;31920;52920;85920;181920},0),2)</f>
        <v>0</v>
      </c>
      <c r="AF8" s="114">
        <f>IFERROR(VLOOKUP(E:E,'（居民）工资表-6月'!E:AF,28,0)+VLOOKUP(E:E,'（居民）工资表-6月'!E:AG,29,0),0)</f>
        <v>0</v>
      </c>
      <c r="AG8" s="114">
        <f>IF((AE8-AF8)&lt;0,0,AE8-AF8)</f>
        <v>0</v>
      </c>
      <c r="AH8" s="121">
        <f>ROUND(IF((L8-Q8-AG8)&lt;0,0,(L8-Q8-AG8)),2)</f>
        <v>3523.64</v>
      </c>
      <c r="AI8" s="122"/>
      <c r="AJ8" s="121">
        <f>AH8+AI8</f>
        <v>3523.64</v>
      </c>
      <c r="AK8" s="123"/>
      <c r="AL8" s="121">
        <f>AJ8+AG8+AK8</f>
        <v>3523.64</v>
      </c>
      <c r="AM8" s="123"/>
      <c r="AN8" s="123"/>
      <c r="AO8" s="123"/>
      <c r="AP8" s="123"/>
      <c r="AQ8" s="123"/>
      <c r="AR8" s="130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30" t="str">
        <f>IF(SUMPRODUCT(N(E$1:E$8=E8))&gt;1,"重复","不")</f>
        <v>不</v>
      </c>
      <c r="AT8" s="130" t="str">
        <f>IF(SUMPRODUCT(N(AO$1:AO$8=AO8))&gt;1,"重复","不")</f>
        <v>重复</v>
      </c>
    </row>
    <row r="9" s="32" customFormat="1" ht="18" customHeight="1" spans="1:46">
      <c r="A9" s="60"/>
      <c r="B9" s="61" t="s">
        <v>91</v>
      </c>
      <c r="C9" s="61"/>
      <c r="D9" s="62"/>
      <c r="E9" s="63"/>
      <c r="F9" s="64"/>
      <c r="G9" s="65"/>
      <c r="H9" s="64"/>
      <c r="I9" s="91"/>
      <c r="J9" s="92"/>
      <c r="K9" s="91"/>
      <c r="L9" s="93">
        <f t="shared" ref="L9:AL9" si="0">SUM(L4:L8)</f>
        <v>47769.0909090909</v>
      </c>
      <c r="M9" s="93">
        <f t="shared" si="0"/>
        <v>1132.48</v>
      </c>
      <c r="N9" s="93">
        <f t="shared" si="0"/>
        <v>330.56</v>
      </c>
      <c r="O9" s="93">
        <f t="shared" si="0"/>
        <v>38.67</v>
      </c>
      <c r="P9" s="93">
        <f t="shared" si="0"/>
        <v>459</v>
      </c>
      <c r="Q9" s="93">
        <f t="shared" si="0"/>
        <v>1960.71</v>
      </c>
      <c r="R9" s="93">
        <f t="shared" si="0"/>
        <v>0</v>
      </c>
      <c r="S9" s="93">
        <f t="shared" si="0"/>
        <v>170373.850909091</v>
      </c>
      <c r="T9" s="93">
        <f t="shared" si="0"/>
        <v>100000</v>
      </c>
      <c r="U9" s="93">
        <f t="shared" si="0"/>
        <v>9706.02</v>
      </c>
      <c r="V9" s="93">
        <f t="shared" si="0"/>
        <v>0</v>
      </c>
      <c r="W9" s="93">
        <f t="shared" si="0"/>
        <v>0</v>
      </c>
      <c r="X9" s="93">
        <f t="shared" si="0"/>
        <v>7000</v>
      </c>
      <c r="Y9" s="93">
        <f t="shared" si="0"/>
        <v>0</v>
      </c>
      <c r="Z9" s="93">
        <f t="shared" si="0"/>
        <v>0</v>
      </c>
      <c r="AA9" s="93">
        <f t="shared" si="0"/>
        <v>0</v>
      </c>
      <c r="AB9" s="93">
        <f t="shared" si="0"/>
        <v>7000</v>
      </c>
      <c r="AC9" s="93">
        <f t="shared" si="0"/>
        <v>0</v>
      </c>
      <c r="AD9" s="93">
        <f t="shared" si="0"/>
        <v>53667.83</v>
      </c>
      <c r="AE9" s="93">
        <f t="shared" si="0"/>
        <v>2269.07</v>
      </c>
      <c r="AF9" s="93">
        <f t="shared" si="0"/>
        <v>1015.78</v>
      </c>
      <c r="AG9" s="93">
        <f t="shared" si="0"/>
        <v>1273.99</v>
      </c>
      <c r="AH9" s="93">
        <f t="shared" si="0"/>
        <v>44534.39</v>
      </c>
      <c r="AI9" s="124">
        <f t="shared" si="0"/>
        <v>0</v>
      </c>
      <c r="AJ9" s="93">
        <f t="shared" si="0"/>
        <v>44534.39</v>
      </c>
      <c r="AK9" s="93">
        <f t="shared" si="0"/>
        <v>0</v>
      </c>
      <c r="AL9" s="93">
        <f t="shared" si="0"/>
        <v>45808.38</v>
      </c>
      <c r="AM9" s="125"/>
      <c r="AN9" s="125"/>
      <c r="AO9" s="125"/>
      <c r="AP9" s="125"/>
      <c r="AQ9" s="125"/>
      <c r="AR9" s="64"/>
      <c r="AS9" s="64"/>
      <c r="AT9" s="131"/>
    </row>
    <row r="12" spans="30:30">
      <c r="AD12" s="115"/>
    </row>
    <row r="13" ht="18.75" customHeight="1" spans="2:30">
      <c r="B13" s="66" t="s">
        <v>64</v>
      </c>
      <c r="C13" s="66" t="s">
        <v>92</v>
      </c>
      <c r="D13" s="66" t="s">
        <v>65</v>
      </c>
      <c r="E13" s="66" t="s">
        <v>93</v>
      </c>
      <c r="AD13" s="29"/>
    </row>
    <row r="14" ht="18.75" customHeight="1" spans="2:5">
      <c r="B14" s="67">
        <f>AJ9</f>
        <v>44534.39</v>
      </c>
      <c r="C14" s="67">
        <f>AG9</f>
        <v>1273.99</v>
      </c>
      <c r="D14" s="67">
        <f>AK9</f>
        <v>0</v>
      </c>
      <c r="E14" s="67">
        <f>B14+C14+D14</f>
        <v>45808.38</v>
      </c>
    </row>
    <row r="15" spans="2:5">
      <c r="B15" s="68"/>
      <c r="C15" s="68"/>
      <c r="D15" s="68"/>
      <c r="E15" s="68">
        <f>社保1!BC15</f>
        <v>16363.62</v>
      </c>
    </row>
    <row r="16" s="33" customFormat="1" spans="1:35">
      <c r="A16" s="69" t="s">
        <v>94</v>
      </c>
      <c r="B16" s="70" t="s">
        <v>95</v>
      </c>
      <c r="C16" s="71"/>
      <c r="D16" s="71"/>
      <c r="E16" s="71"/>
      <c r="G16" s="72"/>
      <c r="J16" s="94"/>
      <c r="M16" s="95"/>
      <c r="AI16" s="126"/>
    </row>
    <row r="17" s="33" customFormat="1" spans="1:35">
      <c r="A17" s="73"/>
      <c r="B17" s="74" t="s">
        <v>96</v>
      </c>
      <c r="C17" s="71"/>
      <c r="D17" s="71"/>
      <c r="E17" s="71"/>
      <c r="G17" s="72"/>
      <c r="J17" s="94"/>
      <c r="M17" s="95"/>
      <c r="AI17" s="126"/>
    </row>
    <row r="18" s="33" customFormat="1" spans="1:35">
      <c r="A18" s="70"/>
      <c r="B18" s="74" t="s">
        <v>97</v>
      </c>
      <c r="C18" s="75"/>
      <c r="D18" s="75"/>
      <c r="E18" s="75"/>
      <c r="F18" s="75"/>
      <c r="G18" s="75"/>
      <c r="H18" s="75"/>
      <c r="I18" s="75"/>
      <c r="J18" s="96"/>
      <c r="K18" s="75"/>
      <c r="L18" s="75"/>
      <c r="M18" s="97"/>
      <c r="N18" s="75"/>
      <c r="O18" s="75"/>
      <c r="P18" s="75"/>
      <c r="AI18" s="126"/>
    </row>
    <row r="19" s="33" customFormat="1" customHeight="1" spans="1:35">
      <c r="A19" s="74"/>
      <c r="B19" s="74" t="s">
        <v>98</v>
      </c>
      <c r="C19" s="76"/>
      <c r="D19" s="76"/>
      <c r="E19" s="76"/>
      <c r="F19" s="76"/>
      <c r="G19" s="76"/>
      <c r="H19" s="76"/>
      <c r="I19" s="98"/>
      <c r="J19" s="99"/>
      <c r="K19" s="98"/>
      <c r="L19" s="98"/>
      <c r="M19" s="100"/>
      <c r="N19" s="98"/>
      <c r="O19" s="98"/>
      <c r="P19" s="98"/>
      <c r="AI19" s="126"/>
    </row>
    <row r="20" s="33" customFormat="1" customHeight="1" spans="1:35">
      <c r="A20" s="74"/>
      <c r="B20" s="74" t="s">
        <v>99</v>
      </c>
      <c r="C20" s="76"/>
      <c r="D20" s="76"/>
      <c r="E20" s="76"/>
      <c r="F20" s="76"/>
      <c r="G20" s="76"/>
      <c r="H20" s="76"/>
      <c r="I20" s="76"/>
      <c r="J20" s="101"/>
      <c r="K20" s="76"/>
      <c r="L20" s="98"/>
      <c r="M20" s="100"/>
      <c r="N20" s="98"/>
      <c r="O20" s="98"/>
      <c r="P20" s="98"/>
      <c r="AI20" s="126"/>
    </row>
    <row r="21" s="33" customFormat="1" customHeight="1" spans="1:35">
      <c r="A21" s="74"/>
      <c r="B21" s="74" t="s">
        <v>100</v>
      </c>
      <c r="C21" s="76"/>
      <c r="D21" s="76"/>
      <c r="E21" s="76"/>
      <c r="F21" s="76"/>
      <c r="G21" s="76"/>
      <c r="H21" s="76"/>
      <c r="I21" s="98"/>
      <c r="J21" s="99"/>
      <c r="K21" s="98"/>
      <c r="L21" s="98"/>
      <c r="M21" s="100"/>
      <c r="N21" s="98"/>
      <c r="O21" s="98"/>
      <c r="P21" s="98"/>
      <c r="AI21" s="126"/>
    </row>
    <row r="23" ht="11.25" customHeight="1" spans="2:2">
      <c r="B23" s="77" t="s">
        <v>101</v>
      </c>
    </row>
    <row r="24" spans="2:2">
      <c r="B24" s="78" t="s">
        <v>102</v>
      </c>
    </row>
    <row r="25" spans="2:2">
      <c r="B25" s="78" t="s">
        <v>103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2" priority="2" stopIfTrue="1"/>
  </conditionalFormatting>
  <conditionalFormatting sqref="B16:B20">
    <cfRule type="duplicateValues" dxfId="2" priority="3" stopIfTrue="1"/>
  </conditionalFormatting>
  <conditionalFormatting sqref="B24:B25">
    <cfRule type="duplicateValues" dxfId="2" priority="1" stopIfTrue="1"/>
  </conditionalFormatting>
  <conditionalFormatting sqref="C13:C15">
    <cfRule type="duplicateValues" dxfId="2" priority="4" stopIfTrue="1"/>
    <cfRule type="expression" dxfId="3" priority="5" stopIfTrue="1">
      <formula>AND(COUNTIF($B$9:$B$65445,C13)+COUNTIF($B$1:$B$3,C13)&gt;1,NOT(ISBLANK(C13)))</formula>
    </cfRule>
    <cfRule type="expression" dxfId="3" priority="6" stopIfTrue="1">
      <formula>AND(COUNTIF($B$20:$B$65396,C13)+COUNTIF($B$1:$B$19,C13)&gt;1,NOT(ISBLANK(C13)))</formula>
    </cfRule>
    <cfRule type="expression" dxfId="3" priority="7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4"/>
  <sheetViews>
    <sheetView topLeftCell="J1" workbookViewId="0">
      <selection activeCell="K37" sqref="K37"/>
    </sheetView>
  </sheetViews>
  <sheetFormatPr defaultColWidth="9" defaultRowHeight="12"/>
  <cols>
    <col min="1" max="1" width="5" style="137" hidden="1" customWidth="1"/>
    <col min="2" max="2" width="9.375" style="138" hidden="1" customWidth="1"/>
    <col min="3" max="3" width="9.625" style="138" hidden="1" customWidth="1"/>
    <col min="4" max="4" width="13.125" style="138" hidden="1" customWidth="1"/>
    <col min="5" max="5" width="25.75" style="137" hidden="1" customWidth="1"/>
    <col min="6" max="6" width="29.375" style="137" hidden="1" customWidth="1"/>
    <col min="7" max="7" width="10.25" style="139" hidden="1" customWidth="1"/>
    <col min="8" max="9" width="8.5" style="137" hidden="1" customWidth="1"/>
    <col min="10" max="10" width="8.5" style="137" customWidth="1"/>
    <col min="11" max="11" width="18" style="137" customWidth="1"/>
    <col min="12" max="12" width="11.25" style="137" customWidth="1"/>
    <col min="13" max="13" width="12.25" style="137" customWidth="1"/>
    <col min="14" max="14" width="8.5" style="137" customWidth="1"/>
    <col min="15" max="15" width="10.25" style="137" customWidth="1"/>
    <col min="16" max="16" width="8.5" style="137" customWidth="1"/>
    <col min="17" max="17" width="8.5" style="140" customWidth="1"/>
    <col min="18" max="18" width="10.25" style="138" customWidth="1"/>
    <col min="19" max="19" width="12.25" style="137" customWidth="1"/>
    <col min="20" max="23" width="12.5" style="137" customWidth="1"/>
    <col min="24" max="24" width="10.75" style="137" customWidth="1"/>
    <col min="25" max="25" width="12.5" style="137" customWidth="1"/>
    <col min="26" max="26" width="14.125" style="137" customWidth="1"/>
    <col min="27" max="27" width="12.5" style="137" customWidth="1"/>
    <col min="28" max="28" width="16.25" style="137" customWidth="1"/>
    <col min="29" max="29" width="12.5" style="137" customWidth="1"/>
    <col min="30" max="30" width="16.125" style="137" customWidth="1"/>
    <col min="31" max="31" width="12.25" style="137" customWidth="1"/>
    <col min="32" max="33" width="16.125" style="137" customWidth="1"/>
    <col min="34" max="34" width="20.5" style="137" customWidth="1"/>
    <col min="35" max="35" width="8.5" style="137" customWidth="1"/>
    <col min="36" max="36" width="5" style="137" customWidth="1"/>
    <col min="37" max="37" width="10.25" style="137" customWidth="1"/>
    <col min="38" max="38" width="14.25" style="141" customWidth="1"/>
    <col min="39" max="39" width="11.5" style="141" customWidth="1"/>
    <col min="40" max="40" width="13.875" style="141" customWidth="1"/>
    <col min="41" max="41" width="13.625" style="141" customWidth="1"/>
    <col min="42" max="16384" width="9" style="137"/>
  </cols>
  <sheetData>
    <row r="1" s="132" customFormat="1" ht="16.5" spans="1:41">
      <c r="A1" s="142" t="s">
        <v>18</v>
      </c>
      <c r="B1" s="143" t="s">
        <v>190</v>
      </c>
      <c r="C1" s="142" t="s">
        <v>107</v>
      </c>
      <c r="D1" s="142" t="s">
        <v>191</v>
      </c>
      <c r="E1" s="142" t="s">
        <v>192</v>
      </c>
      <c r="F1" s="143" t="s">
        <v>104</v>
      </c>
      <c r="G1" s="144" t="s">
        <v>193</v>
      </c>
      <c r="H1" s="142" t="s">
        <v>106</v>
      </c>
      <c r="I1" s="142" t="s">
        <v>194</v>
      </c>
      <c r="J1" s="143" t="s">
        <v>108</v>
      </c>
      <c r="K1" s="143" t="s">
        <v>195</v>
      </c>
      <c r="L1" s="143" t="s">
        <v>196</v>
      </c>
      <c r="M1" s="143" t="s">
        <v>197</v>
      </c>
      <c r="N1" s="143" t="s">
        <v>198</v>
      </c>
      <c r="O1" s="143" t="s">
        <v>199</v>
      </c>
      <c r="P1" s="143" t="s">
        <v>200</v>
      </c>
      <c r="Q1" s="165" t="s">
        <v>201</v>
      </c>
      <c r="R1" s="143" t="s">
        <v>202</v>
      </c>
      <c r="S1" s="166" t="s">
        <v>203</v>
      </c>
      <c r="T1" s="167" t="s">
        <v>204</v>
      </c>
      <c r="U1" s="167"/>
      <c r="V1" s="167"/>
      <c r="W1" s="167"/>
      <c r="X1" s="167"/>
      <c r="Y1" s="167"/>
      <c r="Z1" s="166" t="s">
        <v>205</v>
      </c>
      <c r="AA1" s="143" t="s">
        <v>206</v>
      </c>
      <c r="AB1" s="143"/>
      <c r="AC1" s="143"/>
      <c r="AD1" s="142" t="s">
        <v>207</v>
      </c>
      <c r="AE1" s="142" t="s">
        <v>208</v>
      </c>
      <c r="AF1" s="142" t="s">
        <v>209</v>
      </c>
      <c r="AG1" s="142" t="s">
        <v>210</v>
      </c>
      <c r="AH1" s="142" t="s">
        <v>211</v>
      </c>
      <c r="AI1" s="142" t="s">
        <v>212</v>
      </c>
      <c r="AJ1" s="142" t="s">
        <v>23</v>
      </c>
      <c r="AK1" s="174" t="s">
        <v>213</v>
      </c>
      <c r="AL1" s="175" t="s">
        <v>214</v>
      </c>
      <c r="AM1" s="175" t="s">
        <v>215</v>
      </c>
      <c r="AN1" s="176" t="s">
        <v>216</v>
      </c>
      <c r="AO1" s="176" t="s">
        <v>217</v>
      </c>
    </row>
    <row r="2" s="133" customFormat="1" ht="24" spans="1:41">
      <c r="A2" s="142"/>
      <c r="B2" s="143"/>
      <c r="C2" s="142"/>
      <c r="D2" s="142"/>
      <c r="E2" s="142"/>
      <c r="F2" s="143"/>
      <c r="G2" s="144"/>
      <c r="H2" s="142"/>
      <c r="I2" s="142"/>
      <c r="J2" s="143"/>
      <c r="K2" s="143"/>
      <c r="L2" s="143"/>
      <c r="M2" s="143"/>
      <c r="N2" s="143"/>
      <c r="O2" s="143"/>
      <c r="P2" s="143"/>
      <c r="Q2" s="165"/>
      <c r="R2" s="143"/>
      <c r="S2" s="166"/>
      <c r="T2" s="167" t="s">
        <v>218</v>
      </c>
      <c r="U2" s="167" t="s">
        <v>219</v>
      </c>
      <c r="V2" s="167" t="s">
        <v>220</v>
      </c>
      <c r="W2" s="167" t="s">
        <v>221</v>
      </c>
      <c r="X2" s="167" t="s">
        <v>222</v>
      </c>
      <c r="Y2" s="167" t="s">
        <v>223</v>
      </c>
      <c r="Z2" s="166"/>
      <c r="AA2" s="167" t="s">
        <v>224</v>
      </c>
      <c r="AB2" s="167" t="s">
        <v>225</v>
      </c>
      <c r="AC2" s="167" t="s">
        <v>226</v>
      </c>
      <c r="AD2" s="142"/>
      <c r="AE2" s="142"/>
      <c r="AF2" s="142"/>
      <c r="AG2" s="142"/>
      <c r="AH2" s="142"/>
      <c r="AI2" s="142"/>
      <c r="AJ2" s="142"/>
      <c r="AK2" s="174"/>
      <c r="AL2" s="175"/>
      <c r="AM2" s="175"/>
      <c r="AN2" s="176"/>
      <c r="AO2" s="177"/>
    </row>
    <row r="3" s="134" customFormat="1" ht="14.25" spans="1:37">
      <c r="A3" s="145">
        <v>1</v>
      </c>
      <c r="B3" s="146">
        <v>44306</v>
      </c>
      <c r="C3" s="147"/>
      <c r="D3" s="147" t="s">
        <v>227</v>
      </c>
      <c r="E3" s="145"/>
      <c r="F3" s="148" t="s">
        <v>136</v>
      </c>
      <c r="G3" s="148"/>
      <c r="H3" s="145" t="s">
        <v>138</v>
      </c>
      <c r="I3" s="145"/>
      <c r="J3" s="156" t="s">
        <v>160</v>
      </c>
      <c r="K3" s="376" t="s">
        <v>161</v>
      </c>
      <c r="L3" s="145">
        <v>18607383005</v>
      </c>
      <c r="M3" s="148"/>
      <c r="N3" s="145" t="s">
        <v>228</v>
      </c>
      <c r="O3" s="145" t="s">
        <v>229</v>
      </c>
      <c r="P3" s="145" t="s">
        <v>230</v>
      </c>
      <c r="Q3" s="146">
        <v>44296</v>
      </c>
      <c r="R3" s="145" t="s">
        <v>231</v>
      </c>
      <c r="S3" s="148" t="s">
        <v>232</v>
      </c>
      <c r="T3" s="168">
        <v>2021.05</v>
      </c>
      <c r="U3" s="145">
        <v>4000</v>
      </c>
      <c r="V3" s="145">
        <v>4000</v>
      </c>
      <c r="W3" s="145">
        <v>4000</v>
      </c>
      <c r="X3" s="145">
        <v>4000</v>
      </c>
      <c r="Y3" s="145">
        <v>4000</v>
      </c>
      <c r="Z3" s="148" t="s">
        <v>232</v>
      </c>
      <c r="AA3" s="171" t="s">
        <v>233</v>
      </c>
      <c r="AB3" s="171" t="s">
        <v>234</v>
      </c>
      <c r="AC3" s="171" t="s">
        <v>235</v>
      </c>
      <c r="AD3" s="145" t="s">
        <v>236</v>
      </c>
      <c r="AE3" s="145"/>
      <c r="AF3" s="145"/>
      <c r="AG3" s="145"/>
      <c r="AH3" s="145"/>
      <c r="AI3" s="145"/>
      <c r="AJ3" s="145"/>
      <c r="AK3" s="148" t="str">
        <f>IF(LEN(K3)=18,IF(RIGHT(K3,1)="X"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,"正确","错误")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*1,"正确","错误")),IF(LEN(K3)=15,"老号，请注意！",IF(LEN(K3)=0,"未填写身份证号码","位数不对！")))</f>
        <v>正确</v>
      </c>
    </row>
    <row r="4" s="135" customFormat="1" spans="1:37">
      <c r="A4" s="145"/>
      <c r="B4" s="146"/>
      <c r="C4" s="149"/>
      <c r="D4" s="147"/>
      <c r="E4" s="150"/>
      <c r="F4" s="148"/>
      <c r="G4" s="151"/>
      <c r="H4" s="150"/>
      <c r="I4" s="150"/>
      <c r="J4" s="158"/>
      <c r="K4" s="158"/>
      <c r="L4" s="150"/>
      <c r="M4" s="151"/>
      <c r="N4" s="150"/>
      <c r="O4" s="150"/>
      <c r="P4" s="145"/>
      <c r="Q4" s="152"/>
      <c r="R4" s="145"/>
      <c r="S4" s="148"/>
      <c r="T4" s="169"/>
      <c r="U4" s="150"/>
      <c r="V4" s="150"/>
      <c r="W4" s="150"/>
      <c r="X4" s="150"/>
      <c r="Y4" s="150"/>
      <c r="Z4" s="148"/>
      <c r="AA4" s="172"/>
      <c r="AB4" s="172"/>
      <c r="AC4" s="172"/>
      <c r="AD4" s="150"/>
      <c r="AE4" s="150"/>
      <c r="AF4" s="150"/>
      <c r="AG4" s="150"/>
      <c r="AH4" s="150"/>
      <c r="AI4" s="150"/>
      <c r="AJ4" s="150"/>
      <c r="AK4" s="148" t="str">
        <f>IF(LEN(K4)=18,IF(RIGHT(K4,1)="X"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,"正确","错误")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*1,"正确","错误")),IF(LEN(K4)=15,"老号，请注意！",IF(LEN(K4)=0,"未填写身份证号码","位数不对！")))</f>
        <v>未填写身份证号码</v>
      </c>
    </row>
    <row r="5" s="135" customFormat="1" spans="1:37">
      <c r="A5" s="150"/>
      <c r="B5" s="152"/>
      <c r="C5" s="149"/>
      <c r="D5" s="149"/>
      <c r="E5" s="150"/>
      <c r="F5" s="151"/>
      <c r="G5" s="151"/>
      <c r="H5" s="150"/>
      <c r="I5" s="150"/>
      <c r="J5" s="159"/>
      <c r="K5" s="159"/>
      <c r="L5" s="150"/>
      <c r="M5" s="151"/>
      <c r="N5" s="150"/>
      <c r="O5" s="150"/>
      <c r="P5" s="150"/>
      <c r="Q5" s="152"/>
      <c r="R5" s="150"/>
      <c r="S5" s="151"/>
      <c r="T5" s="150"/>
      <c r="U5" s="150"/>
      <c r="V5" s="150"/>
      <c r="W5" s="150"/>
      <c r="X5" s="150"/>
      <c r="Y5" s="150"/>
      <c r="Z5" s="151"/>
      <c r="AA5" s="172"/>
      <c r="AB5" s="172"/>
      <c r="AC5" s="172"/>
      <c r="AD5" s="150"/>
      <c r="AE5" s="150"/>
      <c r="AF5" s="150"/>
      <c r="AG5" s="150"/>
      <c r="AH5" s="150"/>
      <c r="AI5" s="150"/>
      <c r="AJ5" s="150"/>
      <c r="AK5" s="151"/>
    </row>
    <row r="6" s="135" customFormat="1" spans="1:37">
      <c r="A6" s="150"/>
      <c r="B6" s="152"/>
      <c r="C6" s="149"/>
      <c r="D6" s="149"/>
      <c r="E6" s="150"/>
      <c r="F6" s="151"/>
      <c r="G6" s="151"/>
      <c r="H6" s="150"/>
      <c r="I6" s="150"/>
      <c r="J6" s="159"/>
      <c r="K6" s="159"/>
      <c r="L6" s="150"/>
      <c r="M6" s="151"/>
      <c r="N6" s="150"/>
      <c r="O6" s="150"/>
      <c r="P6" s="150"/>
      <c r="Q6" s="152"/>
      <c r="R6" s="150"/>
      <c r="S6" s="151"/>
      <c r="T6" s="150"/>
      <c r="U6" s="150"/>
      <c r="V6" s="150"/>
      <c r="W6" s="150"/>
      <c r="X6" s="150"/>
      <c r="Y6" s="150"/>
      <c r="Z6" s="151"/>
      <c r="AA6" s="172"/>
      <c r="AB6" s="172"/>
      <c r="AC6" s="172"/>
      <c r="AD6" s="150"/>
      <c r="AE6" s="150"/>
      <c r="AF6" s="150"/>
      <c r="AG6" s="150"/>
      <c r="AH6" s="150"/>
      <c r="AI6" s="150"/>
      <c r="AJ6" s="150"/>
      <c r="AK6" s="151"/>
    </row>
    <row r="7" s="135" customFormat="1" spans="1:37">
      <c r="A7" s="150"/>
      <c r="B7" s="152"/>
      <c r="C7" s="149"/>
      <c r="D7" s="149"/>
      <c r="E7" s="150"/>
      <c r="F7" s="151"/>
      <c r="G7" s="151"/>
      <c r="H7" s="150"/>
      <c r="I7" s="150"/>
      <c r="J7" s="159"/>
      <c r="K7" s="159"/>
      <c r="L7" s="150"/>
      <c r="M7" s="151"/>
      <c r="N7" s="150"/>
      <c r="O7" s="150"/>
      <c r="P7" s="150"/>
      <c r="Q7" s="152"/>
      <c r="R7" s="150"/>
      <c r="S7" s="151"/>
      <c r="T7" s="150"/>
      <c r="U7" s="150"/>
      <c r="V7" s="150"/>
      <c r="W7" s="150"/>
      <c r="X7" s="150"/>
      <c r="Y7" s="150"/>
      <c r="Z7" s="151"/>
      <c r="AA7" s="172"/>
      <c r="AB7" s="172"/>
      <c r="AC7" s="172"/>
      <c r="AD7" s="150"/>
      <c r="AE7" s="150"/>
      <c r="AF7" s="150"/>
      <c r="AG7" s="150"/>
      <c r="AH7" s="150"/>
      <c r="AI7" s="150"/>
      <c r="AJ7" s="150"/>
      <c r="AK7" s="151"/>
    </row>
    <row r="8" s="135" customFormat="1" spans="1:37">
      <c r="A8" s="150"/>
      <c r="B8" s="152"/>
      <c r="C8" s="149"/>
      <c r="D8" s="149"/>
      <c r="E8" s="150"/>
      <c r="F8" s="151"/>
      <c r="G8" s="151"/>
      <c r="H8" s="150"/>
      <c r="I8" s="150"/>
      <c r="J8" s="159" t="s">
        <v>237</v>
      </c>
      <c r="K8" s="159"/>
      <c r="L8" s="150"/>
      <c r="M8" s="151"/>
      <c r="N8" s="150"/>
      <c r="O8" s="150"/>
      <c r="P8" s="150"/>
      <c r="Q8" s="152"/>
      <c r="R8" s="150"/>
      <c r="S8" s="151"/>
      <c r="T8" s="150"/>
      <c r="U8" s="150"/>
      <c r="V8" s="150"/>
      <c r="W8" s="150"/>
      <c r="X8" s="150"/>
      <c r="Y8" s="150"/>
      <c r="Z8" s="151"/>
      <c r="AA8" s="172"/>
      <c r="AB8" s="172"/>
      <c r="AC8" s="172"/>
      <c r="AD8" s="150"/>
      <c r="AE8" s="150"/>
      <c r="AF8" s="150"/>
      <c r="AG8" s="150"/>
      <c r="AH8" s="150"/>
      <c r="AI8" s="150"/>
      <c r="AJ8" s="150"/>
      <c r="AK8" s="151"/>
    </row>
    <row r="9" s="135" customFormat="1" ht="12.75" spans="1:37">
      <c r="A9" s="150"/>
      <c r="B9" s="152"/>
      <c r="C9" s="149"/>
      <c r="D9" s="149"/>
      <c r="E9" s="150"/>
      <c r="F9" s="151"/>
      <c r="G9" s="151"/>
      <c r="H9" s="150"/>
      <c r="I9" s="150"/>
      <c r="J9" s="150" t="s">
        <v>145</v>
      </c>
      <c r="K9" s="160" t="s">
        <v>138</v>
      </c>
      <c r="L9" s="161" t="s">
        <v>146</v>
      </c>
      <c r="M9" s="162" t="s">
        <v>89</v>
      </c>
      <c r="N9" s="373" t="s">
        <v>90</v>
      </c>
      <c r="O9" s="150"/>
      <c r="P9" s="150"/>
      <c r="Q9" s="170">
        <v>202106</v>
      </c>
      <c r="R9" s="150"/>
      <c r="S9" s="151"/>
      <c r="T9" s="150"/>
      <c r="U9" s="150"/>
      <c r="V9" s="150"/>
      <c r="W9" s="150"/>
      <c r="X9" s="150"/>
      <c r="Y9" s="150"/>
      <c r="Z9" s="151"/>
      <c r="AA9" s="172"/>
      <c r="AB9" s="172"/>
      <c r="AC9" s="172"/>
      <c r="AD9" s="150"/>
      <c r="AE9" s="150"/>
      <c r="AF9" s="150"/>
      <c r="AG9" s="150"/>
      <c r="AH9" s="150"/>
      <c r="AI9" s="150"/>
      <c r="AJ9" s="150"/>
      <c r="AK9" s="151"/>
    </row>
    <row r="10" s="135" customFormat="1" spans="1:37">
      <c r="A10" s="150"/>
      <c r="B10" s="152"/>
      <c r="C10" s="149"/>
      <c r="D10" s="149"/>
      <c r="E10" s="150"/>
      <c r="F10" s="151"/>
      <c r="G10" s="151"/>
      <c r="H10" s="150"/>
      <c r="I10" s="150"/>
      <c r="J10" s="159"/>
      <c r="K10" s="159"/>
      <c r="L10" s="150"/>
      <c r="M10" s="151"/>
      <c r="N10" s="150"/>
      <c r="O10" s="150"/>
      <c r="P10" s="150"/>
      <c r="Q10" s="152"/>
      <c r="R10" s="150"/>
      <c r="S10" s="151"/>
      <c r="T10" s="150"/>
      <c r="U10" s="150"/>
      <c r="V10" s="150"/>
      <c r="W10" s="150"/>
      <c r="X10" s="150"/>
      <c r="Y10" s="150"/>
      <c r="Z10" s="151"/>
      <c r="AA10" s="172"/>
      <c r="AB10" s="172"/>
      <c r="AC10" s="172"/>
      <c r="AD10" s="150"/>
      <c r="AE10" s="150"/>
      <c r="AF10" s="150"/>
      <c r="AG10" s="150"/>
      <c r="AH10" s="150"/>
      <c r="AI10" s="150"/>
      <c r="AJ10" s="150"/>
      <c r="AK10" s="151"/>
    </row>
    <row r="11" s="135" customFormat="1" spans="1:37">
      <c r="A11" s="150"/>
      <c r="B11" s="152"/>
      <c r="C11" s="149"/>
      <c r="D11" s="149"/>
      <c r="E11" s="150"/>
      <c r="F11" s="151"/>
      <c r="G11" s="151"/>
      <c r="H11" s="150"/>
      <c r="I11" s="150"/>
      <c r="J11" s="159"/>
      <c r="K11" s="159"/>
      <c r="L11" s="150"/>
      <c r="M11" s="151"/>
      <c r="N11" s="150"/>
      <c r="O11" s="150"/>
      <c r="P11" s="150"/>
      <c r="Q11" s="152"/>
      <c r="R11" s="150"/>
      <c r="S11" s="151"/>
      <c r="T11" s="150"/>
      <c r="U11" s="150"/>
      <c r="V11" s="150"/>
      <c r="W11" s="150"/>
      <c r="X11" s="150"/>
      <c r="Y11" s="150"/>
      <c r="Z11" s="151"/>
      <c r="AA11" s="172"/>
      <c r="AB11" s="172"/>
      <c r="AC11" s="172"/>
      <c r="AD11" s="150"/>
      <c r="AE11" s="150"/>
      <c r="AF11" s="150"/>
      <c r="AG11" s="150"/>
      <c r="AH11" s="150"/>
      <c r="AI11" s="150"/>
      <c r="AJ11" s="150"/>
      <c r="AK11" s="151"/>
    </row>
    <row r="12" s="136" customFormat="1" spans="1:41">
      <c r="A12" s="153"/>
      <c r="B12" s="154"/>
      <c r="C12" s="149"/>
      <c r="D12" s="149"/>
      <c r="E12" s="150"/>
      <c r="F12" s="151"/>
      <c r="G12" s="155"/>
      <c r="H12" s="153"/>
      <c r="I12" s="150"/>
      <c r="J12" s="159"/>
      <c r="K12" s="159"/>
      <c r="L12" s="150"/>
      <c r="M12" s="151"/>
      <c r="N12" s="153"/>
      <c r="O12" s="153"/>
      <c r="P12" s="153"/>
      <c r="Q12" s="153"/>
      <c r="R12" s="153"/>
      <c r="S12" s="151"/>
      <c r="T12" s="153"/>
      <c r="U12" s="153"/>
      <c r="V12" s="153"/>
      <c r="W12" s="153"/>
      <c r="X12" s="153"/>
      <c r="Y12" s="153"/>
      <c r="Z12" s="151"/>
      <c r="AA12" s="173"/>
      <c r="AB12" s="173"/>
      <c r="AC12" s="173"/>
      <c r="AD12" s="153"/>
      <c r="AE12" s="153"/>
      <c r="AF12" s="153"/>
      <c r="AG12" s="153"/>
      <c r="AH12" s="153"/>
      <c r="AI12" s="153"/>
      <c r="AJ12" s="153"/>
      <c r="AK12" s="151"/>
      <c r="AL12" s="135"/>
      <c r="AM12" s="135"/>
      <c r="AN12" s="135"/>
      <c r="AO12" s="135"/>
    </row>
    <row r="13" s="136" customFormat="1" spans="1:41">
      <c r="A13" s="153"/>
      <c r="B13" s="154"/>
      <c r="C13" s="149"/>
      <c r="D13" s="149"/>
      <c r="E13" s="150"/>
      <c r="F13" s="151"/>
      <c r="G13" s="155"/>
      <c r="H13" s="153"/>
      <c r="I13" s="153"/>
      <c r="J13" s="164"/>
      <c r="K13" s="164"/>
      <c r="L13" s="153"/>
      <c r="M13" s="151"/>
      <c r="N13" s="153"/>
      <c r="O13" s="153"/>
      <c r="P13" s="153"/>
      <c r="Q13" s="153"/>
      <c r="R13" s="153"/>
      <c r="S13" s="151"/>
      <c r="T13" s="153"/>
      <c r="U13" s="153"/>
      <c r="V13" s="153"/>
      <c r="W13" s="153"/>
      <c r="X13" s="153"/>
      <c r="Y13" s="153"/>
      <c r="Z13" s="151"/>
      <c r="AA13" s="173"/>
      <c r="AB13" s="173"/>
      <c r="AC13" s="173"/>
      <c r="AD13" s="153"/>
      <c r="AE13" s="153"/>
      <c r="AF13" s="153"/>
      <c r="AG13" s="153"/>
      <c r="AH13" s="153"/>
      <c r="AI13" s="153"/>
      <c r="AJ13" s="153"/>
      <c r="AK13" s="151"/>
      <c r="AL13" s="135"/>
      <c r="AM13" s="135"/>
      <c r="AN13" s="135"/>
      <c r="AO13" s="135"/>
    </row>
    <row r="14" s="136" customFormat="1" spans="1:41">
      <c r="A14" s="153"/>
      <c r="B14" s="154"/>
      <c r="C14" s="149"/>
      <c r="D14" s="149"/>
      <c r="E14" s="150"/>
      <c r="F14" s="151"/>
      <c r="G14" s="155"/>
      <c r="H14" s="153"/>
      <c r="I14" s="153"/>
      <c r="J14" s="164"/>
      <c r="K14" s="164"/>
      <c r="L14" s="153"/>
      <c r="M14" s="151"/>
      <c r="N14" s="153"/>
      <c r="O14" s="153"/>
      <c r="P14" s="153"/>
      <c r="Q14" s="153"/>
      <c r="R14" s="153"/>
      <c r="S14" s="151"/>
      <c r="T14" s="153"/>
      <c r="U14" s="153"/>
      <c r="V14" s="153"/>
      <c r="W14" s="153"/>
      <c r="X14" s="153"/>
      <c r="Y14" s="153"/>
      <c r="Z14" s="151"/>
      <c r="AA14" s="173"/>
      <c r="AB14" s="173"/>
      <c r="AC14" s="173"/>
      <c r="AD14" s="153"/>
      <c r="AE14" s="153"/>
      <c r="AF14" s="153"/>
      <c r="AG14" s="153"/>
      <c r="AH14" s="153"/>
      <c r="AI14" s="153"/>
      <c r="AJ14" s="153"/>
      <c r="AK14" s="151"/>
      <c r="AL14" s="135"/>
      <c r="AM14" s="135"/>
      <c r="AN14" s="135"/>
      <c r="AO14" s="135"/>
    </row>
  </sheetData>
  <mergeCells count="34"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Z1:Z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</mergeCells>
  <conditionalFormatting sqref="J12:J14">
    <cfRule type="duplicateValues" dxfId="2" priority="3"/>
  </conditionalFormatting>
  <conditionalFormatting sqref="J5:J8 J10:J11">
    <cfRule type="duplicateValues" dxfId="2" priority="2"/>
    <cfRule type="duplicateValues" dxfId="2" priority="1"/>
  </conditionalFormatting>
  <dataValidations count="7">
    <dataValidation type="list" allowBlank="1" showInputMessage="1" showErrorMessage="1" sqref="C3:C14">
      <formula1>"华北销售部,华东销售部,微蜂事业部,外包一体化事业部"</formula1>
    </dataValidation>
    <dataValidation type="list" allowBlank="1" showInputMessage="1" showErrorMessage="1" sqref="H15:H64411">
      <formula1>#REF!</formula1>
    </dataValidation>
    <dataValidation type="list" allowBlank="1" showInputMessage="1" showErrorMessage="1" sqref="H3:H11">
      <formula1>"派遣,代理"</formula1>
    </dataValidation>
    <dataValidation type="list" allowBlank="1" showInputMessage="1" showErrorMessage="1" sqref="D3:D4 D5:D14">
      <formula1>"北京易才博普奥,上海易铭天,杭州易才凯捷,上海傲云,上海曙夕"</formula1>
    </dataValidation>
    <dataValidation type="list" allowBlank="1" showInputMessage="1" showErrorMessage="1" sqref="M3:M8 M10:M14">
      <formula1>"是,否"</formula1>
    </dataValidation>
    <dataValidation type="list" allowBlank="1" showInputMessage="1" showErrorMessage="1" sqref="P3:P4 P5:P11">
      <formula1>"本地城镇,本地农村,外地城镇,外地农村"</formula1>
    </dataValidation>
    <dataValidation type="list" allowBlank="1" showInputMessage="1" showErrorMessage="1" sqref="S3:S4 S5:S14 Z3:Z4 Z5:Z14">
      <formula1>"新参,调入"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付款通知</vt:lpstr>
      <vt:lpstr>（居民）工资表-3月</vt:lpstr>
      <vt:lpstr>社保</vt:lpstr>
      <vt:lpstr>（居民）工资表-4月</vt:lpstr>
      <vt:lpstr>（居民）工资表-5月</vt:lpstr>
      <vt:lpstr>社保1</vt:lpstr>
      <vt:lpstr>（居民）工资表-6月</vt:lpstr>
      <vt:lpstr>（居民）工资表-7月</vt:lpstr>
      <vt:lpstr>增减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增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2018-08-01T08:19:00Z</dcterms:created>
  <cp:lastPrinted>2019-02-02T09:30:00Z</cp:lastPrinted>
  <dcterms:modified xsi:type="dcterms:W3CDTF">2022-01-25T06:38:08Z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2052-11.1.0.11294</vt:lpwstr>
  </property>
  <property fmtid="{D5CDD505-2E9C-101B-9397-08002B2CF9AE}" pid="4" name="ICV">
    <vt:lpwstr>B7285D0D0A38435CAAB761B1757CCEF9</vt:lpwstr>
  </property>
  <property fmtid="{D5CDD505-2E9C-101B-9397-08002B2CF9AE}" pid="5" name="KSOReadingLayout">
    <vt:bool>true</vt:bool>
  </property>
</Properties>
</file>